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3B398E8-0166-4223-97CC-AEF98CEB8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3" r:id="rId1"/>
    <sheet name="Regions" sheetId="2" r:id="rId2"/>
    <sheet name="IND_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4" i="1" l="1"/>
  <c r="AB84" i="1"/>
  <c r="AB83" i="1" s="1"/>
  <c r="AB21" i="1"/>
  <c r="T84" i="1"/>
  <c r="S84" i="1"/>
  <c r="R84" i="1"/>
  <c r="W83" i="1"/>
  <c r="V83" i="1"/>
  <c r="AB82" i="1"/>
  <c r="T90" i="1"/>
  <c r="S90" i="1"/>
  <c r="R90" i="1"/>
  <c r="M77" i="1"/>
  <c r="M81" i="1"/>
  <c r="N81" i="1" s="1"/>
  <c r="O81" i="1" s="1"/>
  <c r="M84" i="1" l="1"/>
  <c r="AC83" i="1"/>
  <c r="M90" i="1"/>
  <c r="N77" i="1"/>
  <c r="AD84" i="1" s="1"/>
  <c r="AB20" i="1"/>
  <c r="AB19" i="1"/>
  <c r="AB18" i="1" s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<sst xmlns="http://schemas.openxmlformats.org/spreadsheetml/2006/main" count="1166" uniqueCount="166">
  <si>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</si>
  <si>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</si>
  <si>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</si>
  <si>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</si>
  <si>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</si>
  <si>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</si>
  <si>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</si>
  <si>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</si>
  <si>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</si>
  <si>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</si>
  <si>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</si>
  <si>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</si>
  <si>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</si>
  <si>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</si>
  <si>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</si>
  <si>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</si>
  <si>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</si>
  <si>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</si>
  <si>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</si>
  <si>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</si>
  <si>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</si>
  <si>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</si>
  <si>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</si>
  <si>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</si>
  <si>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</si>
  <si>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</si>
  <si>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</si>
  <si>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</si>
  <si>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</si>
  <si>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</si>
  <si>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</si>
  <si>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</si>
  <si>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</si>
  <si>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</si>
  <si>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</si>
  <si>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</si>
  <si>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</si>
  <si>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</si>
  <si>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</si>
  <si>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</si>
  <si>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</si>
  <si>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</si>
  <si>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</si>
  <si>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</si>
  <si>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</si>
  <si>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</si>
  <si>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</si>
  <si>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</si>
  <si>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</si>
  <si>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</si>
  <si>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</si>
  <si>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</si>
  <si>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</si>
  <si>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</si>
  <si>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</si>
  <si>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</si>
  <si>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</si>
  <si>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</si>
  <si>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</si>
  <si>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</si>
  <si>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</si>
  <si>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</si>
  <si>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</si>
  <si>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</si>
  <si>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</si>
  <si>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</si>
  <si>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</si>
  <si>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</si>
  <si>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</si>
  <si>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</si>
  <si>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</si>
  <si>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</si>
  <si>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</si>
  <si>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</si>
  <si>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</si>
  <si>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</si>
  <si>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</si>
  <si>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</si>
  <si>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</si>
  <si>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</si>
  <si>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</si>
  <si>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</si>
  <si>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</si>
  <si>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</si>
  <si>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</si>
  <si>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</si>
  <si>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</si>
  <si>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</si>
  <si>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</si>
  <si>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</si>
  <si>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</si>
  <si>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</si>
  <si>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</si>
  <si>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</si>
  <si>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</si>
  <si>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</si>
  <si>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</si>
  <si>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</si>
  <si>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</si>
  <si>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</si>
  <si>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</si>
  <si>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</si>
  <si>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</si>
  <si>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</si>
  <si>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</si>
  <si>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</si>
  <si>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</si>
  <si>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</si>
  <si>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</si>
  <si>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</si>
  <si>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</si>
  <si>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</si>
  <si>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</si>
  <si>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</si>
  <si>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</si>
  <si>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</si>
  <si>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</si>
  <si>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</si>
  <si>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</si>
  <si>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</si>
  <si>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</si>
  <si>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</si>
  <si>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</si>
  <si>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</si>
  <si>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</si>
  <si>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</si>
  <si>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</si>
  <si>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</si>
  <si>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</si>
  <si>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</si>
  <si>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</si>
  <si>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</si>
  <si>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</si>
  <si>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</si>
  <si>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</si>
  <si>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</si>
  <si>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</si>
  <si>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</si>
  <si>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</si>
  <si>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</si>
  <si>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</si>
  <si>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</si>
  <si>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</si>
  <si>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</si>
  <si>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</si>
  <si>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</si>
  <si>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</si>
  <si>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*2018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</si>
  <si>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</si>
  <si>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</si>
  <si>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</si>
  <si>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</si>
  <si>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</si>
  <si>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</si>
  <si>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</si>
  <si>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</si>
  <si>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</si>
  <si>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</si>
  <si>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</si>
  <si>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</si>
  <si>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</si>
  <si>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Industry sector (IND)</t>
  </si>
  <si>
    <t>Specify fuel switching shares</t>
  </si>
  <si>
    <t>Maurizio Gargiulo (E4SMA, maurizio.gargiulo@e4sma.com)</t>
  </si>
  <si>
    <t>Hannah Daly (UCC, h.daly@ucc.ie)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</si>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</sst>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%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5" borderId="0" xfId="0" applyNumberFormat="1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9" fontId="0" fillId="5" borderId="0" xfId="0" applyNumberFormat="1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0" fillId="6" borderId="0" xfId="0" applyNumberFormat="1" applyFont="1" applyFill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7" borderId="0" xfId="0" applyNumberFormat="1" applyFont="1" applyFill="1" applyAlignment="1">
      <alignment horizontal="left" vertical="center"/>
    </xf>
    <xf numFmtId="9" fontId="0" fillId="6" borderId="0" xfId="0" applyNumberFormat="1" applyFont="1" applyFill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166" fontId="0" fillId="7" borderId="1" xfId="0" applyNumberFormat="1" applyFon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66" fontId="0" fillId="6" borderId="0" xfId="0" applyNumberFormat="1" applyFont="1" applyFill="1" applyBorder="1" applyAlignment="1">
      <alignment horizontal="left" vertical="center"/>
    </xf>
    <xf numFmtId="164" fontId="0" fillId="5" borderId="7" xfId="0" applyNumberFormat="1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9" fontId="0" fillId="5" borderId="7" xfId="0" applyNumberFormat="1" applyFont="1" applyFill="1" applyBorder="1" applyAlignment="1">
      <alignment horizontal="left" vertical="center"/>
    </xf>
    <xf numFmtId="166" fontId="0" fillId="7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  <xf numFmtId="0" fontId="2" fillId="7" borderId="0" xfId="3" applyFont="1" applyFill="1" applyAlignment="1">
      <alignment vertical="center"/>
    </xf>
    <xf numFmtId="0" fontId="2" fillId="5" borderId="0" xfId="3" applyFont="1" applyFill="1" applyAlignment="1">
      <alignment vertical="center"/>
    </xf>
    <xf numFmtId="0" fontId="13" fillId="5" borderId="0" xfId="3" applyFont="1" applyFill="1" applyAlignment="1">
      <alignment vertical="center"/>
    </xf>
    <xf numFmtId="0" fontId="11" fillId="5" borderId="0" xfId="3" applyFont="1" applyFill="1" applyAlignment="1">
      <alignment vertical="center"/>
    </xf>
    <xf numFmtId="0" fontId="2" fillId="8" borderId="0" xfId="3" applyFont="1" applyFill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vertical="center"/>
    </xf>
    <xf numFmtId="0" fontId="16" fillId="7" borderId="0" xfId="3" applyFont="1" applyFill="1" applyAlignment="1">
      <alignment vertical="center"/>
    </xf>
    <xf numFmtId="0" fontId="5" fillId="5" borderId="0" xfId="3" applyFont="1" applyFill="1" applyAlignment="1">
      <alignment vertical="center"/>
    </xf>
    <xf numFmtId="0" fontId="17" fillId="5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167" fontId="5" fillId="7" borderId="0" xfId="3" applyNumberFormat="1" applyFont="1" applyFill="1" applyAlignment="1">
      <alignment horizontal="left" vertical="center"/>
    </xf>
    <xf numFmtId="0" fontId="18" fillId="5" borderId="0" xfId="3" applyFont="1" applyFill="1" applyAlignment="1">
      <alignment vertical="center"/>
    </xf>
    <xf numFmtId="0" fontId="19" fillId="7" borderId="0" xfId="3" applyFont="1" applyFill="1" applyAlignment="1">
      <alignment vertical="center"/>
    </xf>
    <xf numFmtId="0" fontId="11" fillId="7" borderId="0" xfId="2" applyFill="1" applyAlignment="1">
      <alignment vertical="center"/>
    </xf>
    <xf numFmtId="0" fontId="5" fillId="7" borderId="0" xfId="3" applyFont="1" applyFill="1" applyAlignment="1">
      <alignment vertical="center"/>
    </xf>
    <xf numFmtId="0" fontId="13" fillId="7" borderId="0" xfId="3" applyFont="1" applyFill="1" applyAlignment="1">
      <alignment horizontal="center" vertical="center"/>
    </xf>
    <xf numFmtId="0" fontId="11" fillId="7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3434863D-C3B1-4840-9C7B-90AB321073B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E1EC0-C785-43C5-8F37-D586D5506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C4C9C9-7050-40DF-8BAD-A920EAF1F8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B6E04A-9673-4BA1-A25F-33F6F3F08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655E5C-F6A2-4AF5-8A1F-077C5C2FC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977F98-EDFE-4A29-BB7B-D697834703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3C3924-C106-4920-AAE4-7E013F45386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53EE-FD1D-4345-ACFD-B216C926BFB6}">
  <sheetPr codeName="Sheet3"/>
  <dimension ref="A1:Z99"/>
  <sheetViews>
    <sheetView showGridLines="0" tabSelected="1" topLeftCell="A7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x14ac:dyDescent="0.25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25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x14ac:dyDescent="0.25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x14ac:dyDescent="0.25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x14ac:dyDescent="0.25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x14ac:dyDescent="0.25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x14ac:dyDescent="0.25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x14ac:dyDescent="0.25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x14ac:dyDescent="0.25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x14ac:dyDescent="0.25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x14ac:dyDescent="0.25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x14ac:dyDescent="0.25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x14ac:dyDescent="0.25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x14ac:dyDescent="0.25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 x14ac:dyDescent="0.25">
      <c r="A16" s="73" t="s">
        <v>148</v>
      </c>
      <c r="B16" s="73"/>
      <c r="C16" s="73"/>
      <c r="D16" s="73"/>
      <c r="E16" s="59"/>
      <c r="F16" s="59"/>
      <c r="G16" s="60"/>
      <c r="H16" s="60"/>
      <c r="I16" s="60"/>
      <c r="J16" s="60"/>
      <c r="K16" s="60"/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 x14ac:dyDescent="0.25">
      <c r="A17" s="61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 x14ac:dyDescent="0.25">
      <c r="A18" s="61"/>
      <c r="B18" s="61"/>
      <c r="C18" s="61"/>
      <c r="D18" s="61"/>
      <c r="E18" s="62"/>
      <c r="F18" s="62"/>
      <c r="G18" s="63"/>
      <c r="H18" s="63"/>
      <c r="I18" s="63"/>
      <c r="J18" s="63"/>
      <c r="K18" s="63"/>
      <c r="L18" s="63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 x14ac:dyDescent="0.25">
      <c r="A19" s="64" t="s">
        <v>149</v>
      </c>
      <c r="B19" s="72" t="s">
        <v>160</v>
      </c>
      <c r="C19" s="72"/>
      <c r="D19" s="72"/>
      <c r="E19" s="65"/>
      <c r="F19" s="65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 x14ac:dyDescent="0.25">
      <c r="A20" s="64" t="s">
        <v>150</v>
      </c>
      <c r="B20" s="72" t="s">
        <v>161</v>
      </c>
      <c r="C20" s="72"/>
      <c r="D20" s="72"/>
      <c r="E20" s="65"/>
      <c r="F20" s="65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 x14ac:dyDescent="0.25">
      <c r="A21" s="64" t="s">
        <v>151</v>
      </c>
      <c r="B21" s="67" t="s">
        <v>162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 x14ac:dyDescent="0.25">
      <c r="A22" s="64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 x14ac:dyDescent="0.25">
      <c r="A23" s="64" t="s">
        <v>152</v>
      </c>
      <c r="B23" s="72" t="s">
        <v>163</v>
      </c>
      <c r="C23" s="72"/>
      <c r="D23" s="7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 x14ac:dyDescent="0.25">
      <c r="A24" s="64"/>
      <c r="B24" s="72" t="s">
        <v>164</v>
      </c>
      <c r="C24" s="72"/>
      <c r="D24" s="72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 x14ac:dyDescent="0.25">
      <c r="A25" s="64"/>
      <c r="B25" s="72" t="s">
        <v>165</v>
      </c>
      <c r="C25" s="72"/>
      <c r="D25" s="72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 x14ac:dyDescent="0.25">
      <c r="A26" s="64" t="s">
        <v>153</v>
      </c>
      <c r="B26" s="72" t="s">
        <v>165</v>
      </c>
      <c r="C26" s="72"/>
      <c r="D26" s="7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 x14ac:dyDescent="0.25">
      <c r="A27" s="64"/>
      <c r="B27" s="67"/>
      <c r="C27" s="67"/>
      <c r="D27" s="67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 x14ac:dyDescent="0.25">
      <c r="A28" s="64"/>
      <c r="B28" s="67"/>
      <c r="C28" s="67"/>
      <c r="D28" s="6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 x14ac:dyDescent="0.25">
      <c r="A29" s="64" t="s">
        <v>154</v>
      </c>
      <c r="B29" s="68">
        <v>1</v>
      </c>
      <c r="C29" s="67"/>
      <c r="D29" s="6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 x14ac:dyDescent="0.25">
      <c r="A30" s="64" t="s">
        <v>155</v>
      </c>
      <c r="B30" s="74" t="s">
        <v>156</v>
      </c>
      <c r="C30" s="72"/>
      <c r="D30" s="72"/>
      <c r="E30" s="69"/>
      <c r="F30" s="6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 x14ac:dyDescent="0.25">
      <c r="A31" s="64" t="s">
        <v>157</v>
      </c>
      <c r="B31" s="72" t="s">
        <v>158</v>
      </c>
      <c r="C31" s="72"/>
      <c r="D31" s="72"/>
      <c r="E31" s="69"/>
      <c r="F31" s="69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 x14ac:dyDescent="0.25">
      <c r="A32" s="70"/>
      <c r="B32" s="71" t="s">
        <v>159</v>
      </c>
      <c r="C32" s="70"/>
      <c r="D32" s="70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25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x14ac:dyDescent="0.25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x14ac:dyDescent="0.25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x14ac:dyDescent="0.25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x14ac:dyDescent="0.25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x14ac:dyDescent="0.25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x14ac:dyDescent="0.25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x14ac:dyDescent="0.25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x14ac:dyDescent="0.25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x14ac:dyDescent="0.25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x14ac:dyDescent="0.2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x14ac:dyDescent="0.2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x14ac:dyDescent="0.2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x14ac:dyDescent="0.2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x14ac:dyDescent="0.2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x14ac:dyDescent="0.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x14ac:dyDescent="0.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x14ac:dyDescent="0.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733B5E08-EA4C-4B37-ADDE-44EAF07A65F8}"/>
    <hyperlink ref="B32" r:id="rId2" xr:uid="{4B89A213-CBD0-40BA-944F-CE535CE478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G147"/>
  <sheetViews>
    <sheetView zoomScale="80" zoomScaleNormal="80" workbookViewId="0">
      <selection activeCell="E13" sqref="E13"/>
    </sheetView>
  </sheetViews>
  <sheetFormatPr defaultRowHeight="15" x14ac:dyDescent="0.25"/>
  <cols>
    <col min="1" max="1" width="3" style="16" customWidth="1"/>
    <col min="2" max="2" width="19.5703125" style="16" customWidth="1"/>
    <col min="3" max="3" width="52.5703125" style="16" bestFit="1" customWidth="1"/>
    <col min="4" max="4" width="17.42578125" style="16" customWidth="1"/>
    <col min="5" max="5" width="9.7109375" style="16" bestFit="1" customWidth="1"/>
    <col min="6" max="6" width="3.85546875" style="16" customWidth="1"/>
    <col min="7" max="7" width="12.28515625" style="16" bestFit="1" customWidth="1"/>
    <col min="8" max="9" width="9.140625" style="16"/>
    <col min="10" max="10" width="14.5703125" style="16" bestFit="1" customWidth="1"/>
    <col min="11" max="16" width="9.140625" style="16"/>
    <col min="17" max="17" width="2.28515625" style="16" customWidth="1"/>
    <col min="18" max="20" width="9.140625" style="16"/>
    <col min="21" max="21" width="2.28515625" style="16" customWidth="1"/>
    <col min="22" max="22" width="47" style="16" customWidth="1"/>
    <col min="23" max="23" width="50" style="16" bestFit="1" customWidth="1"/>
    <col min="24" max="24" width="15.140625" style="16" customWidth="1"/>
    <col min="25" max="25" width="24" style="16" customWidth="1"/>
    <col min="26" max="26" width="12.7109375" style="16" customWidth="1"/>
    <col min="27" max="27" width="13.42578125" style="16" customWidth="1"/>
    <col min="28" max="31" width="9.140625" style="16"/>
    <col min="32" max="32" width="17.42578125" style="16" bestFit="1" customWidth="1"/>
    <col min="33" max="33" width="14.28515625" style="16" bestFit="1" customWidth="1"/>
    <col min="34" max="16384" width="9.140625" style="16"/>
  </cols>
  <sheetData>
    <row r="1" spans="2:33" ht="21" x14ac:dyDescent="0.25">
      <c r="B1" s="15" t="s">
        <v>73</v>
      </c>
    </row>
    <row r="2" spans="2:33" x14ac:dyDescent="0.25">
      <c r="V2" s="8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7" t="s">
        <v>133</v>
      </c>
      <c r="N3" s="17"/>
      <c r="O3" s="17"/>
      <c r="R3" s="17" t="s">
        <v>133</v>
      </c>
      <c r="S3" s="17"/>
      <c r="T3" s="17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2"/>
      <c r="D4" s="12"/>
      <c r="E4" s="12"/>
      <c r="F4" s="12"/>
      <c r="G4" s="7" t="str">
        <f>"~TFM_INS-TS:"&amp;_xlfn.TEXTJOIN(",",TRUE,IF(LEFT(Regions!$C$3,1)&lt;&gt;"*",Regions!$C$3,""),IF(LEFT(Regions!$D$3,1)&lt;&gt;"*",Regions!$D$3,""))</f>
        <v>~TFM_INS-TS:IE,National</v>
      </c>
      <c r="R4" s="18" t="s">
        <v>134</v>
      </c>
      <c r="V4" s="9"/>
      <c r="W4" s="9"/>
      <c r="X4" s="9"/>
      <c r="Y4" s="9"/>
      <c r="AA4" s="8" t="s">
        <v>136</v>
      </c>
      <c r="AB4" s="9"/>
      <c r="AC4" s="9"/>
      <c r="AD4" s="9"/>
      <c r="AE4" s="9"/>
      <c r="AF4" s="9"/>
      <c r="AG4" s="9"/>
    </row>
    <row r="5" spans="2:33" ht="15.75" thickBot="1" x14ac:dyDescent="0.3">
      <c r="B5" s="10" t="s">
        <v>61</v>
      </c>
      <c r="C5" s="10" t="s">
        <v>62</v>
      </c>
      <c r="D5" s="10" t="s">
        <v>63</v>
      </c>
      <c r="E5" s="10" t="s">
        <v>64</v>
      </c>
      <c r="G5" s="10" t="s">
        <v>61</v>
      </c>
      <c r="H5" s="10" t="s">
        <v>60</v>
      </c>
      <c r="I5" s="10" t="s">
        <v>74</v>
      </c>
      <c r="J5" s="10" t="s">
        <v>63</v>
      </c>
      <c r="K5" s="10" t="s">
        <v>64</v>
      </c>
      <c r="L5" s="10">
        <v>2018</v>
      </c>
      <c r="M5" s="10">
        <v>2020</v>
      </c>
      <c r="N5" s="10">
        <v>2030</v>
      </c>
      <c r="O5" s="10">
        <v>2050</v>
      </c>
      <c r="P5" s="10">
        <v>0</v>
      </c>
      <c r="R5" s="10">
        <v>2020</v>
      </c>
      <c r="S5" s="10">
        <v>2030</v>
      </c>
      <c r="T5" s="10">
        <v>2050</v>
      </c>
      <c r="V5" s="11" t="s">
        <v>125</v>
      </c>
      <c r="W5" s="11" t="s">
        <v>128</v>
      </c>
      <c r="X5" s="11" t="s">
        <v>126</v>
      </c>
      <c r="Y5" s="11" t="s">
        <v>64</v>
      </c>
      <c r="Z5" s="11" t="s">
        <v>138</v>
      </c>
      <c r="AA5" s="11" t="s">
        <v>60</v>
      </c>
      <c r="AB5" s="11" t="s">
        <v>147</v>
      </c>
      <c r="AC5" s="11">
        <v>2020</v>
      </c>
      <c r="AD5" s="11">
        <v>2030</v>
      </c>
      <c r="AE5" s="11">
        <v>2050</v>
      </c>
      <c r="AF5" s="11" t="s">
        <v>135</v>
      </c>
      <c r="AG5" s="11" t="s">
        <v>127</v>
      </c>
    </row>
    <row r="6" spans="2:33" x14ac:dyDescent="0.25">
      <c r="B6" s="19" t="s">
        <v>95</v>
      </c>
      <c r="C6" s="20"/>
      <c r="D6" s="20"/>
      <c r="E6" s="20"/>
      <c r="F6" s="21"/>
      <c r="G6" s="19" t="s">
        <v>95</v>
      </c>
      <c r="H6" s="19"/>
      <c r="I6" s="19"/>
      <c r="J6" s="19" t="s">
        <v>111</v>
      </c>
      <c r="K6" s="19"/>
      <c r="L6" s="19" t="s">
        <v>146</v>
      </c>
      <c r="M6" s="19"/>
      <c r="N6" s="19"/>
      <c r="O6" s="19"/>
      <c r="P6" s="19"/>
      <c r="V6" s="22" t="str">
        <f>G6</f>
        <v>*Non-Energy Mining demand process</v>
      </c>
      <c r="W6" s="23"/>
      <c r="X6" s="23"/>
      <c r="Y6" s="23"/>
      <c r="Z6" s="23"/>
      <c r="AA6" s="23"/>
      <c r="AB6" s="24"/>
      <c r="AC6" s="24"/>
      <c r="AD6" s="24"/>
      <c r="AE6" s="24"/>
      <c r="AF6" s="23"/>
      <c r="AG6" s="23"/>
    </row>
    <row r="7" spans="2:33" x14ac:dyDescent="0.25">
      <c r="B7" s="13" t="s">
        <v>75</v>
      </c>
      <c r="C7" s="13" t="s">
        <v>76</v>
      </c>
      <c r="D7" s="25" t="s">
        <v>77</v>
      </c>
      <c r="E7" s="9" t="s">
        <v>109</v>
      </c>
      <c r="F7" s="21"/>
      <c r="G7" s="16" t="s">
        <v>130</v>
      </c>
      <c r="H7" s="16" t="s">
        <v>131</v>
      </c>
      <c r="I7" s="16" t="s">
        <v>132</v>
      </c>
      <c r="J7" s="25" t="s">
        <v>77</v>
      </c>
      <c r="K7" s="16" t="s">
        <v>67</v>
      </c>
      <c r="L7" s="26">
        <v>6.9999999999999993E-3</v>
      </c>
      <c r="M7" s="27">
        <f>L7</f>
        <v>6.9999999999999993E-3</v>
      </c>
      <c r="N7" s="27">
        <f>M7</f>
        <v>6.9999999999999993E-3</v>
      </c>
      <c r="O7" s="27">
        <f>N7</f>
        <v>6.9999999999999993E-3</v>
      </c>
      <c r="P7" s="16">
        <v>5</v>
      </c>
      <c r="V7" s="28" t="str">
        <f>"UC_Mitigation_"&amp;$J$6&amp;"_MaxShare_KER-BKE"</f>
        <v>UC_Mitigation_INEM_MaxShare_KER-BKE</v>
      </c>
      <c r="W7" s="28" t="str">
        <f>"Maximum share of kerosene and Biokerosene in "&amp;$J$6</f>
        <v>Maximum share of kerosene and Biokerosene in INEM</v>
      </c>
      <c r="X7" s="25" t="str">
        <f>J12</f>
        <v>I-DMD-NEM-E0</v>
      </c>
      <c r="Y7" s="28" t="s">
        <v>137</v>
      </c>
      <c r="Z7" s="16" t="s">
        <v>139</v>
      </c>
      <c r="AA7" s="28" t="s">
        <v>131</v>
      </c>
      <c r="AB7" s="29">
        <f>1+AB8</f>
        <v>0.99299999999999999</v>
      </c>
      <c r="AC7" s="29">
        <f>1+AC8</f>
        <v>0.99299999999999999</v>
      </c>
      <c r="AD7" s="29">
        <f>1+AD8</f>
        <v>0.99299999999999999</v>
      </c>
      <c r="AE7" s="29">
        <f>1+AE8</f>
        <v>0.99299999999999999</v>
      </c>
      <c r="AF7" s="30">
        <v>0</v>
      </c>
      <c r="AG7" s="30">
        <v>5</v>
      </c>
    </row>
    <row r="8" spans="2:33" x14ac:dyDescent="0.25">
      <c r="B8" s="13" t="s">
        <v>75</v>
      </c>
      <c r="C8" s="13" t="s">
        <v>76</v>
      </c>
      <c r="D8" s="28" t="s">
        <v>77</v>
      </c>
      <c r="E8" s="31" t="s">
        <v>110</v>
      </c>
      <c r="F8" s="21"/>
      <c r="G8" s="16" t="s">
        <v>130</v>
      </c>
      <c r="H8" s="16" t="s">
        <v>131</v>
      </c>
      <c r="I8" s="16" t="s">
        <v>132</v>
      </c>
      <c r="J8" s="25" t="s">
        <v>77</v>
      </c>
      <c r="K8" s="16" t="s">
        <v>69</v>
      </c>
      <c r="L8" s="26">
        <v>2.75E-2</v>
      </c>
      <c r="M8" s="17"/>
      <c r="N8" s="17"/>
      <c r="O8" s="17"/>
      <c r="P8" s="16">
        <v>5</v>
      </c>
      <c r="X8" s="25" t="str">
        <f>X7</f>
        <v>I-DMD-NEM-E0</v>
      </c>
      <c r="Y8" s="28" t="s">
        <v>141</v>
      </c>
      <c r="Z8" s="16" t="s">
        <v>139</v>
      </c>
      <c r="AA8" s="28" t="s">
        <v>131</v>
      </c>
      <c r="AB8" s="32">
        <f>-L7</f>
        <v>-6.9999999999999993E-3</v>
      </c>
      <c r="AC8" s="32">
        <f>-M7</f>
        <v>-6.9999999999999993E-3</v>
      </c>
      <c r="AD8" s="32">
        <f>-N7</f>
        <v>-6.9999999999999993E-3</v>
      </c>
      <c r="AE8" s="32">
        <f>-O7</f>
        <v>-6.9999999999999993E-3</v>
      </c>
      <c r="AG8" s="30"/>
    </row>
    <row r="9" spans="2:33" x14ac:dyDescent="0.25">
      <c r="B9" s="14" t="s">
        <v>75</v>
      </c>
      <c r="C9" s="14" t="s">
        <v>76</v>
      </c>
      <c r="D9" s="33" t="s">
        <v>77</v>
      </c>
      <c r="E9" s="34" t="s">
        <v>80</v>
      </c>
      <c r="F9" s="21"/>
      <c r="G9" s="16" t="s">
        <v>130</v>
      </c>
      <c r="H9" s="16" t="s">
        <v>131</v>
      </c>
      <c r="I9" s="16" t="s">
        <v>132</v>
      </c>
      <c r="J9" s="25" t="s">
        <v>77</v>
      </c>
      <c r="K9" s="16" t="s">
        <v>70</v>
      </c>
      <c r="L9" s="26">
        <v>0.41698000000000002</v>
      </c>
      <c r="M9" s="27">
        <f t="shared" ref="M9:O10" si="0">L9</f>
        <v>0.41698000000000002</v>
      </c>
      <c r="N9" s="27">
        <f t="shared" si="0"/>
        <v>0.41698000000000002</v>
      </c>
      <c r="O9" s="27">
        <f t="shared" si="0"/>
        <v>0.41698000000000002</v>
      </c>
      <c r="P9" s="16">
        <v>5</v>
      </c>
      <c r="V9" s="28" t="str">
        <f>"UC_Mitigation_"&amp;$J$6&amp;"_MaxShare_DST-BDS"</f>
        <v>UC_Mitigation_INEM_MaxShare_DST-BDS</v>
      </c>
      <c r="W9" s="28" t="str">
        <f>"Maximum share of Diesel and Biodiesel in "&amp;$J$6</f>
        <v>Maximum share of Diesel and Biodiesel in INEM</v>
      </c>
      <c r="X9" s="25" t="str">
        <f t="shared" ref="X9:X12" si="1">X8</f>
        <v>I-DMD-NEM-E0</v>
      </c>
      <c r="Y9" s="28" t="str">
        <f>Y7</f>
        <v>IND*</v>
      </c>
      <c r="Z9" s="16" t="s">
        <v>139</v>
      </c>
      <c r="AA9" s="28" t="str">
        <f>$AA$7</f>
        <v>UP</v>
      </c>
      <c r="AB9" s="29">
        <f>1+AB10</f>
        <v>0.58301999999999998</v>
      </c>
      <c r="AC9" s="29">
        <f>1+AC10</f>
        <v>0.58301999999999998</v>
      </c>
      <c r="AD9" s="29">
        <f>1+AD10</f>
        <v>0.58301999999999998</v>
      </c>
      <c r="AE9" s="29">
        <f>1+AE10</f>
        <v>0.58301999999999998</v>
      </c>
      <c r="AF9" s="30">
        <v>0</v>
      </c>
      <c r="AG9" s="30">
        <v>5</v>
      </c>
    </row>
    <row r="10" spans="2:33" x14ac:dyDescent="0.25">
      <c r="B10" s="19" t="s">
        <v>96</v>
      </c>
      <c r="C10" s="20"/>
      <c r="D10" s="20"/>
      <c r="E10" s="20"/>
      <c r="F10" s="21"/>
      <c r="G10" s="16" t="s">
        <v>130</v>
      </c>
      <c r="H10" s="16" t="s">
        <v>131</v>
      </c>
      <c r="I10" s="16" t="s">
        <v>132</v>
      </c>
      <c r="J10" s="25" t="s">
        <v>77</v>
      </c>
      <c r="K10" s="16" t="s">
        <v>72</v>
      </c>
      <c r="L10" s="26">
        <v>0.17760000000000001</v>
      </c>
      <c r="M10" s="27">
        <f t="shared" si="0"/>
        <v>0.17760000000000001</v>
      </c>
      <c r="N10" s="27">
        <f t="shared" si="0"/>
        <v>0.17760000000000001</v>
      </c>
      <c r="O10" s="27">
        <f t="shared" si="0"/>
        <v>0.17760000000000001</v>
      </c>
      <c r="P10" s="16">
        <v>5</v>
      </c>
      <c r="X10" s="25" t="str">
        <f t="shared" si="1"/>
        <v>I-DMD-NEM-E0</v>
      </c>
      <c r="Y10" s="28" t="s">
        <v>140</v>
      </c>
      <c r="Z10" s="16" t="s">
        <v>139</v>
      </c>
      <c r="AA10" s="28" t="str">
        <f>$AA$7</f>
        <v>UP</v>
      </c>
      <c r="AB10" s="32">
        <f>-L9</f>
        <v>-0.41698000000000002</v>
      </c>
      <c r="AC10" s="32">
        <f>-M9</f>
        <v>-0.41698000000000002</v>
      </c>
      <c r="AD10" s="32">
        <f>-N9</f>
        <v>-0.41698000000000002</v>
      </c>
      <c r="AE10" s="32">
        <f>-O9</f>
        <v>-0.41698000000000002</v>
      </c>
    </row>
    <row r="11" spans="2:33" x14ac:dyDescent="0.25">
      <c r="B11" s="13" t="s">
        <v>75</v>
      </c>
      <c r="C11" s="13" t="s">
        <v>76</v>
      </c>
      <c r="D11" s="28" t="s">
        <v>79</v>
      </c>
      <c r="E11" s="31" t="s">
        <v>109</v>
      </c>
      <c r="F11" s="21"/>
      <c r="G11" s="16" t="s">
        <v>130</v>
      </c>
      <c r="H11" s="16" t="s">
        <v>131</v>
      </c>
      <c r="I11" s="16" t="s">
        <v>132</v>
      </c>
      <c r="J11" s="25" t="s">
        <v>77</v>
      </c>
      <c r="K11" s="16" t="s">
        <v>78</v>
      </c>
      <c r="L11" s="26">
        <v>0.37093999999999999</v>
      </c>
      <c r="M11" s="17"/>
      <c r="N11" s="17"/>
      <c r="O11" s="17"/>
      <c r="P11" s="16">
        <v>5</v>
      </c>
      <c r="V11" s="28" t="str">
        <f>"UC_Mitigation_"&amp;$J$6&amp;"_MaxShare_GAS-BGS"</f>
        <v>UC_Mitigation_INEM_MaxShare_GAS-BGS</v>
      </c>
      <c r="W11" s="28" t="str">
        <f>"Maximum share of Gas and Biogas in "&amp;$J$6</f>
        <v>Maximum share of Gas and Biogas in INEM</v>
      </c>
      <c r="X11" s="25" t="str">
        <f t="shared" si="1"/>
        <v>I-DMD-NEM-E0</v>
      </c>
      <c r="Y11" s="28" t="str">
        <f>Y9</f>
        <v>IND*</v>
      </c>
      <c r="Z11" s="16" t="s">
        <v>139</v>
      </c>
      <c r="AA11" s="28" t="str">
        <f>$AA$7</f>
        <v>UP</v>
      </c>
      <c r="AB11" s="29">
        <f>1+AB12</f>
        <v>0.82240000000000002</v>
      </c>
      <c r="AC11" s="29">
        <f>1+AC12</f>
        <v>0.82240000000000002</v>
      </c>
      <c r="AD11" s="29">
        <f>1+AD12</f>
        <v>0.82240000000000002</v>
      </c>
      <c r="AE11" s="29">
        <f>1+AE12</f>
        <v>0.82240000000000002</v>
      </c>
      <c r="AF11" s="30">
        <v>0</v>
      </c>
      <c r="AG11" s="30">
        <v>5</v>
      </c>
    </row>
    <row r="12" spans="2:33" x14ac:dyDescent="0.25">
      <c r="B12" s="13" t="s">
        <v>75</v>
      </c>
      <c r="C12" s="13" t="s">
        <v>76</v>
      </c>
      <c r="D12" s="28" t="s">
        <v>79</v>
      </c>
      <c r="E12" s="31" t="s">
        <v>110</v>
      </c>
      <c r="G12" s="16" t="s">
        <v>130</v>
      </c>
      <c r="H12" s="16" t="s">
        <v>131</v>
      </c>
      <c r="I12" s="16" t="s">
        <v>132</v>
      </c>
      <c r="J12" s="25" t="s">
        <v>77</v>
      </c>
      <c r="K12" s="16" t="s">
        <v>109</v>
      </c>
      <c r="L12" s="27">
        <v>0</v>
      </c>
      <c r="M12" s="35">
        <f>M7*R12</f>
        <v>3.5E-4</v>
      </c>
      <c r="N12" s="35">
        <f>N7*S12</f>
        <v>2.0999999999999999E-3</v>
      </c>
      <c r="O12" s="35">
        <f>O7*T12</f>
        <v>6.9999999999999993E-3</v>
      </c>
      <c r="P12" s="16">
        <v>5</v>
      </c>
      <c r="R12" s="36">
        <v>0.05</v>
      </c>
      <c r="S12" s="36">
        <v>0.3</v>
      </c>
      <c r="T12" s="36">
        <v>1</v>
      </c>
      <c r="V12" s="28"/>
      <c r="W12" s="28"/>
      <c r="X12" s="25" t="str">
        <f t="shared" si="1"/>
        <v>I-DMD-NEM-E0</v>
      </c>
      <c r="Y12" s="28" t="s">
        <v>142</v>
      </c>
      <c r="Z12" s="16" t="s">
        <v>139</v>
      </c>
      <c r="AA12" s="28" t="str">
        <f>$AA$7</f>
        <v>UP</v>
      </c>
      <c r="AB12" s="32">
        <f>-L10</f>
        <v>-0.17760000000000001</v>
      </c>
      <c r="AC12" s="32">
        <f>-M10</f>
        <v>-0.17760000000000001</v>
      </c>
      <c r="AD12" s="32">
        <f>-N10</f>
        <v>-0.17760000000000001</v>
      </c>
      <c r="AE12" s="32">
        <f>-O10</f>
        <v>-0.17760000000000001</v>
      </c>
      <c r="AF12" s="37"/>
      <c r="AG12" s="37"/>
    </row>
    <row r="13" spans="2:33" x14ac:dyDescent="0.25">
      <c r="B13" s="56" t="s">
        <v>97</v>
      </c>
      <c r="C13" s="49"/>
      <c r="D13" s="49"/>
      <c r="E13" s="49"/>
      <c r="G13" s="16" t="s">
        <v>130</v>
      </c>
      <c r="H13" s="16" t="s">
        <v>131</v>
      </c>
      <c r="I13" s="16" t="s">
        <v>132</v>
      </c>
      <c r="J13" s="25" t="s">
        <v>77</v>
      </c>
      <c r="K13" s="16" t="s">
        <v>110</v>
      </c>
      <c r="L13" s="27">
        <v>0</v>
      </c>
      <c r="M13" s="35">
        <f t="shared" ref="M13:O14" si="2">M9*R13</f>
        <v>2.0849000000000003E-2</v>
      </c>
      <c r="N13" s="35">
        <f t="shared" si="2"/>
        <v>0.12509400000000001</v>
      </c>
      <c r="O13" s="35">
        <f t="shared" si="2"/>
        <v>0.41698000000000002</v>
      </c>
      <c r="P13" s="16">
        <v>5</v>
      </c>
      <c r="R13" s="36">
        <v>0.05</v>
      </c>
      <c r="S13" s="36">
        <v>0.3</v>
      </c>
      <c r="T13" s="36">
        <v>1</v>
      </c>
      <c r="V13" s="16" t="s">
        <v>129</v>
      </c>
    </row>
    <row r="14" spans="2:33" x14ac:dyDescent="0.25">
      <c r="B14" s="13" t="s">
        <v>75</v>
      </c>
      <c r="C14" s="13" t="s">
        <v>76</v>
      </c>
      <c r="D14" s="25" t="s">
        <v>82</v>
      </c>
      <c r="E14" s="9" t="s">
        <v>109</v>
      </c>
      <c r="G14" s="38" t="s">
        <v>130</v>
      </c>
      <c r="H14" s="38" t="s">
        <v>131</v>
      </c>
      <c r="I14" s="38" t="s">
        <v>132</v>
      </c>
      <c r="J14" s="33" t="s">
        <v>77</v>
      </c>
      <c r="K14" s="38" t="s">
        <v>80</v>
      </c>
      <c r="L14" s="39">
        <v>0</v>
      </c>
      <c r="M14" s="40">
        <f t="shared" si="2"/>
        <v>8.8800000000000007E-3</v>
      </c>
      <c r="N14" s="40">
        <f t="shared" si="2"/>
        <v>5.3280000000000001E-2</v>
      </c>
      <c r="O14" s="40">
        <f t="shared" si="2"/>
        <v>0.17760000000000001</v>
      </c>
      <c r="P14" s="38">
        <v>5</v>
      </c>
      <c r="R14" s="36">
        <v>0.05</v>
      </c>
      <c r="S14" s="36">
        <v>0.3</v>
      </c>
      <c r="T14" s="36">
        <v>1</v>
      </c>
      <c r="V14" s="38" t="s">
        <v>129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2:33" x14ac:dyDescent="0.25">
      <c r="B15" s="13" t="s">
        <v>75</v>
      </c>
      <c r="C15" s="13" t="s">
        <v>76</v>
      </c>
      <c r="D15" s="25" t="s">
        <v>82</v>
      </c>
      <c r="E15" s="31" t="s">
        <v>110</v>
      </c>
      <c r="G15" s="19" t="s">
        <v>96</v>
      </c>
      <c r="H15" s="19"/>
      <c r="I15" s="19"/>
      <c r="J15" s="19" t="s">
        <v>112</v>
      </c>
      <c r="K15" s="19"/>
      <c r="L15" s="41"/>
      <c r="M15" s="19"/>
      <c r="N15" s="19"/>
      <c r="O15" s="19"/>
      <c r="P15" s="19"/>
      <c r="V15" s="22" t="str">
        <f>G15</f>
        <v>*Food and beverages demand process</v>
      </c>
      <c r="W15" s="23"/>
      <c r="X15" s="23"/>
      <c r="Y15" s="23"/>
      <c r="Z15" s="23"/>
      <c r="AA15" s="23"/>
      <c r="AB15" s="24"/>
      <c r="AC15" s="24"/>
      <c r="AD15" s="24"/>
      <c r="AE15" s="24"/>
      <c r="AF15" s="23"/>
      <c r="AG15" s="23"/>
    </row>
    <row r="16" spans="2:33" x14ac:dyDescent="0.25">
      <c r="B16" s="14" t="s">
        <v>75</v>
      </c>
      <c r="C16" s="14" t="s">
        <v>76</v>
      </c>
      <c r="D16" s="33" t="s">
        <v>82</v>
      </c>
      <c r="E16" s="34" t="s">
        <v>80</v>
      </c>
      <c r="G16" s="16" t="s">
        <v>130</v>
      </c>
      <c r="H16" s="16" t="s">
        <v>131</v>
      </c>
      <c r="I16" s="16" t="s">
        <v>132</v>
      </c>
      <c r="J16" s="25" t="s">
        <v>79</v>
      </c>
      <c r="K16" s="16" t="s">
        <v>65</v>
      </c>
      <c r="L16" s="26">
        <v>3.483E-2</v>
      </c>
      <c r="M16" s="17"/>
      <c r="N16" s="17"/>
      <c r="O16" s="17"/>
      <c r="P16" s="16">
        <v>5</v>
      </c>
      <c r="V16" s="28" t="str">
        <f>"UC_Mitigation_"&amp;$J$15&amp;"_MaxShare_KER-BKE"</f>
        <v>UC_Mitigation_IFAB_MaxShare_KER-BKE</v>
      </c>
      <c r="W16" s="28" t="str">
        <f>"Maximum share of kerosene and Biokerosene in "&amp;$J$15</f>
        <v>Maximum share of kerosene and Biokerosene in IFAB</v>
      </c>
      <c r="X16" s="25" t="str">
        <f>J16</f>
        <v>I-DMD-FAB-E0</v>
      </c>
      <c r="Y16" s="28" t="s">
        <v>137</v>
      </c>
      <c r="Z16" s="16" t="s">
        <v>139</v>
      </c>
      <c r="AA16" s="42" t="str">
        <f>$AA$20</f>
        <v>UP</v>
      </c>
      <c r="AB16" s="29">
        <f>1+AB17</f>
        <v>0.99611000000000005</v>
      </c>
      <c r="AC16" s="29">
        <f t="shared" ref="AC16:AE16" si="3">1+AC17</f>
        <v>0.99611000000000005</v>
      </c>
      <c r="AD16" s="29">
        <f t="shared" si="3"/>
        <v>0.99611000000000005</v>
      </c>
      <c r="AE16" s="29">
        <f t="shared" si="3"/>
        <v>0.99611000000000005</v>
      </c>
      <c r="AF16" s="30">
        <v>0</v>
      </c>
      <c r="AG16" s="30">
        <v>5</v>
      </c>
    </row>
    <row r="17" spans="2:33" x14ac:dyDescent="0.25">
      <c r="B17" s="19" t="s">
        <v>98</v>
      </c>
      <c r="C17" s="20"/>
      <c r="D17" s="20"/>
      <c r="E17" s="20"/>
      <c r="G17" s="16" t="s">
        <v>130</v>
      </c>
      <c r="H17" s="16" t="s">
        <v>131</v>
      </c>
      <c r="I17" s="16" t="s">
        <v>132</v>
      </c>
      <c r="J17" s="25" t="s">
        <v>79</v>
      </c>
      <c r="K17" s="16" t="s">
        <v>66</v>
      </c>
      <c r="L17" s="26">
        <v>1.57E-3</v>
      </c>
      <c r="M17" s="17"/>
      <c r="N17" s="17"/>
      <c r="O17" s="17"/>
      <c r="P17" s="16">
        <v>5</v>
      </c>
      <c r="X17" s="25" t="str">
        <f>X16</f>
        <v>I-DMD-FAB-E0</v>
      </c>
      <c r="Y17" s="28" t="s">
        <v>141</v>
      </c>
      <c r="Z17" s="16" t="s">
        <v>139</v>
      </c>
      <c r="AA17" s="42" t="str">
        <f>$AA$20</f>
        <v>UP</v>
      </c>
      <c r="AB17" s="43">
        <f>-L18</f>
        <v>-3.8900000000000002E-3</v>
      </c>
      <c r="AC17" s="43">
        <f>-M18</f>
        <v>-3.8900000000000002E-3</v>
      </c>
      <c r="AD17" s="43">
        <f>-N18</f>
        <v>-3.8900000000000002E-3</v>
      </c>
      <c r="AE17" s="43">
        <f>-O18</f>
        <v>-3.8900000000000002E-3</v>
      </c>
    </row>
    <row r="18" spans="2:33" x14ac:dyDescent="0.25">
      <c r="B18" s="13" t="s">
        <v>75</v>
      </c>
      <c r="C18" s="13" t="s">
        <v>76</v>
      </c>
      <c r="D18" s="25" t="s">
        <v>83</v>
      </c>
      <c r="E18" s="9" t="s">
        <v>109</v>
      </c>
      <c r="G18" s="16" t="s">
        <v>130</v>
      </c>
      <c r="H18" s="16" t="s">
        <v>131</v>
      </c>
      <c r="I18" s="16" t="s">
        <v>132</v>
      </c>
      <c r="J18" s="25" t="s">
        <v>79</v>
      </c>
      <c r="K18" s="16" t="s">
        <v>67</v>
      </c>
      <c r="L18" s="26">
        <v>3.8900000000000002E-3</v>
      </c>
      <c r="M18" s="27">
        <f>L18</f>
        <v>3.8900000000000002E-3</v>
      </c>
      <c r="N18" s="27">
        <f>M18</f>
        <v>3.8900000000000002E-3</v>
      </c>
      <c r="O18" s="27">
        <f>N18</f>
        <v>3.8900000000000002E-3</v>
      </c>
      <c r="P18" s="16">
        <v>5</v>
      </c>
      <c r="V18" s="28" t="str">
        <f>"UC_Mitigation_"&amp;$J$15&amp;"_MaxShare_DST-BDS"</f>
        <v>UC_Mitigation_IFAB_MaxShare_DST-BDS</v>
      </c>
      <c r="W18" s="28" t="str">
        <f>"Maximum share of Diesel and Biodiesel in "&amp;$J$15</f>
        <v>Maximum share of Diesel and Biodiesel in IFAB</v>
      </c>
      <c r="X18" s="25" t="str">
        <f>X17</f>
        <v>I-DMD-FAB-E0</v>
      </c>
      <c r="Y18" s="28" t="str">
        <f>Y16</f>
        <v>IND*</v>
      </c>
      <c r="Z18" s="16" t="s">
        <v>139</v>
      </c>
      <c r="AA18" s="42" t="str">
        <f>$AA$20</f>
        <v>UP</v>
      </c>
      <c r="AB18" s="29">
        <f>1+AB19</f>
        <v>0.96972000000000003</v>
      </c>
      <c r="AC18" s="29">
        <f>1+AC19</f>
        <v>0.96972000000000003</v>
      </c>
      <c r="AD18" s="29">
        <f>1+AD19</f>
        <v>0.96972000000000003</v>
      </c>
      <c r="AE18" s="29">
        <f>1+AE19</f>
        <v>0.96972000000000003</v>
      </c>
      <c r="AF18" s="30">
        <v>0</v>
      </c>
      <c r="AG18" s="30">
        <v>5</v>
      </c>
    </row>
    <row r="19" spans="2:33" x14ac:dyDescent="0.25">
      <c r="B19" s="13" t="s">
        <v>75</v>
      </c>
      <c r="C19" s="13" t="s">
        <v>76</v>
      </c>
      <c r="D19" s="25" t="s">
        <v>83</v>
      </c>
      <c r="E19" s="31" t="s">
        <v>110</v>
      </c>
      <c r="G19" s="16" t="s">
        <v>130</v>
      </c>
      <c r="H19" s="16" t="s">
        <v>131</v>
      </c>
      <c r="I19" s="16" t="s">
        <v>132</v>
      </c>
      <c r="J19" s="25" t="s">
        <v>79</v>
      </c>
      <c r="K19" s="16" t="s">
        <v>68</v>
      </c>
      <c r="L19" s="26">
        <v>4.3230000000000005E-2</v>
      </c>
      <c r="M19" s="17"/>
      <c r="N19" s="17"/>
      <c r="O19" s="17"/>
      <c r="P19" s="16">
        <v>5</v>
      </c>
      <c r="X19" s="25" t="str">
        <f>X18</f>
        <v>I-DMD-FAB-E0</v>
      </c>
      <c r="Y19" s="28" t="s">
        <v>140</v>
      </c>
      <c r="Z19" s="16" t="s">
        <v>139</v>
      </c>
      <c r="AA19" s="42" t="str">
        <f>$AA$20</f>
        <v>UP</v>
      </c>
      <c r="AB19" s="43">
        <f>-L21</f>
        <v>-3.0279999999999998E-2</v>
      </c>
      <c r="AC19" s="43">
        <f>-M21</f>
        <v>-3.0279999999999998E-2</v>
      </c>
      <c r="AD19" s="43">
        <f>-N21</f>
        <v>-3.0279999999999998E-2</v>
      </c>
      <c r="AE19" s="43">
        <f>-O21</f>
        <v>-3.0279999999999998E-2</v>
      </c>
      <c r="AF19" s="37"/>
      <c r="AG19" s="37"/>
    </row>
    <row r="20" spans="2:33" x14ac:dyDescent="0.25">
      <c r="B20" s="14" t="s">
        <v>75</v>
      </c>
      <c r="C20" s="14" t="s">
        <v>76</v>
      </c>
      <c r="D20" s="33" t="s">
        <v>83</v>
      </c>
      <c r="E20" s="34" t="s">
        <v>80</v>
      </c>
      <c r="G20" s="16" t="s">
        <v>130</v>
      </c>
      <c r="H20" s="16" t="s">
        <v>131</v>
      </c>
      <c r="I20" s="16" t="s">
        <v>132</v>
      </c>
      <c r="J20" s="25" t="s">
        <v>79</v>
      </c>
      <c r="K20" s="16" t="s">
        <v>69</v>
      </c>
      <c r="L20" s="26">
        <v>5.7710000000000004E-2</v>
      </c>
      <c r="M20" s="17"/>
      <c r="N20" s="17"/>
      <c r="O20" s="17"/>
      <c r="P20" s="16">
        <v>5</v>
      </c>
      <c r="V20" s="28" t="str">
        <f>"UC_Mitigation_"&amp;$J$15&amp;"_MaxShare_GAS-BGS"</f>
        <v>UC_Mitigation_IFAB_MaxShare_GAS-BGS</v>
      </c>
      <c r="W20" s="28" t="str">
        <f>"Maximum share of Gas and Biogas in "&amp;$J$15</f>
        <v>Maximum share of Gas and Biogas in IFAB</v>
      </c>
      <c r="X20" s="25" t="str">
        <f>X19</f>
        <v>I-DMD-FAB-E0</v>
      </c>
      <c r="Y20" s="28" t="str">
        <f>Y18</f>
        <v>IND*</v>
      </c>
      <c r="Z20" s="16" t="s">
        <v>139</v>
      </c>
      <c r="AA20" s="28" t="s">
        <v>131</v>
      </c>
      <c r="AB20" s="29">
        <f>1+AB21</f>
        <v>0.49624000000000001</v>
      </c>
      <c r="AC20" s="29">
        <f>1+AC21</f>
        <v>0.49624000000000001</v>
      </c>
      <c r="AD20" s="29">
        <f>1+AD21</f>
        <v>0.49624000000000001</v>
      </c>
      <c r="AE20" s="29">
        <f>1+AE21</f>
        <v>0.49624000000000001</v>
      </c>
      <c r="AF20" s="30">
        <v>0</v>
      </c>
      <c r="AG20" s="30">
        <v>5</v>
      </c>
    </row>
    <row r="21" spans="2:33" x14ac:dyDescent="0.25">
      <c r="B21" s="19" t="s">
        <v>99</v>
      </c>
      <c r="C21" s="20"/>
      <c r="D21" s="20"/>
      <c r="E21" s="20"/>
      <c r="G21" s="16" t="s">
        <v>130</v>
      </c>
      <c r="H21" s="16" t="s">
        <v>131</v>
      </c>
      <c r="I21" s="16" t="s">
        <v>132</v>
      </c>
      <c r="J21" s="25" t="s">
        <v>79</v>
      </c>
      <c r="K21" s="16" t="s">
        <v>70</v>
      </c>
      <c r="L21" s="26">
        <v>3.0279999999999998E-2</v>
      </c>
      <c r="M21" s="27">
        <f t="shared" ref="M21:O22" si="4">L21</f>
        <v>3.0279999999999998E-2</v>
      </c>
      <c r="N21" s="27">
        <f t="shared" si="4"/>
        <v>3.0279999999999998E-2</v>
      </c>
      <c r="O21" s="27">
        <f t="shared" si="4"/>
        <v>3.0279999999999998E-2</v>
      </c>
      <c r="P21" s="16">
        <v>5</v>
      </c>
      <c r="V21" s="37"/>
      <c r="X21" s="25" t="str">
        <f>X20</f>
        <v>I-DMD-FAB-E0</v>
      </c>
      <c r="Y21" s="28" t="s">
        <v>142</v>
      </c>
      <c r="Z21" s="16" t="s">
        <v>139</v>
      </c>
      <c r="AA21" s="28" t="s">
        <v>131</v>
      </c>
      <c r="AB21" s="44">
        <f>-L22-$L$24</f>
        <v>-0.50375999999999999</v>
      </c>
      <c r="AC21" s="44">
        <f>-M22-$L$24</f>
        <v>-0.50375999999999999</v>
      </c>
      <c r="AD21" s="44">
        <f>-N22-$L$24</f>
        <v>-0.50375999999999999</v>
      </c>
      <c r="AE21" s="44">
        <f>-O22-$L$24</f>
        <v>-0.50375999999999999</v>
      </c>
    </row>
    <row r="22" spans="2:33" x14ac:dyDescent="0.25">
      <c r="B22" s="13" t="s">
        <v>75</v>
      </c>
      <c r="C22" s="13" t="s">
        <v>76</v>
      </c>
      <c r="D22" s="25" t="s">
        <v>84</v>
      </c>
      <c r="E22" s="9" t="s">
        <v>109</v>
      </c>
      <c r="G22" s="16" t="s">
        <v>130</v>
      </c>
      <c r="H22" s="16" t="s">
        <v>131</v>
      </c>
      <c r="I22" s="16" t="s">
        <v>132</v>
      </c>
      <c r="J22" s="25" t="s">
        <v>79</v>
      </c>
      <c r="K22" s="16" t="s">
        <v>72</v>
      </c>
      <c r="L22" s="26">
        <v>0.49954999999999999</v>
      </c>
      <c r="M22" s="27">
        <f t="shared" si="4"/>
        <v>0.49954999999999999</v>
      </c>
      <c r="N22" s="27">
        <f t="shared" si="4"/>
        <v>0.49954999999999999</v>
      </c>
      <c r="O22" s="27">
        <f t="shared" si="4"/>
        <v>0.49954999999999999</v>
      </c>
      <c r="P22" s="16">
        <v>5</v>
      </c>
      <c r="V22" s="37" t="s">
        <v>129</v>
      </c>
    </row>
    <row r="23" spans="2:33" x14ac:dyDescent="0.25">
      <c r="B23" s="13" t="s">
        <v>75</v>
      </c>
      <c r="C23" s="13" t="s">
        <v>76</v>
      </c>
      <c r="D23" s="25" t="s">
        <v>84</v>
      </c>
      <c r="E23" s="31" t="s">
        <v>110</v>
      </c>
      <c r="G23" s="16" t="s">
        <v>130</v>
      </c>
      <c r="H23" s="16" t="s">
        <v>131</v>
      </c>
      <c r="I23" s="16" t="s">
        <v>132</v>
      </c>
      <c r="J23" s="25" t="s">
        <v>79</v>
      </c>
      <c r="K23" s="16" t="s">
        <v>78</v>
      </c>
      <c r="L23" s="26">
        <v>0.27994000000000002</v>
      </c>
      <c r="M23" s="17"/>
      <c r="N23" s="17"/>
      <c r="O23" s="17"/>
      <c r="P23" s="16">
        <v>5</v>
      </c>
      <c r="V23" s="37" t="s">
        <v>129</v>
      </c>
    </row>
    <row r="24" spans="2:33" x14ac:dyDescent="0.25">
      <c r="B24" s="14" t="s">
        <v>75</v>
      </c>
      <c r="C24" s="14" t="s">
        <v>76</v>
      </c>
      <c r="D24" s="33" t="s">
        <v>84</v>
      </c>
      <c r="E24" s="34" t="s">
        <v>80</v>
      </c>
      <c r="G24" s="16" t="s">
        <v>130</v>
      </c>
      <c r="H24" s="16" t="s">
        <v>131</v>
      </c>
      <c r="I24" s="16" t="s">
        <v>132</v>
      </c>
      <c r="J24" s="25" t="s">
        <v>79</v>
      </c>
      <c r="K24" s="16" t="s">
        <v>80</v>
      </c>
      <c r="L24" s="26">
        <v>4.2099999999999993E-3</v>
      </c>
      <c r="M24" s="35">
        <f>M22*R24</f>
        <v>2.49775E-2</v>
      </c>
      <c r="N24" s="35">
        <f>N22*S24</f>
        <v>0.149865</v>
      </c>
      <c r="O24" s="35">
        <f>O22*T24</f>
        <v>0.49954999999999999</v>
      </c>
      <c r="P24" s="16">
        <v>5</v>
      </c>
      <c r="R24" s="36">
        <v>0.05</v>
      </c>
      <c r="S24" s="36">
        <v>0.3</v>
      </c>
      <c r="T24" s="36">
        <v>1</v>
      </c>
      <c r="V24" s="45" t="s">
        <v>129</v>
      </c>
    </row>
    <row r="25" spans="2:33" x14ac:dyDescent="0.25">
      <c r="B25" s="19" t="s">
        <v>100</v>
      </c>
      <c r="C25" s="20"/>
      <c r="D25" s="20"/>
      <c r="E25" s="20"/>
      <c r="G25" s="37" t="s">
        <v>130</v>
      </c>
      <c r="H25" s="37" t="s">
        <v>131</v>
      </c>
      <c r="I25" s="37" t="s">
        <v>132</v>
      </c>
      <c r="J25" s="28" t="s">
        <v>79</v>
      </c>
      <c r="K25" s="37" t="s">
        <v>81</v>
      </c>
      <c r="L25" s="46">
        <v>4.4840000000000005E-2</v>
      </c>
      <c r="M25" s="47"/>
      <c r="N25" s="47"/>
      <c r="O25" s="47"/>
      <c r="P25" s="37">
        <v>5</v>
      </c>
      <c r="V25" s="37" t="s">
        <v>129</v>
      </c>
      <c r="AB25" s="43"/>
      <c r="AC25" s="43"/>
      <c r="AD25" s="43"/>
      <c r="AE25" s="43"/>
    </row>
    <row r="26" spans="2:33" x14ac:dyDescent="0.25">
      <c r="B26" s="13" t="s">
        <v>75</v>
      </c>
      <c r="C26" s="13" t="s">
        <v>76</v>
      </c>
      <c r="D26" s="25" t="s">
        <v>85</v>
      </c>
      <c r="E26" s="9" t="s">
        <v>109</v>
      </c>
      <c r="G26" s="37" t="s">
        <v>130</v>
      </c>
      <c r="H26" s="37" t="s">
        <v>131</v>
      </c>
      <c r="I26" s="37" t="s">
        <v>132</v>
      </c>
      <c r="J26" s="25" t="s">
        <v>79</v>
      </c>
      <c r="K26" s="37" t="s">
        <v>109</v>
      </c>
      <c r="L26" s="27">
        <v>0</v>
      </c>
      <c r="M26" s="35">
        <f>M18*R26</f>
        <v>1.9450000000000001E-4</v>
      </c>
      <c r="N26" s="35">
        <f>N18*S26</f>
        <v>1.1670000000000001E-3</v>
      </c>
      <c r="O26" s="35">
        <f>O18*T26</f>
        <v>3.8900000000000002E-3</v>
      </c>
      <c r="P26" s="16">
        <v>5</v>
      </c>
      <c r="R26" s="36">
        <v>0.05</v>
      </c>
      <c r="S26" s="36">
        <v>0.3</v>
      </c>
      <c r="T26" s="36">
        <v>1</v>
      </c>
      <c r="V26" s="45" t="s">
        <v>129</v>
      </c>
    </row>
    <row r="27" spans="2:33" x14ac:dyDescent="0.25">
      <c r="B27" s="13" t="s">
        <v>75</v>
      </c>
      <c r="C27" s="13" t="s">
        <v>76</v>
      </c>
      <c r="D27" s="25" t="s">
        <v>85</v>
      </c>
      <c r="E27" s="31" t="s">
        <v>110</v>
      </c>
      <c r="G27" s="38" t="s">
        <v>130</v>
      </c>
      <c r="H27" s="38" t="s">
        <v>131</v>
      </c>
      <c r="I27" s="38" t="s">
        <v>132</v>
      </c>
      <c r="J27" s="33" t="s">
        <v>79</v>
      </c>
      <c r="K27" s="38" t="s">
        <v>110</v>
      </c>
      <c r="L27" s="39">
        <v>0</v>
      </c>
      <c r="M27" s="40">
        <f>M21*R27</f>
        <v>1.5139999999999999E-3</v>
      </c>
      <c r="N27" s="40">
        <f>N21*S27</f>
        <v>9.0839999999999983E-3</v>
      </c>
      <c r="O27" s="40">
        <f>O21*T27</f>
        <v>3.0279999999999998E-2</v>
      </c>
      <c r="P27" s="38">
        <v>5</v>
      </c>
      <c r="R27" s="36">
        <v>0.05</v>
      </c>
      <c r="S27" s="36">
        <v>0.3</v>
      </c>
      <c r="T27" s="36">
        <v>1</v>
      </c>
      <c r="V27" s="45" t="s">
        <v>129</v>
      </c>
      <c r="Z27" s="38"/>
    </row>
    <row r="28" spans="2:33" x14ac:dyDescent="0.25">
      <c r="B28" s="14" t="s">
        <v>75</v>
      </c>
      <c r="C28" s="14" t="s">
        <v>76</v>
      </c>
      <c r="D28" s="33" t="s">
        <v>85</v>
      </c>
      <c r="E28" s="34" t="s">
        <v>80</v>
      </c>
      <c r="G28" s="19" t="s">
        <v>97</v>
      </c>
      <c r="H28" s="19"/>
      <c r="I28" s="19"/>
      <c r="J28" s="19" t="s">
        <v>113</v>
      </c>
      <c r="K28" s="19"/>
      <c r="L28" s="41"/>
      <c r="M28" s="19"/>
      <c r="N28" s="19"/>
      <c r="O28" s="19"/>
      <c r="P28" s="19"/>
      <c r="V28" s="48" t="str">
        <f>G28</f>
        <v>*Textiles and textile products demand process</v>
      </c>
      <c r="W28" s="49"/>
      <c r="X28" s="49"/>
      <c r="Y28" s="49"/>
      <c r="Z28" s="23"/>
      <c r="AA28" s="49"/>
      <c r="AB28" s="50"/>
      <c r="AC28" s="50"/>
      <c r="AD28" s="50"/>
      <c r="AE28" s="50"/>
      <c r="AF28" s="49"/>
      <c r="AG28" s="49"/>
    </row>
    <row r="29" spans="2:33" x14ac:dyDescent="0.25">
      <c r="B29" s="19" t="s">
        <v>101</v>
      </c>
      <c r="C29" s="20"/>
      <c r="D29" s="20"/>
      <c r="E29" s="20"/>
      <c r="G29" s="37" t="s">
        <v>130</v>
      </c>
      <c r="H29" s="37" t="s">
        <v>131</v>
      </c>
      <c r="I29" s="37" t="s">
        <v>132</v>
      </c>
      <c r="J29" s="25" t="s">
        <v>82</v>
      </c>
      <c r="K29" s="16" t="s">
        <v>67</v>
      </c>
      <c r="L29" s="26">
        <v>2.16E-3</v>
      </c>
      <c r="M29" s="27">
        <f>L29</f>
        <v>2.16E-3</v>
      </c>
      <c r="N29" s="27">
        <f>M29</f>
        <v>2.16E-3</v>
      </c>
      <c r="O29" s="27">
        <f>N29</f>
        <v>2.16E-3</v>
      </c>
      <c r="P29" s="16">
        <v>5</v>
      </c>
      <c r="V29" s="28" t="str">
        <f>"UC_Mitigation_"&amp;$J$28&amp;"_MaxShare_KER-BKE"</f>
        <v>UC_Mitigation_ITAP_MaxShare_KER-BKE</v>
      </c>
      <c r="W29" s="28" t="str">
        <f>"Maximum share of kerosene and Biokerosene in "&amp;$J$28</f>
        <v>Maximum share of kerosene and Biokerosene in ITAP</v>
      </c>
      <c r="X29" s="25" t="str">
        <f>J29</f>
        <v>I-DMD-TAP-E0</v>
      </c>
      <c r="Y29" s="28" t="s">
        <v>137</v>
      </c>
      <c r="Z29" s="16" t="s">
        <v>139</v>
      </c>
      <c r="AA29" s="42" t="str">
        <f>$AA$20</f>
        <v>UP</v>
      </c>
      <c r="AB29" s="29">
        <f>1+AB30</f>
        <v>0.99783999999999995</v>
      </c>
      <c r="AC29" s="29">
        <f>1+AC30</f>
        <v>0.99783999999999995</v>
      </c>
      <c r="AD29" s="29">
        <f>1+AD30</f>
        <v>0.99783999999999995</v>
      </c>
      <c r="AE29" s="29">
        <f>1+AE30</f>
        <v>0.99783999999999995</v>
      </c>
      <c r="AF29" s="30">
        <v>0</v>
      </c>
      <c r="AG29" s="30">
        <v>5</v>
      </c>
    </row>
    <row r="30" spans="2:33" x14ac:dyDescent="0.25">
      <c r="B30" s="13" t="s">
        <v>75</v>
      </c>
      <c r="C30" s="13" t="s">
        <v>76</v>
      </c>
      <c r="D30" s="25" t="s">
        <v>86</v>
      </c>
      <c r="E30" s="9" t="s">
        <v>109</v>
      </c>
      <c r="G30" s="37" t="s">
        <v>130</v>
      </c>
      <c r="H30" s="37" t="s">
        <v>131</v>
      </c>
      <c r="I30" s="37" t="s">
        <v>132</v>
      </c>
      <c r="J30" s="25" t="s">
        <v>82</v>
      </c>
      <c r="K30" s="16" t="s">
        <v>69</v>
      </c>
      <c r="L30" s="26">
        <v>0.1125</v>
      </c>
      <c r="M30" s="17"/>
      <c r="N30" s="17"/>
      <c r="O30" s="17"/>
      <c r="P30" s="16">
        <v>5</v>
      </c>
      <c r="X30" s="42" t="str">
        <f>X29</f>
        <v>I-DMD-TAP-E0</v>
      </c>
      <c r="Y30" s="28" t="s">
        <v>141</v>
      </c>
      <c r="Z30" s="16" t="s">
        <v>139</v>
      </c>
      <c r="AA30" s="42" t="str">
        <f>$AA$20</f>
        <v>UP</v>
      </c>
      <c r="AB30" s="43">
        <f>-L29</f>
        <v>-2.16E-3</v>
      </c>
      <c r="AC30" s="43">
        <f>-M29</f>
        <v>-2.16E-3</v>
      </c>
      <c r="AD30" s="43">
        <f>-N29</f>
        <v>-2.16E-3</v>
      </c>
      <c r="AE30" s="43">
        <f>-O29</f>
        <v>-2.16E-3</v>
      </c>
    </row>
    <row r="31" spans="2:33" x14ac:dyDescent="0.25">
      <c r="B31" s="13" t="s">
        <v>75</v>
      </c>
      <c r="C31" s="13" t="s">
        <v>76</v>
      </c>
      <c r="D31" s="25" t="s">
        <v>86</v>
      </c>
      <c r="E31" s="31" t="s">
        <v>110</v>
      </c>
      <c r="G31" s="37" t="s">
        <v>130</v>
      </c>
      <c r="H31" s="37" t="s">
        <v>131</v>
      </c>
      <c r="I31" s="37" t="s">
        <v>132</v>
      </c>
      <c r="J31" s="25" t="s">
        <v>82</v>
      </c>
      <c r="K31" s="16" t="s">
        <v>70</v>
      </c>
      <c r="L31" s="26">
        <v>2.4209999999999999E-2</v>
      </c>
      <c r="M31" s="27">
        <f t="shared" ref="M31:O32" si="5">L31</f>
        <v>2.4209999999999999E-2</v>
      </c>
      <c r="N31" s="27">
        <f t="shared" si="5"/>
        <v>2.4209999999999999E-2</v>
      </c>
      <c r="O31" s="27">
        <f t="shared" si="5"/>
        <v>2.4209999999999999E-2</v>
      </c>
      <c r="P31" s="16">
        <v>5</v>
      </c>
      <c r="V31" s="28" t="str">
        <f>"UC_Mitigation_"&amp;$J$28&amp;"_MaxShare_DST-BDS"</f>
        <v>UC_Mitigation_ITAP_MaxShare_DST-BDS</v>
      </c>
      <c r="W31" s="28" t="str">
        <f>"Maximum share of Diesel and Biodiesel in "&amp;$J$28</f>
        <v>Maximum share of Diesel and Biodiesel in ITAP</v>
      </c>
      <c r="X31" s="42" t="str">
        <f t="shared" ref="X31:X34" si="6">X30</f>
        <v>I-DMD-TAP-E0</v>
      </c>
      <c r="Y31" s="28" t="str">
        <f>Y29</f>
        <v>IND*</v>
      </c>
      <c r="Z31" s="16" t="s">
        <v>139</v>
      </c>
      <c r="AA31" s="42" t="str">
        <f>$AA$20</f>
        <v>UP</v>
      </c>
      <c r="AB31" s="29">
        <f>1+AB32</f>
        <v>0.97579000000000005</v>
      </c>
      <c r="AC31" s="29">
        <f>1+AC32</f>
        <v>0.97579000000000005</v>
      </c>
      <c r="AD31" s="29">
        <f>1+AD32</f>
        <v>0.97579000000000005</v>
      </c>
      <c r="AE31" s="29">
        <f>1+AE32</f>
        <v>0.97579000000000005</v>
      </c>
      <c r="AF31" s="30">
        <v>0</v>
      </c>
      <c r="AG31" s="30">
        <v>5</v>
      </c>
    </row>
    <row r="32" spans="2:33" x14ac:dyDescent="0.25">
      <c r="B32" s="14" t="s">
        <v>75</v>
      </c>
      <c r="C32" s="14" t="s">
        <v>76</v>
      </c>
      <c r="D32" s="33" t="s">
        <v>86</v>
      </c>
      <c r="E32" s="34" t="s">
        <v>80</v>
      </c>
      <c r="G32" s="37" t="s">
        <v>130</v>
      </c>
      <c r="H32" s="37" t="s">
        <v>131</v>
      </c>
      <c r="I32" s="37" t="s">
        <v>132</v>
      </c>
      <c r="J32" s="25" t="s">
        <v>82</v>
      </c>
      <c r="K32" s="16" t="s">
        <v>72</v>
      </c>
      <c r="L32" s="26">
        <v>0.69092999999999993</v>
      </c>
      <c r="M32" s="27">
        <f t="shared" si="5"/>
        <v>0.69092999999999993</v>
      </c>
      <c r="N32" s="27">
        <f t="shared" si="5"/>
        <v>0.69092999999999993</v>
      </c>
      <c r="O32" s="27">
        <f t="shared" si="5"/>
        <v>0.69092999999999993</v>
      </c>
      <c r="P32" s="16">
        <v>5</v>
      </c>
      <c r="X32" s="42" t="str">
        <f t="shared" si="6"/>
        <v>I-DMD-TAP-E0</v>
      </c>
      <c r="Y32" s="28" t="s">
        <v>140</v>
      </c>
      <c r="Z32" s="16" t="s">
        <v>139</v>
      </c>
      <c r="AA32" s="42" t="str">
        <f>$AA$20</f>
        <v>UP</v>
      </c>
      <c r="AB32" s="43">
        <f>-L31</f>
        <v>-2.4209999999999999E-2</v>
      </c>
      <c r="AC32" s="43">
        <f>-M31</f>
        <v>-2.4209999999999999E-2</v>
      </c>
      <c r="AD32" s="43">
        <f>-N31</f>
        <v>-2.4209999999999999E-2</v>
      </c>
      <c r="AE32" s="43">
        <f>-O31</f>
        <v>-2.4209999999999999E-2</v>
      </c>
    </row>
    <row r="33" spans="2:33" x14ac:dyDescent="0.25">
      <c r="B33" s="19" t="s">
        <v>102</v>
      </c>
      <c r="C33" s="20"/>
      <c r="D33" s="20"/>
      <c r="E33" s="20"/>
      <c r="G33" s="37" t="s">
        <v>130</v>
      </c>
      <c r="H33" s="37" t="s">
        <v>131</v>
      </c>
      <c r="I33" s="37" t="s">
        <v>132</v>
      </c>
      <c r="J33" s="25" t="s">
        <v>82</v>
      </c>
      <c r="K33" s="16" t="s">
        <v>78</v>
      </c>
      <c r="L33" s="26">
        <v>0.17022000000000001</v>
      </c>
      <c r="M33" s="17"/>
      <c r="N33" s="17"/>
      <c r="O33" s="17"/>
      <c r="P33" s="16">
        <v>5</v>
      </c>
      <c r="V33" s="28" t="str">
        <f>"UC_Mitigation_"&amp;$J$28&amp;"_MaxShare_GAS-BGS"</f>
        <v>UC_Mitigation_ITAP_MaxShare_GAS-BGS</v>
      </c>
      <c r="W33" s="28" t="str">
        <f>"Maximum share of Gas and Biogas in "&amp;$J$28</f>
        <v>Maximum share of Gas and Biogas in ITAP</v>
      </c>
      <c r="X33" s="42" t="str">
        <f t="shared" si="6"/>
        <v>I-DMD-TAP-E0</v>
      </c>
      <c r="Y33" s="28" t="str">
        <f>Y31</f>
        <v>IND*</v>
      </c>
      <c r="Z33" s="16" t="s">
        <v>139</v>
      </c>
      <c r="AA33" s="28" t="s">
        <v>131</v>
      </c>
      <c r="AB33" s="29">
        <f>1+AB34</f>
        <v>0.30907000000000007</v>
      </c>
      <c r="AC33" s="29">
        <f>1+AC34</f>
        <v>0.30907000000000007</v>
      </c>
      <c r="AD33" s="29">
        <f>1+AD34</f>
        <v>0.30907000000000007</v>
      </c>
      <c r="AE33" s="29">
        <f>1+AE34</f>
        <v>0.30907000000000007</v>
      </c>
      <c r="AF33" s="30">
        <v>0</v>
      </c>
      <c r="AG33" s="30">
        <v>5</v>
      </c>
    </row>
    <row r="34" spans="2:33" x14ac:dyDescent="0.25">
      <c r="B34" s="13" t="s">
        <v>75</v>
      </c>
      <c r="C34" s="13" t="s">
        <v>76</v>
      </c>
      <c r="D34" s="25" t="s">
        <v>145</v>
      </c>
      <c r="E34" s="9" t="s">
        <v>109</v>
      </c>
      <c r="G34" s="37" t="s">
        <v>130</v>
      </c>
      <c r="H34" s="37" t="s">
        <v>131</v>
      </c>
      <c r="I34" s="37" t="s">
        <v>132</v>
      </c>
      <c r="J34" s="25" t="s">
        <v>82</v>
      </c>
      <c r="K34" s="16" t="s">
        <v>109</v>
      </c>
      <c r="L34" s="47">
        <v>0</v>
      </c>
      <c r="M34" s="51">
        <f>M29*R34</f>
        <v>1.0800000000000001E-4</v>
      </c>
      <c r="N34" s="51">
        <f>N29*S34</f>
        <v>6.4800000000000003E-4</v>
      </c>
      <c r="O34" s="51">
        <f>O29*T34</f>
        <v>2.16E-3</v>
      </c>
      <c r="P34" s="16">
        <v>5</v>
      </c>
      <c r="R34" s="36">
        <v>0.05</v>
      </c>
      <c r="S34" s="36">
        <v>0.3</v>
      </c>
      <c r="T34" s="36">
        <v>1</v>
      </c>
      <c r="V34" s="37"/>
      <c r="X34" s="42" t="str">
        <f t="shared" si="6"/>
        <v>I-DMD-TAP-E0</v>
      </c>
      <c r="Y34" s="28" t="s">
        <v>142</v>
      </c>
      <c r="Z34" s="16" t="s">
        <v>139</v>
      </c>
      <c r="AA34" s="28" t="s">
        <v>131</v>
      </c>
      <c r="AB34" s="43">
        <f>-L32</f>
        <v>-0.69092999999999993</v>
      </c>
      <c r="AC34" s="43">
        <f>-M32</f>
        <v>-0.69092999999999993</v>
      </c>
      <c r="AD34" s="43">
        <f>-N32</f>
        <v>-0.69092999999999993</v>
      </c>
      <c r="AE34" s="43">
        <f>-O32</f>
        <v>-0.69092999999999993</v>
      </c>
    </row>
    <row r="35" spans="2:33" x14ac:dyDescent="0.25">
      <c r="B35" s="13" t="s">
        <v>75</v>
      </c>
      <c r="C35" s="13" t="s">
        <v>76</v>
      </c>
      <c r="D35" s="25" t="s">
        <v>145</v>
      </c>
      <c r="E35" s="31" t="s">
        <v>110</v>
      </c>
      <c r="G35" s="37" t="s">
        <v>130</v>
      </c>
      <c r="H35" s="37" t="s">
        <v>131</v>
      </c>
      <c r="I35" s="37" t="s">
        <v>132</v>
      </c>
      <c r="J35" s="25" t="s">
        <v>82</v>
      </c>
      <c r="K35" s="16" t="s">
        <v>110</v>
      </c>
      <c r="L35" s="47">
        <v>0</v>
      </c>
      <c r="M35" s="51">
        <f t="shared" ref="M35:O36" si="7">M31*R35</f>
        <v>1.2105E-3</v>
      </c>
      <c r="N35" s="51">
        <f t="shared" si="7"/>
        <v>7.2629999999999995E-3</v>
      </c>
      <c r="O35" s="51">
        <f t="shared" si="7"/>
        <v>2.4209999999999999E-2</v>
      </c>
      <c r="P35" s="16">
        <v>5</v>
      </c>
      <c r="R35" s="36">
        <v>0.05</v>
      </c>
      <c r="S35" s="36">
        <v>0.3</v>
      </c>
      <c r="T35" s="36">
        <v>1</v>
      </c>
      <c r="V35" s="16" t="s">
        <v>129</v>
      </c>
    </row>
    <row r="36" spans="2:33" x14ac:dyDescent="0.25">
      <c r="B36" s="13" t="s">
        <v>75</v>
      </c>
      <c r="C36" s="13" t="s">
        <v>76</v>
      </c>
      <c r="D36" s="28" t="s">
        <v>145</v>
      </c>
      <c r="E36" s="31" t="s">
        <v>80</v>
      </c>
      <c r="G36" s="38" t="s">
        <v>130</v>
      </c>
      <c r="H36" s="38" t="s">
        <v>131</v>
      </c>
      <c r="I36" s="38" t="s">
        <v>132</v>
      </c>
      <c r="J36" s="33" t="s">
        <v>82</v>
      </c>
      <c r="K36" s="38" t="s">
        <v>80</v>
      </c>
      <c r="L36" s="39">
        <v>0</v>
      </c>
      <c r="M36" s="40">
        <f t="shared" si="7"/>
        <v>3.4546500000000001E-2</v>
      </c>
      <c r="N36" s="40">
        <f t="shared" si="7"/>
        <v>0.20727899999999996</v>
      </c>
      <c r="O36" s="40">
        <f t="shared" si="7"/>
        <v>0.69092999999999993</v>
      </c>
      <c r="P36" s="38">
        <v>5</v>
      </c>
      <c r="R36" s="36">
        <v>0.05</v>
      </c>
      <c r="S36" s="36">
        <v>0.3</v>
      </c>
      <c r="T36" s="36">
        <v>1</v>
      </c>
      <c r="V36" s="16" t="s">
        <v>129</v>
      </c>
      <c r="Z36" s="38"/>
    </row>
    <row r="37" spans="2:33" x14ac:dyDescent="0.25">
      <c r="B37" s="14" t="s">
        <v>75</v>
      </c>
      <c r="C37" s="14" t="s">
        <v>76</v>
      </c>
      <c r="D37" s="33" t="s">
        <v>145</v>
      </c>
      <c r="E37" s="34" t="s">
        <v>143</v>
      </c>
      <c r="G37" s="19" t="s">
        <v>98</v>
      </c>
      <c r="H37" s="19"/>
      <c r="I37" s="19"/>
      <c r="J37" s="19" t="s">
        <v>114</v>
      </c>
      <c r="K37" s="19"/>
      <c r="L37" s="41"/>
      <c r="M37" s="19"/>
      <c r="N37" s="19"/>
      <c r="O37" s="19"/>
      <c r="P37" s="19"/>
      <c r="V37" s="48" t="str">
        <f>G37</f>
        <v>*Wood and wood products demand process</v>
      </c>
      <c r="W37" s="49"/>
      <c r="X37" s="49"/>
      <c r="Y37" s="49"/>
      <c r="Z37" s="23"/>
      <c r="AA37" s="49"/>
      <c r="AB37" s="50"/>
      <c r="AC37" s="50"/>
      <c r="AD37" s="50"/>
      <c r="AE37" s="50"/>
      <c r="AF37" s="49"/>
      <c r="AG37" s="49"/>
    </row>
    <row r="38" spans="2:33" x14ac:dyDescent="0.25">
      <c r="B38" s="19" t="s">
        <v>103</v>
      </c>
      <c r="C38" s="20"/>
      <c r="D38" s="20"/>
      <c r="E38" s="20"/>
      <c r="G38" s="37" t="s">
        <v>130</v>
      </c>
      <c r="H38" s="37" t="s">
        <v>131</v>
      </c>
      <c r="I38" s="37" t="s">
        <v>132</v>
      </c>
      <c r="J38" s="25" t="s">
        <v>83</v>
      </c>
      <c r="K38" s="16" t="s">
        <v>67</v>
      </c>
      <c r="L38" s="26">
        <v>5.6000000000000006E-4</v>
      </c>
      <c r="M38" s="27">
        <f>L38</f>
        <v>5.6000000000000006E-4</v>
      </c>
      <c r="N38" s="27">
        <f>M38</f>
        <v>5.6000000000000006E-4</v>
      </c>
      <c r="O38" s="27">
        <f>N38</f>
        <v>5.6000000000000006E-4</v>
      </c>
      <c r="P38" s="16">
        <v>5</v>
      </c>
      <c r="V38" s="28" t="str">
        <f>"UC_Mitigation_"&amp;$J$37&amp;"_MaxShare_KER-BKE"</f>
        <v>UC_Mitigation_IWAP_MaxShare_KER-BKE</v>
      </c>
      <c r="W38" s="28" t="str">
        <f>"Maximum share of kerosene and Biokerosene in "&amp;$J$37</f>
        <v>Maximum share of kerosene and Biokerosene in IWAP</v>
      </c>
      <c r="X38" s="25" t="str">
        <f>J38</f>
        <v>I-DMD-WAP-E0</v>
      </c>
      <c r="Y38" s="28" t="s">
        <v>137</v>
      </c>
      <c r="Z38" s="16" t="s">
        <v>139</v>
      </c>
      <c r="AA38" s="42" t="str">
        <f>$AA$20</f>
        <v>UP</v>
      </c>
      <c r="AB38" s="29">
        <f>1+AB39</f>
        <v>0.99944</v>
      </c>
      <c r="AC38" s="29">
        <f t="shared" ref="AC38:AE38" si="8">1+AC39</f>
        <v>0.99944</v>
      </c>
      <c r="AD38" s="29">
        <f t="shared" si="8"/>
        <v>0.99944</v>
      </c>
      <c r="AE38" s="29">
        <f t="shared" si="8"/>
        <v>0.99944</v>
      </c>
      <c r="AF38" s="30">
        <v>0</v>
      </c>
      <c r="AG38" s="30">
        <v>5</v>
      </c>
    </row>
    <row r="39" spans="2:33" x14ac:dyDescent="0.25">
      <c r="B39" s="13" t="s">
        <v>75</v>
      </c>
      <c r="C39" s="13" t="s">
        <v>76</v>
      </c>
      <c r="D39" s="25" t="s">
        <v>89</v>
      </c>
      <c r="E39" s="9" t="s">
        <v>109</v>
      </c>
      <c r="G39" s="37" t="s">
        <v>130</v>
      </c>
      <c r="H39" s="37" t="s">
        <v>131</v>
      </c>
      <c r="I39" s="37" t="s">
        <v>132</v>
      </c>
      <c r="J39" s="25" t="s">
        <v>83</v>
      </c>
      <c r="K39" s="16" t="s">
        <v>69</v>
      </c>
      <c r="L39" s="26">
        <v>1.7899999999999999E-3</v>
      </c>
      <c r="M39" s="17"/>
      <c r="N39" s="17"/>
      <c r="O39" s="17"/>
      <c r="P39" s="16">
        <v>5</v>
      </c>
      <c r="X39" s="25" t="str">
        <f>X38</f>
        <v>I-DMD-WAP-E0</v>
      </c>
      <c r="Y39" s="28" t="s">
        <v>141</v>
      </c>
      <c r="Z39" s="16" t="s">
        <v>139</v>
      </c>
      <c r="AA39" s="42" t="str">
        <f>$AA$20</f>
        <v>UP</v>
      </c>
      <c r="AB39" s="43">
        <f>-L38</f>
        <v>-5.6000000000000006E-4</v>
      </c>
      <c r="AC39" s="43">
        <f>-M38</f>
        <v>-5.6000000000000006E-4</v>
      </c>
      <c r="AD39" s="43">
        <f>-N38</f>
        <v>-5.6000000000000006E-4</v>
      </c>
      <c r="AE39" s="43">
        <f>-O38</f>
        <v>-5.6000000000000006E-4</v>
      </c>
    </row>
    <row r="40" spans="2:33" x14ac:dyDescent="0.25">
      <c r="B40" s="13" t="s">
        <v>75</v>
      </c>
      <c r="C40" s="13" t="s">
        <v>76</v>
      </c>
      <c r="D40" s="25" t="s">
        <v>89</v>
      </c>
      <c r="E40" s="31" t="s">
        <v>110</v>
      </c>
      <c r="G40" s="37" t="s">
        <v>130</v>
      </c>
      <c r="H40" s="37" t="s">
        <v>131</v>
      </c>
      <c r="I40" s="37" t="s">
        <v>132</v>
      </c>
      <c r="J40" s="25" t="s">
        <v>83</v>
      </c>
      <c r="K40" s="16" t="s">
        <v>70</v>
      </c>
      <c r="L40" s="26">
        <v>1.405E-2</v>
      </c>
      <c r="M40" s="27">
        <f t="shared" ref="M40:O41" si="9">L40</f>
        <v>1.405E-2</v>
      </c>
      <c r="N40" s="27">
        <f t="shared" si="9"/>
        <v>1.405E-2</v>
      </c>
      <c r="O40" s="27">
        <f t="shared" si="9"/>
        <v>1.405E-2</v>
      </c>
      <c r="P40" s="16">
        <v>5</v>
      </c>
      <c r="V40" s="28" t="str">
        <f>"UC_Mitigation_"&amp;$J$37&amp;"_MaxShare_DST-BDS"</f>
        <v>UC_Mitigation_IWAP_MaxShare_DST-BDS</v>
      </c>
      <c r="W40" s="28" t="str">
        <f>"Maximum share of Diesel and Biodiesel in "&amp;$J$37</f>
        <v>Maximum share of Diesel and Biodiesel in IWAP</v>
      </c>
      <c r="X40" s="25" t="str">
        <f t="shared" ref="X40:X43" si="10">X39</f>
        <v>I-DMD-WAP-E0</v>
      </c>
      <c r="Y40" s="28" t="str">
        <f>Y38</f>
        <v>IND*</v>
      </c>
      <c r="Z40" s="16" t="s">
        <v>139</v>
      </c>
      <c r="AA40" s="42" t="str">
        <f>$AA$20</f>
        <v>UP</v>
      </c>
      <c r="AB40" s="29">
        <f>1+AB41</f>
        <v>0.98594999999999999</v>
      </c>
      <c r="AC40" s="29">
        <f t="shared" ref="AC40" si="11">1+AC41</f>
        <v>0.98594999999999999</v>
      </c>
      <c r="AD40" s="29">
        <f t="shared" ref="AD40" si="12">1+AD41</f>
        <v>0.98594999999999999</v>
      </c>
      <c r="AE40" s="29">
        <f t="shared" ref="AE40" si="13">1+AE41</f>
        <v>0.98594999999999999</v>
      </c>
      <c r="AF40" s="30">
        <v>0</v>
      </c>
      <c r="AG40" s="30">
        <v>5</v>
      </c>
    </row>
    <row r="41" spans="2:33" x14ac:dyDescent="0.25">
      <c r="B41" s="14" t="s">
        <v>75</v>
      </c>
      <c r="C41" s="14" t="s">
        <v>76</v>
      </c>
      <c r="D41" s="33" t="s">
        <v>89</v>
      </c>
      <c r="E41" s="34" t="s">
        <v>80</v>
      </c>
      <c r="G41" s="37" t="s">
        <v>130</v>
      </c>
      <c r="H41" s="37" t="s">
        <v>131</v>
      </c>
      <c r="I41" s="37" t="s">
        <v>132</v>
      </c>
      <c r="J41" s="25" t="s">
        <v>83</v>
      </c>
      <c r="K41" s="16" t="s">
        <v>72</v>
      </c>
      <c r="L41" s="26">
        <v>1.8919999999999999E-2</v>
      </c>
      <c r="M41" s="27">
        <f t="shared" si="9"/>
        <v>1.8919999999999999E-2</v>
      </c>
      <c r="N41" s="27">
        <f t="shared" si="9"/>
        <v>1.8919999999999999E-2</v>
      </c>
      <c r="O41" s="27">
        <f t="shared" si="9"/>
        <v>1.8919999999999999E-2</v>
      </c>
      <c r="P41" s="16">
        <v>5</v>
      </c>
      <c r="X41" s="25" t="str">
        <f t="shared" si="10"/>
        <v>I-DMD-WAP-E0</v>
      </c>
      <c r="Y41" s="28" t="s">
        <v>140</v>
      </c>
      <c r="Z41" s="16" t="s">
        <v>139</v>
      </c>
      <c r="AA41" s="42" t="str">
        <f>$AA$20</f>
        <v>UP</v>
      </c>
      <c r="AB41" s="43">
        <f>-L40</f>
        <v>-1.405E-2</v>
      </c>
      <c r="AC41" s="43">
        <f>-M40</f>
        <v>-1.405E-2</v>
      </c>
      <c r="AD41" s="43">
        <f>-N40</f>
        <v>-1.405E-2</v>
      </c>
      <c r="AE41" s="43">
        <f>-O40</f>
        <v>-1.405E-2</v>
      </c>
    </row>
    <row r="42" spans="2:33" x14ac:dyDescent="0.25">
      <c r="B42" s="19" t="s">
        <v>104</v>
      </c>
      <c r="C42" s="20"/>
      <c r="D42" s="20"/>
      <c r="E42" s="20"/>
      <c r="G42" s="37" t="s">
        <v>130</v>
      </c>
      <c r="H42" s="37" t="s">
        <v>131</v>
      </c>
      <c r="I42" s="37" t="s">
        <v>132</v>
      </c>
      <c r="J42" s="25" t="s">
        <v>83</v>
      </c>
      <c r="K42" s="16" t="s">
        <v>78</v>
      </c>
      <c r="L42" s="26">
        <v>0.16432000000000002</v>
      </c>
      <c r="M42" s="17"/>
      <c r="N42" s="17"/>
      <c r="O42" s="17"/>
      <c r="P42" s="16">
        <v>5</v>
      </c>
      <c r="V42" s="28" t="str">
        <f>"UC_Mitigation_"&amp;$J$37&amp;"_MaxShare_GAS-BGS"</f>
        <v>UC_Mitigation_IWAP_MaxShare_GAS-BGS</v>
      </c>
      <c r="W42" s="28" t="str">
        <f>"Maximum share of Gas and Biogas in "&amp;$J$37</f>
        <v>Maximum share of Gas and Biogas in IWAP</v>
      </c>
      <c r="X42" s="25" t="str">
        <f t="shared" si="10"/>
        <v>I-DMD-WAP-E0</v>
      </c>
      <c r="Y42" s="28" t="str">
        <f>Y40</f>
        <v>IND*</v>
      </c>
      <c r="Z42" s="16" t="s">
        <v>139</v>
      </c>
      <c r="AA42" s="28" t="s">
        <v>131</v>
      </c>
      <c r="AB42" s="29">
        <f>1+AB43</f>
        <v>0.98107999999999995</v>
      </c>
      <c r="AC42" s="29">
        <f t="shared" ref="AC42" si="14">1+AC43</f>
        <v>0.98107999999999995</v>
      </c>
      <c r="AD42" s="29">
        <f t="shared" ref="AD42" si="15">1+AD43</f>
        <v>0.98107999999999995</v>
      </c>
      <c r="AE42" s="29">
        <f t="shared" ref="AE42" si="16">1+AE43</f>
        <v>0.98107999999999995</v>
      </c>
      <c r="AF42" s="30">
        <v>0</v>
      </c>
      <c r="AG42" s="30">
        <v>5</v>
      </c>
    </row>
    <row r="43" spans="2:33" x14ac:dyDescent="0.25">
      <c r="B43" s="13" t="s">
        <v>75</v>
      </c>
      <c r="C43" s="13" t="s">
        <v>76</v>
      </c>
      <c r="D43" s="25" t="s">
        <v>90</v>
      </c>
      <c r="E43" s="9" t="s">
        <v>109</v>
      </c>
      <c r="G43" s="37" t="s">
        <v>130</v>
      </c>
      <c r="H43" s="37" t="s">
        <v>131</v>
      </c>
      <c r="I43" s="37" t="s">
        <v>132</v>
      </c>
      <c r="J43" s="25" t="s">
        <v>83</v>
      </c>
      <c r="K43" s="16" t="s">
        <v>81</v>
      </c>
      <c r="L43" s="26">
        <v>0.80038999999999993</v>
      </c>
      <c r="M43" s="17"/>
      <c r="N43" s="17"/>
      <c r="O43" s="17"/>
      <c r="P43" s="16">
        <v>5</v>
      </c>
      <c r="V43" s="37"/>
      <c r="X43" s="25" t="str">
        <f t="shared" si="10"/>
        <v>I-DMD-WAP-E0</v>
      </c>
      <c r="Y43" s="28" t="s">
        <v>142</v>
      </c>
      <c r="Z43" s="16" t="s">
        <v>139</v>
      </c>
      <c r="AA43" s="28" t="s">
        <v>131</v>
      </c>
      <c r="AB43" s="43">
        <f>-L41</f>
        <v>-1.8919999999999999E-2</v>
      </c>
      <c r="AC43" s="43">
        <f>-M41</f>
        <v>-1.8919999999999999E-2</v>
      </c>
      <c r="AD43" s="43">
        <f>-N41</f>
        <v>-1.8919999999999999E-2</v>
      </c>
      <c r="AE43" s="43">
        <f>-O41</f>
        <v>-1.8919999999999999E-2</v>
      </c>
    </row>
    <row r="44" spans="2:33" x14ac:dyDescent="0.25">
      <c r="B44" s="13" t="s">
        <v>75</v>
      </c>
      <c r="C44" s="13" t="s">
        <v>76</v>
      </c>
      <c r="D44" s="25" t="s">
        <v>90</v>
      </c>
      <c r="E44" s="31" t="s">
        <v>110</v>
      </c>
      <c r="G44" s="37" t="s">
        <v>130</v>
      </c>
      <c r="H44" s="37" t="s">
        <v>131</v>
      </c>
      <c r="I44" s="37" t="s">
        <v>132</v>
      </c>
      <c r="J44" s="25" t="s">
        <v>83</v>
      </c>
      <c r="K44" s="16" t="s">
        <v>109</v>
      </c>
      <c r="L44" s="47">
        <v>0</v>
      </c>
      <c r="M44" s="51">
        <f>M38*R44</f>
        <v>2.8000000000000003E-5</v>
      </c>
      <c r="N44" s="51">
        <f>N38*S44</f>
        <v>1.6800000000000002E-4</v>
      </c>
      <c r="O44" s="51">
        <f>O38*T44</f>
        <v>5.6000000000000006E-4</v>
      </c>
      <c r="P44" s="16">
        <v>5</v>
      </c>
      <c r="R44" s="36">
        <v>0.05</v>
      </c>
      <c r="S44" s="36">
        <v>0.3</v>
      </c>
      <c r="T44" s="36">
        <v>1</v>
      </c>
      <c r="V44" s="37" t="s">
        <v>129</v>
      </c>
    </row>
    <row r="45" spans="2:33" x14ac:dyDescent="0.25">
      <c r="B45" s="14" t="s">
        <v>75</v>
      </c>
      <c r="C45" s="14" t="s">
        <v>76</v>
      </c>
      <c r="D45" s="33" t="s">
        <v>90</v>
      </c>
      <c r="E45" s="34" t="s">
        <v>80</v>
      </c>
      <c r="G45" s="37" t="s">
        <v>130</v>
      </c>
      <c r="H45" s="37" t="s">
        <v>131</v>
      </c>
      <c r="I45" s="37" t="s">
        <v>132</v>
      </c>
      <c r="J45" s="25" t="s">
        <v>83</v>
      </c>
      <c r="K45" s="16" t="s">
        <v>110</v>
      </c>
      <c r="L45" s="47">
        <v>0</v>
      </c>
      <c r="M45" s="51">
        <f t="shared" ref="M45:O46" si="17">M40*R45</f>
        <v>7.025E-4</v>
      </c>
      <c r="N45" s="51">
        <f t="shared" si="17"/>
        <v>4.215E-3</v>
      </c>
      <c r="O45" s="51">
        <f t="shared" si="17"/>
        <v>1.405E-2</v>
      </c>
      <c r="P45" s="16">
        <v>5</v>
      </c>
      <c r="R45" s="36">
        <v>0.05</v>
      </c>
      <c r="S45" s="36">
        <v>0.3</v>
      </c>
      <c r="T45" s="36">
        <v>1</v>
      </c>
      <c r="V45" s="37" t="s">
        <v>129</v>
      </c>
    </row>
    <row r="46" spans="2:33" x14ac:dyDescent="0.25">
      <c r="B46" s="19" t="s">
        <v>105</v>
      </c>
      <c r="C46" s="20"/>
      <c r="D46" s="20"/>
      <c r="E46" s="20"/>
      <c r="G46" s="38" t="s">
        <v>130</v>
      </c>
      <c r="H46" s="38" t="s">
        <v>131</v>
      </c>
      <c r="I46" s="38" t="s">
        <v>132</v>
      </c>
      <c r="J46" s="33" t="s">
        <v>83</v>
      </c>
      <c r="K46" s="38" t="s">
        <v>80</v>
      </c>
      <c r="L46" s="39">
        <v>0</v>
      </c>
      <c r="M46" s="40">
        <f t="shared" si="17"/>
        <v>9.4600000000000001E-4</v>
      </c>
      <c r="N46" s="40">
        <f t="shared" si="17"/>
        <v>5.6759999999999996E-3</v>
      </c>
      <c r="O46" s="40">
        <f t="shared" si="17"/>
        <v>1.8919999999999999E-2</v>
      </c>
      <c r="P46" s="38">
        <v>5</v>
      </c>
      <c r="R46" s="36">
        <v>0.05</v>
      </c>
      <c r="S46" s="36">
        <v>0.3</v>
      </c>
      <c r="T46" s="36">
        <v>1</v>
      </c>
      <c r="V46" s="37" t="s">
        <v>129</v>
      </c>
      <c r="Z46" s="38"/>
    </row>
    <row r="47" spans="2:33" x14ac:dyDescent="0.25">
      <c r="B47" s="13" t="s">
        <v>75</v>
      </c>
      <c r="C47" s="13" t="s">
        <v>76</v>
      </c>
      <c r="D47" s="25" t="s">
        <v>91</v>
      </c>
      <c r="E47" s="9" t="s">
        <v>109</v>
      </c>
      <c r="G47" s="19" t="s">
        <v>99</v>
      </c>
      <c r="H47" s="19"/>
      <c r="I47" s="19"/>
      <c r="J47" s="19" t="s">
        <v>115</v>
      </c>
      <c r="K47" s="19"/>
      <c r="L47" s="41"/>
      <c r="M47" s="19"/>
      <c r="N47" s="19"/>
      <c r="O47" s="19"/>
      <c r="P47" s="19"/>
      <c r="V47" s="48" t="str">
        <f>G47</f>
        <v>*Pulp, paper, publishing and printing demand process</v>
      </c>
      <c r="W47" s="49"/>
      <c r="X47" s="49"/>
      <c r="Y47" s="49"/>
      <c r="Z47" s="23"/>
      <c r="AA47" s="49"/>
      <c r="AB47" s="50"/>
      <c r="AC47" s="50"/>
      <c r="AD47" s="50"/>
      <c r="AE47" s="50"/>
      <c r="AF47" s="49"/>
      <c r="AG47" s="49"/>
    </row>
    <row r="48" spans="2:33" x14ac:dyDescent="0.25">
      <c r="B48" s="13" t="s">
        <v>75</v>
      </c>
      <c r="C48" s="13" t="s">
        <v>76</v>
      </c>
      <c r="D48" s="25" t="s">
        <v>91</v>
      </c>
      <c r="E48" s="31" t="s">
        <v>110</v>
      </c>
      <c r="G48" s="37" t="s">
        <v>130</v>
      </c>
      <c r="H48" s="37" t="s">
        <v>131</v>
      </c>
      <c r="I48" s="37" t="s">
        <v>132</v>
      </c>
      <c r="J48" s="25" t="s">
        <v>84</v>
      </c>
      <c r="K48" s="16" t="s">
        <v>67</v>
      </c>
      <c r="L48" s="26">
        <v>1.214E-2</v>
      </c>
      <c r="M48" s="27">
        <f>L48</f>
        <v>1.214E-2</v>
      </c>
      <c r="N48" s="27">
        <f>M48</f>
        <v>1.214E-2</v>
      </c>
      <c r="O48" s="27">
        <f>N48</f>
        <v>1.214E-2</v>
      </c>
      <c r="P48" s="16">
        <v>5</v>
      </c>
      <c r="V48" s="28" t="str">
        <f>"UC_Mitigation_"&amp;$J$47&amp;"_MaxShare_KER-BKE"</f>
        <v>UC_Mitigation_IPX4_MaxShare_KER-BKE</v>
      </c>
      <c r="W48" s="28" t="str">
        <f>"Maximum share of kerosene and Biokerosene in "&amp;$J$47</f>
        <v>Maximum share of kerosene and Biokerosene in IPX4</v>
      </c>
      <c r="X48" s="25" t="str">
        <f>J48</f>
        <v>I-DMD-PX4-E0</v>
      </c>
      <c r="Y48" s="28" t="s">
        <v>137</v>
      </c>
      <c r="Z48" s="16" t="s">
        <v>139</v>
      </c>
      <c r="AA48" s="42" t="str">
        <f>$AA$20</f>
        <v>UP</v>
      </c>
      <c r="AB48" s="29">
        <f>1+AB49</f>
        <v>0.98785999999999996</v>
      </c>
      <c r="AC48" s="29">
        <f t="shared" ref="AC48:AE48" si="18">1+AC49</f>
        <v>0.98785999999999996</v>
      </c>
      <c r="AD48" s="29">
        <f t="shared" si="18"/>
        <v>0.98785999999999996</v>
      </c>
      <c r="AE48" s="29">
        <f t="shared" si="18"/>
        <v>0.98785999999999996</v>
      </c>
      <c r="AF48" s="30">
        <v>0</v>
      </c>
      <c r="AG48" s="30">
        <v>5</v>
      </c>
    </row>
    <row r="49" spans="1:33" x14ac:dyDescent="0.25">
      <c r="B49" s="14" t="s">
        <v>75</v>
      </c>
      <c r="C49" s="14" t="s">
        <v>76</v>
      </c>
      <c r="D49" s="33" t="s">
        <v>91</v>
      </c>
      <c r="E49" s="34" t="s">
        <v>80</v>
      </c>
      <c r="G49" s="37" t="s">
        <v>130</v>
      </c>
      <c r="H49" s="37" t="s">
        <v>131</v>
      </c>
      <c r="I49" s="37" t="s">
        <v>132</v>
      </c>
      <c r="J49" s="25" t="s">
        <v>84</v>
      </c>
      <c r="K49" s="16" t="s">
        <v>69</v>
      </c>
      <c r="L49" s="26">
        <v>3.1800000000000001E-3</v>
      </c>
      <c r="M49" s="17"/>
      <c r="N49" s="17"/>
      <c r="O49" s="17"/>
      <c r="P49" s="16">
        <v>5</v>
      </c>
      <c r="X49" s="42" t="str">
        <f>X48</f>
        <v>I-DMD-PX4-E0</v>
      </c>
      <c r="Y49" s="28" t="s">
        <v>141</v>
      </c>
      <c r="Z49" s="16" t="s">
        <v>139</v>
      </c>
      <c r="AA49" s="42" t="str">
        <f>$AA$20</f>
        <v>UP</v>
      </c>
      <c r="AB49" s="43">
        <f>-L48</f>
        <v>-1.214E-2</v>
      </c>
      <c r="AC49" s="43">
        <f>-M48</f>
        <v>-1.214E-2</v>
      </c>
      <c r="AD49" s="43">
        <f>-N48</f>
        <v>-1.214E-2</v>
      </c>
      <c r="AE49" s="43">
        <f>-O48</f>
        <v>-1.214E-2</v>
      </c>
    </row>
    <row r="50" spans="1:33" x14ac:dyDescent="0.25">
      <c r="B50" s="19" t="s">
        <v>106</v>
      </c>
      <c r="C50" s="20"/>
      <c r="D50" s="20"/>
      <c r="E50" s="20"/>
      <c r="G50" s="37" t="s">
        <v>130</v>
      </c>
      <c r="H50" s="37" t="s">
        <v>131</v>
      </c>
      <c r="I50" s="37" t="s">
        <v>132</v>
      </c>
      <c r="J50" s="25" t="s">
        <v>84</v>
      </c>
      <c r="K50" s="16" t="s">
        <v>70</v>
      </c>
      <c r="L50" s="26">
        <v>3.687E-2</v>
      </c>
      <c r="M50" s="27">
        <f t="shared" ref="M50:O51" si="19">L50</f>
        <v>3.687E-2</v>
      </c>
      <c r="N50" s="27">
        <f t="shared" si="19"/>
        <v>3.687E-2</v>
      </c>
      <c r="O50" s="27">
        <f t="shared" si="19"/>
        <v>3.687E-2</v>
      </c>
      <c r="P50" s="16">
        <v>5</v>
      </c>
      <c r="V50" s="28" t="str">
        <f>"UC_Mitigation_"&amp;$J$47&amp;"_MaxShare_DST-BDS"</f>
        <v>UC_Mitigation_IPX4_MaxShare_DST-BDS</v>
      </c>
      <c r="W50" s="28" t="str">
        <f>"Maximum share of Diesel and Biodiesel in "&amp;$J$47</f>
        <v>Maximum share of Diesel and Biodiesel in IPX4</v>
      </c>
      <c r="X50" s="42" t="str">
        <f>X49</f>
        <v>I-DMD-PX4-E0</v>
      </c>
      <c r="Y50" s="28" t="str">
        <f>Y48</f>
        <v>IND*</v>
      </c>
      <c r="Z50" s="16" t="s">
        <v>139</v>
      </c>
      <c r="AA50" s="42" t="str">
        <f>$AA$20</f>
        <v>UP</v>
      </c>
      <c r="AB50" s="29">
        <f>1+AB51</f>
        <v>0.96313000000000004</v>
      </c>
      <c r="AC50" s="29">
        <f t="shared" ref="AC50" si="20">1+AC51</f>
        <v>0.96313000000000004</v>
      </c>
      <c r="AD50" s="29">
        <f t="shared" ref="AD50" si="21">1+AD51</f>
        <v>0.96313000000000004</v>
      </c>
      <c r="AE50" s="29">
        <f t="shared" ref="AE50" si="22">1+AE51</f>
        <v>0.96313000000000004</v>
      </c>
      <c r="AF50" s="30">
        <v>0</v>
      </c>
      <c r="AG50" s="30">
        <v>5</v>
      </c>
    </row>
    <row r="51" spans="1:33" x14ac:dyDescent="0.25">
      <c r="B51" s="13" t="s">
        <v>75</v>
      </c>
      <c r="C51" s="13" t="s">
        <v>76</v>
      </c>
      <c r="D51" s="25" t="s">
        <v>92</v>
      </c>
      <c r="E51" s="9" t="s">
        <v>109</v>
      </c>
      <c r="G51" s="37" t="s">
        <v>130</v>
      </c>
      <c r="H51" s="37" t="s">
        <v>131</v>
      </c>
      <c r="I51" s="37" t="s">
        <v>132</v>
      </c>
      <c r="J51" s="25" t="s">
        <v>84</v>
      </c>
      <c r="K51" s="16" t="s">
        <v>72</v>
      </c>
      <c r="L51" s="26">
        <v>0.28586</v>
      </c>
      <c r="M51" s="27">
        <f t="shared" si="19"/>
        <v>0.28586</v>
      </c>
      <c r="N51" s="27">
        <f t="shared" si="19"/>
        <v>0.28586</v>
      </c>
      <c r="O51" s="27">
        <f t="shared" si="19"/>
        <v>0.28586</v>
      </c>
      <c r="P51" s="16">
        <v>5</v>
      </c>
      <c r="X51" s="42" t="str">
        <f>X50</f>
        <v>I-DMD-PX4-E0</v>
      </c>
      <c r="Y51" s="28" t="s">
        <v>140</v>
      </c>
      <c r="Z51" s="16" t="s">
        <v>139</v>
      </c>
      <c r="AA51" s="42" t="str">
        <f>$AA$20</f>
        <v>UP</v>
      </c>
      <c r="AB51" s="43">
        <f>-L50</f>
        <v>-3.687E-2</v>
      </c>
      <c r="AC51" s="43">
        <f>-M50</f>
        <v>-3.687E-2</v>
      </c>
      <c r="AD51" s="43">
        <f>-N50</f>
        <v>-3.687E-2</v>
      </c>
      <c r="AE51" s="43">
        <f>-O50</f>
        <v>-3.687E-2</v>
      </c>
    </row>
    <row r="52" spans="1:33" x14ac:dyDescent="0.25">
      <c r="B52" s="13" t="s">
        <v>75</v>
      </c>
      <c r="C52" s="13" t="s">
        <v>76</v>
      </c>
      <c r="D52" s="25" t="s">
        <v>92</v>
      </c>
      <c r="E52" s="31" t="s">
        <v>110</v>
      </c>
      <c r="G52" s="37" t="s">
        <v>130</v>
      </c>
      <c r="H52" s="37" t="s">
        <v>131</v>
      </c>
      <c r="I52" s="37" t="s">
        <v>132</v>
      </c>
      <c r="J52" s="25" t="s">
        <v>84</v>
      </c>
      <c r="K52" s="16" t="s">
        <v>78</v>
      </c>
      <c r="L52" s="26">
        <v>0.6619799999999999</v>
      </c>
      <c r="M52" s="17"/>
      <c r="N52" s="17"/>
      <c r="O52" s="17"/>
      <c r="P52" s="16">
        <v>5</v>
      </c>
      <c r="V52" s="28" t="str">
        <f>"UC_Mitigation_"&amp;$J$47&amp;"_MaxShare_GAS-BGS"</f>
        <v>UC_Mitigation_IPX4_MaxShare_GAS-BGS</v>
      </c>
      <c r="W52" s="28" t="str">
        <f>"Maximum share of Gas and Biogas in "&amp;$J$47</f>
        <v>Maximum share of Gas and Biogas in IPX4</v>
      </c>
      <c r="X52" s="42" t="str">
        <f>X51</f>
        <v>I-DMD-PX4-E0</v>
      </c>
      <c r="Y52" s="28" t="str">
        <f>Y50</f>
        <v>IND*</v>
      </c>
      <c r="Z52" s="16" t="s">
        <v>139</v>
      </c>
      <c r="AA52" s="28" t="s">
        <v>131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0">
        <v>0</v>
      </c>
      <c r="AG52" s="30">
        <v>5</v>
      </c>
    </row>
    <row r="53" spans="1:33" x14ac:dyDescent="0.25">
      <c r="B53" s="14" t="s">
        <v>75</v>
      </c>
      <c r="C53" s="14" t="s">
        <v>76</v>
      </c>
      <c r="D53" s="33" t="s">
        <v>92</v>
      </c>
      <c r="E53" s="34" t="s">
        <v>80</v>
      </c>
      <c r="G53" s="37" t="s">
        <v>130</v>
      </c>
      <c r="H53" s="37" t="s">
        <v>131</v>
      </c>
      <c r="I53" s="37" t="s">
        <v>132</v>
      </c>
      <c r="J53" s="25" t="s">
        <v>84</v>
      </c>
      <c r="K53" s="16" t="s">
        <v>109</v>
      </c>
      <c r="L53" s="47">
        <v>0</v>
      </c>
      <c r="M53" s="51">
        <f>M48*R53</f>
        <v>6.0700000000000001E-4</v>
      </c>
      <c r="N53" s="51">
        <f>N48*S53</f>
        <v>3.6419999999999998E-3</v>
      </c>
      <c r="O53" s="51">
        <f>O48*T53</f>
        <v>1.214E-2</v>
      </c>
      <c r="P53" s="16">
        <v>5</v>
      </c>
      <c r="R53" s="36">
        <v>0.05</v>
      </c>
      <c r="S53" s="36">
        <v>0.3</v>
      </c>
      <c r="T53" s="36">
        <v>1</v>
      </c>
      <c r="X53" s="42" t="str">
        <f>X52</f>
        <v>I-DMD-PX4-E0</v>
      </c>
      <c r="Y53" s="28" t="s">
        <v>142</v>
      </c>
      <c r="Z53" s="16" t="s">
        <v>139</v>
      </c>
      <c r="AA53" s="28" t="s">
        <v>131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19" t="s">
        <v>107</v>
      </c>
      <c r="C54" s="20"/>
      <c r="D54" s="20"/>
      <c r="E54" s="20"/>
      <c r="G54" s="37" t="s">
        <v>130</v>
      </c>
      <c r="H54" s="37" t="s">
        <v>131</v>
      </c>
      <c r="I54" s="37" t="s">
        <v>132</v>
      </c>
      <c r="J54" s="25" t="s">
        <v>84</v>
      </c>
      <c r="K54" s="16" t="s">
        <v>110</v>
      </c>
      <c r="L54" s="47">
        <v>0</v>
      </c>
      <c r="M54" s="51">
        <f t="shared" ref="M54:O55" si="26">M50*R54</f>
        <v>1.8435000000000001E-3</v>
      </c>
      <c r="N54" s="51">
        <f t="shared" si="26"/>
        <v>1.1061E-2</v>
      </c>
      <c r="O54" s="51">
        <f t="shared" si="26"/>
        <v>3.687E-2</v>
      </c>
      <c r="P54" s="16">
        <v>5</v>
      </c>
      <c r="R54" s="36">
        <v>0.05</v>
      </c>
      <c r="S54" s="36">
        <v>0.3</v>
      </c>
      <c r="T54" s="36">
        <v>1</v>
      </c>
      <c r="V54" s="16" t="s">
        <v>129</v>
      </c>
    </row>
    <row r="55" spans="1:33" x14ac:dyDescent="0.25">
      <c r="B55" s="13" t="s">
        <v>75</v>
      </c>
      <c r="C55" s="13" t="s">
        <v>76</v>
      </c>
      <c r="D55" s="25" t="s">
        <v>93</v>
      </c>
      <c r="E55" s="9" t="s">
        <v>109</v>
      </c>
      <c r="G55" s="38" t="s">
        <v>130</v>
      </c>
      <c r="H55" s="38" t="s">
        <v>131</v>
      </c>
      <c r="I55" s="38" t="s">
        <v>132</v>
      </c>
      <c r="J55" s="33" t="s">
        <v>84</v>
      </c>
      <c r="K55" s="38" t="s">
        <v>80</v>
      </c>
      <c r="L55" s="39">
        <v>0</v>
      </c>
      <c r="M55" s="40">
        <f t="shared" si="26"/>
        <v>1.4293E-2</v>
      </c>
      <c r="N55" s="40">
        <f t="shared" si="26"/>
        <v>8.5758000000000001E-2</v>
      </c>
      <c r="O55" s="40">
        <f t="shared" si="26"/>
        <v>0.28586</v>
      </c>
      <c r="P55" s="38">
        <v>5</v>
      </c>
      <c r="R55" s="36">
        <v>0.05</v>
      </c>
      <c r="S55" s="36">
        <v>0.3</v>
      </c>
      <c r="T55" s="36">
        <v>1</v>
      </c>
      <c r="V55" s="16" t="s">
        <v>129</v>
      </c>
      <c r="Z55" s="38"/>
    </row>
    <row r="56" spans="1:33" x14ac:dyDescent="0.25">
      <c r="B56" s="13" t="s">
        <v>75</v>
      </c>
      <c r="C56" s="13" t="s">
        <v>76</v>
      </c>
      <c r="D56" s="28" t="s">
        <v>93</v>
      </c>
      <c r="E56" s="31" t="s">
        <v>110</v>
      </c>
      <c r="G56" s="19" t="s">
        <v>100</v>
      </c>
      <c r="H56" s="19"/>
      <c r="I56" s="19"/>
      <c r="J56" s="19" t="s">
        <v>116</v>
      </c>
      <c r="K56" s="19"/>
      <c r="L56" s="41"/>
      <c r="M56" s="19"/>
      <c r="N56" s="19"/>
      <c r="O56" s="19"/>
      <c r="P56" s="19"/>
      <c r="V56" s="48" t="str">
        <f>G56</f>
        <v>*Chemicals and man-made fibres demand process</v>
      </c>
      <c r="W56" s="49"/>
      <c r="X56" s="49"/>
      <c r="Y56" s="49"/>
      <c r="Z56" s="23"/>
      <c r="AA56" s="49"/>
      <c r="AB56" s="50"/>
      <c r="AC56" s="50"/>
      <c r="AD56" s="50"/>
      <c r="AE56" s="50"/>
      <c r="AF56" s="49"/>
      <c r="AG56" s="49"/>
    </row>
    <row r="57" spans="1:33" x14ac:dyDescent="0.25">
      <c r="B57" s="14" t="s">
        <v>75</v>
      </c>
      <c r="C57" s="14" t="s">
        <v>76</v>
      </c>
      <c r="D57" s="33" t="s">
        <v>93</v>
      </c>
      <c r="E57" s="34" t="s">
        <v>80</v>
      </c>
      <c r="G57" s="37" t="s">
        <v>130</v>
      </c>
      <c r="H57" s="37" t="s">
        <v>131</v>
      </c>
      <c r="I57" s="37" t="s">
        <v>132</v>
      </c>
      <c r="J57" s="25" t="s">
        <v>85</v>
      </c>
      <c r="K57" s="16" t="s">
        <v>67</v>
      </c>
      <c r="L57" s="26">
        <v>1.16E-3</v>
      </c>
      <c r="M57" s="27">
        <f>L57</f>
        <v>1.16E-3</v>
      </c>
      <c r="N57" s="27">
        <f>M57</f>
        <v>1.16E-3</v>
      </c>
      <c r="O57" s="27">
        <f>N57</f>
        <v>1.16E-3</v>
      </c>
      <c r="P57" s="16">
        <v>5</v>
      </c>
      <c r="V57" s="28" t="str">
        <f>"UC_Mitigation_"&amp;$J$56&amp;"_MaxShare_KER-BKE"</f>
        <v>UC_Mitigation_ICAF_MaxShare_KER-BKE</v>
      </c>
      <c r="W57" s="28" t="str">
        <f>"Maximum share of kerosene and Biokerosene in "&amp;$J$56</f>
        <v>Maximum share of kerosene and Biokerosene in ICAF</v>
      </c>
      <c r="X57" s="25" t="str">
        <f>J57</f>
        <v>I-DMD-CAF-E0</v>
      </c>
      <c r="Y57" s="28" t="s">
        <v>137</v>
      </c>
      <c r="Z57" s="16" t="s">
        <v>139</v>
      </c>
      <c r="AA57" s="42" t="str">
        <f>$AA$20</f>
        <v>UP</v>
      </c>
      <c r="AB57" s="29">
        <f>1+AB58</f>
        <v>0.99883999999999995</v>
      </c>
      <c r="AC57" s="29">
        <f t="shared" ref="AC57:AE57" si="27">1+AC58</f>
        <v>0.99883999999999995</v>
      </c>
      <c r="AD57" s="29">
        <f t="shared" si="27"/>
        <v>0.99883999999999995</v>
      </c>
      <c r="AE57" s="29">
        <f t="shared" si="27"/>
        <v>0.99883999999999995</v>
      </c>
      <c r="AF57" s="30">
        <v>0</v>
      </c>
      <c r="AG57" s="30">
        <v>5</v>
      </c>
    </row>
    <row r="58" spans="1:33" x14ac:dyDescent="0.25">
      <c r="B58" s="19" t="s">
        <v>108</v>
      </c>
      <c r="C58" s="20"/>
      <c r="D58" s="20"/>
      <c r="E58" s="20"/>
      <c r="G58" s="37" t="s">
        <v>130</v>
      </c>
      <c r="H58" s="37" t="s">
        <v>131</v>
      </c>
      <c r="I58" s="37" t="s">
        <v>132</v>
      </c>
      <c r="J58" s="25" t="s">
        <v>85</v>
      </c>
      <c r="K58" s="16" t="s">
        <v>68</v>
      </c>
      <c r="L58" s="26">
        <v>1.085E-2</v>
      </c>
      <c r="M58" s="17"/>
      <c r="N58" s="17"/>
      <c r="O58" s="17"/>
      <c r="P58" s="16">
        <v>5</v>
      </c>
      <c r="X58" s="42" t="str">
        <f>X57</f>
        <v>I-DMD-CAF-E0</v>
      </c>
      <c r="Y58" s="28" t="s">
        <v>141</v>
      </c>
      <c r="Z58" s="16" t="s">
        <v>139</v>
      </c>
      <c r="AA58" s="42" t="str">
        <f>$AA$20</f>
        <v>UP</v>
      </c>
      <c r="AB58" s="43">
        <f>-L57</f>
        <v>-1.16E-3</v>
      </c>
      <c r="AC58" s="43">
        <f>-M57</f>
        <v>-1.16E-3</v>
      </c>
      <c r="AD58" s="43">
        <f>-N57</f>
        <v>-1.16E-3</v>
      </c>
      <c r="AE58" s="43">
        <f>-O57</f>
        <v>-1.16E-3</v>
      </c>
    </row>
    <row r="59" spans="1:33" x14ac:dyDescent="0.25">
      <c r="B59" s="13" t="s">
        <v>75</v>
      </c>
      <c r="C59" s="13" t="s">
        <v>76</v>
      </c>
      <c r="D59" s="25" t="s">
        <v>94</v>
      </c>
      <c r="E59" s="9" t="s">
        <v>109</v>
      </c>
      <c r="G59" s="37" t="s">
        <v>130</v>
      </c>
      <c r="H59" s="37" t="s">
        <v>131</v>
      </c>
      <c r="I59" s="37" t="s">
        <v>132</v>
      </c>
      <c r="J59" s="25" t="s">
        <v>85</v>
      </c>
      <c r="K59" s="16" t="s">
        <v>69</v>
      </c>
      <c r="L59" s="26">
        <v>1.0789999999999999E-2</v>
      </c>
      <c r="M59" s="17"/>
      <c r="N59" s="17"/>
      <c r="O59" s="17"/>
      <c r="P59" s="16">
        <v>5</v>
      </c>
      <c r="V59" s="28" t="str">
        <f>"UC_Mitigation_"&amp;$J$56&amp;"_MaxShare_DST-BDS"</f>
        <v>UC_Mitigation_ICAF_MaxShare_DST-BDS</v>
      </c>
      <c r="W59" s="28" t="str">
        <f>"Maximum share of Diesel and Biodiesel in "&amp;$J$56</f>
        <v>Maximum share of Diesel and Biodiesel in ICAF</v>
      </c>
      <c r="X59" s="42" t="str">
        <f t="shared" ref="X59:X62" si="28">X58</f>
        <v>I-DMD-CAF-E0</v>
      </c>
      <c r="Y59" s="28" t="str">
        <f>Y57</f>
        <v>IND*</v>
      </c>
      <c r="Z59" s="16" t="s">
        <v>139</v>
      </c>
      <c r="AA59" s="42" t="str">
        <f>$AA$20</f>
        <v>UP</v>
      </c>
      <c r="AB59" s="29">
        <f>1+AB60</f>
        <v>0.98060999999999998</v>
      </c>
      <c r="AC59" s="29">
        <f t="shared" ref="AC59" si="29">1+AC60</f>
        <v>0.98060999999999998</v>
      </c>
      <c r="AD59" s="29">
        <f t="shared" ref="AD59" si="30">1+AD60</f>
        <v>0.98060999999999998</v>
      </c>
      <c r="AE59" s="29">
        <f t="shared" ref="AE59" si="31">1+AE60</f>
        <v>0.98060999999999998</v>
      </c>
      <c r="AF59" s="30">
        <v>0</v>
      </c>
      <c r="AG59" s="30">
        <v>5</v>
      </c>
    </row>
    <row r="60" spans="1:33" x14ac:dyDescent="0.25">
      <c r="A60" s="37"/>
      <c r="B60" s="13" t="s">
        <v>75</v>
      </c>
      <c r="C60" s="13" t="s">
        <v>76</v>
      </c>
      <c r="D60" s="25" t="s">
        <v>94</v>
      </c>
      <c r="E60" s="31" t="s">
        <v>110</v>
      </c>
      <c r="F60" s="37"/>
      <c r="G60" s="37" t="s">
        <v>130</v>
      </c>
      <c r="H60" s="37" t="s">
        <v>131</v>
      </c>
      <c r="I60" s="37" t="s">
        <v>132</v>
      </c>
      <c r="J60" s="25" t="s">
        <v>85</v>
      </c>
      <c r="K60" s="16" t="s">
        <v>70</v>
      </c>
      <c r="L60" s="26">
        <v>1.9390000000000001E-2</v>
      </c>
      <c r="M60" s="27">
        <f>L60</f>
        <v>1.9390000000000001E-2</v>
      </c>
      <c r="N60" s="27">
        <f>M60</f>
        <v>1.9390000000000001E-2</v>
      </c>
      <c r="O60" s="27">
        <f>N60</f>
        <v>1.9390000000000001E-2</v>
      </c>
      <c r="P60" s="16">
        <v>5</v>
      </c>
      <c r="X60" s="42" t="str">
        <f t="shared" si="28"/>
        <v>I-DMD-CAF-E0</v>
      </c>
      <c r="Y60" s="28" t="s">
        <v>140</v>
      </c>
      <c r="Z60" s="16" t="s">
        <v>139</v>
      </c>
      <c r="AA60" s="42" t="str">
        <f>$AA$20</f>
        <v>UP</v>
      </c>
      <c r="AB60" s="43">
        <f>-L60</f>
        <v>-1.9390000000000001E-2</v>
      </c>
      <c r="AC60" s="43">
        <f>-M60</f>
        <v>-1.9390000000000001E-2</v>
      </c>
      <c r="AD60" s="43">
        <f>-N60</f>
        <v>-1.9390000000000001E-2</v>
      </c>
      <c r="AE60" s="43">
        <f>-O60</f>
        <v>-1.9390000000000001E-2</v>
      </c>
    </row>
    <row r="61" spans="1:33" x14ac:dyDescent="0.25">
      <c r="A61" s="37"/>
      <c r="B61" s="13" t="s">
        <v>75</v>
      </c>
      <c r="C61" s="13" t="s">
        <v>76</v>
      </c>
      <c r="D61" s="25" t="s">
        <v>94</v>
      </c>
      <c r="E61" s="31" t="s">
        <v>80</v>
      </c>
      <c r="F61" s="37"/>
      <c r="G61" s="37" t="s">
        <v>130</v>
      </c>
      <c r="H61" s="37" t="s">
        <v>131</v>
      </c>
      <c r="I61" s="37" t="s">
        <v>132</v>
      </c>
      <c r="J61" s="25" t="s">
        <v>85</v>
      </c>
      <c r="K61" s="16" t="s">
        <v>71</v>
      </c>
      <c r="L61" s="26">
        <v>3.8790000000000005E-2</v>
      </c>
      <c r="M61" s="17"/>
      <c r="N61" s="17"/>
      <c r="O61" s="17"/>
      <c r="P61" s="16">
        <v>5</v>
      </c>
      <c r="V61" s="28" t="str">
        <f>"UC_Mitigation_"&amp;$J$56&amp;"_MaxShare_GAS-BGS"</f>
        <v>UC_Mitigation_ICAF_MaxShare_GAS-BGS</v>
      </c>
      <c r="W61" s="28" t="str">
        <f>"Maximum share of Gas and Biogas in "&amp;$J$56</f>
        <v>Maximum share of Gas and Biogas in ICAF</v>
      </c>
      <c r="X61" s="42" t="str">
        <f t="shared" si="28"/>
        <v>I-DMD-CAF-E0</v>
      </c>
      <c r="Y61" s="28" t="str">
        <f>Y59</f>
        <v>IND*</v>
      </c>
      <c r="Z61" s="16" t="s">
        <v>139</v>
      </c>
      <c r="AA61" s="28" t="s">
        <v>131</v>
      </c>
      <c r="AB61" s="29">
        <f>1+AB62</f>
        <v>0.49430000000000007</v>
      </c>
      <c r="AC61" s="29">
        <f t="shared" ref="AC61" si="32">1+AC62</f>
        <v>0.49430000000000007</v>
      </c>
      <c r="AD61" s="29">
        <f t="shared" ref="AD61" si="33">1+AD62</f>
        <v>0.49430000000000007</v>
      </c>
      <c r="AE61" s="29">
        <f t="shared" ref="AE61" si="34">1+AE62</f>
        <v>0.49430000000000007</v>
      </c>
      <c r="AF61" s="30">
        <v>0</v>
      </c>
      <c r="AG61" s="30">
        <v>5</v>
      </c>
    </row>
    <row r="62" spans="1:33" x14ac:dyDescent="0.25">
      <c r="B62" s="37"/>
      <c r="C62" s="37"/>
      <c r="D62" s="37"/>
      <c r="E62" s="31"/>
      <c r="G62" s="37" t="s">
        <v>130</v>
      </c>
      <c r="H62" s="37" t="s">
        <v>131</v>
      </c>
      <c r="I62" s="37" t="s">
        <v>132</v>
      </c>
      <c r="J62" s="25" t="s">
        <v>85</v>
      </c>
      <c r="K62" s="16" t="s">
        <v>72</v>
      </c>
      <c r="L62" s="26">
        <v>0.50569999999999993</v>
      </c>
      <c r="M62" s="27">
        <f>L62</f>
        <v>0.50569999999999993</v>
      </c>
      <c r="N62" s="27">
        <f>M62</f>
        <v>0.50569999999999993</v>
      </c>
      <c r="O62" s="27">
        <f>N62</f>
        <v>0.50569999999999993</v>
      </c>
      <c r="P62" s="16">
        <v>5</v>
      </c>
      <c r="V62" s="37"/>
      <c r="X62" s="42" t="str">
        <f t="shared" si="28"/>
        <v>I-DMD-CAF-E0</v>
      </c>
      <c r="Y62" s="28" t="s">
        <v>142</v>
      </c>
      <c r="Z62" s="16" t="s">
        <v>139</v>
      </c>
      <c r="AA62" s="28" t="s">
        <v>131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B63" s="37"/>
      <c r="C63" s="37"/>
      <c r="D63" s="37"/>
      <c r="E63" s="31"/>
      <c r="G63" s="37" t="s">
        <v>130</v>
      </c>
      <c r="H63" s="37" t="s">
        <v>131</v>
      </c>
      <c r="I63" s="37" t="s">
        <v>132</v>
      </c>
      <c r="J63" s="25" t="s">
        <v>85</v>
      </c>
      <c r="K63" s="37" t="s">
        <v>78</v>
      </c>
      <c r="L63" s="46">
        <v>0.41336000000000001</v>
      </c>
      <c r="M63" s="54"/>
      <c r="N63" s="54"/>
      <c r="O63" s="54"/>
      <c r="P63" s="37">
        <v>5</v>
      </c>
      <c r="V63" s="37" t="s">
        <v>129</v>
      </c>
    </row>
    <row r="64" spans="1:33" x14ac:dyDescent="0.25">
      <c r="G64" s="37" t="s">
        <v>130</v>
      </c>
      <c r="H64" s="37" t="s">
        <v>131</v>
      </c>
      <c r="I64" s="37" t="s">
        <v>132</v>
      </c>
      <c r="J64" s="28" t="s">
        <v>85</v>
      </c>
      <c r="K64" s="37" t="s">
        <v>109</v>
      </c>
      <c r="L64" s="47">
        <v>0</v>
      </c>
      <c r="M64" s="51">
        <f>M57*R64</f>
        <v>5.8E-5</v>
      </c>
      <c r="N64" s="51">
        <f>N57*S64</f>
        <v>3.48E-4</v>
      </c>
      <c r="O64" s="51">
        <f>O57*T64</f>
        <v>1.16E-3</v>
      </c>
      <c r="P64" s="16">
        <v>5</v>
      </c>
      <c r="R64" s="36">
        <v>0.05</v>
      </c>
      <c r="S64" s="36">
        <v>0.3</v>
      </c>
      <c r="T64" s="36">
        <v>1</v>
      </c>
      <c r="V64" s="37" t="s">
        <v>129</v>
      </c>
    </row>
    <row r="65" spans="7:33" x14ac:dyDescent="0.25">
      <c r="G65" s="37" t="s">
        <v>130</v>
      </c>
      <c r="H65" s="37" t="s">
        <v>131</v>
      </c>
      <c r="I65" s="37" t="s">
        <v>132</v>
      </c>
      <c r="J65" s="28" t="s">
        <v>85</v>
      </c>
      <c r="K65" s="37" t="s">
        <v>110</v>
      </c>
      <c r="L65" s="47">
        <v>0</v>
      </c>
      <c r="M65" s="51">
        <f>M60*R65</f>
        <v>9.6950000000000009E-4</v>
      </c>
      <c r="N65" s="51">
        <f>N60*S65</f>
        <v>5.8170000000000001E-3</v>
      </c>
      <c r="O65" s="51">
        <f>O60*T65</f>
        <v>1.9390000000000001E-2</v>
      </c>
      <c r="P65" s="16">
        <v>5</v>
      </c>
      <c r="R65" s="36">
        <v>0.05</v>
      </c>
      <c r="S65" s="36">
        <v>0.3</v>
      </c>
      <c r="T65" s="36">
        <v>1</v>
      </c>
      <c r="V65" s="37" t="s">
        <v>129</v>
      </c>
    </row>
    <row r="66" spans="7:33" x14ac:dyDescent="0.25">
      <c r="G66" s="38" t="s">
        <v>130</v>
      </c>
      <c r="H66" s="38" t="s">
        <v>131</v>
      </c>
      <c r="I66" s="38" t="s">
        <v>132</v>
      </c>
      <c r="J66" s="33" t="s">
        <v>85</v>
      </c>
      <c r="K66" s="38" t="s">
        <v>80</v>
      </c>
      <c r="L66" s="39">
        <v>0</v>
      </c>
      <c r="M66" s="40">
        <f>M62*R66</f>
        <v>2.5284999999999998E-2</v>
      </c>
      <c r="N66" s="40">
        <f>N62*S66</f>
        <v>0.15170999999999998</v>
      </c>
      <c r="O66" s="40">
        <f>O62*T66</f>
        <v>0.50569999999999993</v>
      </c>
      <c r="P66" s="38">
        <v>5</v>
      </c>
      <c r="R66" s="36">
        <v>0.05</v>
      </c>
      <c r="S66" s="36">
        <v>0.3</v>
      </c>
      <c r="T66" s="36">
        <v>1</v>
      </c>
      <c r="V66" s="37" t="s">
        <v>129</v>
      </c>
      <c r="Z66" s="38"/>
    </row>
    <row r="67" spans="7:33" x14ac:dyDescent="0.25">
      <c r="G67" s="19" t="s">
        <v>101</v>
      </c>
      <c r="H67" s="19"/>
      <c r="I67" s="19"/>
      <c r="J67" s="19" t="s">
        <v>117</v>
      </c>
      <c r="K67" s="19"/>
      <c r="L67" s="41"/>
      <c r="M67" s="19"/>
      <c r="N67" s="19"/>
      <c r="O67" s="19"/>
      <c r="P67" s="19"/>
      <c r="V67" s="48" t="str">
        <f>G67</f>
        <v>*Rubber and plastic products demand process</v>
      </c>
      <c r="W67" s="49"/>
      <c r="X67" s="49"/>
      <c r="Y67" s="49"/>
      <c r="Z67" s="23"/>
      <c r="AA67" s="49"/>
      <c r="AB67" s="50"/>
      <c r="AC67" s="50"/>
      <c r="AD67" s="50"/>
      <c r="AE67" s="50"/>
      <c r="AF67" s="49"/>
      <c r="AG67" s="49"/>
    </row>
    <row r="68" spans="7:33" x14ac:dyDescent="0.25">
      <c r="G68" s="37" t="s">
        <v>130</v>
      </c>
      <c r="H68" s="37" t="s">
        <v>131</v>
      </c>
      <c r="I68" s="37" t="s">
        <v>132</v>
      </c>
      <c r="J68" s="25" t="s">
        <v>86</v>
      </c>
      <c r="K68" s="37" t="s">
        <v>67</v>
      </c>
      <c r="L68" s="26">
        <v>6.7529999999999993E-2</v>
      </c>
      <c r="M68" s="27">
        <f>L68</f>
        <v>6.7529999999999993E-2</v>
      </c>
      <c r="N68" s="27">
        <f>M68</f>
        <v>6.7529999999999993E-2</v>
      </c>
      <c r="O68" s="27">
        <f>N68</f>
        <v>6.7529999999999993E-2</v>
      </c>
      <c r="P68" s="16">
        <v>5</v>
      </c>
      <c r="V68" s="28" t="str">
        <f>"UC_Mitigation_"&amp;$J$67&amp;"_MaxShare_KER-BKE"</f>
        <v>UC_Mitigation_IRAP_MaxShare_KER-BKE</v>
      </c>
      <c r="W68" s="28" t="str">
        <f>"Maximum share of kerosene and Biokerosene in "&amp;$J$67</f>
        <v>Maximum share of kerosene and Biokerosene in IRAP</v>
      </c>
      <c r="X68" s="25" t="str">
        <f>J68</f>
        <v>I-DMD-RAP-E0</v>
      </c>
      <c r="Y68" s="28" t="s">
        <v>137</v>
      </c>
      <c r="Z68" s="16" t="s">
        <v>139</v>
      </c>
      <c r="AA68" s="42" t="str">
        <f>$AA$20</f>
        <v>UP</v>
      </c>
      <c r="AB68" s="29">
        <f>1+AB69</f>
        <v>0.93247000000000002</v>
      </c>
      <c r="AC68" s="29">
        <f t="shared" ref="AC68" si="35">1+AC69</f>
        <v>0.93247000000000002</v>
      </c>
      <c r="AD68" s="29">
        <f t="shared" ref="AD68" si="36">1+AD69</f>
        <v>0.93247000000000002</v>
      </c>
      <c r="AE68" s="29">
        <f t="shared" ref="AE68" si="37">1+AE69</f>
        <v>0.93247000000000002</v>
      </c>
      <c r="AF68" s="30">
        <v>0</v>
      </c>
      <c r="AG68" s="30">
        <v>5</v>
      </c>
    </row>
    <row r="69" spans="7:33" x14ac:dyDescent="0.25">
      <c r="G69" s="37" t="s">
        <v>130</v>
      </c>
      <c r="H69" s="37" t="s">
        <v>131</v>
      </c>
      <c r="I69" s="37" t="s">
        <v>132</v>
      </c>
      <c r="J69" s="25" t="s">
        <v>86</v>
      </c>
      <c r="K69" s="37" t="s">
        <v>69</v>
      </c>
      <c r="L69" s="26">
        <v>4.539E-2</v>
      </c>
      <c r="M69" s="17"/>
      <c r="N69" s="17"/>
      <c r="O69" s="17"/>
      <c r="P69" s="16">
        <v>5</v>
      </c>
      <c r="X69" s="42" t="str">
        <f>X68</f>
        <v>I-DMD-RAP-E0</v>
      </c>
      <c r="Y69" s="28" t="s">
        <v>141</v>
      </c>
      <c r="Z69" s="16" t="s">
        <v>139</v>
      </c>
      <c r="AA69" s="42" t="str">
        <f>$AA$20</f>
        <v>UP</v>
      </c>
      <c r="AB69" s="43">
        <f>-L68</f>
        <v>-6.7529999999999993E-2</v>
      </c>
      <c r="AC69" s="43">
        <f>-M68</f>
        <v>-6.7529999999999993E-2</v>
      </c>
      <c r="AD69" s="43">
        <f>-N68</f>
        <v>-6.7529999999999993E-2</v>
      </c>
      <c r="AE69" s="43">
        <f>-O68</f>
        <v>-6.7529999999999993E-2</v>
      </c>
    </row>
    <row r="70" spans="7:33" x14ac:dyDescent="0.25">
      <c r="G70" s="37" t="s">
        <v>130</v>
      </c>
      <c r="H70" s="37" t="s">
        <v>131</v>
      </c>
      <c r="I70" s="37" t="s">
        <v>132</v>
      </c>
      <c r="J70" s="25" t="s">
        <v>86</v>
      </c>
      <c r="K70" s="37" t="s">
        <v>70</v>
      </c>
      <c r="L70" s="26">
        <v>5.3090000000000005E-2</v>
      </c>
      <c r="M70" s="27">
        <f t="shared" ref="M70:O71" si="38">L70</f>
        <v>5.3090000000000005E-2</v>
      </c>
      <c r="N70" s="27">
        <f t="shared" si="38"/>
        <v>5.3090000000000005E-2</v>
      </c>
      <c r="O70" s="27">
        <f t="shared" si="38"/>
        <v>5.3090000000000005E-2</v>
      </c>
      <c r="P70" s="16">
        <v>5</v>
      </c>
      <c r="V70" s="28" t="str">
        <f>"UC_Mitigation_"&amp;$J$67&amp;"_MaxShare_DST-BDS"</f>
        <v>UC_Mitigation_IRAP_MaxShare_DST-BDS</v>
      </c>
      <c r="W70" s="28" t="str">
        <f>"Maximum share of Diesel and Biodiesel in "&amp;$J$67</f>
        <v>Maximum share of Diesel and Biodiesel in IRAP</v>
      </c>
      <c r="X70" s="42" t="str">
        <f t="shared" ref="X70:X73" si="39">X69</f>
        <v>I-DMD-RAP-E0</v>
      </c>
      <c r="Y70" s="28" t="str">
        <f>Y68</f>
        <v>IND*</v>
      </c>
      <c r="Z70" s="16" t="s">
        <v>139</v>
      </c>
      <c r="AA70" s="42" t="str">
        <f>$AA$20</f>
        <v>UP</v>
      </c>
      <c r="AB70" s="29">
        <f>1+AB71</f>
        <v>0.94691000000000003</v>
      </c>
      <c r="AC70" s="29">
        <f t="shared" ref="AC70" si="40">1+AC71</f>
        <v>0.94691000000000003</v>
      </c>
      <c r="AD70" s="29">
        <f t="shared" ref="AD70" si="41">1+AD71</f>
        <v>0.94691000000000003</v>
      </c>
      <c r="AE70" s="29">
        <f t="shared" ref="AE70" si="42">1+AE71</f>
        <v>0.94691000000000003</v>
      </c>
      <c r="AF70" s="30">
        <v>0</v>
      </c>
      <c r="AG70" s="30">
        <v>5</v>
      </c>
    </row>
    <row r="71" spans="7:33" x14ac:dyDescent="0.25">
      <c r="G71" s="37" t="s">
        <v>130</v>
      </c>
      <c r="H71" s="37" t="s">
        <v>131</v>
      </c>
      <c r="I71" s="37" t="s">
        <v>132</v>
      </c>
      <c r="J71" s="25" t="s">
        <v>86</v>
      </c>
      <c r="K71" s="37" t="s">
        <v>72</v>
      </c>
      <c r="L71" s="26">
        <v>8.3849999999999994E-2</v>
      </c>
      <c r="M71" s="27">
        <f t="shared" si="38"/>
        <v>8.3849999999999994E-2</v>
      </c>
      <c r="N71" s="27">
        <f t="shared" si="38"/>
        <v>8.3849999999999994E-2</v>
      </c>
      <c r="O71" s="27">
        <f t="shared" si="38"/>
        <v>8.3849999999999994E-2</v>
      </c>
      <c r="P71" s="16">
        <v>5</v>
      </c>
      <c r="X71" s="42" t="str">
        <f t="shared" si="39"/>
        <v>I-DMD-RAP-E0</v>
      </c>
      <c r="Y71" s="28" t="s">
        <v>140</v>
      </c>
      <c r="Z71" s="16" t="s">
        <v>139</v>
      </c>
      <c r="AA71" s="42" t="str">
        <f>$AA$20</f>
        <v>UP</v>
      </c>
      <c r="AB71" s="43">
        <f>-L70</f>
        <v>-5.3090000000000005E-2</v>
      </c>
      <c r="AC71" s="43">
        <f>-M70</f>
        <v>-5.3090000000000005E-2</v>
      </c>
      <c r="AD71" s="43">
        <f>-N70</f>
        <v>-5.3090000000000005E-2</v>
      </c>
      <c r="AE71" s="43">
        <f>-O70</f>
        <v>-5.3090000000000005E-2</v>
      </c>
    </row>
    <row r="72" spans="7:33" x14ac:dyDescent="0.25">
      <c r="G72" s="37" t="s">
        <v>130</v>
      </c>
      <c r="H72" s="37" t="s">
        <v>131</v>
      </c>
      <c r="I72" s="37" t="s">
        <v>132</v>
      </c>
      <c r="J72" s="25" t="s">
        <v>86</v>
      </c>
      <c r="K72" s="37" t="s">
        <v>78</v>
      </c>
      <c r="L72" s="26">
        <v>0.75015999999999994</v>
      </c>
      <c r="M72" s="17"/>
      <c r="N72" s="17"/>
      <c r="O72" s="17"/>
      <c r="P72" s="16">
        <v>5</v>
      </c>
      <c r="V72" s="28" t="str">
        <f>"UC_Mitigation_"&amp;$J$67&amp;"_MaxShare_GAS-BGS"</f>
        <v>UC_Mitigation_IRAP_MaxShare_GAS-BGS</v>
      </c>
      <c r="W72" s="28" t="str">
        <f>"Maximum share of Gas and Biogas in "&amp;$J$67</f>
        <v>Maximum share of Gas and Biogas in IRAP</v>
      </c>
      <c r="X72" s="42" t="str">
        <f t="shared" si="39"/>
        <v>I-DMD-RAP-E0</v>
      </c>
      <c r="Y72" s="28" t="str">
        <f>Y70</f>
        <v>IND*</v>
      </c>
      <c r="Z72" s="16" t="s">
        <v>139</v>
      </c>
      <c r="AA72" s="28" t="s">
        <v>131</v>
      </c>
      <c r="AB72" s="29">
        <f>1+AB73</f>
        <v>0.91615000000000002</v>
      </c>
      <c r="AC72" s="29">
        <f t="shared" ref="AC72" si="43">1+AC73</f>
        <v>0.91615000000000002</v>
      </c>
      <c r="AD72" s="29">
        <f t="shared" ref="AD72" si="44">1+AD73</f>
        <v>0.91615000000000002</v>
      </c>
      <c r="AE72" s="29">
        <f t="shared" ref="AE72" si="45">1+AE73</f>
        <v>0.91615000000000002</v>
      </c>
      <c r="AF72" s="30">
        <v>0</v>
      </c>
      <c r="AG72" s="30">
        <v>5</v>
      </c>
    </row>
    <row r="73" spans="7:33" x14ac:dyDescent="0.25">
      <c r="G73" s="37" t="s">
        <v>130</v>
      </c>
      <c r="H73" s="37" t="s">
        <v>131</v>
      </c>
      <c r="I73" s="37" t="s">
        <v>132</v>
      </c>
      <c r="J73" s="25" t="s">
        <v>86</v>
      </c>
      <c r="K73" s="37" t="s">
        <v>109</v>
      </c>
      <c r="L73" s="47">
        <v>0</v>
      </c>
      <c r="M73" s="51">
        <f>M68*R73</f>
        <v>3.3764999999999997E-3</v>
      </c>
      <c r="N73" s="51">
        <f>N68*S73</f>
        <v>2.0258999999999996E-2</v>
      </c>
      <c r="O73" s="51">
        <f>O68*T73</f>
        <v>6.7529999999999993E-2</v>
      </c>
      <c r="P73" s="16">
        <v>5</v>
      </c>
      <c r="R73" s="36">
        <v>0.05</v>
      </c>
      <c r="S73" s="36">
        <v>0.3</v>
      </c>
      <c r="T73" s="36">
        <v>1</v>
      </c>
      <c r="V73" s="37"/>
      <c r="W73" s="37"/>
      <c r="X73" s="42" t="str">
        <f t="shared" si="39"/>
        <v>I-DMD-RAP-E0</v>
      </c>
      <c r="Y73" s="28" t="s">
        <v>142</v>
      </c>
      <c r="Z73" s="16" t="s">
        <v>139</v>
      </c>
      <c r="AA73" s="28" t="s">
        <v>131</v>
      </c>
      <c r="AB73" s="43">
        <f>-L71</f>
        <v>-8.3849999999999994E-2</v>
      </c>
      <c r="AC73" s="43">
        <f>-M71</f>
        <v>-8.3849999999999994E-2</v>
      </c>
      <c r="AD73" s="43">
        <f>-N71</f>
        <v>-8.3849999999999994E-2</v>
      </c>
      <c r="AE73" s="43">
        <f>-O71</f>
        <v>-8.3849999999999994E-2</v>
      </c>
    </row>
    <row r="74" spans="7:33" x14ac:dyDescent="0.25">
      <c r="G74" s="37" t="s">
        <v>130</v>
      </c>
      <c r="H74" s="37" t="s">
        <v>131</v>
      </c>
      <c r="I74" s="37" t="s">
        <v>132</v>
      </c>
      <c r="J74" s="28" t="s">
        <v>86</v>
      </c>
      <c r="K74" s="37" t="s">
        <v>110</v>
      </c>
      <c r="L74" s="47">
        <v>0</v>
      </c>
      <c r="M74" s="51">
        <f t="shared" ref="M74:O75" si="46">M70*R74</f>
        <v>2.6545000000000006E-3</v>
      </c>
      <c r="N74" s="51">
        <f t="shared" si="46"/>
        <v>1.5927E-2</v>
      </c>
      <c r="O74" s="51">
        <f t="shared" si="46"/>
        <v>5.3090000000000005E-2</v>
      </c>
      <c r="P74" s="37">
        <v>5</v>
      </c>
      <c r="R74" s="36">
        <v>0.05</v>
      </c>
      <c r="S74" s="36">
        <v>0.3</v>
      </c>
      <c r="T74" s="36">
        <v>1</v>
      </c>
      <c r="V74" s="16" t="s">
        <v>129</v>
      </c>
    </row>
    <row r="75" spans="7:33" x14ac:dyDescent="0.25">
      <c r="G75" s="38" t="s">
        <v>130</v>
      </c>
      <c r="H75" s="38" t="s">
        <v>131</v>
      </c>
      <c r="I75" s="38" t="s">
        <v>132</v>
      </c>
      <c r="J75" s="33" t="s">
        <v>86</v>
      </c>
      <c r="K75" s="38" t="s">
        <v>80</v>
      </c>
      <c r="L75" s="39">
        <v>0</v>
      </c>
      <c r="M75" s="40">
        <f t="shared" si="46"/>
        <v>4.1925E-3</v>
      </c>
      <c r="N75" s="40">
        <f t="shared" si="46"/>
        <v>2.5154999999999997E-2</v>
      </c>
      <c r="O75" s="40">
        <f t="shared" si="46"/>
        <v>8.3849999999999994E-2</v>
      </c>
      <c r="P75" s="38">
        <v>5</v>
      </c>
      <c r="R75" s="36">
        <v>0.05</v>
      </c>
      <c r="S75" s="36">
        <v>0.3</v>
      </c>
      <c r="T75" s="36">
        <v>1</v>
      </c>
      <c r="V75" s="16" t="s">
        <v>129</v>
      </c>
      <c r="Z75" s="38"/>
    </row>
    <row r="76" spans="7:33" x14ac:dyDescent="0.25">
      <c r="G76" s="19" t="s">
        <v>102</v>
      </c>
      <c r="H76" s="19"/>
      <c r="I76" s="19"/>
      <c r="J76" s="19" t="s">
        <v>118</v>
      </c>
      <c r="K76" s="19"/>
      <c r="L76" s="41"/>
      <c r="M76" s="19"/>
      <c r="N76" s="19"/>
      <c r="O76" s="19"/>
      <c r="P76" s="19"/>
      <c r="V76" s="48" t="str">
        <f>G76</f>
        <v>*Other non-metallic mineral products demand process</v>
      </c>
      <c r="W76" s="49"/>
      <c r="X76" s="49"/>
      <c r="Y76" s="49"/>
      <c r="Z76" s="23"/>
      <c r="AA76" s="49"/>
      <c r="AB76" s="50"/>
      <c r="AC76" s="50"/>
      <c r="AD76" s="50"/>
      <c r="AE76" s="50"/>
      <c r="AF76" s="49"/>
      <c r="AG76" s="49"/>
    </row>
    <row r="77" spans="7:33" x14ac:dyDescent="0.25">
      <c r="G77" s="37" t="s">
        <v>130</v>
      </c>
      <c r="H77" s="37" t="s">
        <v>131</v>
      </c>
      <c r="I77" s="37" t="s">
        <v>132</v>
      </c>
      <c r="J77" s="25" t="s">
        <v>145</v>
      </c>
      <c r="K77" s="37" t="s">
        <v>65</v>
      </c>
      <c r="L77" s="26">
        <v>0.20479</v>
      </c>
      <c r="M77" s="47">
        <f t="shared" ref="M77:O78" si="47">L77</f>
        <v>0.20479</v>
      </c>
      <c r="N77" s="47">
        <f t="shared" si="47"/>
        <v>0.20479</v>
      </c>
      <c r="O77" s="47">
        <f t="shared" si="47"/>
        <v>0.20479</v>
      </c>
      <c r="P77" s="37">
        <v>5</v>
      </c>
      <c r="V77" s="28" t="str">
        <f>"UC_Mitigation_"&amp;$J$76&amp;"_MaxShare_KER-BKE"</f>
        <v>UC_Mitigation_IONM_MaxShare_KER-BKE</v>
      </c>
      <c r="W77" s="28" t="str">
        <f>"Maximum share of kerosene and Biokerosene in "&amp;$J$76</f>
        <v>Maximum share of kerosene and Biokerosene in IONM</v>
      </c>
      <c r="X77" s="42" t="str">
        <f>J77</f>
        <v>I-DMD-ONM-*</v>
      </c>
      <c r="Y77" s="28" t="s">
        <v>137</v>
      </c>
      <c r="Z77" s="16" t="s">
        <v>139</v>
      </c>
      <c r="AA77" s="42" t="str">
        <f>$AA$20</f>
        <v>UP</v>
      </c>
      <c r="AB77" s="29">
        <f>1+AB78</f>
        <v>0.99597000000000002</v>
      </c>
      <c r="AC77" s="29">
        <f t="shared" ref="AC77" si="48">1+AC78</f>
        <v>0.99597000000000002</v>
      </c>
      <c r="AD77" s="29">
        <f t="shared" ref="AD77" si="49">1+AD78</f>
        <v>0.99597000000000002</v>
      </c>
      <c r="AE77" s="29">
        <f t="shared" ref="AE77" si="50">1+AE78</f>
        <v>0.99597000000000002</v>
      </c>
      <c r="AF77" s="30">
        <v>0</v>
      </c>
      <c r="AG77" s="30">
        <v>5</v>
      </c>
    </row>
    <row r="78" spans="7:33" x14ac:dyDescent="0.25">
      <c r="G78" s="37" t="s">
        <v>130</v>
      </c>
      <c r="H78" s="37" t="s">
        <v>131</v>
      </c>
      <c r="I78" s="37" t="s">
        <v>132</v>
      </c>
      <c r="J78" s="25" t="s">
        <v>145</v>
      </c>
      <c r="K78" s="37" t="s">
        <v>67</v>
      </c>
      <c r="L78" s="26">
        <v>4.0299999999999997E-3</v>
      </c>
      <c r="M78" s="27">
        <f t="shared" si="47"/>
        <v>4.0299999999999997E-3</v>
      </c>
      <c r="N78" s="27">
        <f t="shared" si="47"/>
        <v>4.0299999999999997E-3</v>
      </c>
      <c r="O78" s="27">
        <f t="shared" si="47"/>
        <v>4.0299999999999997E-3</v>
      </c>
      <c r="P78" s="37">
        <v>5</v>
      </c>
      <c r="X78" s="42" t="str">
        <f>X77</f>
        <v>I-DMD-ONM-*</v>
      </c>
      <c r="Y78" s="28" t="s">
        <v>141</v>
      </c>
      <c r="Z78" s="16" t="s">
        <v>139</v>
      </c>
      <c r="AA78" s="42" t="str">
        <f>$AA$20</f>
        <v>UP</v>
      </c>
      <c r="AB78" s="43">
        <f>-L78</f>
        <v>-4.0299999999999997E-3</v>
      </c>
      <c r="AC78" s="43">
        <f>-M78</f>
        <v>-4.0299999999999997E-3</v>
      </c>
      <c r="AD78" s="43">
        <f>-N78</f>
        <v>-4.0299999999999997E-3</v>
      </c>
      <c r="AE78" s="43">
        <f>-O78</f>
        <v>-4.0299999999999997E-3</v>
      </c>
    </row>
    <row r="79" spans="7:33" x14ac:dyDescent="0.25">
      <c r="G79" s="37" t="s">
        <v>130</v>
      </c>
      <c r="H79" s="37" t="s">
        <v>131</v>
      </c>
      <c r="I79" s="37" t="s">
        <v>132</v>
      </c>
      <c r="J79" s="25" t="s">
        <v>145</v>
      </c>
      <c r="K79" s="37" t="s">
        <v>69</v>
      </c>
      <c r="L79" s="26">
        <v>5.77E-3</v>
      </c>
      <c r="M79" s="54"/>
      <c r="N79" s="54"/>
      <c r="O79" s="54"/>
      <c r="P79" s="37">
        <v>5</v>
      </c>
      <c r="V79" s="28" t="str">
        <f>"UC_Mitigation_"&amp;$J$76&amp;"_MaxShare_DST-BDS"</f>
        <v>UC_Mitigation_IONM_MaxShare_DST-BDS</v>
      </c>
      <c r="W79" s="28" t="str">
        <f>"Maximum share of Diesel and Biodiesel in "&amp;$J$76</f>
        <v>Maximum share of Diesel and Biodiesel in IONM</v>
      </c>
      <c r="X79" s="42" t="str">
        <f t="shared" ref="X79:X83" si="51">X78</f>
        <v>I-DMD-ONM-*</v>
      </c>
      <c r="Y79" s="28" t="str">
        <f>Y77</f>
        <v>IND*</v>
      </c>
      <c r="Z79" s="16" t="s">
        <v>139</v>
      </c>
      <c r="AA79" s="42" t="str">
        <f>$AA$20</f>
        <v>UP</v>
      </c>
      <c r="AB79" s="29">
        <f>1+AB80</f>
        <v>0.92976000000000003</v>
      </c>
      <c r="AC79" s="29">
        <f t="shared" ref="AC79" si="52">1+AC80</f>
        <v>0.92976000000000003</v>
      </c>
      <c r="AD79" s="29">
        <f t="shared" ref="AD79" si="53">1+AD80</f>
        <v>0.92976000000000003</v>
      </c>
      <c r="AE79" s="29">
        <f t="shared" ref="AE79" si="54">1+AE80</f>
        <v>0.92976000000000003</v>
      </c>
      <c r="AF79" s="30">
        <v>0</v>
      </c>
      <c r="AG79" s="30">
        <v>5</v>
      </c>
    </row>
    <row r="80" spans="7:33" x14ac:dyDescent="0.25">
      <c r="G80" s="37" t="s">
        <v>130</v>
      </c>
      <c r="H80" s="37" t="s">
        <v>131</v>
      </c>
      <c r="I80" s="37" t="s">
        <v>132</v>
      </c>
      <c r="J80" s="25" t="s">
        <v>145</v>
      </c>
      <c r="K80" s="37" t="s">
        <v>70</v>
      </c>
      <c r="L80" s="26">
        <v>7.0239999999999997E-2</v>
      </c>
      <c r="M80" s="27">
        <f>L80</f>
        <v>7.0239999999999997E-2</v>
      </c>
      <c r="N80" s="27">
        <f>M80</f>
        <v>7.0239999999999997E-2</v>
      </c>
      <c r="O80" s="27">
        <f>N80</f>
        <v>7.0239999999999997E-2</v>
      </c>
      <c r="P80" s="37">
        <v>5</v>
      </c>
      <c r="X80" s="42" t="str">
        <f t="shared" si="51"/>
        <v>I-DMD-ONM-*</v>
      </c>
      <c r="Y80" s="28" t="s">
        <v>140</v>
      </c>
      <c r="Z80" s="16" t="s">
        <v>139</v>
      </c>
      <c r="AA80" s="42" t="str">
        <f>$AA$20</f>
        <v>UP</v>
      </c>
      <c r="AB80" s="43">
        <f>-L80</f>
        <v>-7.0239999999999997E-2</v>
      </c>
      <c r="AC80" s="43">
        <f>-M80</f>
        <v>-7.0239999999999997E-2</v>
      </c>
      <c r="AD80" s="43">
        <f>-N80</f>
        <v>-7.0239999999999997E-2</v>
      </c>
      <c r="AE80" s="43">
        <f>-O80</f>
        <v>-7.0239999999999997E-2</v>
      </c>
    </row>
    <row r="81" spans="7:33" x14ac:dyDescent="0.25">
      <c r="G81" s="37" t="s">
        <v>130</v>
      </c>
      <c r="H81" s="37" t="s">
        <v>131</v>
      </c>
      <c r="I81" s="37" t="s">
        <v>132</v>
      </c>
      <c r="J81" s="25" t="s">
        <v>145</v>
      </c>
      <c r="K81" s="37" t="s">
        <v>71</v>
      </c>
      <c r="L81" s="26">
        <v>0.30934</v>
      </c>
      <c r="M81" s="47">
        <f>L81</f>
        <v>0.30934</v>
      </c>
      <c r="N81" s="47">
        <f t="shared" ref="N81:O81" si="55">M81</f>
        <v>0.30934</v>
      </c>
      <c r="O81" s="47">
        <f t="shared" si="55"/>
        <v>0.30934</v>
      </c>
      <c r="P81" s="37">
        <v>5</v>
      </c>
      <c r="V81" s="28" t="str">
        <f>"UC_Mitigation_"&amp;$J$76&amp;"_MaxShare_GAS-BGS"</f>
        <v>UC_Mitigation_IONM_MaxShare_GAS-BGS</v>
      </c>
      <c r="W81" s="28" t="str">
        <f>"Maximum share of Gas and Biogas in "&amp;$J$76</f>
        <v>Maximum share of Gas and Biogas in IONM</v>
      </c>
      <c r="X81" s="42" t="str">
        <f t="shared" si="51"/>
        <v>I-DMD-ONM-*</v>
      </c>
      <c r="Y81" s="28" t="str">
        <f>Y79</f>
        <v>IND*</v>
      </c>
      <c r="Z81" s="16" t="s">
        <v>139</v>
      </c>
      <c r="AA81" s="28" t="s">
        <v>131</v>
      </c>
      <c r="AB81" s="29">
        <f>1+AB82</f>
        <v>0.95145000000000002</v>
      </c>
      <c r="AC81" s="29">
        <f t="shared" ref="AC81:AC83" si="56">1+AC82</f>
        <v>0.95145000000000002</v>
      </c>
      <c r="AD81" s="29">
        <f t="shared" ref="AD81:AD83" si="57">1+AD82</f>
        <v>0.95145000000000002</v>
      </c>
      <c r="AE81" s="29">
        <f t="shared" ref="AE81:AE83" si="58">1+AE82</f>
        <v>0.95145000000000002</v>
      </c>
      <c r="AF81" s="30">
        <v>0</v>
      </c>
      <c r="AG81" s="30">
        <v>5</v>
      </c>
    </row>
    <row r="82" spans="7:33" x14ac:dyDescent="0.25">
      <c r="G82" s="37" t="s">
        <v>130</v>
      </c>
      <c r="H82" s="37" t="s">
        <v>131</v>
      </c>
      <c r="I82" s="37" t="s">
        <v>132</v>
      </c>
      <c r="J82" s="25" t="s">
        <v>145</v>
      </c>
      <c r="K82" s="37" t="s">
        <v>72</v>
      </c>
      <c r="L82" s="26">
        <v>4.8550000000000003E-2</v>
      </c>
      <c r="M82" s="27">
        <f>L82</f>
        <v>4.8550000000000003E-2</v>
      </c>
      <c r="N82" s="27">
        <f>M82</f>
        <v>4.8550000000000003E-2</v>
      </c>
      <c r="O82" s="27">
        <f>N82</f>
        <v>4.8550000000000003E-2</v>
      </c>
      <c r="P82" s="37">
        <v>5</v>
      </c>
      <c r="V82" s="37"/>
      <c r="W82" s="37"/>
      <c r="X82" s="55" t="str">
        <f>X81</f>
        <v>I-DMD-ONM-*</v>
      </c>
      <c r="Y82" s="28" t="s">
        <v>142</v>
      </c>
      <c r="Z82" s="16" t="s">
        <v>139</v>
      </c>
      <c r="AA82" s="28" t="s">
        <v>131</v>
      </c>
      <c r="AB82" s="43">
        <f>-L82</f>
        <v>-4.8550000000000003E-2</v>
      </c>
      <c r="AC82" s="43">
        <f>-M82</f>
        <v>-4.8550000000000003E-2</v>
      </c>
      <c r="AD82" s="43">
        <f>-N82</f>
        <v>-4.8550000000000003E-2</v>
      </c>
      <c r="AE82" s="43">
        <f>-O82</f>
        <v>-4.8550000000000003E-2</v>
      </c>
      <c r="AF82" s="37"/>
    </row>
    <row r="83" spans="7:33" x14ac:dyDescent="0.25">
      <c r="G83" s="37" t="s">
        <v>130</v>
      </c>
      <c r="H83" s="37" t="s">
        <v>131</v>
      </c>
      <c r="I83" s="37" t="s">
        <v>132</v>
      </c>
      <c r="J83" s="25" t="s">
        <v>145</v>
      </c>
      <c r="K83" s="37" t="s">
        <v>78</v>
      </c>
      <c r="L83" s="26">
        <v>0.12726000000000001</v>
      </c>
      <c r="M83" s="54"/>
      <c r="N83" s="54"/>
      <c r="O83" s="54"/>
      <c r="P83" s="37">
        <v>5</v>
      </c>
      <c r="V83" s="28" t="str">
        <f>"UC_Mitigation_"&amp;$J$76&amp;"_MaxShare_COK-COA-BIO-H2"</f>
        <v>UC_Mitigation_IONM_MaxShare_COK-COA-BIO-H2</v>
      </c>
      <c r="W83" s="28" t="str">
        <f>"Maximum share of Solids, Biomass and H2 in "&amp;$J$76</f>
        <v>Maximum share of Solids, Biomass and H2 in IONM</v>
      </c>
      <c r="X83" s="42" t="str">
        <f t="shared" si="51"/>
        <v>I-DMD-ONM-*</v>
      </c>
      <c r="Y83" s="28" t="str">
        <f>Y81</f>
        <v>IND*</v>
      </c>
      <c r="Z83" s="16" t="s">
        <v>139</v>
      </c>
      <c r="AA83" s="28" t="s">
        <v>131</v>
      </c>
      <c r="AB83" s="29">
        <f>1+AB84</f>
        <v>0.48062000000000005</v>
      </c>
      <c r="AC83" s="29">
        <f t="shared" si="56"/>
        <v>0.48062000000000005</v>
      </c>
      <c r="AD83" s="29">
        <f t="shared" si="57"/>
        <v>0.48062000000000005</v>
      </c>
      <c r="AE83" s="29">
        <f t="shared" si="58"/>
        <v>0.48062000000000005</v>
      </c>
      <c r="AF83" s="30">
        <v>0</v>
      </c>
      <c r="AG83" s="30">
        <v>5</v>
      </c>
    </row>
    <row r="84" spans="7:33" x14ac:dyDescent="0.25">
      <c r="G84" s="37" t="s">
        <v>130</v>
      </c>
      <c r="H84" s="37" t="s">
        <v>131</v>
      </c>
      <c r="I84" s="37" t="s">
        <v>132</v>
      </c>
      <c r="J84" s="25" t="s">
        <v>145</v>
      </c>
      <c r="K84" s="37" t="s">
        <v>81</v>
      </c>
      <c r="L84" s="26">
        <v>5.2499999999999995E-3</v>
      </c>
      <c r="M84" s="27">
        <f>(M77+M81)*R84+$L84</f>
        <v>2.5815200000000003E-2</v>
      </c>
      <c r="N84" s="27">
        <f t="shared" ref="N84:O84" si="59">(N77+N81)*S84+$L84</f>
        <v>0.12864119999999998</v>
      </c>
      <c r="O84" s="27">
        <f t="shared" si="59"/>
        <v>0.41655399999999998</v>
      </c>
      <c r="P84" s="37">
        <v>5</v>
      </c>
      <c r="R84" s="36">
        <f>5%*80%</f>
        <v>4.0000000000000008E-2</v>
      </c>
      <c r="S84" s="36">
        <f>30%*80%</f>
        <v>0.24</v>
      </c>
      <c r="T84" s="36">
        <f>100%*80%</f>
        <v>0.8</v>
      </c>
      <c r="V84" s="37"/>
      <c r="W84" s="37"/>
      <c r="X84" s="55" t="str">
        <f>X83</f>
        <v>I-DMD-ONM-*</v>
      </c>
      <c r="Y84" s="28" t="s">
        <v>144</v>
      </c>
      <c r="Z84" s="16" t="s">
        <v>139</v>
      </c>
      <c r="AA84" s="28" t="s">
        <v>131</v>
      </c>
      <c r="AB84" s="43">
        <f>-L77-L81-$L$84</f>
        <v>-0.51937999999999995</v>
      </c>
      <c r="AC84" s="43">
        <f t="shared" ref="AC84:AE84" si="60">-M77-M81-$L$84</f>
        <v>-0.51937999999999995</v>
      </c>
      <c r="AD84" s="43">
        <f t="shared" si="60"/>
        <v>-0.51937999999999995</v>
      </c>
      <c r="AE84" s="43">
        <f t="shared" si="60"/>
        <v>-0.51937999999999995</v>
      </c>
      <c r="AF84" s="37"/>
    </row>
    <row r="85" spans="7:33" x14ac:dyDescent="0.25">
      <c r="G85" s="37" t="s">
        <v>130</v>
      </c>
      <c r="H85" s="37" t="s">
        <v>131</v>
      </c>
      <c r="I85" s="37" t="s">
        <v>132</v>
      </c>
      <c r="J85" s="25" t="s">
        <v>145</v>
      </c>
      <c r="K85" s="37" t="s">
        <v>87</v>
      </c>
      <c r="L85" s="26">
        <v>9.5879999999999993E-2</v>
      </c>
      <c r="M85" s="27"/>
      <c r="N85" s="54"/>
      <c r="O85" s="54"/>
      <c r="P85" s="37">
        <v>5</v>
      </c>
      <c r="R85" s="36"/>
      <c r="S85" s="36"/>
      <c r="T85" s="36"/>
      <c r="V85" s="37" t="s">
        <v>129</v>
      </c>
    </row>
    <row r="86" spans="7:33" x14ac:dyDescent="0.25">
      <c r="G86" s="37" t="s">
        <v>130</v>
      </c>
      <c r="H86" s="37" t="s">
        <v>131</v>
      </c>
      <c r="I86" s="37" t="s">
        <v>132</v>
      </c>
      <c r="J86" s="25" t="s">
        <v>145</v>
      </c>
      <c r="K86" s="37" t="s">
        <v>88</v>
      </c>
      <c r="L86" s="26">
        <v>0.12894</v>
      </c>
      <c r="M86" s="54"/>
      <c r="N86" s="54"/>
      <c r="O86" s="54"/>
      <c r="P86" s="37">
        <v>5</v>
      </c>
      <c r="R86" s="36"/>
      <c r="S86" s="36"/>
      <c r="T86" s="36"/>
      <c r="V86" s="37" t="s">
        <v>129</v>
      </c>
    </row>
    <row r="87" spans="7:33" x14ac:dyDescent="0.25">
      <c r="G87" s="37" t="s">
        <v>130</v>
      </c>
      <c r="H87" s="37" t="s">
        <v>131</v>
      </c>
      <c r="I87" s="37" t="s">
        <v>132</v>
      </c>
      <c r="J87" s="25" t="s">
        <v>145</v>
      </c>
      <c r="K87" s="37" t="s">
        <v>109</v>
      </c>
      <c r="L87" s="47">
        <v>0</v>
      </c>
      <c r="M87" s="51">
        <f>M78*R87</f>
        <v>2.0149999999999999E-4</v>
      </c>
      <c r="N87" s="51">
        <f>N78*S87</f>
        <v>1.2089999999999998E-3</v>
      </c>
      <c r="O87" s="51">
        <f>O78*T87</f>
        <v>4.0299999999999997E-3</v>
      </c>
      <c r="P87" s="37">
        <v>5</v>
      </c>
      <c r="R87" s="36">
        <v>0.05</v>
      </c>
      <c r="S87" s="36">
        <v>0.3</v>
      </c>
      <c r="T87" s="36">
        <v>1</v>
      </c>
      <c r="V87" s="37" t="s">
        <v>129</v>
      </c>
    </row>
    <row r="88" spans="7:33" x14ac:dyDescent="0.25">
      <c r="G88" s="37" t="s">
        <v>130</v>
      </c>
      <c r="H88" s="37" t="s">
        <v>131</v>
      </c>
      <c r="I88" s="37" t="s">
        <v>132</v>
      </c>
      <c r="J88" s="25" t="s">
        <v>145</v>
      </c>
      <c r="K88" s="37" t="s">
        <v>110</v>
      </c>
      <c r="L88" s="47">
        <v>0</v>
      </c>
      <c r="M88" s="51">
        <f>M80*R88</f>
        <v>3.5119999999999999E-3</v>
      </c>
      <c r="N88" s="51">
        <f>N80*S88</f>
        <v>2.1071999999999997E-2</v>
      </c>
      <c r="O88" s="51">
        <f>O80*T88</f>
        <v>7.0239999999999997E-2</v>
      </c>
      <c r="P88" s="37">
        <v>5</v>
      </c>
      <c r="R88" s="36">
        <v>0.05</v>
      </c>
      <c r="S88" s="36">
        <v>0.3</v>
      </c>
      <c r="T88" s="36">
        <v>1</v>
      </c>
      <c r="V88" s="37" t="s">
        <v>129</v>
      </c>
    </row>
    <row r="89" spans="7:33" x14ac:dyDescent="0.25">
      <c r="G89" s="37" t="s">
        <v>130</v>
      </c>
      <c r="H89" s="37" t="s">
        <v>131</v>
      </c>
      <c r="I89" s="37" t="s">
        <v>132</v>
      </c>
      <c r="J89" s="25" t="s">
        <v>145</v>
      </c>
      <c r="K89" s="37" t="s">
        <v>80</v>
      </c>
      <c r="L89" s="47">
        <v>0</v>
      </c>
      <c r="M89" s="51">
        <f>M82*R89</f>
        <v>2.4275000000000004E-3</v>
      </c>
      <c r="N89" s="51">
        <f>N82*S89</f>
        <v>1.4565E-2</v>
      </c>
      <c r="O89" s="51">
        <f>O82*T89</f>
        <v>4.8550000000000003E-2</v>
      </c>
      <c r="P89" s="37">
        <v>5</v>
      </c>
      <c r="R89" s="36">
        <v>0.05</v>
      </c>
      <c r="S89" s="36">
        <v>0.3</v>
      </c>
      <c r="T89" s="36">
        <v>1</v>
      </c>
      <c r="V89" s="37" t="s">
        <v>129</v>
      </c>
    </row>
    <row r="90" spans="7:33" x14ac:dyDescent="0.25">
      <c r="G90" s="38" t="s">
        <v>130</v>
      </c>
      <c r="H90" s="38" t="s">
        <v>131</v>
      </c>
      <c r="I90" s="38" t="s">
        <v>132</v>
      </c>
      <c r="J90" s="33" t="s">
        <v>145</v>
      </c>
      <c r="K90" s="38" t="s">
        <v>143</v>
      </c>
      <c r="L90" s="39">
        <v>0</v>
      </c>
      <c r="M90" s="40">
        <f>(M77+M81)*R90</f>
        <v>5.1413000000000006E-3</v>
      </c>
      <c r="N90" s="40">
        <f>(N77+N81)*S90</f>
        <v>3.0847799999999998E-2</v>
      </c>
      <c r="O90" s="40">
        <f>(O77+O81)*T90</f>
        <v>0.102826</v>
      </c>
      <c r="P90" s="38">
        <v>5</v>
      </c>
      <c r="R90" s="36">
        <f>5%*20%</f>
        <v>1.0000000000000002E-2</v>
      </c>
      <c r="S90" s="36">
        <f>30%*20%</f>
        <v>0.06</v>
      </c>
      <c r="T90" s="36">
        <f>100%*20%</f>
        <v>0.2</v>
      </c>
      <c r="V90" s="37" t="s">
        <v>129</v>
      </c>
      <c r="Z90" s="38"/>
    </row>
    <row r="91" spans="7:33" x14ac:dyDescent="0.25">
      <c r="G91" s="19" t="s">
        <v>103</v>
      </c>
      <c r="H91" s="19"/>
      <c r="I91" s="19"/>
      <c r="J91" s="19" t="s">
        <v>119</v>
      </c>
      <c r="K91" s="19"/>
      <c r="L91" s="41"/>
      <c r="M91" s="19"/>
      <c r="N91" s="19"/>
      <c r="O91" s="19"/>
      <c r="P91" s="19"/>
      <c r="V91" s="48" t="str">
        <f>G91</f>
        <v>*Basic metals and fabricated metal products demand process</v>
      </c>
      <c r="W91" s="49"/>
      <c r="X91" s="49"/>
      <c r="Y91" s="49"/>
      <c r="Z91" s="23"/>
      <c r="AA91" s="49"/>
      <c r="AB91" s="50"/>
      <c r="AC91" s="50"/>
      <c r="AD91" s="50"/>
      <c r="AE91" s="50"/>
      <c r="AF91" s="49"/>
      <c r="AG91" s="49"/>
    </row>
    <row r="92" spans="7:33" x14ac:dyDescent="0.25">
      <c r="G92" s="37" t="s">
        <v>130</v>
      </c>
      <c r="H92" s="37" t="s">
        <v>131</v>
      </c>
      <c r="I92" s="37" t="s">
        <v>132</v>
      </c>
      <c r="J92" s="16" t="s">
        <v>89</v>
      </c>
      <c r="K92" s="16" t="s">
        <v>65</v>
      </c>
      <c r="L92" s="26">
        <v>3.2000000000000003E-4</v>
      </c>
      <c r="M92" s="54"/>
      <c r="N92" s="54"/>
      <c r="O92" s="54"/>
      <c r="P92" s="37">
        <v>5</v>
      </c>
      <c r="V92" s="28" t="str">
        <f>"UC_Mitigation_"&amp;$J$91&amp;"_MaxShare_KER-BKE"</f>
        <v>UC_Mitigation_IMAP_MaxShare_KER-BKE</v>
      </c>
      <c r="W92" s="28" t="str">
        <f>"Maximum share of kerosene and Biokerosene in "&amp;$J$91</f>
        <v>Maximum share of kerosene and Biokerosene in IMAP</v>
      </c>
      <c r="X92" s="42" t="str">
        <f>J92</f>
        <v>I-DMD-MAP-E0</v>
      </c>
      <c r="Y92" s="28" t="s">
        <v>137</v>
      </c>
      <c r="Z92" s="16" t="s">
        <v>139</v>
      </c>
      <c r="AA92" s="42" t="str">
        <f>$AA$20</f>
        <v>UP</v>
      </c>
      <c r="AB92" s="29">
        <f>1+AB93</f>
        <v>0.99838000000000005</v>
      </c>
      <c r="AC92" s="29">
        <f t="shared" ref="AC92" si="61">1+AC93</f>
        <v>0.99838000000000005</v>
      </c>
      <c r="AD92" s="29">
        <f t="shared" ref="AD92" si="62">1+AD93</f>
        <v>0.99838000000000005</v>
      </c>
      <c r="AE92" s="29">
        <f t="shared" ref="AE92" si="63">1+AE93</f>
        <v>0.99838000000000005</v>
      </c>
      <c r="AF92" s="30">
        <v>0</v>
      </c>
      <c r="AG92" s="30">
        <v>5</v>
      </c>
    </row>
    <row r="93" spans="7:33" x14ac:dyDescent="0.25">
      <c r="G93" s="37" t="s">
        <v>130</v>
      </c>
      <c r="H93" s="37" t="s">
        <v>131</v>
      </c>
      <c r="I93" s="37" t="s">
        <v>132</v>
      </c>
      <c r="J93" s="16" t="s">
        <v>89</v>
      </c>
      <c r="K93" s="16" t="s">
        <v>67</v>
      </c>
      <c r="L93" s="26">
        <v>1.6200000000000001E-3</v>
      </c>
      <c r="M93" s="27">
        <f>L93</f>
        <v>1.6200000000000001E-3</v>
      </c>
      <c r="N93" s="27">
        <f>M93</f>
        <v>1.6200000000000001E-3</v>
      </c>
      <c r="O93" s="27">
        <f>N93</f>
        <v>1.6200000000000001E-3</v>
      </c>
      <c r="P93" s="37">
        <v>5</v>
      </c>
      <c r="X93" s="42" t="str">
        <f>X92</f>
        <v>I-DMD-MAP-E0</v>
      </c>
      <c r="Y93" s="28" t="s">
        <v>141</v>
      </c>
      <c r="Z93" s="16" t="s">
        <v>139</v>
      </c>
      <c r="AA93" s="42" t="str">
        <f>$AA$20</f>
        <v>UP</v>
      </c>
      <c r="AB93" s="43">
        <f>-L93</f>
        <v>-1.6200000000000001E-3</v>
      </c>
      <c r="AC93" s="43">
        <f>-M93</f>
        <v>-1.6200000000000001E-3</v>
      </c>
      <c r="AD93" s="43">
        <f>-N93</f>
        <v>-1.6200000000000001E-3</v>
      </c>
      <c r="AE93" s="43">
        <f>-O93</f>
        <v>-1.6200000000000001E-3</v>
      </c>
    </row>
    <row r="94" spans="7:33" x14ac:dyDescent="0.25">
      <c r="G94" s="37" t="s">
        <v>130</v>
      </c>
      <c r="H94" s="37" t="s">
        <v>131</v>
      </c>
      <c r="I94" s="37" t="s">
        <v>132</v>
      </c>
      <c r="J94" s="16" t="s">
        <v>89</v>
      </c>
      <c r="K94" s="16" t="s">
        <v>68</v>
      </c>
      <c r="L94" s="26">
        <v>2.2300000000000002E-3</v>
      </c>
      <c r="M94" s="54"/>
      <c r="N94" s="54"/>
      <c r="O94" s="54"/>
      <c r="P94" s="37">
        <v>5</v>
      </c>
      <c r="V94" s="28" t="str">
        <f>"UC_Mitigation_"&amp;J91&amp;"_MaxShare_DST-BDS"</f>
        <v>UC_Mitigation_IMAP_MaxShare_DST-BDS</v>
      </c>
      <c r="W94" s="28" t="str">
        <f>"Maximum share of Diesel and Biodiesel in "&amp;$J$91</f>
        <v>Maximum share of Diesel and Biodiesel in IMAP</v>
      </c>
      <c r="X94" s="42" t="str">
        <f t="shared" ref="X94:X97" si="64">X93</f>
        <v>I-DMD-MAP-E0</v>
      </c>
      <c r="Y94" s="28" t="str">
        <f>Y92</f>
        <v>IND*</v>
      </c>
      <c r="Z94" s="16" t="s">
        <v>139</v>
      </c>
      <c r="AA94" s="42" t="str">
        <f>$AA$20</f>
        <v>UP</v>
      </c>
      <c r="AB94" s="29">
        <f>1+AB95</f>
        <v>0.99285999999999996</v>
      </c>
      <c r="AC94" s="29">
        <f t="shared" ref="AC94" si="65">1+AC95</f>
        <v>0.99285999999999996</v>
      </c>
      <c r="AD94" s="29">
        <f t="shared" ref="AD94" si="66">1+AD95</f>
        <v>0.99285999999999996</v>
      </c>
      <c r="AE94" s="29">
        <f t="shared" ref="AE94" si="67">1+AE95</f>
        <v>0.99285999999999996</v>
      </c>
      <c r="AF94" s="30">
        <v>0</v>
      </c>
      <c r="AG94" s="30">
        <v>5</v>
      </c>
    </row>
    <row r="95" spans="7:33" x14ac:dyDescent="0.25">
      <c r="G95" s="37" t="s">
        <v>130</v>
      </c>
      <c r="H95" s="37" t="s">
        <v>131</v>
      </c>
      <c r="I95" s="37" t="s">
        <v>132</v>
      </c>
      <c r="J95" s="16" t="s">
        <v>89</v>
      </c>
      <c r="K95" s="16" t="s">
        <v>69</v>
      </c>
      <c r="L95" s="26">
        <v>7.3099999999999997E-3</v>
      </c>
      <c r="M95" s="54"/>
      <c r="N95" s="54"/>
      <c r="O95" s="54"/>
      <c r="P95" s="37">
        <v>5</v>
      </c>
      <c r="X95" s="42" t="str">
        <f t="shared" si="64"/>
        <v>I-DMD-MAP-E0</v>
      </c>
      <c r="Y95" s="28" t="s">
        <v>140</v>
      </c>
      <c r="Z95" s="16" t="s">
        <v>139</v>
      </c>
      <c r="AA95" s="42" t="str">
        <f>$AA$20</f>
        <v>UP</v>
      </c>
      <c r="AB95" s="43">
        <f>-L96</f>
        <v>-7.1399999999999996E-3</v>
      </c>
      <c r="AC95" s="43">
        <f>-M96</f>
        <v>-7.1399999999999996E-3</v>
      </c>
      <c r="AD95" s="43">
        <f>-N96</f>
        <v>-7.1399999999999996E-3</v>
      </c>
      <c r="AE95" s="43">
        <f>-O96</f>
        <v>-7.1399999999999996E-3</v>
      </c>
    </row>
    <row r="96" spans="7:33" x14ac:dyDescent="0.25">
      <c r="G96" s="37" t="s">
        <v>130</v>
      </c>
      <c r="H96" s="37" t="s">
        <v>131</v>
      </c>
      <c r="I96" s="37" t="s">
        <v>132</v>
      </c>
      <c r="J96" s="16" t="s">
        <v>89</v>
      </c>
      <c r="K96" s="16" t="s">
        <v>70</v>
      </c>
      <c r="L96" s="26">
        <v>7.1399999999999996E-3</v>
      </c>
      <c r="M96" s="27">
        <f t="shared" ref="M96:O97" si="68">L96</f>
        <v>7.1399999999999996E-3</v>
      </c>
      <c r="N96" s="27">
        <f t="shared" si="68"/>
        <v>7.1399999999999996E-3</v>
      </c>
      <c r="O96" s="27">
        <f t="shared" si="68"/>
        <v>7.1399999999999996E-3</v>
      </c>
      <c r="P96" s="37">
        <v>5</v>
      </c>
      <c r="V96" s="28" t="str">
        <f>"UC_Mitigation_"&amp;$J$91&amp;"_MaxShare_GAS-BGS"</f>
        <v>UC_Mitigation_IMAP_MaxShare_GAS-BGS</v>
      </c>
      <c r="W96" s="28" t="str">
        <f>"Maximum share of Gas and Biogas in "&amp;$J$91</f>
        <v>Maximum share of Gas and Biogas in IMAP</v>
      </c>
      <c r="X96" s="42" t="str">
        <f t="shared" si="64"/>
        <v>I-DMD-MAP-E0</v>
      </c>
      <c r="Y96" s="28" t="str">
        <f>Y94</f>
        <v>IND*</v>
      </c>
      <c r="Z96" s="16" t="s">
        <v>139</v>
      </c>
      <c r="AA96" s="28" t="s">
        <v>131</v>
      </c>
      <c r="AB96" s="29">
        <f>1+AB97</f>
        <v>0.12429000000000001</v>
      </c>
      <c r="AC96" s="29">
        <f t="shared" ref="AC96" si="69">1+AC97</f>
        <v>0.12429000000000001</v>
      </c>
      <c r="AD96" s="29">
        <f t="shared" ref="AD96" si="70">1+AD97</f>
        <v>0.12429000000000001</v>
      </c>
      <c r="AE96" s="29">
        <f t="shared" ref="AE96" si="71">1+AE97</f>
        <v>0.12429000000000001</v>
      </c>
      <c r="AF96" s="30">
        <v>0</v>
      </c>
      <c r="AG96" s="30">
        <v>5</v>
      </c>
    </row>
    <row r="97" spans="7:33" x14ac:dyDescent="0.25">
      <c r="G97" s="37" t="s">
        <v>130</v>
      </c>
      <c r="H97" s="37" t="s">
        <v>131</v>
      </c>
      <c r="I97" s="37" t="s">
        <v>132</v>
      </c>
      <c r="J97" s="16" t="s">
        <v>89</v>
      </c>
      <c r="K97" s="16" t="s">
        <v>72</v>
      </c>
      <c r="L97" s="26">
        <v>0.87570999999999999</v>
      </c>
      <c r="M97" s="27">
        <f t="shared" si="68"/>
        <v>0.87570999999999999</v>
      </c>
      <c r="N97" s="27">
        <f t="shared" si="68"/>
        <v>0.87570999999999999</v>
      </c>
      <c r="O97" s="27">
        <f t="shared" si="68"/>
        <v>0.87570999999999999</v>
      </c>
      <c r="P97" s="37">
        <v>5</v>
      </c>
      <c r="R97" s="36">
        <v>0.05</v>
      </c>
      <c r="S97" s="36">
        <v>0.3</v>
      </c>
      <c r="T97" s="36">
        <v>1</v>
      </c>
      <c r="V97" s="37"/>
      <c r="X97" s="42" t="str">
        <f t="shared" si="64"/>
        <v>I-DMD-MAP-E0</v>
      </c>
      <c r="Y97" s="28" t="s">
        <v>142</v>
      </c>
      <c r="Z97" s="16" t="s">
        <v>139</v>
      </c>
      <c r="AA97" s="28" t="s">
        <v>131</v>
      </c>
      <c r="AB97" s="43">
        <f>-L97</f>
        <v>-0.87570999999999999</v>
      </c>
      <c r="AC97" s="43">
        <f>-M97</f>
        <v>-0.87570999999999999</v>
      </c>
      <c r="AD97" s="43">
        <f>-N97</f>
        <v>-0.87570999999999999</v>
      </c>
      <c r="AE97" s="43">
        <f>-O97</f>
        <v>-0.87570999999999999</v>
      </c>
    </row>
    <row r="98" spans="7:33" x14ac:dyDescent="0.25">
      <c r="G98" s="37" t="s">
        <v>130</v>
      </c>
      <c r="H98" s="37" t="s">
        <v>131</v>
      </c>
      <c r="I98" s="37" t="s">
        <v>132</v>
      </c>
      <c r="J98" s="16" t="s">
        <v>89</v>
      </c>
      <c r="K98" s="16" t="s">
        <v>78</v>
      </c>
      <c r="L98" s="26">
        <v>0.1057</v>
      </c>
      <c r="M98" s="54"/>
      <c r="N98" s="54"/>
      <c r="O98" s="54"/>
      <c r="P98" s="37">
        <v>5</v>
      </c>
      <c r="R98" s="36">
        <v>0.05</v>
      </c>
      <c r="S98" s="36">
        <v>0.3</v>
      </c>
      <c r="T98" s="36">
        <v>1</v>
      </c>
      <c r="V98" s="37" t="s">
        <v>129</v>
      </c>
    </row>
    <row r="99" spans="7:33" x14ac:dyDescent="0.25">
      <c r="G99" s="37" t="s">
        <v>130</v>
      </c>
      <c r="H99" s="37" t="s">
        <v>131</v>
      </c>
      <c r="I99" s="37" t="s">
        <v>132</v>
      </c>
      <c r="J99" s="16" t="s">
        <v>89</v>
      </c>
      <c r="K99" s="37" t="s">
        <v>109</v>
      </c>
      <c r="L99" s="47">
        <v>0</v>
      </c>
      <c r="M99" s="51">
        <f>M93*R97</f>
        <v>8.1000000000000017E-5</v>
      </c>
      <c r="N99" s="51">
        <f>N93*S97</f>
        <v>4.86E-4</v>
      </c>
      <c r="O99" s="51">
        <f>O93*T97</f>
        <v>1.6200000000000001E-3</v>
      </c>
      <c r="P99" s="37">
        <v>5</v>
      </c>
      <c r="R99" s="36">
        <v>0.05</v>
      </c>
      <c r="S99" s="36">
        <v>0.3</v>
      </c>
      <c r="T99" s="36">
        <v>1</v>
      </c>
      <c r="V99" s="37" t="s">
        <v>129</v>
      </c>
    </row>
    <row r="100" spans="7:33" x14ac:dyDescent="0.25">
      <c r="G100" s="37" t="s">
        <v>130</v>
      </c>
      <c r="H100" s="37" t="s">
        <v>131</v>
      </c>
      <c r="I100" s="37" t="s">
        <v>132</v>
      </c>
      <c r="J100" s="16" t="s">
        <v>89</v>
      </c>
      <c r="K100" s="37" t="s">
        <v>110</v>
      </c>
      <c r="L100" s="47">
        <v>0</v>
      </c>
      <c r="M100" s="51">
        <f t="shared" ref="M100:O101" si="72">M96*R98</f>
        <v>3.57E-4</v>
      </c>
      <c r="N100" s="51">
        <f t="shared" si="72"/>
        <v>2.1419999999999998E-3</v>
      </c>
      <c r="O100" s="51">
        <f t="shared" si="72"/>
        <v>7.1399999999999996E-3</v>
      </c>
      <c r="P100" s="37">
        <v>5</v>
      </c>
      <c r="V100" s="37" t="s">
        <v>129</v>
      </c>
    </row>
    <row r="101" spans="7:33" x14ac:dyDescent="0.25">
      <c r="G101" s="38" t="s">
        <v>130</v>
      </c>
      <c r="H101" s="38" t="s">
        <v>131</v>
      </c>
      <c r="I101" s="38" t="s">
        <v>132</v>
      </c>
      <c r="J101" s="38" t="s">
        <v>89</v>
      </c>
      <c r="K101" s="38" t="s">
        <v>80</v>
      </c>
      <c r="L101" s="39">
        <v>0</v>
      </c>
      <c r="M101" s="40">
        <f t="shared" si="72"/>
        <v>4.3785500000000005E-2</v>
      </c>
      <c r="N101" s="40">
        <f t="shared" si="72"/>
        <v>0.26271299999999997</v>
      </c>
      <c r="O101" s="40">
        <f t="shared" si="72"/>
        <v>0.87570999999999999</v>
      </c>
      <c r="P101" s="38">
        <v>5</v>
      </c>
      <c r="V101" s="37" t="s">
        <v>129</v>
      </c>
      <c r="Z101" s="38"/>
    </row>
    <row r="102" spans="7:33" x14ac:dyDescent="0.25">
      <c r="G102" s="19" t="s">
        <v>104</v>
      </c>
      <c r="H102" s="19"/>
      <c r="I102" s="19"/>
      <c r="J102" s="19" t="s">
        <v>120</v>
      </c>
      <c r="K102" s="19"/>
      <c r="L102" s="41"/>
      <c r="M102" s="19"/>
      <c r="N102" s="19"/>
      <c r="O102" s="19"/>
      <c r="P102" s="19"/>
      <c r="V102" s="48" t="str">
        <f>G102</f>
        <v>*Machinery and equipment n.e.c. demand process</v>
      </c>
      <c r="W102" s="49"/>
      <c r="X102" s="49"/>
      <c r="Y102" s="49"/>
      <c r="Z102" s="23"/>
      <c r="AA102" s="49"/>
      <c r="AB102" s="50"/>
      <c r="AC102" s="50"/>
      <c r="AD102" s="50"/>
      <c r="AE102" s="50"/>
      <c r="AF102" s="49"/>
      <c r="AG102" s="49"/>
    </row>
    <row r="103" spans="7:33" x14ac:dyDescent="0.25">
      <c r="G103" s="37" t="s">
        <v>130</v>
      </c>
      <c r="H103" s="37" t="s">
        <v>131</v>
      </c>
      <c r="I103" s="37" t="s">
        <v>132</v>
      </c>
      <c r="J103" s="16" t="s">
        <v>90</v>
      </c>
      <c r="K103" s="16" t="s">
        <v>67</v>
      </c>
      <c r="L103" s="26">
        <v>6.8499999999999993E-3</v>
      </c>
      <c r="M103" s="27">
        <f>L103</f>
        <v>6.8499999999999993E-3</v>
      </c>
      <c r="N103" s="27">
        <f>M103</f>
        <v>6.8499999999999993E-3</v>
      </c>
      <c r="O103" s="27">
        <f>N103</f>
        <v>6.8499999999999993E-3</v>
      </c>
      <c r="P103" s="37">
        <v>5</v>
      </c>
      <c r="V103" s="28" t="str">
        <f>"UC_Mitigation_"&amp;$J$102&amp;"_MaxShare_KER-BKE"</f>
        <v>UC_Mitigation_IMAE_MaxShare_KER-BKE</v>
      </c>
      <c r="W103" s="28" t="str">
        <f>"Maximum share of kerosene and Biokerosene in "&amp;$J$102</f>
        <v>Maximum share of kerosene and Biokerosene in IMAE</v>
      </c>
      <c r="X103" s="25" t="str">
        <f>J103</f>
        <v>I-DMD-MAE-E0</v>
      </c>
      <c r="Y103" s="28" t="s">
        <v>137</v>
      </c>
      <c r="Z103" s="16" t="s">
        <v>139</v>
      </c>
      <c r="AA103" s="42" t="str">
        <f>$AA$20</f>
        <v>UP</v>
      </c>
      <c r="AB103" s="29">
        <f>1+AB104</f>
        <v>0.99314999999999998</v>
      </c>
      <c r="AC103" s="29">
        <f t="shared" ref="AC103" si="73">1+AC104</f>
        <v>0.99314999999999998</v>
      </c>
      <c r="AD103" s="29">
        <f t="shared" ref="AD103" si="74">1+AD104</f>
        <v>0.99314999999999998</v>
      </c>
      <c r="AE103" s="29">
        <f t="shared" ref="AE103" si="75">1+AE104</f>
        <v>0.99314999999999998</v>
      </c>
      <c r="AF103" s="30">
        <v>0</v>
      </c>
      <c r="AG103" s="30">
        <v>5</v>
      </c>
    </row>
    <row r="104" spans="7:33" x14ac:dyDescent="0.25">
      <c r="G104" s="37" t="s">
        <v>130</v>
      </c>
      <c r="H104" s="37" t="s">
        <v>131</v>
      </c>
      <c r="I104" s="37" t="s">
        <v>132</v>
      </c>
      <c r="J104" s="16" t="s">
        <v>90</v>
      </c>
      <c r="K104" s="16" t="s">
        <v>69</v>
      </c>
      <c r="L104" s="26">
        <v>6.7339999999999997E-2</v>
      </c>
      <c r="M104" s="54"/>
      <c r="N104" s="54"/>
      <c r="O104" s="54"/>
      <c r="P104" s="37">
        <v>5</v>
      </c>
      <c r="X104" s="42" t="str">
        <f>X103</f>
        <v>I-DMD-MAE-E0</v>
      </c>
      <c r="Y104" s="28" t="s">
        <v>141</v>
      </c>
      <c r="Z104" s="16" t="s">
        <v>139</v>
      </c>
      <c r="AA104" s="42" t="str">
        <f>$AA$20</f>
        <v>UP</v>
      </c>
      <c r="AB104" s="43">
        <f>-L103</f>
        <v>-6.8499999999999993E-3</v>
      </c>
      <c r="AC104" s="43">
        <f>-M103</f>
        <v>-6.8499999999999993E-3</v>
      </c>
      <c r="AD104" s="43">
        <f>-N103</f>
        <v>-6.8499999999999993E-3</v>
      </c>
      <c r="AE104" s="43">
        <f>-O103</f>
        <v>-6.8499999999999993E-3</v>
      </c>
    </row>
    <row r="105" spans="7:33" x14ac:dyDescent="0.25">
      <c r="G105" s="37" t="s">
        <v>130</v>
      </c>
      <c r="H105" s="37" t="s">
        <v>131</v>
      </c>
      <c r="I105" s="37" t="s">
        <v>132</v>
      </c>
      <c r="J105" s="16" t="s">
        <v>90</v>
      </c>
      <c r="K105" s="16" t="s">
        <v>70</v>
      </c>
      <c r="L105" s="26">
        <v>6.9239999999999996E-2</v>
      </c>
      <c r="M105" s="27">
        <f t="shared" ref="M105:O106" si="76">L105</f>
        <v>6.9239999999999996E-2</v>
      </c>
      <c r="N105" s="27">
        <f t="shared" si="76"/>
        <v>6.9239999999999996E-2</v>
      </c>
      <c r="O105" s="27">
        <f t="shared" si="76"/>
        <v>6.9239999999999996E-2</v>
      </c>
      <c r="P105" s="37">
        <v>5</v>
      </c>
      <c r="V105" s="28" t="str">
        <f>"UC_Mitigation_"&amp;$J$102&amp;"_MaxShare_DST-BDS"</f>
        <v>UC_Mitigation_IMAE_MaxShare_DST-BDS</v>
      </c>
      <c r="W105" s="28" t="str">
        <f>"Maximum share of Diesel and Biodiesel in "&amp;$J$102</f>
        <v>Maximum share of Diesel and Biodiesel in IMAE</v>
      </c>
      <c r="X105" s="42" t="str">
        <f t="shared" ref="X105:X108" si="77">X104</f>
        <v>I-DMD-MAE-E0</v>
      </c>
      <c r="Y105" s="28" t="str">
        <f>Y103</f>
        <v>IND*</v>
      </c>
      <c r="Z105" s="16" t="s">
        <v>139</v>
      </c>
      <c r="AA105" s="42" t="str">
        <f>$AA$20</f>
        <v>UP</v>
      </c>
      <c r="AB105" s="29">
        <f>1+AB106</f>
        <v>0.93076000000000003</v>
      </c>
      <c r="AC105" s="29">
        <f t="shared" ref="AC105" si="78">1+AC106</f>
        <v>0.93076000000000003</v>
      </c>
      <c r="AD105" s="29">
        <f t="shared" ref="AD105" si="79">1+AD106</f>
        <v>0.93076000000000003</v>
      </c>
      <c r="AE105" s="29">
        <f t="shared" ref="AE105" si="80">1+AE106</f>
        <v>0.93076000000000003</v>
      </c>
      <c r="AF105" s="30">
        <v>0</v>
      </c>
      <c r="AG105" s="30">
        <v>5</v>
      </c>
    </row>
    <row r="106" spans="7:33" x14ac:dyDescent="0.25">
      <c r="G106" s="37" t="s">
        <v>130</v>
      </c>
      <c r="H106" s="37" t="s">
        <v>131</v>
      </c>
      <c r="I106" s="37" t="s">
        <v>132</v>
      </c>
      <c r="J106" s="16" t="s">
        <v>90</v>
      </c>
      <c r="K106" s="16" t="s">
        <v>72</v>
      </c>
      <c r="L106" s="26">
        <v>0.25886999999999999</v>
      </c>
      <c r="M106" s="27">
        <f t="shared" si="76"/>
        <v>0.25886999999999999</v>
      </c>
      <c r="N106" s="27">
        <f t="shared" si="76"/>
        <v>0.25886999999999999</v>
      </c>
      <c r="O106" s="27">
        <f t="shared" si="76"/>
        <v>0.25886999999999999</v>
      </c>
      <c r="P106" s="37">
        <v>5</v>
      </c>
      <c r="R106" s="36">
        <v>0.05</v>
      </c>
      <c r="S106" s="36">
        <v>0.3</v>
      </c>
      <c r="T106" s="36">
        <v>1</v>
      </c>
      <c r="X106" s="42" t="str">
        <f t="shared" si="77"/>
        <v>I-DMD-MAE-E0</v>
      </c>
      <c r="Y106" s="28" t="s">
        <v>140</v>
      </c>
      <c r="Z106" s="16" t="s">
        <v>139</v>
      </c>
      <c r="AA106" s="42" t="str">
        <f>$AA$20</f>
        <v>UP</v>
      </c>
      <c r="AB106" s="43">
        <f>-L105</f>
        <v>-6.9239999999999996E-2</v>
      </c>
      <c r="AC106" s="43">
        <f>-M105</f>
        <v>-6.9239999999999996E-2</v>
      </c>
      <c r="AD106" s="43">
        <f>-N105</f>
        <v>-6.9239999999999996E-2</v>
      </c>
      <c r="AE106" s="43">
        <f>-O105</f>
        <v>-6.9239999999999996E-2</v>
      </c>
    </row>
    <row r="107" spans="7:33" x14ac:dyDescent="0.25">
      <c r="G107" s="37" t="s">
        <v>130</v>
      </c>
      <c r="H107" s="37" t="s">
        <v>131</v>
      </c>
      <c r="I107" s="37" t="s">
        <v>132</v>
      </c>
      <c r="J107" s="16" t="s">
        <v>90</v>
      </c>
      <c r="K107" s="16" t="s">
        <v>78</v>
      </c>
      <c r="L107" s="26">
        <v>0.59772999999999998</v>
      </c>
      <c r="M107" s="54"/>
      <c r="N107" s="54"/>
      <c r="O107" s="54"/>
      <c r="P107" s="37">
        <v>5</v>
      </c>
      <c r="R107" s="36">
        <v>0.05</v>
      </c>
      <c r="S107" s="36">
        <v>0.3</v>
      </c>
      <c r="T107" s="36">
        <v>1</v>
      </c>
      <c r="V107" s="28" t="str">
        <f>"UC_Mitigation_"&amp;$J$102&amp;"_MaxShare_GAS-BGS"</f>
        <v>UC_Mitigation_IMAE_MaxShare_GAS-BGS</v>
      </c>
      <c r="W107" s="28" t="str">
        <f>"Maximum share of Gas and Biogas in "&amp;$J$102</f>
        <v>Maximum share of Gas and Biogas in IMAE</v>
      </c>
      <c r="X107" s="42" t="str">
        <f t="shared" si="77"/>
        <v>I-DMD-MAE-E0</v>
      </c>
      <c r="Y107" s="28" t="str">
        <f>Y105</f>
        <v>IND*</v>
      </c>
      <c r="Z107" s="16" t="s">
        <v>139</v>
      </c>
      <c r="AA107" s="28" t="s">
        <v>131</v>
      </c>
      <c r="AB107" s="29">
        <f>1+AB108</f>
        <v>0.74113000000000007</v>
      </c>
      <c r="AC107" s="29">
        <f t="shared" ref="AC107" si="81">1+AC108</f>
        <v>0.74113000000000007</v>
      </c>
      <c r="AD107" s="29">
        <f t="shared" ref="AD107" si="82">1+AD108</f>
        <v>0.74113000000000007</v>
      </c>
      <c r="AE107" s="29">
        <f t="shared" ref="AE107" si="83">1+AE108</f>
        <v>0.74113000000000007</v>
      </c>
      <c r="AF107" s="30">
        <v>0</v>
      </c>
      <c r="AG107" s="30">
        <v>5</v>
      </c>
    </row>
    <row r="108" spans="7:33" x14ac:dyDescent="0.25">
      <c r="G108" s="37" t="s">
        <v>130</v>
      </c>
      <c r="H108" s="37" t="s">
        <v>131</v>
      </c>
      <c r="I108" s="37" t="s">
        <v>132</v>
      </c>
      <c r="J108" s="16" t="s">
        <v>90</v>
      </c>
      <c r="K108" s="37" t="s">
        <v>109</v>
      </c>
      <c r="L108" s="47">
        <v>0</v>
      </c>
      <c r="M108" s="51">
        <f>M103*R106</f>
        <v>3.4249999999999998E-4</v>
      </c>
      <c r="N108" s="51">
        <f>N103*S106</f>
        <v>2.0549999999999995E-3</v>
      </c>
      <c r="O108" s="51">
        <f>O103*T106</f>
        <v>6.8499999999999993E-3</v>
      </c>
      <c r="P108" s="37">
        <v>5</v>
      </c>
      <c r="R108" s="36">
        <v>0.05</v>
      </c>
      <c r="S108" s="36">
        <v>0.3</v>
      </c>
      <c r="T108" s="36">
        <v>1</v>
      </c>
      <c r="V108" s="37"/>
      <c r="W108" s="37"/>
      <c r="X108" s="42" t="str">
        <f t="shared" si="77"/>
        <v>I-DMD-MAE-E0</v>
      </c>
      <c r="Y108" s="28" t="s">
        <v>142</v>
      </c>
      <c r="Z108" s="16" t="s">
        <v>139</v>
      </c>
      <c r="AA108" s="28" t="s">
        <v>131</v>
      </c>
      <c r="AB108" s="43">
        <f>-L106</f>
        <v>-0.25886999999999999</v>
      </c>
      <c r="AC108" s="43">
        <f>-M106</f>
        <v>-0.25886999999999999</v>
      </c>
      <c r="AD108" s="43">
        <f>-N106</f>
        <v>-0.25886999999999999</v>
      </c>
      <c r="AE108" s="43">
        <f>-O106</f>
        <v>-0.25886999999999999</v>
      </c>
    </row>
    <row r="109" spans="7:33" x14ac:dyDescent="0.25">
      <c r="G109" s="37" t="s">
        <v>130</v>
      </c>
      <c r="H109" s="37" t="s">
        <v>131</v>
      </c>
      <c r="I109" s="37" t="s">
        <v>132</v>
      </c>
      <c r="J109" s="16" t="s">
        <v>90</v>
      </c>
      <c r="K109" s="37" t="s">
        <v>110</v>
      </c>
      <c r="L109" s="47">
        <v>0</v>
      </c>
      <c r="M109" s="51">
        <f t="shared" ref="M109:O110" si="84">M105*R107</f>
        <v>3.4619999999999998E-3</v>
      </c>
      <c r="N109" s="51">
        <f t="shared" si="84"/>
        <v>2.0771999999999999E-2</v>
      </c>
      <c r="O109" s="51">
        <f t="shared" si="84"/>
        <v>6.9239999999999996E-2</v>
      </c>
      <c r="P109" s="37">
        <v>5</v>
      </c>
      <c r="V109" s="16" t="s">
        <v>129</v>
      </c>
    </row>
    <row r="110" spans="7:33" x14ac:dyDescent="0.25">
      <c r="G110" s="38" t="s">
        <v>130</v>
      </c>
      <c r="H110" s="38" t="s">
        <v>131</v>
      </c>
      <c r="I110" s="38" t="s">
        <v>132</v>
      </c>
      <c r="J110" s="38" t="s">
        <v>90</v>
      </c>
      <c r="K110" s="38" t="s">
        <v>80</v>
      </c>
      <c r="L110" s="39">
        <v>0</v>
      </c>
      <c r="M110" s="40">
        <f t="shared" si="84"/>
        <v>1.29435E-2</v>
      </c>
      <c r="N110" s="40">
        <f t="shared" si="84"/>
        <v>7.7660999999999994E-2</v>
      </c>
      <c r="O110" s="40">
        <f t="shared" si="84"/>
        <v>0.25886999999999999</v>
      </c>
      <c r="P110" s="38">
        <v>5</v>
      </c>
      <c r="V110" s="16" t="s">
        <v>129</v>
      </c>
      <c r="Z110" s="38"/>
    </row>
    <row r="111" spans="7:33" x14ac:dyDescent="0.25">
      <c r="G111" s="19" t="s">
        <v>105</v>
      </c>
      <c r="H111" s="19"/>
      <c r="I111" s="19"/>
      <c r="J111" s="19" t="s">
        <v>121</v>
      </c>
      <c r="K111" s="19"/>
      <c r="L111" s="41"/>
      <c r="M111" s="19"/>
      <c r="N111" s="19"/>
      <c r="O111" s="19"/>
      <c r="P111" s="19"/>
      <c r="V111" s="48" t="str">
        <f>G111</f>
        <v>*Electrical and optical equipment demand process</v>
      </c>
      <c r="W111" s="49"/>
      <c r="X111" s="49"/>
      <c r="Y111" s="49"/>
      <c r="Z111" s="23"/>
      <c r="AA111" s="49"/>
      <c r="AB111" s="50"/>
      <c r="AC111" s="50"/>
      <c r="AD111" s="50"/>
      <c r="AE111" s="50"/>
      <c r="AF111" s="49"/>
      <c r="AG111" s="49"/>
    </row>
    <row r="112" spans="7:33" x14ac:dyDescent="0.25">
      <c r="G112" s="37" t="s">
        <v>130</v>
      </c>
      <c r="H112" s="37" t="s">
        <v>131</v>
      </c>
      <c r="I112" s="37" t="s">
        <v>132</v>
      </c>
      <c r="J112" s="16" t="s">
        <v>91</v>
      </c>
      <c r="K112" s="16" t="s">
        <v>67</v>
      </c>
      <c r="L112" s="26">
        <v>4.4199999999999995E-3</v>
      </c>
      <c r="M112" s="27">
        <f>L112</f>
        <v>4.4199999999999995E-3</v>
      </c>
      <c r="N112" s="27">
        <f>M112</f>
        <v>4.4199999999999995E-3</v>
      </c>
      <c r="O112" s="27">
        <f>N112</f>
        <v>4.4199999999999995E-3</v>
      </c>
      <c r="P112" s="37">
        <v>5</v>
      </c>
      <c r="V112" s="28" t="str">
        <f>"UC_Mitigation_"&amp;$J$111&amp;"_MaxShare_KER-BKE"</f>
        <v>UC_Mitigation_IEOE_MaxShare_KER-BKE</v>
      </c>
      <c r="W112" s="28" t="str">
        <f>"Maximum share of kerosene and Biokerosene in "&amp;$J$111</f>
        <v>Maximum share of kerosene and Biokerosene in IEOE</v>
      </c>
      <c r="X112" s="25" t="str">
        <f>J112</f>
        <v>I-DMD-EOE-E0</v>
      </c>
      <c r="Y112" s="28" t="s">
        <v>137</v>
      </c>
      <c r="Z112" s="16" t="s">
        <v>139</v>
      </c>
      <c r="AA112" s="42" t="str">
        <f>$AA$20</f>
        <v>UP</v>
      </c>
      <c r="AB112" s="29">
        <f>1+AB113</f>
        <v>0.99558000000000002</v>
      </c>
      <c r="AC112" s="29">
        <f t="shared" ref="AC112" si="85">1+AC113</f>
        <v>0.99558000000000002</v>
      </c>
      <c r="AD112" s="29">
        <f t="shared" ref="AD112" si="86">1+AD113</f>
        <v>0.99558000000000002</v>
      </c>
      <c r="AE112" s="29">
        <f t="shared" ref="AE112" si="87">1+AE113</f>
        <v>0.99558000000000002</v>
      </c>
      <c r="AF112" s="30">
        <v>0</v>
      </c>
      <c r="AG112" s="30">
        <v>5</v>
      </c>
    </row>
    <row r="113" spans="7:33" x14ac:dyDescent="0.25">
      <c r="G113" s="37" t="s">
        <v>130</v>
      </c>
      <c r="H113" s="37" t="s">
        <v>131</v>
      </c>
      <c r="I113" s="37" t="s">
        <v>132</v>
      </c>
      <c r="J113" s="16" t="s">
        <v>91</v>
      </c>
      <c r="K113" s="16" t="s">
        <v>69</v>
      </c>
      <c r="L113" s="26">
        <v>2.0479999999999998E-2</v>
      </c>
      <c r="M113" s="54"/>
      <c r="N113" s="54"/>
      <c r="O113" s="54"/>
      <c r="P113" s="37">
        <v>5</v>
      </c>
      <c r="X113" s="25" t="str">
        <f>X112</f>
        <v>I-DMD-EOE-E0</v>
      </c>
      <c r="Y113" s="28" t="s">
        <v>141</v>
      </c>
      <c r="Z113" s="16" t="s">
        <v>139</v>
      </c>
      <c r="AA113" s="42" t="str">
        <f>$AA$20</f>
        <v>UP</v>
      </c>
      <c r="AB113" s="43">
        <f>-L112</f>
        <v>-4.4199999999999995E-3</v>
      </c>
      <c r="AC113" s="43">
        <f>-M112</f>
        <v>-4.4199999999999995E-3</v>
      </c>
      <c r="AD113" s="43">
        <f>-N112</f>
        <v>-4.4199999999999995E-3</v>
      </c>
      <c r="AE113" s="43">
        <f>-O112</f>
        <v>-4.4199999999999995E-3</v>
      </c>
    </row>
    <row r="114" spans="7:33" x14ac:dyDescent="0.25">
      <c r="G114" s="37" t="s">
        <v>130</v>
      </c>
      <c r="H114" s="37" t="s">
        <v>131</v>
      </c>
      <c r="I114" s="37" t="s">
        <v>132</v>
      </c>
      <c r="J114" s="16" t="s">
        <v>91</v>
      </c>
      <c r="K114" s="16" t="s">
        <v>70</v>
      </c>
      <c r="L114" s="26">
        <v>9.7299999999999991E-3</v>
      </c>
      <c r="M114" s="27">
        <f t="shared" ref="M114:O115" si="88">L114</f>
        <v>9.7299999999999991E-3</v>
      </c>
      <c r="N114" s="27">
        <f t="shared" si="88"/>
        <v>9.7299999999999991E-3</v>
      </c>
      <c r="O114" s="27">
        <f t="shared" si="88"/>
        <v>9.7299999999999991E-3</v>
      </c>
      <c r="P114" s="37">
        <v>5</v>
      </c>
      <c r="V114" s="28" t="str">
        <f>"UC_Mitigation_"&amp;$J$111&amp;"_MaxShare_DST-BDS"</f>
        <v>UC_Mitigation_IEOE_MaxShare_DST-BDS</v>
      </c>
      <c r="W114" s="28" t="str">
        <f>"Maximum share of Diesel and Biodiesel in "&amp;$J$111</f>
        <v>Maximum share of Diesel and Biodiesel in IEOE</v>
      </c>
      <c r="X114" s="25" t="str">
        <f t="shared" ref="X114:X117" si="89">X113</f>
        <v>I-DMD-EOE-E0</v>
      </c>
      <c r="Y114" s="28" t="str">
        <f>Y112</f>
        <v>IND*</v>
      </c>
      <c r="Z114" s="16" t="s">
        <v>139</v>
      </c>
      <c r="AA114" s="42" t="str">
        <f>$AA$20</f>
        <v>UP</v>
      </c>
      <c r="AB114" s="29">
        <f>1+AB115</f>
        <v>0.99026999999999998</v>
      </c>
      <c r="AC114" s="29">
        <f t="shared" ref="AC114" si="90">1+AC115</f>
        <v>0.99026999999999998</v>
      </c>
      <c r="AD114" s="29">
        <f t="shared" ref="AD114" si="91">1+AD115</f>
        <v>0.99026999999999998</v>
      </c>
      <c r="AE114" s="29">
        <f t="shared" ref="AE114" si="92">1+AE115</f>
        <v>0.99026999999999998</v>
      </c>
      <c r="AF114" s="30">
        <v>0</v>
      </c>
      <c r="AG114" s="30">
        <v>5</v>
      </c>
    </row>
    <row r="115" spans="7:33" x14ac:dyDescent="0.25">
      <c r="G115" s="37" t="s">
        <v>130</v>
      </c>
      <c r="H115" s="37" t="s">
        <v>131</v>
      </c>
      <c r="I115" s="37" t="s">
        <v>132</v>
      </c>
      <c r="J115" s="16" t="s">
        <v>91</v>
      </c>
      <c r="K115" s="16" t="s">
        <v>72</v>
      </c>
      <c r="L115" s="26">
        <v>0.18036000000000002</v>
      </c>
      <c r="M115" s="27">
        <f t="shared" si="88"/>
        <v>0.18036000000000002</v>
      </c>
      <c r="N115" s="27">
        <f t="shared" si="88"/>
        <v>0.18036000000000002</v>
      </c>
      <c r="O115" s="27">
        <f t="shared" si="88"/>
        <v>0.18036000000000002</v>
      </c>
      <c r="P115" s="37">
        <v>5</v>
      </c>
      <c r="R115" s="36">
        <v>0.05</v>
      </c>
      <c r="S115" s="36">
        <v>0.3</v>
      </c>
      <c r="T115" s="36">
        <v>1</v>
      </c>
      <c r="X115" s="25" t="str">
        <f t="shared" si="89"/>
        <v>I-DMD-EOE-E0</v>
      </c>
      <c r="Y115" s="28" t="s">
        <v>140</v>
      </c>
      <c r="Z115" s="16" t="s">
        <v>139</v>
      </c>
      <c r="AA115" s="42" t="str">
        <f>$AA$20</f>
        <v>UP</v>
      </c>
      <c r="AB115" s="43">
        <f>-L114</f>
        <v>-9.7299999999999991E-3</v>
      </c>
      <c r="AC115" s="43">
        <f>-M114</f>
        <v>-9.7299999999999991E-3</v>
      </c>
      <c r="AD115" s="43">
        <f>-N114</f>
        <v>-9.7299999999999991E-3</v>
      </c>
      <c r="AE115" s="43">
        <f>-O114</f>
        <v>-9.7299999999999991E-3</v>
      </c>
    </row>
    <row r="116" spans="7:33" x14ac:dyDescent="0.25">
      <c r="G116" s="37" t="s">
        <v>130</v>
      </c>
      <c r="H116" s="37" t="s">
        <v>131</v>
      </c>
      <c r="I116" s="37" t="s">
        <v>132</v>
      </c>
      <c r="J116" s="16" t="s">
        <v>91</v>
      </c>
      <c r="K116" s="16" t="s">
        <v>78</v>
      </c>
      <c r="L116" s="26">
        <v>0.78503000000000001</v>
      </c>
      <c r="M116" s="54"/>
      <c r="N116" s="54"/>
      <c r="O116" s="54"/>
      <c r="P116" s="37">
        <v>5</v>
      </c>
      <c r="R116" s="36">
        <v>0.05</v>
      </c>
      <c r="S116" s="36">
        <v>0.3</v>
      </c>
      <c r="T116" s="36">
        <v>1</v>
      </c>
      <c r="V116" s="28" t="str">
        <f>"UC_Mitigation_"&amp;$J$111&amp;"_MaxShare_GAS-BGS"</f>
        <v>UC_Mitigation_IEOE_MaxShare_GAS-BGS</v>
      </c>
      <c r="W116" s="28" t="str">
        <f>"Maximum share of Gas and Biogas in "&amp;$J$111</f>
        <v>Maximum share of Gas and Biogas in IEOE</v>
      </c>
      <c r="X116" s="25" t="str">
        <f t="shared" si="89"/>
        <v>I-DMD-EOE-E0</v>
      </c>
      <c r="Y116" s="28" t="str">
        <f>Y114</f>
        <v>IND*</v>
      </c>
      <c r="Z116" s="16" t="s">
        <v>139</v>
      </c>
      <c r="AA116" s="28" t="s">
        <v>131</v>
      </c>
      <c r="AB116" s="29">
        <f>1+AB117</f>
        <v>0.81963999999999992</v>
      </c>
      <c r="AC116" s="29">
        <f t="shared" ref="AC116" si="93">1+AC117</f>
        <v>0.81963999999999992</v>
      </c>
      <c r="AD116" s="29">
        <f t="shared" ref="AD116" si="94">1+AD117</f>
        <v>0.81963999999999992</v>
      </c>
      <c r="AE116" s="29">
        <f t="shared" ref="AE116" si="95">1+AE117</f>
        <v>0.81963999999999992</v>
      </c>
      <c r="AF116" s="30">
        <v>0</v>
      </c>
      <c r="AG116" s="30">
        <v>5</v>
      </c>
    </row>
    <row r="117" spans="7:33" x14ac:dyDescent="0.25">
      <c r="G117" s="37" t="s">
        <v>130</v>
      </c>
      <c r="H117" s="37" t="s">
        <v>131</v>
      </c>
      <c r="I117" s="37" t="s">
        <v>132</v>
      </c>
      <c r="J117" s="16" t="s">
        <v>91</v>
      </c>
      <c r="K117" s="37" t="s">
        <v>109</v>
      </c>
      <c r="L117" s="47">
        <v>0</v>
      </c>
      <c r="M117" s="51">
        <f>M112*R115</f>
        <v>2.2099999999999998E-4</v>
      </c>
      <c r="N117" s="51">
        <f>N112*S115</f>
        <v>1.3259999999999997E-3</v>
      </c>
      <c r="O117" s="51">
        <f>O112*T115</f>
        <v>4.4199999999999995E-3</v>
      </c>
      <c r="P117" s="37">
        <v>5</v>
      </c>
      <c r="R117" s="36">
        <v>0.05</v>
      </c>
      <c r="S117" s="36">
        <v>0.3</v>
      </c>
      <c r="T117" s="36">
        <v>1</v>
      </c>
      <c r="V117" s="37"/>
      <c r="W117" s="37"/>
      <c r="X117" s="25" t="str">
        <f t="shared" si="89"/>
        <v>I-DMD-EOE-E0</v>
      </c>
      <c r="Y117" s="28" t="s">
        <v>142</v>
      </c>
      <c r="Z117" s="16" t="s">
        <v>139</v>
      </c>
      <c r="AA117" s="28" t="s">
        <v>131</v>
      </c>
      <c r="AB117" s="43">
        <f>-L115</f>
        <v>-0.18036000000000002</v>
      </c>
      <c r="AC117" s="43">
        <f>-M115</f>
        <v>-0.18036000000000002</v>
      </c>
      <c r="AD117" s="43">
        <f>-N115</f>
        <v>-0.18036000000000002</v>
      </c>
      <c r="AE117" s="43">
        <f>-O115</f>
        <v>-0.18036000000000002</v>
      </c>
    </row>
    <row r="118" spans="7:33" x14ac:dyDescent="0.25">
      <c r="G118" s="37" t="s">
        <v>130</v>
      </c>
      <c r="H118" s="37" t="s">
        <v>131</v>
      </c>
      <c r="I118" s="37" t="s">
        <v>132</v>
      </c>
      <c r="J118" s="37" t="s">
        <v>91</v>
      </c>
      <c r="K118" s="37" t="s">
        <v>110</v>
      </c>
      <c r="L118" s="47">
        <v>0</v>
      </c>
      <c r="M118" s="51">
        <f t="shared" ref="M118:O119" si="96">M114*R116</f>
        <v>4.8649999999999995E-4</v>
      </c>
      <c r="N118" s="51">
        <f t="shared" si="96"/>
        <v>2.9189999999999997E-3</v>
      </c>
      <c r="O118" s="51">
        <f t="shared" si="96"/>
        <v>9.7299999999999991E-3</v>
      </c>
      <c r="P118" s="37">
        <v>5</v>
      </c>
      <c r="V118" s="16" t="s">
        <v>129</v>
      </c>
    </row>
    <row r="119" spans="7:33" x14ac:dyDescent="0.25">
      <c r="G119" s="38" t="s">
        <v>130</v>
      </c>
      <c r="H119" s="38" t="s">
        <v>131</v>
      </c>
      <c r="I119" s="38" t="s">
        <v>132</v>
      </c>
      <c r="J119" s="38" t="s">
        <v>91</v>
      </c>
      <c r="K119" s="38" t="s">
        <v>80</v>
      </c>
      <c r="L119" s="39">
        <v>0</v>
      </c>
      <c r="M119" s="40">
        <f t="shared" si="96"/>
        <v>9.0180000000000017E-3</v>
      </c>
      <c r="N119" s="40">
        <f t="shared" si="96"/>
        <v>5.4108000000000003E-2</v>
      </c>
      <c r="O119" s="40">
        <f t="shared" si="96"/>
        <v>0.18036000000000002</v>
      </c>
      <c r="P119" s="38">
        <v>5</v>
      </c>
      <c r="V119" s="16" t="s">
        <v>129</v>
      </c>
      <c r="Z119" s="38"/>
    </row>
    <row r="120" spans="7:33" x14ac:dyDescent="0.25">
      <c r="G120" s="19" t="s">
        <v>106</v>
      </c>
      <c r="H120" s="19"/>
      <c r="I120" s="19"/>
      <c r="J120" s="19" t="s">
        <v>122</v>
      </c>
      <c r="K120" s="19"/>
      <c r="L120" s="41"/>
      <c r="M120" s="19"/>
      <c r="N120" s="19"/>
      <c r="O120" s="19"/>
      <c r="P120" s="19"/>
      <c r="V120" s="48" t="str">
        <f>G120</f>
        <v>*Transport equipment manufacture demand process</v>
      </c>
      <c r="W120" s="49"/>
      <c r="X120" s="49"/>
      <c r="Y120" s="49"/>
      <c r="Z120" s="23"/>
      <c r="AA120" s="49"/>
      <c r="AB120" s="50"/>
      <c r="AC120" s="50"/>
      <c r="AD120" s="50"/>
      <c r="AE120" s="50"/>
      <c r="AF120" s="49"/>
      <c r="AG120" s="49"/>
    </row>
    <row r="121" spans="7:33" x14ac:dyDescent="0.25">
      <c r="G121" s="37" t="s">
        <v>130</v>
      </c>
      <c r="H121" s="37" t="s">
        <v>131</v>
      </c>
      <c r="I121" s="37" t="s">
        <v>132</v>
      </c>
      <c r="J121" s="16" t="s">
        <v>92</v>
      </c>
      <c r="K121" s="16" t="s">
        <v>67</v>
      </c>
      <c r="L121" s="26">
        <v>1.329E-2</v>
      </c>
      <c r="M121" s="27">
        <f>L121</f>
        <v>1.329E-2</v>
      </c>
      <c r="N121" s="27">
        <f>M121</f>
        <v>1.329E-2</v>
      </c>
      <c r="O121" s="27">
        <f>N121</f>
        <v>1.329E-2</v>
      </c>
      <c r="P121" s="37">
        <v>5</v>
      </c>
      <c r="V121" s="28" t="str">
        <f>"UC_Mitigation_"&amp;$J$120&amp;"_MaxShare_KER-BKE"</f>
        <v>UC_Mitigation_ITEM_MaxShare_KER-BKE</v>
      </c>
      <c r="W121" s="28" t="str">
        <f>"Maximum share of kerosene and Biokerosene in "&amp;$J$120</f>
        <v>Maximum share of kerosene and Biokerosene in ITEM</v>
      </c>
      <c r="X121" s="25" t="str">
        <f>J121</f>
        <v>I-DMD-TEM-E0</v>
      </c>
      <c r="Y121" s="28" t="s">
        <v>137</v>
      </c>
      <c r="Z121" s="16" t="s">
        <v>139</v>
      </c>
      <c r="AA121" s="42" t="str">
        <f>$AA$20</f>
        <v>UP</v>
      </c>
      <c r="AB121" s="29">
        <f>1+AB122</f>
        <v>0.98670999999999998</v>
      </c>
      <c r="AC121" s="29">
        <f t="shared" ref="AC121" si="97">1+AC122</f>
        <v>0.98670999999999998</v>
      </c>
      <c r="AD121" s="29">
        <f t="shared" ref="AD121" si="98">1+AD122</f>
        <v>0.98670999999999998</v>
      </c>
      <c r="AE121" s="29">
        <f t="shared" ref="AE121" si="99">1+AE122</f>
        <v>0.98670999999999998</v>
      </c>
      <c r="AF121" s="30">
        <v>0</v>
      </c>
      <c r="AG121" s="30">
        <v>5</v>
      </c>
    </row>
    <row r="122" spans="7:33" x14ac:dyDescent="0.25">
      <c r="G122" s="37" t="s">
        <v>130</v>
      </c>
      <c r="H122" s="37" t="s">
        <v>131</v>
      </c>
      <c r="I122" s="37" t="s">
        <v>132</v>
      </c>
      <c r="J122" s="16" t="s">
        <v>92</v>
      </c>
      <c r="K122" s="16" t="s">
        <v>69</v>
      </c>
      <c r="L122" s="26">
        <v>0.23409000000000002</v>
      </c>
      <c r="M122" s="54"/>
      <c r="N122" s="54"/>
      <c r="O122" s="54"/>
      <c r="P122" s="37">
        <v>5</v>
      </c>
      <c r="X122" s="42" t="str">
        <f>X121</f>
        <v>I-DMD-TEM-E0</v>
      </c>
      <c r="Y122" s="28" t="s">
        <v>141</v>
      </c>
      <c r="Z122" s="16" t="s">
        <v>139</v>
      </c>
      <c r="AA122" s="42" t="str">
        <f>$AA$20</f>
        <v>UP</v>
      </c>
      <c r="AB122" s="43">
        <f>-L121</f>
        <v>-1.329E-2</v>
      </c>
      <c r="AC122" s="43">
        <f>-M121</f>
        <v>-1.329E-2</v>
      </c>
      <c r="AD122" s="43">
        <f>-N121</f>
        <v>-1.329E-2</v>
      </c>
      <c r="AE122" s="43">
        <f>-O121</f>
        <v>-1.329E-2</v>
      </c>
    </row>
    <row r="123" spans="7:33" x14ac:dyDescent="0.25">
      <c r="G123" s="37" t="s">
        <v>130</v>
      </c>
      <c r="H123" s="37" t="s">
        <v>131</v>
      </c>
      <c r="I123" s="37" t="s">
        <v>132</v>
      </c>
      <c r="J123" s="16" t="s">
        <v>92</v>
      </c>
      <c r="K123" s="16" t="s">
        <v>70</v>
      </c>
      <c r="L123" s="26">
        <v>0.11037999999999999</v>
      </c>
      <c r="M123" s="27">
        <f t="shared" ref="M123:O124" si="100">L123</f>
        <v>0.11037999999999999</v>
      </c>
      <c r="N123" s="27">
        <f t="shared" si="100"/>
        <v>0.11037999999999999</v>
      </c>
      <c r="O123" s="27">
        <f t="shared" si="100"/>
        <v>0.11037999999999999</v>
      </c>
      <c r="P123" s="37">
        <v>5</v>
      </c>
      <c r="V123" s="28" t="str">
        <f>"UC_Mitigation_"&amp;$J$120&amp;"_MaxShare_DST-BDS"</f>
        <v>UC_Mitigation_ITEM_MaxShare_DST-BDS</v>
      </c>
      <c r="W123" s="28" t="str">
        <f>"Maximum share of Diesel and Biodiesel in "&amp;$J$120</f>
        <v>Maximum share of Diesel and Biodiesel in ITEM</v>
      </c>
      <c r="X123" s="42" t="str">
        <f t="shared" ref="X123:X126" si="101">X122</f>
        <v>I-DMD-TEM-E0</v>
      </c>
      <c r="Y123" s="28" t="str">
        <f>Y121</f>
        <v>IND*</v>
      </c>
      <c r="Z123" s="16" t="s">
        <v>139</v>
      </c>
      <c r="AA123" s="42" t="str">
        <f>$AA$20</f>
        <v>UP</v>
      </c>
      <c r="AB123" s="29">
        <f>1+AB124</f>
        <v>0.88961999999999997</v>
      </c>
      <c r="AC123" s="29">
        <f t="shared" ref="AC123" si="102">1+AC124</f>
        <v>0.88961999999999997</v>
      </c>
      <c r="AD123" s="29">
        <f t="shared" ref="AD123" si="103">1+AD124</f>
        <v>0.88961999999999997</v>
      </c>
      <c r="AE123" s="29">
        <f t="shared" ref="AE123" si="104">1+AE124</f>
        <v>0.88961999999999997</v>
      </c>
      <c r="AF123" s="30">
        <v>0</v>
      </c>
      <c r="AG123" s="30">
        <v>5</v>
      </c>
    </row>
    <row r="124" spans="7:33" x14ac:dyDescent="0.25">
      <c r="G124" s="37" t="s">
        <v>130</v>
      </c>
      <c r="H124" s="37" t="s">
        <v>131</v>
      </c>
      <c r="I124" s="37" t="s">
        <v>132</v>
      </c>
      <c r="J124" s="16" t="s">
        <v>92</v>
      </c>
      <c r="K124" s="16" t="s">
        <v>72</v>
      </c>
      <c r="L124" s="26">
        <v>6.8589999999999998E-2</v>
      </c>
      <c r="M124" s="27">
        <f t="shared" si="100"/>
        <v>6.8589999999999998E-2</v>
      </c>
      <c r="N124" s="27">
        <f t="shared" si="100"/>
        <v>6.8589999999999998E-2</v>
      </c>
      <c r="O124" s="27">
        <f t="shared" si="100"/>
        <v>6.8589999999999998E-2</v>
      </c>
      <c r="P124" s="37">
        <v>5</v>
      </c>
      <c r="R124" s="36">
        <v>0.05</v>
      </c>
      <c r="S124" s="36">
        <v>0.3</v>
      </c>
      <c r="T124" s="36">
        <v>1</v>
      </c>
      <c r="X124" s="42" t="str">
        <f t="shared" si="101"/>
        <v>I-DMD-TEM-E0</v>
      </c>
      <c r="Y124" s="28" t="s">
        <v>140</v>
      </c>
      <c r="Z124" s="16" t="s">
        <v>139</v>
      </c>
      <c r="AA124" s="42" t="str">
        <f>$AA$20</f>
        <v>UP</v>
      </c>
      <c r="AB124" s="43">
        <f>-L123</f>
        <v>-0.11037999999999999</v>
      </c>
      <c r="AC124" s="43">
        <f>-M123</f>
        <v>-0.11037999999999999</v>
      </c>
      <c r="AD124" s="43">
        <f>-N123</f>
        <v>-0.11037999999999999</v>
      </c>
      <c r="AE124" s="43">
        <f>-O123</f>
        <v>-0.11037999999999999</v>
      </c>
    </row>
    <row r="125" spans="7:33" x14ac:dyDescent="0.25">
      <c r="G125" s="37" t="s">
        <v>130</v>
      </c>
      <c r="H125" s="37" t="s">
        <v>131</v>
      </c>
      <c r="I125" s="37" t="s">
        <v>132</v>
      </c>
      <c r="J125" s="16" t="s">
        <v>92</v>
      </c>
      <c r="K125" s="16" t="s">
        <v>78</v>
      </c>
      <c r="L125" s="26">
        <v>0.57367999999999997</v>
      </c>
      <c r="M125" s="54"/>
      <c r="N125" s="54"/>
      <c r="O125" s="54"/>
      <c r="P125" s="37">
        <v>5</v>
      </c>
      <c r="R125" s="36">
        <v>0.05</v>
      </c>
      <c r="S125" s="36">
        <v>0.3</v>
      </c>
      <c r="T125" s="36">
        <v>1</v>
      </c>
      <c r="V125" s="28" t="str">
        <f>"UC_Mitigation_"&amp;$J$120&amp;"_MaxShare_GAS-BGS"</f>
        <v>UC_Mitigation_ITEM_MaxShare_GAS-BGS</v>
      </c>
      <c r="W125" s="28" t="str">
        <f>"Maximum share of Gas and Biogas in "&amp;$J$120</f>
        <v>Maximum share of Gas and Biogas in ITEM</v>
      </c>
      <c r="X125" s="42" t="str">
        <f t="shared" si="101"/>
        <v>I-DMD-TEM-E0</v>
      </c>
      <c r="Y125" s="28" t="str">
        <f>Y123</f>
        <v>IND*</v>
      </c>
      <c r="Z125" s="16" t="s">
        <v>139</v>
      </c>
      <c r="AA125" s="28" t="s">
        <v>131</v>
      </c>
      <c r="AB125" s="29">
        <f>1+AB126</f>
        <v>0.93140999999999996</v>
      </c>
      <c r="AC125" s="29">
        <f t="shared" ref="AC125" si="105">1+AC126</f>
        <v>0.93140999999999996</v>
      </c>
      <c r="AD125" s="29">
        <f t="shared" ref="AD125" si="106">1+AD126</f>
        <v>0.93140999999999996</v>
      </c>
      <c r="AE125" s="29">
        <f t="shared" ref="AE125" si="107">1+AE126</f>
        <v>0.93140999999999996</v>
      </c>
      <c r="AF125" s="30">
        <v>0</v>
      </c>
      <c r="AG125" s="30">
        <v>5</v>
      </c>
    </row>
    <row r="126" spans="7:33" x14ac:dyDescent="0.25">
      <c r="G126" s="37" t="s">
        <v>130</v>
      </c>
      <c r="H126" s="37" t="s">
        <v>131</v>
      </c>
      <c r="I126" s="37" t="s">
        <v>132</v>
      </c>
      <c r="J126" s="16" t="s">
        <v>92</v>
      </c>
      <c r="K126" s="37" t="s">
        <v>109</v>
      </c>
      <c r="L126" s="47">
        <v>0</v>
      </c>
      <c r="M126" s="51">
        <f>M121*R124</f>
        <v>6.6450000000000005E-4</v>
      </c>
      <c r="N126" s="51">
        <f>N121*S124</f>
        <v>3.9870000000000001E-3</v>
      </c>
      <c r="O126" s="51">
        <f>O121*T124</f>
        <v>1.329E-2</v>
      </c>
      <c r="P126" s="37">
        <v>5</v>
      </c>
      <c r="R126" s="36">
        <v>0.05</v>
      </c>
      <c r="S126" s="36">
        <v>0.3</v>
      </c>
      <c r="T126" s="36">
        <v>1</v>
      </c>
      <c r="V126" s="37"/>
      <c r="W126" s="37"/>
      <c r="X126" s="42" t="str">
        <f t="shared" si="101"/>
        <v>I-DMD-TEM-E0</v>
      </c>
      <c r="Y126" s="28" t="s">
        <v>142</v>
      </c>
      <c r="Z126" s="16" t="s">
        <v>139</v>
      </c>
      <c r="AA126" s="28" t="s">
        <v>131</v>
      </c>
      <c r="AB126" s="43">
        <f>-L124</f>
        <v>-6.8589999999999998E-2</v>
      </c>
      <c r="AC126" s="43">
        <f>-M124</f>
        <v>-6.8589999999999998E-2</v>
      </c>
      <c r="AD126" s="43">
        <f>-N124</f>
        <v>-6.8589999999999998E-2</v>
      </c>
      <c r="AE126" s="43">
        <f>-O124</f>
        <v>-6.8589999999999998E-2</v>
      </c>
    </row>
    <row r="127" spans="7:33" x14ac:dyDescent="0.25">
      <c r="G127" s="37" t="s">
        <v>130</v>
      </c>
      <c r="H127" s="37" t="s">
        <v>131</v>
      </c>
      <c r="I127" s="37" t="s">
        <v>132</v>
      </c>
      <c r="J127" s="16" t="s">
        <v>92</v>
      </c>
      <c r="K127" s="37" t="s">
        <v>110</v>
      </c>
      <c r="L127" s="47">
        <v>0</v>
      </c>
      <c r="M127" s="51">
        <f t="shared" ref="M127:O128" si="108">M123*R126</f>
        <v>5.5189999999999996E-3</v>
      </c>
      <c r="N127" s="51">
        <f t="shared" si="108"/>
        <v>3.3113999999999998E-2</v>
      </c>
      <c r="O127" s="51">
        <f t="shared" si="108"/>
        <v>0.11037999999999999</v>
      </c>
      <c r="P127" s="37">
        <v>5</v>
      </c>
      <c r="V127" s="16" t="s">
        <v>129</v>
      </c>
    </row>
    <row r="128" spans="7:33" x14ac:dyDescent="0.25">
      <c r="G128" s="38" t="s">
        <v>130</v>
      </c>
      <c r="H128" s="38" t="s">
        <v>131</v>
      </c>
      <c r="I128" s="38" t="s">
        <v>132</v>
      </c>
      <c r="J128" s="38" t="s">
        <v>92</v>
      </c>
      <c r="K128" s="38" t="s">
        <v>80</v>
      </c>
      <c r="L128" s="39">
        <v>0</v>
      </c>
      <c r="M128" s="40">
        <f t="shared" si="108"/>
        <v>0</v>
      </c>
      <c r="N128" s="40">
        <f t="shared" si="108"/>
        <v>0</v>
      </c>
      <c r="O128" s="40">
        <f t="shared" si="108"/>
        <v>0</v>
      </c>
      <c r="P128" s="38">
        <v>5</v>
      </c>
      <c r="V128" s="16" t="s">
        <v>129</v>
      </c>
      <c r="Z128" s="38"/>
    </row>
    <row r="129" spans="7:33" x14ac:dyDescent="0.25">
      <c r="G129" s="19" t="s">
        <v>107</v>
      </c>
      <c r="H129" s="19"/>
      <c r="I129" s="19"/>
      <c r="J129" s="19" t="s">
        <v>123</v>
      </c>
      <c r="K129" s="19"/>
      <c r="L129" s="41"/>
      <c r="M129" s="19"/>
      <c r="N129" s="19"/>
      <c r="O129" s="19"/>
      <c r="P129" s="19"/>
      <c r="V129" s="48" t="str">
        <f>G129</f>
        <v>*Other manufacturing demand process</v>
      </c>
      <c r="W129" s="49"/>
      <c r="X129" s="49"/>
      <c r="Y129" s="49"/>
      <c r="Z129" s="23"/>
      <c r="AA129" s="49"/>
      <c r="AB129" s="50"/>
      <c r="AC129" s="50"/>
      <c r="AD129" s="50"/>
      <c r="AE129" s="50"/>
      <c r="AF129" s="49"/>
      <c r="AG129" s="49"/>
    </row>
    <row r="130" spans="7:33" x14ac:dyDescent="0.25">
      <c r="G130" s="37" t="s">
        <v>130</v>
      </c>
      <c r="H130" s="37" t="s">
        <v>131</v>
      </c>
      <c r="I130" s="37" t="s">
        <v>132</v>
      </c>
      <c r="J130" s="16" t="s">
        <v>93</v>
      </c>
      <c r="K130" s="16" t="s">
        <v>67</v>
      </c>
      <c r="L130" s="26">
        <v>7.5199999999999998E-3</v>
      </c>
      <c r="M130" s="27">
        <f>L130</f>
        <v>7.5199999999999998E-3</v>
      </c>
      <c r="N130" s="27">
        <f>M130</f>
        <v>7.5199999999999998E-3</v>
      </c>
      <c r="O130" s="27">
        <f>N130</f>
        <v>7.5199999999999998E-3</v>
      </c>
      <c r="P130" s="37">
        <v>5</v>
      </c>
      <c r="V130" s="28" t="str">
        <f>"UC_Mitigation_"&amp;$J$129&amp;"_MaxShare_KER-BKE"</f>
        <v>UC_Mitigation_IOMA_MaxShare_KER-BKE</v>
      </c>
      <c r="W130" s="28" t="str">
        <f>"Maximum share of kerosene and Biokerosene in "&amp;$J$129</f>
        <v>Maximum share of kerosene and Biokerosene in IOMA</v>
      </c>
      <c r="X130" s="25" t="str">
        <f>J130</f>
        <v>I-DMD-OMA-E0</v>
      </c>
      <c r="Y130" s="28" t="s">
        <v>137</v>
      </c>
      <c r="Z130" s="16" t="s">
        <v>139</v>
      </c>
      <c r="AA130" s="42" t="str">
        <f>$AA$20</f>
        <v>UP</v>
      </c>
      <c r="AB130" s="29">
        <f>1+AB131</f>
        <v>0.99248000000000003</v>
      </c>
      <c r="AC130" s="29">
        <f t="shared" ref="AC130" si="109">1+AC131</f>
        <v>0.99248000000000003</v>
      </c>
      <c r="AD130" s="29">
        <f t="shared" ref="AD130" si="110">1+AD131</f>
        <v>0.99248000000000003</v>
      </c>
      <c r="AE130" s="29">
        <f t="shared" ref="AE130" si="111">1+AE131</f>
        <v>0.99248000000000003</v>
      </c>
      <c r="AF130" s="30">
        <v>0</v>
      </c>
      <c r="AG130" s="30">
        <v>5</v>
      </c>
    </row>
    <row r="131" spans="7:33" x14ac:dyDescent="0.25">
      <c r="G131" s="37" t="s">
        <v>130</v>
      </c>
      <c r="H131" s="37" t="s">
        <v>131</v>
      </c>
      <c r="I131" s="37" t="s">
        <v>132</v>
      </c>
      <c r="J131" s="16" t="s">
        <v>93</v>
      </c>
      <c r="K131" s="16" t="s">
        <v>68</v>
      </c>
      <c r="L131" s="26">
        <v>3.585E-2</v>
      </c>
      <c r="M131" s="54"/>
      <c r="N131" s="54"/>
      <c r="O131" s="54"/>
      <c r="P131" s="37">
        <v>5</v>
      </c>
      <c r="X131" s="42" t="str">
        <f>X130</f>
        <v>I-DMD-OMA-E0</v>
      </c>
      <c r="Y131" s="28" t="s">
        <v>141</v>
      </c>
      <c r="Z131" s="16" t="s">
        <v>139</v>
      </c>
      <c r="AA131" s="42" t="str">
        <f>$AA$20</f>
        <v>UP</v>
      </c>
      <c r="AB131" s="43">
        <f>-L130</f>
        <v>-7.5199999999999998E-3</v>
      </c>
      <c r="AC131" s="43">
        <f>-M130</f>
        <v>-7.5199999999999998E-3</v>
      </c>
      <c r="AD131" s="43">
        <f>-N130</f>
        <v>-7.5199999999999998E-3</v>
      </c>
      <c r="AE131" s="43">
        <f>-O130</f>
        <v>-7.5199999999999998E-3</v>
      </c>
    </row>
    <row r="132" spans="7:33" x14ac:dyDescent="0.25">
      <c r="G132" s="37" t="s">
        <v>130</v>
      </c>
      <c r="H132" s="37" t="s">
        <v>131</v>
      </c>
      <c r="I132" s="37" t="s">
        <v>132</v>
      </c>
      <c r="J132" s="16" t="s">
        <v>93</v>
      </c>
      <c r="K132" s="16" t="s">
        <v>69</v>
      </c>
      <c r="L132" s="26">
        <v>4.8580000000000005E-2</v>
      </c>
      <c r="M132" s="54"/>
      <c r="N132" s="54"/>
      <c r="O132" s="54"/>
      <c r="P132" s="37">
        <v>5</v>
      </c>
      <c r="V132" s="28" t="str">
        <f>"UC_Mitigation_"&amp;$J$129&amp;"_MaxShare_DST-BDS"</f>
        <v>UC_Mitigation_IOMA_MaxShare_DST-BDS</v>
      </c>
      <c r="W132" s="28" t="str">
        <f>"Maximum share of Diesel and Biodiesel in "&amp;$J$129</f>
        <v>Maximum share of Diesel and Biodiesel in IOMA</v>
      </c>
      <c r="X132" s="42" t="str">
        <f t="shared" ref="X132:X135" si="112">X131</f>
        <v>I-DMD-OMA-E0</v>
      </c>
      <c r="Y132" s="28" t="str">
        <f>Y130</f>
        <v>IND*</v>
      </c>
      <c r="Z132" s="16" t="s">
        <v>139</v>
      </c>
      <c r="AA132" s="42" t="str">
        <f>$AA$20</f>
        <v>UP</v>
      </c>
      <c r="AB132" s="29">
        <f>1+AB133</f>
        <v>0.96880999999999995</v>
      </c>
      <c r="AC132" s="29">
        <f t="shared" ref="AC132" si="113">1+AC133</f>
        <v>0.96880999999999995</v>
      </c>
      <c r="AD132" s="29">
        <f t="shared" ref="AD132" si="114">1+AD133</f>
        <v>0.96880999999999995</v>
      </c>
      <c r="AE132" s="29">
        <f t="shared" ref="AE132" si="115">1+AE133</f>
        <v>0.96880999999999995</v>
      </c>
      <c r="AF132" s="30">
        <v>0</v>
      </c>
      <c r="AG132" s="30">
        <v>5</v>
      </c>
    </row>
    <row r="133" spans="7:33" x14ac:dyDescent="0.25">
      <c r="G133" s="37" t="s">
        <v>130</v>
      </c>
      <c r="H133" s="37" t="s">
        <v>131</v>
      </c>
      <c r="I133" s="37" t="s">
        <v>132</v>
      </c>
      <c r="J133" s="16" t="s">
        <v>93</v>
      </c>
      <c r="K133" s="16" t="s">
        <v>70</v>
      </c>
      <c r="L133" s="26">
        <v>3.1189999999999999E-2</v>
      </c>
      <c r="M133" s="27">
        <f t="shared" ref="M133:O134" si="116">L133</f>
        <v>3.1189999999999999E-2</v>
      </c>
      <c r="N133" s="27">
        <f t="shared" si="116"/>
        <v>3.1189999999999999E-2</v>
      </c>
      <c r="O133" s="27">
        <f t="shared" si="116"/>
        <v>3.1189999999999999E-2</v>
      </c>
      <c r="P133" s="37">
        <v>5</v>
      </c>
      <c r="X133" s="42" t="str">
        <f t="shared" si="112"/>
        <v>I-DMD-OMA-E0</v>
      </c>
      <c r="Y133" s="28" t="s">
        <v>140</v>
      </c>
      <c r="Z133" s="16" t="s">
        <v>139</v>
      </c>
      <c r="AA133" s="42" t="str">
        <f>$AA$20</f>
        <v>UP</v>
      </c>
      <c r="AB133" s="43">
        <f>-L133</f>
        <v>-3.1189999999999999E-2</v>
      </c>
      <c r="AC133" s="43">
        <f>-M133</f>
        <v>-3.1189999999999999E-2</v>
      </c>
      <c r="AD133" s="43">
        <f>-N133</f>
        <v>-3.1189999999999999E-2</v>
      </c>
      <c r="AE133" s="43">
        <f>-O133</f>
        <v>-3.1189999999999999E-2</v>
      </c>
    </row>
    <row r="134" spans="7:33" x14ac:dyDescent="0.25">
      <c r="G134" s="37" t="s">
        <v>130</v>
      </c>
      <c r="H134" s="37" t="s">
        <v>131</v>
      </c>
      <c r="I134" s="37" t="s">
        <v>132</v>
      </c>
      <c r="J134" s="16" t="s">
        <v>93</v>
      </c>
      <c r="K134" s="16" t="s">
        <v>72</v>
      </c>
      <c r="L134" s="26">
        <v>0.29536000000000001</v>
      </c>
      <c r="M134" s="27">
        <f t="shared" si="116"/>
        <v>0.29536000000000001</v>
      </c>
      <c r="N134" s="27">
        <f t="shared" si="116"/>
        <v>0.29536000000000001</v>
      </c>
      <c r="O134" s="27">
        <f t="shared" si="116"/>
        <v>0.29536000000000001</v>
      </c>
      <c r="P134" s="37">
        <v>5</v>
      </c>
      <c r="R134" s="36">
        <v>0.05</v>
      </c>
      <c r="S134" s="36">
        <v>0.3</v>
      </c>
      <c r="T134" s="36">
        <v>1</v>
      </c>
      <c r="V134" s="28" t="str">
        <f>"UC_Mitigation_"&amp;$J$129&amp;"_MaxShare_GAS-BGS"</f>
        <v>UC_Mitigation_IOMA_MaxShare_GAS-BGS</v>
      </c>
      <c r="W134" s="28" t="str">
        <f>"Maximum share of Gas and Biogas in "&amp;$J$129</f>
        <v>Maximum share of Gas and Biogas in IOMA</v>
      </c>
      <c r="X134" s="42" t="str">
        <f t="shared" si="112"/>
        <v>I-DMD-OMA-E0</v>
      </c>
      <c r="Y134" s="28" t="str">
        <f>Y132</f>
        <v>IND*</v>
      </c>
      <c r="Z134" s="16" t="s">
        <v>139</v>
      </c>
      <c r="AA134" s="28" t="s">
        <v>131</v>
      </c>
      <c r="AB134" s="29">
        <f>1+AB135</f>
        <v>0.70463999999999993</v>
      </c>
      <c r="AC134" s="29">
        <f t="shared" ref="AC134" si="117">1+AC135</f>
        <v>0.70463999999999993</v>
      </c>
      <c r="AD134" s="29">
        <f t="shared" ref="AD134" si="118">1+AD135</f>
        <v>0.70463999999999993</v>
      </c>
      <c r="AE134" s="29">
        <f t="shared" ref="AE134" si="119">1+AE135</f>
        <v>0.70463999999999993</v>
      </c>
      <c r="AF134" s="30">
        <v>0</v>
      </c>
      <c r="AG134" s="30">
        <v>5</v>
      </c>
    </row>
    <row r="135" spans="7:33" x14ac:dyDescent="0.25">
      <c r="G135" s="37" t="s">
        <v>130</v>
      </c>
      <c r="H135" s="37" t="s">
        <v>131</v>
      </c>
      <c r="I135" s="37" t="s">
        <v>132</v>
      </c>
      <c r="J135" s="16" t="s">
        <v>93</v>
      </c>
      <c r="K135" s="16" t="s">
        <v>78</v>
      </c>
      <c r="L135" s="26">
        <v>0.58152999999999999</v>
      </c>
      <c r="M135" s="54"/>
      <c r="N135" s="54"/>
      <c r="O135" s="54"/>
      <c r="P135" s="37">
        <v>5</v>
      </c>
      <c r="R135" s="36">
        <v>0.05</v>
      </c>
      <c r="S135" s="36">
        <v>0.3</v>
      </c>
      <c r="T135" s="36">
        <v>1</v>
      </c>
      <c r="V135" s="37"/>
      <c r="W135" s="37"/>
      <c r="X135" s="42" t="str">
        <f t="shared" si="112"/>
        <v>I-DMD-OMA-E0</v>
      </c>
      <c r="Y135" s="28" t="s">
        <v>142</v>
      </c>
      <c r="Z135" s="16" t="s">
        <v>139</v>
      </c>
      <c r="AA135" s="28" t="s">
        <v>131</v>
      </c>
      <c r="AB135" s="43">
        <f>-L134</f>
        <v>-0.29536000000000001</v>
      </c>
      <c r="AC135" s="43">
        <f>-M134</f>
        <v>-0.29536000000000001</v>
      </c>
      <c r="AD135" s="43">
        <f>-N134</f>
        <v>-0.29536000000000001</v>
      </c>
      <c r="AE135" s="43">
        <f>-O134</f>
        <v>-0.29536000000000001</v>
      </c>
    </row>
    <row r="136" spans="7:33" x14ac:dyDescent="0.25">
      <c r="G136" s="37" t="s">
        <v>130</v>
      </c>
      <c r="H136" s="37" t="s">
        <v>131</v>
      </c>
      <c r="I136" s="37" t="s">
        <v>132</v>
      </c>
      <c r="J136" s="16" t="s">
        <v>93</v>
      </c>
      <c r="K136" s="37" t="s">
        <v>109</v>
      </c>
      <c r="L136" s="47">
        <v>0</v>
      </c>
      <c r="M136" s="51">
        <f>M130*R134</f>
        <v>3.7600000000000003E-4</v>
      </c>
      <c r="N136" s="51">
        <f>N130*S134</f>
        <v>2.2559999999999998E-3</v>
      </c>
      <c r="O136" s="51">
        <f>O130*T134</f>
        <v>7.5199999999999998E-3</v>
      </c>
      <c r="P136" s="37">
        <v>5</v>
      </c>
      <c r="R136" s="36">
        <v>0.05</v>
      </c>
      <c r="S136" s="36">
        <v>0.3</v>
      </c>
      <c r="T136" s="36">
        <v>1</v>
      </c>
      <c r="V136" s="37" t="s">
        <v>129</v>
      </c>
      <c r="W136" s="37"/>
      <c r="X136" s="37"/>
      <c r="Y136" s="37"/>
      <c r="Z136" s="37"/>
    </row>
    <row r="137" spans="7:33" x14ac:dyDescent="0.25">
      <c r="G137" s="37" t="s">
        <v>130</v>
      </c>
      <c r="H137" s="37" t="s">
        <v>131</v>
      </c>
      <c r="I137" s="37" t="s">
        <v>132</v>
      </c>
      <c r="J137" s="16" t="s">
        <v>93</v>
      </c>
      <c r="K137" s="37" t="s">
        <v>110</v>
      </c>
      <c r="L137" s="47">
        <v>0</v>
      </c>
      <c r="M137" s="51">
        <f t="shared" ref="M137:O138" si="120">M133*R135</f>
        <v>1.5595000000000001E-3</v>
      </c>
      <c r="N137" s="51">
        <f t="shared" si="120"/>
        <v>9.356999999999999E-3</v>
      </c>
      <c r="O137" s="51">
        <f t="shared" si="120"/>
        <v>3.1189999999999999E-2</v>
      </c>
      <c r="P137" s="37">
        <v>5</v>
      </c>
      <c r="V137" s="16" t="s">
        <v>129</v>
      </c>
    </row>
    <row r="138" spans="7:33" x14ac:dyDescent="0.25">
      <c r="G138" s="38" t="s">
        <v>130</v>
      </c>
      <c r="H138" s="38" t="s">
        <v>131</v>
      </c>
      <c r="I138" s="38" t="s">
        <v>132</v>
      </c>
      <c r="J138" s="38" t="s">
        <v>93</v>
      </c>
      <c r="K138" s="38" t="s">
        <v>80</v>
      </c>
      <c r="L138" s="39">
        <v>0</v>
      </c>
      <c r="M138" s="40">
        <f t="shared" si="120"/>
        <v>1.4768000000000002E-2</v>
      </c>
      <c r="N138" s="40">
        <f t="shared" si="120"/>
        <v>8.8608000000000006E-2</v>
      </c>
      <c r="O138" s="40">
        <f t="shared" si="120"/>
        <v>0.29536000000000001</v>
      </c>
      <c r="P138" s="38">
        <v>5</v>
      </c>
      <c r="V138" s="16" t="s">
        <v>129</v>
      </c>
      <c r="Z138" s="38"/>
    </row>
    <row r="139" spans="7:33" x14ac:dyDescent="0.25">
      <c r="G139" s="19" t="s">
        <v>108</v>
      </c>
      <c r="H139" s="19"/>
      <c r="I139" s="19"/>
      <c r="J139" s="19" t="s">
        <v>124</v>
      </c>
      <c r="K139" s="19"/>
      <c r="L139" s="41"/>
      <c r="M139" s="19"/>
      <c r="N139" s="19"/>
      <c r="O139" s="19"/>
      <c r="P139" s="19"/>
      <c r="V139" s="48" t="str">
        <f>G139</f>
        <v>*Construction demand process</v>
      </c>
      <c r="W139" s="49"/>
      <c r="X139" s="49"/>
      <c r="Y139" s="49"/>
      <c r="Z139" s="23"/>
      <c r="AA139" s="49"/>
      <c r="AB139" s="50"/>
      <c r="AC139" s="50"/>
      <c r="AD139" s="50"/>
      <c r="AE139" s="50"/>
      <c r="AF139" s="49"/>
      <c r="AG139" s="49"/>
    </row>
    <row r="140" spans="7:33" x14ac:dyDescent="0.25">
      <c r="G140" s="37" t="s">
        <v>130</v>
      </c>
      <c r="H140" s="37" t="s">
        <v>131</v>
      </c>
      <c r="I140" s="37" t="s">
        <v>132</v>
      </c>
      <c r="J140" s="16" t="s">
        <v>94</v>
      </c>
      <c r="K140" s="16" t="s">
        <v>67</v>
      </c>
      <c r="L140" s="26">
        <v>7.5199999999999998E-3</v>
      </c>
      <c r="M140" s="27">
        <f>L140</f>
        <v>7.5199999999999998E-3</v>
      </c>
      <c r="N140" s="27">
        <f>M140</f>
        <v>7.5199999999999998E-3</v>
      </c>
      <c r="O140" s="27">
        <f>N140</f>
        <v>7.5199999999999998E-3</v>
      </c>
      <c r="P140" s="37">
        <v>5</v>
      </c>
      <c r="V140" s="28" t="str">
        <f>"UC_Mitigation_"&amp;$J$139&amp;"_MaxShare_KER-BKE"</f>
        <v>UC_Mitigation_ICON_MaxShare_KER-BKE</v>
      </c>
      <c r="W140" s="28" t="str">
        <f>"Maximum share of kerosene and Biokerosene in "&amp;$J$139</f>
        <v>Maximum share of kerosene and Biokerosene in ICON</v>
      </c>
      <c r="X140" s="25" t="str">
        <f>J140</f>
        <v>I-DMD-CON-E0</v>
      </c>
      <c r="Y140" s="28" t="s">
        <v>137</v>
      </c>
      <c r="Z140" s="16" t="s">
        <v>139</v>
      </c>
      <c r="AA140" s="42" t="str">
        <f>$AA$20</f>
        <v>UP</v>
      </c>
      <c r="AB140" s="29">
        <f>1+AB141</f>
        <v>0.99248000000000003</v>
      </c>
      <c r="AC140" s="29">
        <f t="shared" ref="AC140" si="121">1+AC141</f>
        <v>0.99248000000000003</v>
      </c>
      <c r="AD140" s="29">
        <f t="shared" ref="AD140" si="122">1+AD141</f>
        <v>0.99248000000000003</v>
      </c>
      <c r="AE140" s="29">
        <f t="shared" ref="AE140" si="123">1+AE141</f>
        <v>0.99248000000000003</v>
      </c>
      <c r="AF140" s="30">
        <v>0</v>
      </c>
      <c r="AG140" s="30">
        <v>5</v>
      </c>
    </row>
    <row r="141" spans="7:33" x14ac:dyDescent="0.25">
      <c r="G141" s="37" t="s">
        <v>130</v>
      </c>
      <c r="H141" s="37" t="s">
        <v>131</v>
      </c>
      <c r="I141" s="37" t="s">
        <v>132</v>
      </c>
      <c r="J141" s="16" t="s">
        <v>94</v>
      </c>
      <c r="K141" s="16" t="s">
        <v>69</v>
      </c>
      <c r="L141" s="26">
        <v>4.9299999999999995E-3</v>
      </c>
      <c r="M141" s="54"/>
      <c r="N141" s="54"/>
      <c r="O141" s="54"/>
      <c r="P141" s="37">
        <v>5</v>
      </c>
      <c r="X141" s="42" t="str">
        <f>X140</f>
        <v>I-DMD-CON-E0</v>
      </c>
      <c r="Y141" s="28" t="s">
        <v>141</v>
      </c>
      <c r="Z141" s="16" t="s">
        <v>139</v>
      </c>
      <c r="AA141" s="42" t="str">
        <f>$AA$20</f>
        <v>UP</v>
      </c>
      <c r="AB141" s="43">
        <f>-L140</f>
        <v>-7.5199999999999998E-3</v>
      </c>
      <c r="AC141" s="43">
        <f>-M140</f>
        <v>-7.5199999999999998E-3</v>
      </c>
      <c r="AD141" s="43">
        <f>-N140</f>
        <v>-7.5199999999999998E-3</v>
      </c>
      <c r="AE141" s="43">
        <f>-O140</f>
        <v>-7.5199999999999998E-3</v>
      </c>
    </row>
    <row r="142" spans="7:33" x14ac:dyDescent="0.25">
      <c r="G142" s="37" t="s">
        <v>130</v>
      </c>
      <c r="H142" s="37" t="s">
        <v>131</v>
      </c>
      <c r="I142" s="37" t="s">
        <v>132</v>
      </c>
      <c r="J142" s="16" t="s">
        <v>94</v>
      </c>
      <c r="K142" s="16" t="s">
        <v>70</v>
      </c>
      <c r="L142" s="26">
        <v>0.52918999999999994</v>
      </c>
      <c r="M142" s="27">
        <f t="shared" ref="M142:O143" si="124">L142</f>
        <v>0.52918999999999994</v>
      </c>
      <c r="N142" s="27">
        <f t="shared" si="124"/>
        <v>0.52918999999999994</v>
      </c>
      <c r="O142" s="27">
        <f t="shared" si="124"/>
        <v>0.52918999999999994</v>
      </c>
      <c r="P142" s="37">
        <v>5</v>
      </c>
      <c r="V142" s="28" t="str">
        <f>"UC_Mitigation_"&amp;$J$139&amp;"_MaxShare_DST-BDS"</f>
        <v>UC_Mitigation_ICON_MaxShare_DST-BDS</v>
      </c>
      <c r="W142" s="28" t="str">
        <f>"Maximum share of Diesel and Biodiesel in "&amp;$J$139</f>
        <v>Maximum share of Diesel and Biodiesel in ICON</v>
      </c>
      <c r="X142" s="42" t="str">
        <f t="shared" ref="X142:X145" si="125">X141</f>
        <v>I-DMD-CON-E0</v>
      </c>
      <c r="Y142" s="28" t="str">
        <f>Y140</f>
        <v>IND*</v>
      </c>
      <c r="Z142" s="16" t="s">
        <v>139</v>
      </c>
      <c r="AA142" s="42" t="str">
        <f>$AA$20</f>
        <v>UP</v>
      </c>
      <c r="AB142" s="29">
        <f>1+AB143</f>
        <v>0.47081000000000006</v>
      </c>
      <c r="AC142" s="29">
        <f t="shared" ref="AC142" si="126">1+AC143</f>
        <v>0.47081000000000006</v>
      </c>
      <c r="AD142" s="29">
        <f t="shared" ref="AD142" si="127">1+AD143</f>
        <v>0.47081000000000006</v>
      </c>
      <c r="AE142" s="29">
        <f t="shared" ref="AE142" si="128">1+AE143</f>
        <v>0.47081000000000006</v>
      </c>
      <c r="AF142" s="30">
        <v>0</v>
      </c>
      <c r="AG142" s="30">
        <v>5</v>
      </c>
    </row>
    <row r="143" spans="7:33" x14ac:dyDescent="0.25">
      <c r="G143" s="37" t="s">
        <v>130</v>
      </c>
      <c r="H143" s="37" t="s">
        <v>131</v>
      </c>
      <c r="I143" s="37" t="s">
        <v>132</v>
      </c>
      <c r="J143" s="16" t="s">
        <v>94</v>
      </c>
      <c r="K143" s="16" t="s">
        <v>72</v>
      </c>
      <c r="L143" s="26">
        <v>0.20224</v>
      </c>
      <c r="M143" s="27">
        <f t="shared" si="124"/>
        <v>0.20224</v>
      </c>
      <c r="N143" s="27">
        <f t="shared" si="124"/>
        <v>0.20224</v>
      </c>
      <c r="O143" s="27">
        <f t="shared" si="124"/>
        <v>0.20224</v>
      </c>
      <c r="P143" s="37">
        <v>5</v>
      </c>
      <c r="R143" s="36">
        <v>0.05</v>
      </c>
      <c r="S143" s="36">
        <v>0.3</v>
      </c>
      <c r="T143" s="36">
        <v>1</v>
      </c>
      <c r="X143" s="42" t="str">
        <f t="shared" si="125"/>
        <v>I-DMD-CON-E0</v>
      </c>
      <c r="Y143" s="28" t="s">
        <v>140</v>
      </c>
      <c r="Z143" s="16" t="s">
        <v>139</v>
      </c>
      <c r="AA143" s="42" t="str">
        <f>$AA$20</f>
        <v>UP</v>
      </c>
      <c r="AB143" s="43">
        <f>-L142</f>
        <v>-0.52918999999999994</v>
      </c>
      <c r="AC143" s="43">
        <f>-M142</f>
        <v>-0.52918999999999994</v>
      </c>
      <c r="AD143" s="43">
        <f>-N142</f>
        <v>-0.52918999999999994</v>
      </c>
      <c r="AE143" s="43">
        <f>-O142</f>
        <v>-0.52918999999999994</v>
      </c>
    </row>
    <row r="144" spans="7:33" x14ac:dyDescent="0.25">
      <c r="G144" s="37" t="s">
        <v>130</v>
      </c>
      <c r="H144" s="37" t="s">
        <v>131</v>
      </c>
      <c r="I144" s="37" t="s">
        <v>132</v>
      </c>
      <c r="J144" s="16" t="s">
        <v>94</v>
      </c>
      <c r="K144" s="16" t="s">
        <v>78</v>
      </c>
      <c r="L144" s="26">
        <v>0.25614000000000003</v>
      </c>
      <c r="M144" s="54"/>
      <c r="N144" s="54"/>
      <c r="O144" s="54"/>
      <c r="P144" s="37">
        <v>5</v>
      </c>
      <c r="R144" s="36">
        <v>0.05</v>
      </c>
      <c r="S144" s="36">
        <v>0.3</v>
      </c>
      <c r="T144" s="36">
        <v>1</v>
      </c>
      <c r="V144" s="28" t="str">
        <f>"UC_Mitigation_"&amp;$J$139&amp;"_MaxShare_GAS-BGS"</f>
        <v>UC_Mitigation_ICON_MaxShare_GAS-BGS</v>
      </c>
      <c r="W144" s="28" t="str">
        <f>"Maximum share of Gas and Biogas in "&amp;$J$139</f>
        <v>Maximum share of Gas and Biogas in ICON</v>
      </c>
      <c r="X144" s="42" t="str">
        <f t="shared" si="125"/>
        <v>I-DMD-CON-E0</v>
      </c>
      <c r="Y144" s="28" t="str">
        <f>Y142</f>
        <v>IND*</v>
      </c>
      <c r="Z144" s="16" t="s">
        <v>139</v>
      </c>
      <c r="AA144" s="28" t="s">
        <v>131</v>
      </c>
      <c r="AB144" s="29">
        <f>1+AB145</f>
        <v>0.79776000000000002</v>
      </c>
      <c r="AC144" s="29">
        <f t="shared" ref="AC144" si="129">1+AC145</f>
        <v>0.79776000000000002</v>
      </c>
      <c r="AD144" s="29">
        <f t="shared" ref="AD144" si="130">1+AD145</f>
        <v>0.79776000000000002</v>
      </c>
      <c r="AE144" s="29">
        <f t="shared" ref="AE144" si="131">1+AE145</f>
        <v>0.79776000000000002</v>
      </c>
      <c r="AF144" s="30">
        <v>0</v>
      </c>
      <c r="AG144" s="30">
        <v>5</v>
      </c>
    </row>
    <row r="145" spans="7:33" x14ac:dyDescent="0.25">
      <c r="G145" s="37" t="s">
        <v>130</v>
      </c>
      <c r="H145" s="37" t="s">
        <v>131</v>
      </c>
      <c r="I145" s="37" t="s">
        <v>132</v>
      </c>
      <c r="J145" s="16" t="s">
        <v>94</v>
      </c>
      <c r="K145" s="37" t="s">
        <v>109</v>
      </c>
      <c r="L145" s="47">
        <v>0</v>
      </c>
      <c r="M145" s="51">
        <f>M140*R143</f>
        <v>3.7600000000000003E-4</v>
      </c>
      <c r="N145" s="51">
        <f>N140*S143</f>
        <v>2.2559999999999998E-3</v>
      </c>
      <c r="O145" s="51">
        <f>O140*T143</f>
        <v>7.5199999999999998E-3</v>
      </c>
      <c r="P145" s="37">
        <v>5</v>
      </c>
      <c r="R145" s="36">
        <v>0.05</v>
      </c>
      <c r="S145" s="36">
        <v>0.3</v>
      </c>
      <c r="T145" s="36">
        <v>1</v>
      </c>
      <c r="V145" s="37"/>
      <c r="W145" s="37"/>
      <c r="X145" s="42" t="str">
        <f t="shared" si="125"/>
        <v>I-DMD-CON-E0</v>
      </c>
      <c r="Y145" s="28" t="s">
        <v>142</v>
      </c>
      <c r="Z145" s="16" t="s">
        <v>139</v>
      </c>
      <c r="AA145" s="28" t="s">
        <v>131</v>
      </c>
      <c r="AB145" s="53">
        <f>-L143</f>
        <v>-0.20224</v>
      </c>
      <c r="AC145" s="53">
        <f>-M143</f>
        <v>-0.20224</v>
      </c>
      <c r="AD145" s="53">
        <f>-N143</f>
        <v>-0.20224</v>
      </c>
      <c r="AE145" s="53">
        <f>-O143</f>
        <v>-0.20224</v>
      </c>
      <c r="AF145" s="37"/>
      <c r="AG145" s="37"/>
    </row>
    <row r="146" spans="7:33" x14ac:dyDescent="0.25">
      <c r="G146" s="37" t="s">
        <v>130</v>
      </c>
      <c r="H146" s="37" t="s">
        <v>131</v>
      </c>
      <c r="I146" s="37" t="s">
        <v>132</v>
      </c>
      <c r="J146" s="16" t="s">
        <v>94</v>
      </c>
      <c r="K146" s="37" t="s">
        <v>110</v>
      </c>
      <c r="L146" s="47">
        <v>0</v>
      </c>
      <c r="M146" s="51">
        <f t="shared" ref="M146:O147" si="132">M142*R144</f>
        <v>2.6459499999999997E-2</v>
      </c>
      <c r="N146" s="51">
        <f t="shared" si="132"/>
        <v>0.15875699999999998</v>
      </c>
      <c r="O146" s="51">
        <f t="shared" si="132"/>
        <v>0.52918999999999994</v>
      </c>
      <c r="P146" s="37">
        <v>5</v>
      </c>
    </row>
    <row r="147" spans="7:33" x14ac:dyDescent="0.25">
      <c r="G147" s="38" t="s">
        <v>130</v>
      </c>
      <c r="H147" s="38" t="s">
        <v>131</v>
      </c>
      <c r="I147" s="38" t="s">
        <v>132</v>
      </c>
      <c r="J147" s="38" t="s">
        <v>94</v>
      </c>
      <c r="K147" s="38" t="s">
        <v>80</v>
      </c>
      <c r="L147" s="39">
        <v>0</v>
      </c>
      <c r="M147" s="40">
        <f t="shared" si="132"/>
        <v>1.0112000000000001E-2</v>
      </c>
      <c r="N147" s="40">
        <f t="shared" si="132"/>
        <v>6.0671999999999997E-2</v>
      </c>
      <c r="O147" s="40">
        <f t="shared" si="132"/>
        <v>0.20224</v>
      </c>
      <c r="P147" s="38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2021-11-16T23:23:09Z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285050213336944</vt:r8>
  </property>
</Properties>
</file>