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375E377B-573E-4911-A521-06ED49AAEF92}" xr6:coauthVersionLast="45" xr6:coauthVersionMax="45" xr10:uidLastSave="{00000000-0000-0000-0000-000000000000}"/>
  <bookViews>
    <workbookView xWindow="-120" yWindow="-120" windowWidth="29040" windowHeight="15840" tabRatio="889" firstSheet="1" activeTab="3" xr2:uid="{00000000-000D-0000-FFFF-FFFF00000000}"/>
  </bookViews>
  <sheets>
    <sheet name="EB2018" sheetId="22" r:id="rId1"/>
    <sheet name="IND_Bal" sheetId="17" r:id="rId2"/>
    <sheet name="IND_Processes" sheetId="1" r:id="rId3"/>
    <sheet name="IND_Fuel" sheetId="2" r:id="rId4"/>
    <sheet name="IND_Commodities" sheetId="4" r:id="rId5"/>
    <sheet name="CHP" sheetId="20" r:id="rId6"/>
    <sheet name="IIS" sheetId="15" r:id="rId7"/>
    <sheet name="IAM  ICL" sheetId="12" r:id="rId8"/>
    <sheet name="ICH" sheetId="11" r:id="rId9"/>
    <sheet name="IPP" sheetId="8" r:id="rId10"/>
    <sheet name="IAL  ICU" sheetId="14" r:id="rId11"/>
    <sheet name="INF" sheetId="13" r:id="rId12"/>
    <sheet name="ICM  ILM  IGH  IGF" sheetId="10" r:id="rId13"/>
    <sheet name="INM" sheetId="9" r:id="rId14"/>
    <sheet name="IOI" sheetId="7" r:id="rId15"/>
    <sheet name="NEC" sheetId="6" r:id="rId16"/>
    <sheet name="NEO" sheetId="5" r:id="rId17"/>
    <sheet name="MIN_Mat" sheetId="23" r:id="rId18"/>
    <sheet name="EMI" sheetId="3" r:id="rId1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 calcMode="autoNoTable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9" i="10" l="1"/>
  <c r="F40" i="10"/>
  <c r="P29" i="10" s="1"/>
  <c r="AA61" i="22" l="1"/>
  <c r="L61" i="22"/>
  <c r="H61" i="22"/>
  <c r="C61" i="22"/>
  <c r="AM61" i="22" s="1"/>
  <c r="AA60" i="22"/>
  <c r="L60" i="22"/>
  <c r="AM60" i="22" s="1"/>
  <c r="H60" i="22"/>
  <c r="C60" i="22"/>
  <c r="AK59" i="22"/>
  <c r="AA59" i="22"/>
  <c r="Z59" i="22"/>
  <c r="T59" i="22"/>
  <c r="S59" i="22"/>
  <c r="L59" i="22" s="1"/>
  <c r="R59" i="22"/>
  <c r="H59" i="22"/>
  <c r="C59" i="22"/>
  <c r="AM59" i="22" s="1"/>
  <c r="AK58" i="22"/>
  <c r="AA58" i="22"/>
  <c r="AA57" i="22" s="1"/>
  <c r="Z58" i="22"/>
  <c r="T58" i="22"/>
  <c r="S58" i="22"/>
  <c r="L58" i="22" s="1"/>
  <c r="L57" i="22" s="1"/>
  <c r="H58" i="22"/>
  <c r="C58" i="22"/>
  <c r="C57" i="22" s="1"/>
  <c r="AL57" i="22"/>
  <c r="AL30" i="22" s="1"/>
  <c r="AJ57" i="22"/>
  <c r="AI57" i="22"/>
  <c r="AH57" i="22"/>
  <c r="AG57" i="22"/>
  <c r="AF57" i="22"/>
  <c r="AE57" i="22"/>
  <c r="AD57" i="22"/>
  <c r="AC57" i="22"/>
  <c r="AB57" i="22"/>
  <c r="Y57" i="22"/>
  <c r="X57" i="22"/>
  <c r="W57" i="22"/>
  <c r="V57" i="22"/>
  <c r="U57" i="22"/>
  <c r="U30" i="22" s="1"/>
  <c r="Q57" i="22"/>
  <c r="P57" i="22"/>
  <c r="P30" i="22" s="1"/>
  <c r="N57" i="22"/>
  <c r="M57" i="22"/>
  <c r="K57" i="22"/>
  <c r="J57" i="22"/>
  <c r="I57" i="22"/>
  <c r="H57" i="22"/>
  <c r="G57" i="22"/>
  <c r="F57" i="22"/>
  <c r="E57" i="22"/>
  <c r="D57" i="22"/>
  <c r="AA56" i="22"/>
  <c r="L56" i="22"/>
  <c r="H56" i="22"/>
  <c r="AM56" i="22" s="1"/>
  <c r="C56" i="22"/>
  <c r="AA55" i="22"/>
  <c r="L55" i="22"/>
  <c r="H55" i="22"/>
  <c r="C55" i="22"/>
  <c r="AM55" i="22" s="1"/>
  <c r="AA54" i="22"/>
  <c r="L54" i="22"/>
  <c r="H54" i="22"/>
  <c r="AM54" i="22" s="1"/>
  <c r="C54" i="22"/>
  <c r="AA53" i="22"/>
  <c r="AA45" i="22" s="1"/>
  <c r="L53" i="22"/>
  <c r="H53" i="22"/>
  <c r="C53" i="22"/>
  <c r="AM53" i="22" s="1"/>
  <c r="AA52" i="22"/>
  <c r="L52" i="22"/>
  <c r="H52" i="22"/>
  <c r="C52" i="22"/>
  <c r="AM52" i="22" s="1"/>
  <c r="AA51" i="22"/>
  <c r="L51" i="22"/>
  <c r="AM51" i="22" s="1"/>
  <c r="H51" i="22"/>
  <c r="C51" i="22"/>
  <c r="AA50" i="22"/>
  <c r="L50" i="22"/>
  <c r="H50" i="22"/>
  <c r="C50" i="22"/>
  <c r="AM50" i="22" s="1"/>
  <c r="AM49" i="22"/>
  <c r="AA49" i="22"/>
  <c r="L49" i="22"/>
  <c r="H49" i="22"/>
  <c r="C49" i="22"/>
  <c r="AA48" i="22"/>
  <c r="L48" i="22"/>
  <c r="H48" i="22"/>
  <c r="AM48" i="22" s="1"/>
  <c r="C48" i="22"/>
  <c r="AM47" i="22"/>
  <c r="AA47" i="22"/>
  <c r="L47" i="22"/>
  <c r="AA46" i="22"/>
  <c r="L46" i="22"/>
  <c r="H46" i="22"/>
  <c r="H45" i="22" s="1"/>
  <c r="C46" i="22"/>
  <c r="AL45" i="22"/>
  <c r="AK45" i="22"/>
  <c r="AJ45" i="22"/>
  <c r="AI45" i="22"/>
  <c r="AH45" i="22"/>
  <c r="AG45" i="22"/>
  <c r="AG30" i="22" s="1"/>
  <c r="AF45" i="22"/>
  <c r="AE45" i="22"/>
  <c r="AD45" i="22"/>
  <c r="AC45" i="22"/>
  <c r="AB45" i="22"/>
  <c r="AB30" i="22" s="1"/>
  <c r="Z45" i="22"/>
  <c r="Y45" i="22"/>
  <c r="Y30" i="22" s="1"/>
  <c r="X45" i="22"/>
  <c r="W45" i="22"/>
  <c r="V45" i="22"/>
  <c r="U45" i="22"/>
  <c r="T45" i="22"/>
  <c r="T30" i="22" s="1"/>
  <c r="S45" i="22"/>
  <c r="S30" i="22" s="1"/>
  <c r="R45" i="22"/>
  <c r="Q45" i="22"/>
  <c r="Q30" i="22" s="1"/>
  <c r="P45" i="22"/>
  <c r="O45" i="22"/>
  <c r="N45" i="22"/>
  <c r="M45" i="22"/>
  <c r="K45" i="22"/>
  <c r="J45" i="22"/>
  <c r="I45" i="22"/>
  <c r="I30" i="22" s="1"/>
  <c r="G45" i="22"/>
  <c r="F45" i="22"/>
  <c r="E45" i="22"/>
  <c r="D45" i="22"/>
  <c r="D30" i="22" s="1"/>
  <c r="AA44" i="22"/>
  <c r="L44" i="22"/>
  <c r="H44" i="22"/>
  <c r="AM44" i="22" s="1"/>
  <c r="C44" i="22"/>
  <c r="AA43" i="22"/>
  <c r="L43" i="22"/>
  <c r="H43" i="22"/>
  <c r="C43" i="22"/>
  <c r="AM43" i="22" s="1"/>
  <c r="AA42" i="22"/>
  <c r="L42" i="22"/>
  <c r="H42" i="22"/>
  <c r="C42" i="22"/>
  <c r="AM42" i="22" s="1"/>
  <c r="AA41" i="22"/>
  <c r="L41" i="22"/>
  <c r="AM41" i="22" s="1"/>
  <c r="H41" i="22"/>
  <c r="C41" i="22"/>
  <c r="AA40" i="22"/>
  <c r="L40" i="22"/>
  <c r="H40" i="22"/>
  <c r="C40" i="22"/>
  <c r="AM40" i="22" s="1"/>
  <c r="AM39" i="22"/>
  <c r="AA39" i="22"/>
  <c r="L39" i="22"/>
  <c r="H39" i="22"/>
  <c r="C39" i="22"/>
  <c r="AA38" i="22"/>
  <c r="L38" i="22"/>
  <c r="H38" i="22"/>
  <c r="H31" i="22" s="1"/>
  <c r="H30" i="22" s="1"/>
  <c r="C38" i="22"/>
  <c r="AA37" i="22"/>
  <c r="L37" i="22"/>
  <c r="H37" i="22"/>
  <c r="C37" i="22"/>
  <c r="AM37" i="22" s="1"/>
  <c r="AA36" i="22"/>
  <c r="L36" i="22"/>
  <c r="H36" i="22"/>
  <c r="AM36" i="22" s="1"/>
  <c r="C36" i="22"/>
  <c r="AA35" i="22"/>
  <c r="AA31" i="22" s="1"/>
  <c r="L35" i="22"/>
  <c r="H35" i="22"/>
  <c r="C35" i="22"/>
  <c r="AM35" i="22" s="1"/>
  <c r="AA34" i="22"/>
  <c r="L34" i="22"/>
  <c r="H34" i="22"/>
  <c r="C34" i="22"/>
  <c r="C31" i="22" s="1"/>
  <c r="AA33" i="22"/>
  <c r="L33" i="22"/>
  <c r="AM33" i="22" s="1"/>
  <c r="H33" i="22"/>
  <c r="C33" i="22"/>
  <c r="AA32" i="22"/>
  <c r="L32" i="22"/>
  <c r="L31" i="22" s="1"/>
  <c r="H32" i="22"/>
  <c r="C32" i="22"/>
  <c r="AM32" i="22" s="1"/>
  <c r="AL31" i="22"/>
  <c r="AJ31" i="22"/>
  <c r="AJ30" i="22" s="1"/>
  <c r="AI31" i="22"/>
  <c r="AI30" i="22" s="1"/>
  <c r="AH31" i="22"/>
  <c r="AG31" i="22"/>
  <c r="AF31" i="22"/>
  <c r="AF30" i="22" s="1"/>
  <c r="AD31" i="22"/>
  <c r="AD30" i="22" s="1"/>
  <c r="AC31" i="22"/>
  <c r="AC30" i="22" s="1"/>
  <c r="AB31" i="22"/>
  <c r="Y31" i="22"/>
  <c r="X31" i="22"/>
  <c r="W31" i="22"/>
  <c r="V31" i="22"/>
  <c r="V30" i="22" s="1"/>
  <c r="Q31" i="22"/>
  <c r="N31" i="22"/>
  <c r="N30" i="22" s="1"/>
  <c r="M31" i="22"/>
  <c r="K31" i="22"/>
  <c r="K30" i="22" s="1"/>
  <c r="J31" i="22"/>
  <c r="I31" i="22"/>
  <c r="AK30" i="22"/>
  <c r="AH30" i="22"/>
  <c r="AE30" i="22"/>
  <c r="Z30" i="22"/>
  <c r="X30" i="22"/>
  <c r="W30" i="22"/>
  <c r="R30" i="22"/>
  <c r="O30" i="22"/>
  <c r="M30" i="22"/>
  <c r="J30" i="22"/>
  <c r="G30" i="22"/>
  <c r="F30" i="22"/>
  <c r="E30" i="22"/>
  <c r="AA29" i="22"/>
  <c r="AA28" i="22" s="1"/>
  <c r="H29" i="22"/>
  <c r="C29" i="22"/>
  <c r="AL28" i="22"/>
  <c r="AK28" i="22"/>
  <c r="AJ28" i="22"/>
  <c r="AI28" i="22"/>
  <c r="AH28" i="22"/>
  <c r="AG28" i="22"/>
  <c r="AF28" i="22"/>
  <c r="AE28" i="22"/>
  <c r="AE8" i="22" s="1"/>
  <c r="AD28" i="22"/>
  <c r="AC28" i="22"/>
  <c r="AB28" i="22"/>
  <c r="Z28" i="22"/>
  <c r="U28" i="22"/>
  <c r="T28" i="22"/>
  <c r="S28" i="22"/>
  <c r="R28" i="22"/>
  <c r="Q28" i="22"/>
  <c r="P28" i="22"/>
  <c r="O28" i="22"/>
  <c r="N28" i="22"/>
  <c r="M28" i="22"/>
  <c r="K28" i="22"/>
  <c r="J28" i="22"/>
  <c r="I28" i="22"/>
  <c r="H28" i="22"/>
  <c r="G28" i="22"/>
  <c r="F28" i="22"/>
  <c r="E28" i="22"/>
  <c r="D28" i="22"/>
  <c r="C28" i="22"/>
  <c r="AH27" i="22"/>
  <c r="AH62" i="22" s="1"/>
  <c r="AF27" i="22"/>
  <c r="Z27" i="22"/>
  <c r="Z62" i="22" s="1"/>
  <c r="X27" i="22"/>
  <c r="R27" i="22"/>
  <c r="R62" i="22" s="1"/>
  <c r="P27" i="22"/>
  <c r="P62" i="22" s="1"/>
  <c r="J27" i="22"/>
  <c r="J62" i="22" s="1"/>
  <c r="AA26" i="22"/>
  <c r="L26" i="22"/>
  <c r="AM26" i="22" s="1"/>
  <c r="H26" i="22"/>
  <c r="C26" i="22"/>
  <c r="AA25" i="22"/>
  <c r="L25" i="22"/>
  <c r="E25" i="22"/>
  <c r="C25" i="22" s="1"/>
  <c r="AM24" i="22"/>
  <c r="AC23" i="22"/>
  <c r="AB23" i="22"/>
  <c r="AA23" i="22"/>
  <c r="AL22" i="22"/>
  <c r="AJ22" i="22"/>
  <c r="AI22" i="22"/>
  <c r="AH22" i="22"/>
  <c r="AG22" i="22"/>
  <c r="AF22" i="22"/>
  <c r="AE22" i="22"/>
  <c r="AD22" i="22"/>
  <c r="AC22" i="22"/>
  <c r="AB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 s="1"/>
  <c r="K22" i="22"/>
  <c r="J22" i="22"/>
  <c r="I22" i="22"/>
  <c r="H22" i="22"/>
  <c r="G22" i="22"/>
  <c r="F22" i="22"/>
  <c r="E22" i="22"/>
  <c r="D22" i="22"/>
  <c r="AA21" i="22"/>
  <c r="L21" i="22"/>
  <c r="H21" i="22"/>
  <c r="AM21" i="22" s="1"/>
  <c r="AA20" i="22"/>
  <c r="L20" i="22"/>
  <c r="H20" i="22"/>
  <c r="AM20" i="22" s="1"/>
  <c r="AM19" i="22"/>
  <c r="AA18" i="22"/>
  <c r="AM18" i="22" s="1"/>
  <c r="AA17" i="22"/>
  <c r="AA15" i="22" s="1"/>
  <c r="L17" i="22"/>
  <c r="AM17" i="22" s="1"/>
  <c r="H17" i="22"/>
  <c r="C17" i="22"/>
  <c r="AA16" i="22"/>
  <c r="L16" i="22"/>
  <c r="L15" i="22" s="1"/>
  <c r="H16" i="22"/>
  <c r="H15" i="22" s="1"/>
  <c r="C16" i="22"/>
  <c r="C15" i="22" s="1"/>
  <c r="AM15" i="22" s="1"/>
  <c r="AL15" i="22"/>
  <c r="AK15" i="22"/>
  <c r="AJ15" i="22"/>
  <c r="AI15" i="22"/>
  <c r="AH15" i="22"/>
  <c r="AG15" i="22"/>
  <c r="AF15" i="22"/>
  <c r="AE15" i="22"/>
  <c r="AD15" i="22"/>
  <c r="AC15" i="22"/>
  <c r="AB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K15" i="22"/>
  <c r="J15" i="22"/>
  <c r="I15" i="22"/>
  <c r="G15" i="22"/>
  <c r="F15" i="22"/>
  <c r="E15" i="22"/>
  <c r="D15" i="22"/>
  <c r="AA14" i="22"/>
  <c r="L14" i="22"/>
  <c r="H14" i="22"/>
  <c r="AM14" i="22" s="1"/>
  <c r="C14" i="22"/>
  <c r="AA13" i="22"/>
  <c r="L13" i="22"/>
  <c r="H13" i="22"/>
  <c r="C13" i="22"/>
  <c r="AM13" i="22" s="1"/>
  <c r="AM12" i="22"/>
  <c r="AM11" i="22"/>
  <c r="AA11" i="22"/>
  <c r="L11" i="22"/>
  <c r="H11" i="22"/>
  <c r="C11" i="22"/>
  <c r="AA10" i="22"/>
  <c r="AA9" i="22" s="1"/>
  <c r="L10" i="22"/>
  <c r="H10" i="22"/>
  <c r="H9" i="22" s="1"/>
  <c r="C10" i="22"/>
  <c r="AL9" i="22"/>
  <c r="AK9" i="22"/>
  <c r="AJ9" i="22"/>
  <c r="AI9" i="22"/>
  <c r="AH9" i="22"/>
  <c r="AG9" i="22"/>
  <c r="AF9" i="22"/>
  <c r="AE9" i="22"/>
  <c r="AD9" i="22"/>
  <c r="AC9" i="22"/>
  <c r="AB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G9" i="22"/>
  <c r="F9" i="22"/>
  <c r="E9" i="22"/>
  <c r="D9" i="22"/>
  <c r="C9" i="22"/>
  <c r="AM9" i="22" s="1"/>
  <c r="AL8" i="22"/>
  <c r="AG8" i="22"/>
  <c r="AF8" i="22"/>
  <c r="AD8" i="22"/>
  <c r="V8" i="22"/>
  <c r="Q8" i="22"/>
  <c r="P8" i="22"/>
  <c r="O8" i="22"/>
  <c r="N8" i="22"/>
  <c r="I8" i="22"/>
  <c r="G8" i="22"/>
  <c r="F8" i="22"/>
  <c r="AL7" i="22"/>
  <c r="AL27" i="22" s="1"/>
  <c r="AK7" i="22"/>
  <c r="AK8" i="22" s="1"/>
  <c r="AJ7" i="22"/>
  <c r="AJ27" i="22" s="1"/>
  <c r="AJ62" i="22" s="1"/>
  <c r="AI7" i="22"/>
  <c r="AI27" i="22" s="1"/>
  <c r="AI62" i="22" s="1"/>
  <c r="AH7" i="22"/>
  <c r="AH8" i="22" s="1"/>
  <c r="AG7" i="22"/>
  <c r="AG27" i="22" s="1"/>
  <c r="AG62" i="22" s="1"/>
  <c r="AF7" i="22"/>
  <c r="AE7" i="22"/>
  <c r="AE27" i="22" s="1"/>
  <c r="AE62" i="22" s="1"/>
  <c r="AD7" i="22"/>
  <c r="AD27" i="22" s="1"/>
  <c r="AC7" i="22"/>
  <c r="AC8" i="22" s="1"/>
  <c r="AB7" i="22"/>
  <c r="AB27" i="22" s="1"/>
  <c r="AB62" i="22" s="1"/>
  <c r="AA7" i="22"/>
  <c r="AA8" i="22" s="1"/>
  <c r="Z7" i="22"/>
  <c r="Z8" i="22" s="1"/>
  <c r="Y7" i="22"/>
  <c r="Y27" i="22" s="1"/>
  <c r="X7" i="22"/>
  <c r="W7" i="22"/>
  <c r="W27" i="22" s="1"/>
  <c r="V7" i="22"/>
  <c r="V27" i="22" s="1"/>
  <c r="U7" i="22"/>
  <c r="U8" i="22" s="1"/>
  <c r="T7" i="22"/>
  <c r="T27" i="22" s="1"/>
  <c r="T62" i="22" s="1"/>
  <c r="S7" i="22"/>
  <c r="S27" i="22" s="1"/>
  <c r="S62" i="22" s="1"/>
  <c r="R7" i="22"/>
  <c r="R8" i="22" s="1"/>
  <c r="Q7" i="22"/>
  <c r="Q27" i="22" s="1"/>
  <c r="P7" i="22"/>
  <c r="O7" i="22"/>
  <c r="O27" i="22" s="1"/>
  <c r="O62" i="22" s="1"/>
  <c r="N7" i="22"/>
  <c r="N27" i="22" s="1"/>
  <c r="M7" i="22"/>
  <c r="M8" i="22" s="1"/>
  <c r="K7" i="22"/>
  <c r="K27" i="22" s="1"/>
  <c r="K62" i="22" s="1"/>
  <c r="J7" i="22"/>
  <c r="J8" i="22" s="1"/>
  <c r="I7" i="22"/>
  <c r="I27" i="22" s="1"/>
  <c r="G7" i="22"/>
  <c r="G27" i="22" s="1"/>
  <c r="G62" i="22" s="1"/>
  <c r="F7" i="22"/>
  <c r="F27" i="22" s="1"/>
  <c r="F62" i="22" s="1"/>
  <c r="E7" i="22"/>
  <c r="E8" i="22" s="1"/>
  <c r="D7" i="22"/>
  <c r="D27" i="22" s="1"/>
  <c r="C7" i="22"/>
  <c r="AA6" i="22"/>
  <c r="L6" i="22"/>
  <c r="H6" i="22"/>
  <c r="C6" i="22"/>
  <c r="AM6" i="22" s="1"/>
  <c r="AA5" i="22"/>
  <c r="L5" i="22"/>
  <c r="AM5" i="22" s="1"/>
  <c r="H5" i="22"/>
  <c r="C5" i="22"/>
  <c r="AA4" i="22"/>
  <c r="L4" i="22"/>
  <c r="H4" i="22"/>
  <c r="C4" i="22"/>
  <c r="AM4" i="22" s="1"/>
  <c r="AM3" i="22"/>
  <c r="AA3" i="22"/>
  <c r="L3" i="22"/>
  <c r="H3" i="22"/>
  <c r="C3" i="22"/>
  <c r="AA2" i="22"/>
  <c r="L2" i="22"/>
  <c r="L7" i="22" s="1"/>
  <c r="H2" i="22"/>
  <c r="AM2" i="22" s="1"/>
  <c r="C2" i="22"/>
  <c r="L30" i="22" l="1"/>
  <c r="D62" i="22"/>
  <c r="N62" i="22"/>
  <c r="V62" i="22"/>
  <c r="AD62" i="22"/>
  <c r="AL62" i="22"/>
  <c r="AM57" i="22"/>
  <c r="C22" i="22"/>
  <c r="AM25" i="22"/>
  <c r="W29" i="22"/>
  <c r="AM23" i="22"/>
  <c r="AM22" i="22" s="1"/>
  <c r="AF62" i="22"/>
  <c r="Q62" i="22"/>
  <c r="Y29" i="22"/>
  <c r="Y28" i="22" s="1"/>
  <c r="Y8" i="22" s="1"/>
  <c r="AA30" i="22"/>
  <c r="L27" i="22"/>
  <c r="I62" i="22"/>
  <c r="C30" i="22"/>
  <c r="AM31" i="22"/>
  <c r="X29" i="22"/>
  <c r="X28" i="22" s="1"/>
  <c r="X8" i="22" s="1"/>
  <c r="L45" i="22"/>
  <c r="AM46" i="22"/>
  <c r="H7" i="22"/>
  <c r="C8" i="22"/>
  <c r="K8" i="22"/>
  <c r="S8" i="22"/>
  <c r="AI8" i="22"/>
  <c r="AM16" i="22"/>
  <c r="E27" i="22"/>
  <c r="E62" i="22" s="1"/>
  <c r="M27" i="22"/>
  <c r="M62" i="22" s="1"/>
  <c r="U27" i="22"/>
  <c r="U62" i="22" s="1"/>
  <c r="AC27" i="22"/>
  <c r="AC62" i="22" s="1"/>
  <c r="AM10" i="22"/>
  <c r="C27" i="22"/>
  <c r="AB8" i="22"/>
  <c r="AA22" i="22"/>
  <c r="AA27" i="22" s="1"/>
  <c r="AA62" i="22" s="1"/>
  <c r="AK23" i="22"/>
  <c r="AK22" i="22" s="1"/>
  <c r="AK27" i="22" s="1"/>
  <c r="AK62" i="22" s="1"/>
  <c r="AM38" i="22"/>
  <c r="D8" i="22"/>
  <c r="T8" i="22"/>
  <c r="AJ8" i="22"/>
  <c r="AM34" i="22"/>
  <c r="C45" i="22"/>
  <c r="AM58" i="22"/>
  <c r="AM30" i="22" l="1"/>
  <c r="C62" i="22"/>
  <c r="H27" i="22"/>
  <c r="H62" i="22" s="1"/>
  <c r="H8" i="22"/>
  <c r="L29" i="22"/>
  <c r="W28" i="22"/>
  <c r="X62" i="22"/>
  <c r="AM45" i="22"/>
  <c r="Y62" i="22"/>
  <c r="AM7" i="22"/>
  <c r="W8" i="22" l="1"/>
  <c r="W62" i="22"/>
  <c r="AM27" i="22"/>
  <c r="L28" i="22"/>
  <c r="AM29" i="22"/>
  <c r="AM28" i="22" s="1"/>
  <c r="L8" i="22" l="1"/>
  <c r="AM8" i="22" s="1"/>
  <c r="L62" i="22"/>
  <c r="AM62" i="22" s="1"/>
  <c r="A6" i="20" l="1"/>
  <c r="C6" i="20"/>
  <c r="D6" i="20"/>
  <c r="E6" i="20"/>
  <c r="F6" i="20"/>
  <c r="G6" i="20"/>
  <c r="H6" i="20"/>
  <c r="I6" i="20"/>
  <c r="C7" i="20"/>
  <c r="D7" i="20"/>
  <c r="G7" i="20"/>
  <c r="H7" i="20"/>
  <c r="I7" i="20"/>
  <c r="C8" i="20"/>
  <c r="D8" i="20"/>
  <c r="E8" i="20"/>
  <c r="G8" i="20"/>
  <c r="H8" i="20"/>
  <c r="I8" i="20"/>
  <c r="C9" i="20"/>
  <c r="D9" i="20"/>
  <c r="E9" i="20"/>
  <c r="G9" i="20"/>
  <c r="H9" i="20"/>
  <c r="I9" i="20"/>
  <c r="D6" i="23" l="1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C21" i="23" l="1"/>
  <c r="B21" i="23"/>
  <c r="C20" i="23"/>
  <c r="B20" i="23"/>
  <c r="C19" i="23"/>
  <c r="B19" i="23"/>
  <c r="C18" i="23"/>
  <c r="B18" i="23"/>
  <c r="C17" i="23"/>
  <c r="B17" i="23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T18" i="20" l="1"/>
  <c r="T12" i="20"/>
  <c r="R26" i="20" l="1"/>
  <c r="R24" i="20" l="1"/>
  <c r="S24" i="20"/>
  <c r="S26" i="20"/>
  <c r="T10" i="20" l="1"/>
  <c r="F9" i="20" s="1"/>
  <c r="T8" i="20"/>
  <c r="F8" i="20" s="1"/>
  <c r="S7" i="20"/>
  <c r="E7" i="20" s="1"/>
  <c r="G33" i="20" l="1"/>
  <c r="G32" i="20"/>
  <c r="G31" i="20"/>
  <c r="G30" i="20"/>
  <c r="T7" i="20"/>
  <c r="D95" i="1"/>
  <c r="D94" i="1"/>
  <c r="X7" i="20" l="1"/>
  <c r="Y7" i="20" s="1"/>
  <c r="F7" i="20"/>
  <c r="F34" i="20"/>
  <c r="F30" i="20"/>
  <c r="F27" i="20"/>
  <c r="F25" i="20"/>
  <c r="G29" i="20"/>
  <c r="G28" i="20"/>
  <c r="J34" i="20"/>
  <c r="J30" i="20"/>
  <c r="J27" i="20"/>
  <c r="J25" i="20"/>
  <c r="E31" i="20"/>
  <c r="S27" i="20"/>
  <c r="R27" i="20"/>
  <c r="S25" i="20"/>
  <c r="R25" i="20"/>
  <c r="J7" i="20" l="1"/>
  <c r="K7" i="20" s="1"/>
  <c r="K27" i="20"/>
  <c r="M27" i="20"/>
  <c r="G27" i="20"/>
  <c r="E82" i="8"/>
  <c r="E54" i="8"/>
  <c r="E38" i="8"/>
  <c r="E27" i="8"/>
  <c r="E33" i="12"/>
  <c r="E50" i="12"/>
  <c r="E75" i="12"/>
  <c r="E154" i="15"/>
  <c r="E113" i="15"/>
  <c r="E74" i="15"/>
  <c r="E58" i="15"/>
  <c r="E44" i="15"/>
  <c r="E26" i="15"/>
  <c r="E92" i="10"/>
  <c r="E36" i="10"/>
  <c r="E61" i="10"/>
  <c r="E72" i="10"/>
  <c r="M20" i="3" l="1"/>
  <c r="M19" i="3"/>
  <c r="M18" i="3"/>
  <c r="M17" i="3"/>
  <c r="M16" i="3"/>
  <c r="M15" i="3"/>
  <c r="C85" i="1" l="1"/>
  <c r="D85" i="1"/>
  <c r="D82" i="1"/>
  <c r="C56" i="20" l="1"/>
  <c r="C55" i="20"/>
  <c r="C54" i="20"/>
  <c r="C53" i="20"/>
  <c r="C52" i="20"/>
  <c r="C51" i="20"/>
  <c r="C50" i="20"/>
  <c r="C49" i="20"/>
  <c r="C48" i="20"/>
  <c r="D79" i="1" l="1"/>
  <c r="D91" i="1"/>
  <c r="D80" i="1"/>
  <c r="D81" i="1"/>
  <c r="D92" i="1"/>
  <c r="D88" i="1"/>
  <c r="D87" i="1"/>
  <c r="D89" i="1"/>
  <c r="D86" i="1"/>
  <c r="D90" i="1"/>
  <c r="D83" i="1"/>
  <c r="D93" i="1"/>
  <c r="D84" i="1"/>
  <c r="D78" i="1"/>
  <c r="E47" i="10" l="1"/>
  <c r="E80" i="14"/>
  <c r="E68" i="14"/>
  <c r="E40" i="14"/>
  <c r="E28" i="14"/>
  <c r="T4" i="15" l="1"/>
  <c r="T5" i="12"/>
  <c r="T4" i="12"/>
  <c r="T8" i="11"/>
  <c r="T7" i="11"/>
  <c r="T6" i="11"/>
  <c r="T5" i="11"/>
  <c r="T4" i="11"/>
  <c r="T6" i="8"/>
  <c r="T5" i="8"/>
  <c r="T4" i="8"/>
  <c r="T5" i="14"/>
  <c r="T4" i="14"/>
  <c r="T8" i="13"/>
  <c r="T7" i="13"/>
  <c r="T6" i="13"/>
  <c r="T5" i="13"/>
  <c r="T4" i="13"/>
  <c r="T7" i="10"/>
  <c r="T6" i="10"/>
  <c r="T5" i="10"/>
  <c r="T4" i="10"/>
  <c r="T8" i="9"/>
  <c r="T7" i="9"/>
  <c r="T6" i="9"/>
  <c r="T5" i="9"/>
  <c r="T4" i="9"/>
  <c r="T8" i="7"/>
  <c r="T7" i="7"/>
  <c r="T6" i="7"/>
  <c r="T5" i="7"/>
  <c r="T4" i="7"/>
  <c r="T4" i="6"/>
  <c r="T4" i="5"/>
  <c r="B20" i="3" l="1"/>
  <c r="B19" i="3"/>
  <c r="B18" i="3"/>
  <c r="B17" i="3"/>
  <c r="B16" i="3"/>
  <c r="B15" i="3"/>
  <c r="N15" i="3" l="1"/>
  <c r="H30" i="8" l="1"/>
  <c r="E37" i="17"/>
  <c r="P21" i="8" l="1"/>
  <c r="G14" i="17"/>
  <c r="P13" i="17"/>
  <c r="M38" i="17"/>
  <c r="W12" i="20"/>
  <c r="V12" i="20"/>
  <c r="U12" i="20"/>
  <c r="P12" i="20"/>
  <c r="R12" i="20"/>
  <c r="X8" i="20"/>
  <c r="X6" i="20"/>
  <c r="S12" i="20"/>
  <c r="C15" i="17"/>
  <c r="C40" i="17" s="1"/>
  <c r="V37" i="17" l="1"/>
  <c r="V104" i="17" s="1"/>
  <c r="J6" i="20"/>
  <c r="K6" i="20" s="1"/>
  <c r="J8" i="20"/>
  <c r="K8" i="20" s="1"/>
  <c r="Y6" i="20"/>
  <c r="K25" i="20" s="1"/>
  <c r="Y8" i="20"/>
  <c r="K30" i="20" s="1"/>
  <c r="C37" i="17"/>
  <c r="AB31" i="17"/>
  <c r="AA31" i="17"/>
  <c r="Z31" i="17"/>
  <c r="Y31" i="17"/>
  <c r="X31" i="17"/>
  <c r="W31" i="17"/>
  <c r="V31" i="17"/>
  <c r="U31" i="17"/>
  <c r="T31" i="17"/>
  <c r="P31" i="17"/>
  <c r="O31" i="17"/>
  <c r="N31" i="17"/>
  <c r="M31" i="17"/>
  <c r="L31" i="17"/>
  <c r="K31" i="17"/>
  <c r="J31" i="17"/>
  <c r="I31" i="17"/>
  <c r="H31" i="17"/>
  <c r="G31" i="17"/>
  <c r="F31" i="17"/>
  <c r="D31" i="17"/>
  <c r="C31" i="17"/>
  <c r="AB27" i="17"/>
  <c r="AA27" i="17"/>
  <c r="Z27" i="17"/>
  <c r="Y27" i="17"/>
  <c r="X27" i="17"/>
  <c r="W27" i="17"/>
  <c r="V27" i="17"/>
  <c r="U27" i="17"/>
  <c r="T27" i="17"/>
  <c r="P27" i="17"/>
  <c r="O27" i="17"/>
  <c r="M27" i="17"/>
  <c r="L27" i="17"/>
  <c r="K27" i="17"/>
  <c r="J27" i="17"/>
  <c r="I27" i="17"/>
  <c r="H27" i="17"/>
  <c r="G27" i="17"/>
  <c r="F27" i="17"/>
  <c r="D27" i="17"/>
  <c r="C27" i="17"/>
  <c r="K25" i="17"/>
  <c r="S21" i="17"/>
  <c r="R21" i="17"/>
  <c r="Q21" i="17"/>
  <c r="AB19" i="17"/>
  <c r="V41" i="17" s="1"/>
  <c r="AA19" i="17"/>
  <c r="Z19" i="17"/>
  <c r="Y19" i="17"/>
  <c r="X19" i="17"/>
  <c r="W19" i="17"/>
  <c r="V19" i="17"/>
  <c r="U19" i="17"/>
  <c r="T19" i="17"/>
  <c r="P19" i="17"/>
  <c r="M41" i="17" s="1"/>
  <c r="O19" i="17"/>
  <c r="N19" i="17"/>
  <c r="M19" i="17"/>
  <c r="L19" i="17"/>
  <c r="K19" i="17"/>
  <c r="J19" i="17"/>
  <c r="I19" i="17"/>
  <c r="H19" i="17"/>
  <c r="G19" i="17"/>
  <c r="F19" i="17"/>
  <c r="D19" i="17"/>
  <c r="C19" i="17"/>
  <c r="AB18" i="17"/>
  <c r="AA18" i="17"/>
  <c r="Z18" i="17"/>
  <c r="Y18" i="17"/>
  <c r="X18" i="17"/>
  <c r="W18" i="17"/>
  <c r="V18" i="17"/>
  <c r="U18" i="17"/>
  <c r="T18" i="17"/>
  <c r="P18" i="17"/>
  <c r="O18" i="17"/>
  <c r="N18" i="17"/>
  <c r="M18" i="17"/>
  <c r="L18" i="17"/>
  <c r="K18" i="17"/>
  <c r="J18" i="17"/>
  <c r="I18" i="17"/>
  <c r="H18" i="17"/>
  <c r="G18" i="17"/>
  <c r="F18" i="17"/>
  <c r="D18" i="17"/>
  <c r="C18" i="17"/>
  <c r="AB17" i="17"/>
  <c r="AA17" i="17"/>
  <c r="Z17" i="17"/>
  <c r="Y17" i="17"/>
  <c r="X17" i="17"/>
  <c r="W17" i="17"/>
  <c r="V17" i="17"/>
  <c r="U17" i="17"/>
  <c r="T17" i="17"/>
  <c r="P17" i="17"/>
  <c r="O17" i="17"/>
  <c r="N17" i="17"/>
  <c r="M17" i="17"/>
  <c r="L17" i="17"/>
  <c r="K17" i="17"/>
  <c r="J17" i="17"/>
  <c r="I17" i="17"/>
  <c r="H17" i="17"/>
  <c r="G17" i="17"/>
  <c r="F17" i="17"/>
  <c r="D17" i="17"/>
  <c r="C17" i="17"/>
  <c r="AB16" i="17"/>
  <c r="AA16" i="17"/>
  <c r="Z16" i="17"/>
  <c r="Y16" i="17"/>
  <c r="X16" i="17"/>
  <c r="W16" i="17"/>
  <c r="V16" i="17"/>
  <c r="U16" i="17"/>
  <c r="T16" i="17"/>
  <c r="P16" i="17"/>
  <c r="O16" i="17"/>
  <c r="N16" i="17"/>
  <c r="M16" i="17"/>
  <c r="L16" i="17"/>
  <c r="K16" i="17"/>
  <c r="J16" i="17"/>
  <c r="I16" i="17"/>
  <c r="H16" i="17"/>
  <c r="G16" i="17"/>
  <c r="F16" i="17"/>
  <c r="D16" i="17"/>
  <c r="C16" i="17"/>
  <c r="AB15" i="17"/>
  <c r="AA15" i="17"/>
  <c r="Z15" i="17"/>
  <c r="Y15" i="17"/>
  <c r="X15" i="17"/>
  <c r="W15" i="17"/>
  <c r="V15" i="17"/>
  <c r="U15" i="17"/>
  <c r="T15" i="17"/>
  <c r="P15" i="17"/>
  <c r="O15" i="17"/>
  <c r="N15" i="17"/>
  <c r="M15" i="17"/>
  <c r="L15" i="17"/>
  <c r="K15" i="17"/>
  <c r="J15" i="17"/>
  <c r="I15" i="17"/>
  <c r="H15" i="17"/>
  <c r="G15" i="17"/>
  <c r="F15" i="17"/>
  <c r="D15" i="17"/>
  <c r="AB14" i="17"/>
  <c r="V39" i="17" s="1"/>
  <c r="AA14" i="17"/>
  <c r="Z14" i="17"/>
  <c r="Y14" i="17"/>
  <c r="X14" i="17"/>
  <c r="W14" i="17"/>
  <c r="V14" i="17"/>
  <c r="U14" i="17"/>
  <c r="T14" i="17"/>
  <c r="P14" i="17"/>
  <c r="M39" i="17" s="1"/>
  <c r="O14" i="17"/>
  <c r="N14" i="17"/>
  <c r="M14" i="17"/>
  <c r="L14" i="17"/>
  <c r="K14" i="17"/>
  <c r="J14" i="17"/>
  <c r="I14" i="17"/>
  <c r="H14" i="17"/>
  <c r="F14" i="17"/>
  <c r="D14" i="17"/>
  <c r="C14" i="17"/>
  <c r="AB13" i="17"/>
  <c r="AA13" i="17"/>
  <c r="Z13" i="17"/>
  <c r="Y13" i="17"/>
  <c r="X13" i="17"/>
  <c r="W13" i="17"/>
  <c r="V13" i="17"/>
  <c r="U13" i="17"/>
  <c r="T13" i="17"/>
  <c r="O13" i="17"/>
  <c r="N13" i="17"/>
  <c r="M13" i="17"/>
  <c r="L13" i="17"/>
  <c r="K13" i="17"/>
  <c r="J13" i="17"/>
  <c r="I13" i="17"/>
  <c r="H13" i="17"/>
  <c r="G13" i="17"/>
  <c r="F13" i="17"/>
  <c r="E38" i="17" s="1"/>
  <c r="D13" i="17"/>
  <c r="F38" i="17" s="1"/>
  <c r="C13" i="17"/>
  <c r="AC26" i="17"/>
  <c r="AD26" i="17" s="1"/>
  <c r="AA11" i="17"/>
  <c r="AA21" i="17" s="1"/>
  <c r="W11" i="17"/>
  <c r="P11" i="17"/>
  <c r="P21" i="17" s="1"/>
  <c r="D11" i="17"/>
  <c r="F11" i="17"/>
  <c r="C11" i="17"/>
  <c r="E13" i="17"/>
  <c r="E15" i="17"/>
  <c r="E14" i="17"/>
  <c r="E19" i="17"/>
  <c r="E18" i="17"/>
  <c r="E17" i="17"/>
  <c r="E16" i="17"/>
  <c r="Z11" i="17"/>
  <c r="X11" i="17"/>
  <c r="V11" i="17"/>
  <c r="U11" i="17"/>
  <c r="U21" i="17" s="1"/>
  <c r="K11" i="17"/>
  <c r="O11" i="17"/>
  <c r="O21" i="17" s="1"/>
  <c r="L11" i="17"/>
  <c r="M11" i="17"/>
  <c r="J11" i="17"/>
  <c r="G11" i="17"/>
  <c r="E27" i="17"/>
  <c r="AB25" i="17"/>
  <c r="AA25" i="17"/>
  <c r="Z25" i="17"/>
  <c r="X25" i="17"/>
  <c r="T25" i="17"/>
  <c r="Y25" i="17"/>
  <c r="V25" i="17"/>
  <c r="W25" i="17"/>
  <c r="U25" i="17"/>
  <c r="P25" i="17"/>
  <c r="O25" i="17"/>
  <c r="L25" i="17"/>
  <c r="H25" i="17"/>
  <c r="M25" i="17"/>
  <c r="J25" i="17"/>
  <c r="I25" i="17"/>
  <c r="G25" i="17"/>
  <c r="E25" i="17"/>
  <c r="D25" i="17"/>
  <c r="F25" i="17"/>
  <c r="C25" i="17"/>
  <c r="E31" i="17"/>
  <c r="K21" i="17" l="1"/>
  <c r="K23" i="17" s="1"/>
  <c r="J42" i="17" s="1"/>
  <c r="J94" i="17" s="1"/>
  <c r="J141" i="17" s="1"/>
  <c r="W21" i="17"/>
  <c r="V21" i="17"/>
  <c r="G21" i="17"/>
  <c r="X21" i="17"/>
  <c r="X23" i="17" s="1"/>
  <c r="Q42" i="17" s="1"/>
  <c r="Q94" i="17" s="1"/>
  <c r="Q140" i="17" s="1"/>
  <c r="J21" i="17"/>
  <c r="Z21" i="17"/>
  <c r="C21" i="17"/>
  <c r="C24" i="17" s="1"/>
  <c r="AC14" i="17"/>
  <c r="AD14" i="17" s="1"/>
  <c r="AC31" i="17"/>
  <c r="AD31" i="17" s="1"/>
  <c r="M21" i="17"/>
  <c r="F21" i="17"/>
  <c r="AC15" i="17"/>
  <c r="AD15" i="17" s="1"/>
  <c r="L21" i="17"/>
  <c r="AC17" i="17"/>
  <c r="AD17" i="17" s="1"/>
  <c r="D21" i="17"/>
  <c r="D23" i="17" s="1"/>
  <c r="F42" i="17" s="1"/>
  <c r="F94" i="17" s="1"/>
  <c r="Q9" i="20"/>
  <c r="I11" i="17"/>
  <c r="I21" i="17" s="1"/>
  <c r="H11" i="17"/>
  <c r="H21" i="17" s="1"/>
  <c r="N11" i="17"/>
  <c r="N21" i="17" s="1"/>
  <c r="Y11" i="17"/>
  <c r="Y21" i="17" s="1"/>
  <c r="T11" i="17"/>
  <c r="T21" i="17" s="1"/>
  <c r="AB11" i="17"/>
  <c r="AB21" i="17" s="1"/>
  <c r="D38" i="17"/>
  <c r="AC13" i="17"/>
  <c r="AC16" i="17"/>
  <c r="AC18" i="17"/>
  <c r="AD18" i="17" s="1"/>
  <c r="AC19" i="17"/>
  <c r="AD19" i="17" s="1"/>
  <c r="M30" i="20"/>
  <c r="M25" i="20"/>
  <c r="AD13" i="17"/>
  <c r="AD16" i="17"/>
  <c r="E104" i="17"/>
  <c r="G11" i="15"/>
  <c r="D42" i="10"/>
  <c r="D41" i="10"/>
  <c r="D35" i="14"/>
  <c r="D34" i="14"/>
  <c r="D33" i="14"/>
  <c r="D32" i="14"/>
  <c r="D39" i="15"/>
  <c r="D38" i="15"/>
  <c r="D37" i="15"/>
  <c r="D36" i="15"/>
  <c r="D35" i="15"/>
  <c r="D34" i="15"/>
  <c r="D33" i="15"/>
  <c r="D32" i="15"/>
  <c r="D31" i="15"/>
  <c r="D30" i="15"/>
  <c r="J76" i="20"/>
  <c r="H75" i="20"/>
  <c r="G75" i="20"/>
  <c r="D75" i="20"/>
  <c r="C75" i="20"/>
  <c r="D73" i="20"/>
  <c r="D72" i="20"/>
  <c r="D71" i="20"/>
  <c r="D70" i="20"/>
  <c r="D69" i="20"/>
  <c r="D68" i="20"/>
  <c r="D67" i="20"/>
  <c r="H66" i="20"/>
  <c r="G66" i="20"/>
  <c r="D66" i="20"/>
  <c r="T41" i="17"/>
  <c r="T66" i="17" s="1"/>
  <c r="S41" i="17"/>
  <c r="T39" i="17"/>
  <c r="T108" i="17" s="1"/>
  <c r="S39" i="17"/>
  <c r="O37" i="17"/>
  <c r="G18" i="15" s="1"/>
  <c r="N37" i="17"/>
  <c r="E39" i="17"/>
  <c r="E80" i="17" s="1"/>
  <c r="E125" i="17" s="1"/>
  <c r="D39" i="17"/>
  <c r="C39" i="17"/>
  <c r="G12" i="12" s="1"/>
  <c r="D37" i="17"/>
  <c r="D104" i="17" s="1"/>
  <c r="U41" i="17"/>
  <c r="U116" i="17" s="1"/>
  <c r="Q41" i="17"/>
  <c r="P41" i="17"/>
  <c r="P116" i="17" s="1"/>
  <c r="O41" i="17"/>
  <c r="N41" i="17"/>
  <c r="L41" i="17"/>
  <c r="L69" i="17" s="1"/>
  <c r="K41" i="17"/>
  <c r="K117" i="17" s="1"/>
  <c r="J41" i="17"/>
  <c r="J117" i="17" s="1"/>
  <c r="I41" i="17"/>
  <c r="I69" i="17" s="1"/>
  <c r="H41" i="17"/>
  <c r="H69" i="17" s="1"/>
  <c r="G41" i="17"/>
  <c r="F41" i="17"/>
  <c r="V40" i="17"/>
  <c r="V65" i="17" s="1"/>
  <c r="U40" i="17"/>
  <c r="U112" i="17" s="1"/>
  <c r="T40" i="17"/>
  <c r="T115" i="17" s="1"/>
  <c r="S40" i="17"/>
  <c r="S111" i="17" s="1"/>
  <c r="R40" i="17"/>
  <c r="R59" i="17" s="1"/>
  <c r="Q40" i="17"/>
  <c r="Q113" i="17" s="1"/>
  <c r="P40" i="17"/>
  <c r="P113" i="17" s="1"/>
  <c r="O40" i="17"/>
  <c r="N40" i="17"/>
  <c r="N87" i="17" s="1"/>
  <c r="N133" i="17" s="1"/>
  <c r="N59" i="17"/>
  <c r="M40" i="17"/>
  <c r="M111" i="17" s="1"/>
  <c r="L40" i="17"/>
  <c r="L65" i="17" s="1"/>
  <c r="K40" i="17"/>
  <c r="J40" i="17"/>
  <c r="J59" i="17" s="1"/>
  <c r="I40" i="17"/>
  <c r="I114" i="17" s="1"/>
  <c r="H40" i="17"/>
  <c r="H113" i="17" s="1"/>
  <c r="G40" i="17"/>
  <c r="G114" i="17" s="1"/>
  <c r="F40" i="17"/>
  <c r="F114" i="17" s="1"/>
  <c r="E40" i="17"/>
  <c r="E87" i="17" s="1"/>
  <c r="D40" i="17"/>
  <c r="D59" i="17" s="1"/>
  <c r="C87" i="17"/>
  <c r="C134" i="17" s="1"/>
  <c r="U39" i="17"/>
  <c r="U54" i="17" s="1"/>
  <c r="Q39" i="17"/>
  <c r="Q58" i="17" s="1"/>
  <c r="P39" i="17"/>
  <c r="P108" i="17" s="1"/>
  <c r="O39" i="17"/>
  <c r="O109" i="17" s="1"/>
  <c r="N39" i="17"/>
  <c r="N80" i="17" s="1"/>
  <c r="N86" i="17" s="1"/>
  <c r="L39" i="17"/>
  <c r="L110" i="17" s="1"/>
  <c r="J39" i="17"/>
  <c r="J80" i="17" s="1"/>
  <c r="J129" i="17" s="1"/>
  <c r="F82" i="11" s="1"/>
  <c r="L19" i="12" s="1"/>
  <c r="H39" i="17"/>
  <c r="H54" i="17" s="1"/>
  <c r="F39" i="17"/>
  <c r="F110" i="17" s="1"/>
  <c r="V38" i="17"/>
  <c r="V107" i="17" s="1"/>
  <c r="U38" i="17"/>
  <c r="U106" i="17" s="1"/>
  <c r="T38" i="17"/>
  <c r="T73" i="17" s="1"/>
  <c r="S38" i="17"/>
  <c r="S105" i="17" s="1"/>
  <c r="R38" i="17"/>
  <c r="R49" i="17" s="1"/>
  <c r="Q38" i="17"/>
  <c r="Q73" i="17" s="1"/>
  <c r="Q122" i="17" s="1"/>
  <c r="P38" i="17"/>
  <c r="O38" i="17"/>
  <c r="N38" i="17"/>
  <c r="N107" i="17" s="1"/>
  <c r="G19" i="14"/>
  <c r="L38" i="17"/>
  <c r="L106" i="17" s="1"/>
  <c r="K38" i="17"/>
  <c r="K107" i="17" s="1"/>
  <c r="J38" i="17"/>
  <c r="J107" i="17" s="1"/>
  <c r="I38" i="17"/>
  <c r="I49" i="17" s="1"/>
  <c r="H38" i="17"/>
  <c r="H107" i="17" s="1"/>
  <c r="G38" i="17"/>
  <c r="G73" i="17" s="1"/>
  <c r="G119" i="17" s="1"/>
  <c r="F105" i="17"/>
  <c r="E105" i="17"/>
  <c r="C38" i="17"/>
  <c r="C49" i="17" s="1"/>
  <c r="C105" i="17" s="1"/>
  <c r="U37" i="17"/>
  <c r="G19" i="15" s="1"/>
  <c r="T37" i="17"/>
  <c r="T104" i="17" s="1"/>
  <c r="S37" i="17"/>
  <c r="R37" i="17"/>
  <c r="R104" i="17" s="1"/>
  <c r="Q37" i="17"/>
  <c r="Q104" i="17" s="1"/>
  <c r="P37" i="17"/>
  <c r="P104" i="17" s="1"/>
  <c r="M37" i="17"/>
  <c r="G16" i="15" s="1"/>
  <c r="L37" i="17"/>
  <c r="L104" i="17" s="1"/>
  <c r="K37" i="17"/>
  <c r="K104" i="17" s="1"/>
  <c r="J37" i="17"/>
  <c r="J104" i="17" s="1"/>
  <c r="I37" i="17"/>
  <c r="H37" i="17"/>
  <c r="G37" i="17"/>
  <c r="F37" i="17"/>
  <c r="G12" i="15" s="1"/>
  <c r="B116" i="2"/>
  <c r="R41" i="17"/>
  <c r="R39" i="17"/>
  <c r="G39" i="17"/>
  <c r="G54" i="17" s="1"/>
  <c r="D41" i="17"/>
  <c r="K64" i="17"/>
  <c r="AA23" i="17"/>
  <c r="U42" i="17" s="1"/>
  <c r="U94" i="17" s="1"/>
  <c r="U141" i="17" s="1"/>
  <c r="F88" i="7" s="1"/>
  <c r="C88" i="7" s="1"/>
  <c r="U23" i="17"/>
  <c r="M23" i="17"/>
  <c r="L23" i="17"/>
  <c r="H23" i="17"/>
  <c r="H42" i="17" s="1"/>
  <c r="H94" i="17" s="1"/>
  <c r="H139" i="17" s="1"/>
  <c r="F56" i="7" s="1"/>
  <c r="O24" i="17"/>
  <c r="M64" i="17"/>
  <c r="D15" i="10"/>
  <c r="D20" i="10"/>
  <c r="D26" i="10"/>
  <c r="D32" i="10"/>
  <c r="D76" i="8"/>
  <c r="I64" i="17"/>
  <c r="D20" i="8"/>
  <c r="U57" i="17"/>
  <c r="P149" i="15"/>
  <c r="G149" i="15"/>
  <c r="P134" i="15"/>
  <c r="G134" i="15" s="1"/>
  <c r="P126" i="15"/>
  <c r="G126" i="15"/>
  <c r="P91" i="15"/>
  <c r="G91" i="15" s="1"/>
  <c r="P83" i="15"/>
  <c r="G83" i="15"/>
  <c r="G69" i="15"/>
  <c r="AB23" i="17"/>
  <c r="Y23" i="17"/>
  <c r="Z23" i="17"/>
  <c r="W23" i="17"/>
  <c r="V23" i="17"/>
  <c r="T23" i="17"/>
  <c r="P42" i="17" s="1"/>
  <c r="P94" i="17" s="1"/>
  <c r="S23" i="17"/>
  <c r="R23" i="17"/>
  <c r="O42" i="17" s="1"/>
  <c r="O94" i="17" s="1"/>
  <c r="O137" i="17" s="1"/>
  <c r="Q23" i="17"/>
  <c r="N42" i="17" s="1"/>
  <c r="N94" i="17" s="1"/>
  <c r="N140" i="17" s="1"/>
  <c r="P23" i="17"/>
  <c r="O23" i="17"/>
  <c r="N23" i="17"/>
  <c r="L42" i="17" s="1"/>
  <c r="L94" i="17" s="1"/>
  <c r="L136" i="17" s="1"/>
  <c r="J23" i="17"/>
  <c r="I23" i="17"/>
  <c r="G23" i="17"/>
  <c r="G42" i="17" s="1"/>
  <c r="G94" i="17" s="1"/>
  <c r="G137" i="17" s="1"/>
  <c r="F23" i="17"/>
  <c r="U60" i="17"/>
  <c r="B33" i="13"/>
  <c r="B33" i="11"/>
  <c r="B33" i="9"/>
  <c r="B33" i="7"/>
  <c r="D20" i="15"/>
  <c r="D13" i="15"/>
  <c r="H41" i="8"/>
  <c r="D4" i="3"/>
  <c r="R73" i="17"/>
  <c r="R79" i="17" s="1"/>
  <c r="V24" i="17"/>
  <c r="Y24" i="17"/>
  <c r="P24" i="17"/>
  <c r="S24" i="17"/>
  <c r="I24" i="17"/>
  <c r="J24" i="17"/>
  <c r="C10" i="3"/>
  <c r="C9" i="3"/>
  <c r="C8" i="3"/>
  <c r="C7" i="3"/>
  <c r="C6" i="3"/>
  <c r="C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15" i="3"/>
  <c r="D15" i="3"/>
  <c r="E15" i="3"/>
  <c r="F15" i="3"/>
  <c r="G15" i="3"/>
  <c r="H15" i="3"/>
  <c r="J15" i="3"/>
  <c r="K15" i="3"/>
  <c r="L15" i="3"/>
  <c r="O15" i="3"/>
  <c r="R15" i="3"/>
  <c r="C16" i="3"/>
  <c r="D16" i="3"/>
  <c r="E16" i="3"/>
  <c r="F16" i="3"/>
  <c r="G16" i="3"/>
  <c r="H16" i="3"/>
  <c r="J16" i="3"/>
  <c r="K16" i="3"/>
  <c r="L16" i="3"/>
  <c r="N16" i="3"/>
  <c r="O16" i="3"/>
  <c r="R16" i="3"/>
  <c r="C17" i="3"/>
  <c r="D17" i="3"/>
  <c r="E17" i="3"/>
  <c r="F17" i="3"/>
  <c r="G17" i="3"/>
  <c r="H17" i="3"/>
  <c r="J17" i="3"/>
  <c r="K17" i="3"/>
  <c r="L17" i="3"/>
  <c r="N17" i="3"/>
  <c r="O17" i="3"/>
  <c r="R17" i="3"/>
  <c r="C18" i="3"/>
  <c r="D18" i="3"/>
  <c r="E18" i="3"/>
  <c r="F18" i="3"/>
  <c r="G18" i="3"/>
  <c r="H18" i="3"/>
  <c r="J18" i="3"/>
  <c r="K18" i="3"/>
  <c r="L18" i="3"/>
  <c r="N18" i="3"/>
  <c r="O18" i="3"/>
  <c r="R18" i="3"/>
  <c r="C19" i="3"/>
  <c r="D19" i="3"/>
  <c r="E19" i="3"/>
  <c r="F19" i="3"/>
  <c r="G19" i="3"/>
  <c r="H19" i="3"/>
  <c r="J19" i="3"/>
  <c r="K19" i="3"/>
  <c r="L19" i="3"/>
  <c r="N19" i="3"/>
  <c r="O19" i="3"/>
  <c r="R19" i="3"/>
  <c r="C20" i="3"/>
  <c r="D20" i="3"/>
  <c r="E20" i="3"/>
  <c r="F20" i="3"/>
  <c r="G20" i="3"/>
  <c r="H20" i="3"/>
  <c r="J20" i="3"/>
  <c r="K20" i="3"/>
  <c r="L20" i="3"/>
  <c r="N20" i="3"/>
  <c r="O20" i="3"/>
  <c r="R20" i="3"/>
  <c r="D6" i="2"/>
  <c r="C42" i="4"/>
  <c r="E35" i="20" s="1"/>
  <c r="E124" i="2"/>
  <c r="C39" i="4"/>
  <c r="C38" i="4"/>
  <c r="C37" i="4"/>
  <c r="C36" i="4"/>
  <c r="C35" i="4"/>
  <c r="C34" i="4"/>
  <c r="E28" i="20" s="1"/>
  <c r="C33" i="4"/>
  <c r="D63" i="12" s="1"/>
  <c r="C32" i="4"/>
  <c r="C31" i="4"/>
  <c r="C30" i="4"/>
  <c r="D85" i="14" s="1"/>
  <c r="C29" i="4"/>
  <c r="C28" i="4"/>
  <c r="C26" i="4"/>
  <c r="E122" i="2" s="1"/>
  <c r="E116" i="2"/>
  <c r="P113" i="2"/>
  <c r="E108" i="2"/>
  <c r="B106" i="2" s="1"/>
  <c r="C82" i="1" s="1"/>
  <c r="E100" i="2"/>
  <c r="B99" i="2" s="1"/>
  <c r="D99" i="2"/>
  <c r="E98" i="2"/>
  <c r="B97" i="2" s="1"/>
  <c r="D97" i="2"/>
  <c r="E96" i="2"/>
  <c r="B95" i="2" s="1"/>
  <c r="D95" i="2"/>
  <c r="E94" i="2"/>
  <c r="D93" i="2"/>
  <c r="E92" i="2"/>
  <c r="B90" i="2" s="1"/>
  <c r="D91" i="2"/>
  <c r="D90" i="2"/>
  <c r="E89" i="2"/>
  <c r="B88" i="2" s="1"/>
  <c r="D88" i="2"/>
  <c r="E87" i="2"/>
  <c r="B86" i="2" s="1"/>
  <c r="D86" i="2"/>
  <c r="E85" i="2"/>
  <c r="D84" i="2"/>
  <c r="E83" i="2"/>
  <c r="D82" i="2"/>
  <c r="E81" i="2"/>
  <c r="B80" i="2" s="1"/>
  <c r="D80" i="2"/>
  <c r="E79" i="2"/>
  <c r="B78" i="2" s="1"/>
  <c r="D78" i="2"/>
  <c r="E77" i="2"/>
  <c r="B75" i="2" s="1"/>
  <c r="D76" i="2"/>
  <c r="D75" i="2"/>
  <c r="E74" i="2"/>
  <c r="B73" i="2" s="1"/>
  <c r="D73" i="2"/>
  <c r="E72" i="2"/>
  <c r="B68" i="2" s="1"/>
  <c r="D71" i="2"/>
  <c r="D70" i="2"/>
  <c r="D69" i="2"/>
  <c r="D68" i="2"/>
  <c r="E67" i="2"/>
  <c r="B66" i="2" s="1"/>
  <c r="D66" i="2"/>
  <c r="E65" i="2"/>
  <c r="B64" i="2" s="1"/>
  <c r="D64" i="2"/>
  <c r="E63" i="2"/>
  <c r="B62" i="2" s="1"/>
  <c r="D62" i="2"/>
  <c r="E61" i="2"/>
  <c r="B60" i="2" s="1"/>
  <c r="D60" i="2"/>
  <c r="E59" i="2"/>
  <c r="B58" i="2" s="1"/>
  <c r="D58" i="2"/>
  <c r="E57" i="2"/>
  <c r="B56" i="2" s="1"/>
  <c r="D56" i="2"/>
  <c r="E49" i="2"/>
  <c r="E47" i="2"/>
  <c r="E45" i="2"/>
  <c r="B44" i="2" s="1"/>
  <c r="C94" i="1" s="1"/>
  <c r="E43" i="2"/>
  <c r="B42" i="2" s="1"/>
  <c r="C95" i="1" s="1"/>
  <c r="E41" i="2"/>
  <c r="B39" i="2" s="1"/>
  <c r="C78" i="1" s="1"/>
  <c r="D40" i="2"/>
  <c r="D39" i="2"/>
  <c r="E38" i="2"/>
  <c r="B37" i="2" s="1"/>
  <c r="C84" i="1" s="1"/>
  <c r="D37" i="2"/>
  <c r="E36" i="2"/>
  <c r="B35" i="2" s="1"/>
  <c r="C93" i="1" s="1"/>
  <c r="D35" i="2"/>
  <c r="E34" i="2"/>
  <c r="R24" i="17"/>
  <c r="D33" i="2"/>
  <c r="E32" i="2"/>
  <c r="D31" i="2"/>
  <c r="E30" i="2"/>
  <c r="B29" i="2" s="1"/>
  <c r="C83" i="1" s="1"/>
  <c r="D29" i="2"/>
  <c r="E28" i="2"/>
  <c r="B27" i="2" s="1"/>
  <c r="C90" i="1" s="1"/>
  <c r="D27" i="2"/>
  <c r="E26" i="2"/>
  <c r="B24" i="2" s="1"/>
  <c r="C86" i="1" s="1"/>
  <c r="D25" i="2"/>
  <c r="D24" i="2"/>
  <c r="E23" i="2"/>
  <c r="B22" i="2" s="1"/>
  <c r="C89" i="1" s="1"/>
  <c r="D22" i="2"/>
  <c r="E21" i="2"/>
  <c r="B18" i="2" s="1"/>
  <c r="C87" i="1" s="1"/>
  <c r="D20" i="2"/>
  <c r="D19" i="2"/>
  <c r="D18" i="2"/>
  <c r="E17" i="2"/>
  <c r="B16" i="2" s="1"/>
  <c r="C88" i="1" s="1"/>
  <c r="D16" i="2"/>
  <c r="E15" i="2"/>
  <c r="B14" i="2" s="1"/>
  <c r="C92" i="1" s="1"/>
  <c r="D14" i="2"/>
  <c r="E13" i="2"/>
  <c r="B12" i="2" s="1"/>
  <c r="C81" i="1" s="1"/>
  <c r="D12" i="2"/>
  <c r="E11" i="2"/>
  <c r="B10" i="2" s="1"/>
  <c r="C80" i="1" s="1"/>
  <c r="D10" i="2"/>
  <c r="E9" i="2"/>
  <c r="B8" i="2" s="1"/>
  <c r="C91" i="1" s="1"/>
  <c r="D8" i="2"/>
  <c r="E7" i="2"/>
  <c r="B6" i="2" s="1"/>
  <c r="C79" i="1" s="1"/>
  <c r="H106" i="2"/>
  <c r="H107" i="2"/>
  <c r="D121" i="2"/>
  <c r="J12" i="14"/>
  <c r="C25" i="4"/>
  <c r="C22" i="4"/>
  <c r="F24" i="12" s="1"/>
  <c r="C21" i="4"/>
  <c r="C20" i="4"/>
  <c r="C19" i="4"/>
  <c r="C18" i="4"/>
  <c r="C17" i="4"/>
  <c r="J23" i="10" s="1"/>
  <c r="C16" i="4"/>
  <c r="D164" i="15" s="1"/>
  <c r="C15" i="4"/>
  <c r="C14" i="4"/>
  <c r="C13" i="4"/>
  <c r="F17" i="8" s="1"/>
  <c r="C12" i="4"/>
  <c r="C11" i="4"/>
  <c r="C10" i="4"/>
  <c r="C9" i="4"/>
  <c r="C8" i="4"/>
  <c r="J15" i="14" s="1"/>
  <c r="C7" i="4"/>
  <c r="F14" i="12" s="1"/>
  <c r="C6" i="4"/>
  <c r="D36" i="20" s="1"/>
  <c r="A4" i="5"/>
  <c r="I17" i="5"/>
  <c r="D17" i="5"/>
  <c r="I16" i="5"/>
  <c r="D16" i="5"/>
  <c r="D15" i="5"/>
  <c r="I14" i="5"/>
  <c r="D14" i="5"/>
  <c r="I13" i="5"/>
  <c r="D13" i="5"/>
  <c r="A13" i="5"/>
  <c r="C4" i="5"/>
  <c r="G19" i="5"/>
  <c r="A4" i="6"/>
  <c r="I22" i="6"/>
  <c r="D22" i="6"/>
  <c r="I21" i="6"/>
  <c r="D21" i="6"/>
  <c r="I20" i="6"/>
  <c r="D20" i="6"/>
  <c r="I19" i="6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A13" i="6"/>
  <c r="C4" i="6"/>
  <c r="G24" i="6"/>
  <c r="A4" i="7"/>
  <c r="E17" i="7" s="1"/>
  <c r="D88" i="7"/>
  <c r="D86" i="7"/>
  <c r="D85" i="7"/>
  <c r="D84" i="7"/>
  <c r="D83" i="7"/>
  <c r="D82" i="7"/>
  <c r="D81" i="7"/>
  <c r="D80" i="7"/>
  <c r="D79" i="7"/>
  <c r="D78" i="7"/>
  <c r="D77" i="7"/>
  <c r="D76" i="7"/>
  <c r="D68" i="7"/>
  <c r="D61" i="7"/>
  <c r="D60" i="7"/>
  <c r="D59" i="7"/>
  <c r="D58" i="7"/>
  <c r="D57" i="7"/>
  <c r="D56" i="7"/>
  <c r="D55" i="7"/>
  <c r="D54" i="7"/>
  <c r="D47" i="7"/>
  <c r="D46" i="7"/>
  <c r="D45" i="7"/>
  <c r="D44" i="7"/>
  <c r="D43" i="7"/>
  <c r="D42" i="7"/>
  <c r="D41" i="7"/>
  <c r="D40" i="7"/>
  <c r="D32" i="7"/>
  <c r="B32" i="7" s="1"/>
  <c r="D31" i="7"/>
  <c r="B31" i="7" s="1"/>
  <c r="D30" i="7"/>
  <c r="B30" i="7" s="1"/>
  <c r="D29" i="7"/>
  <c r="B29" i="7" s="1"/>
  <c r="D28" i="7"/>
  <c r="B28" i="7" s="1"/>
  <c r="D27" i="7"/>
  <c r="B27" i="7" s="1"/>
  <c r="D26" i="7"/>
  <c r="B26" i="7" s="1"/>
  <c r="D25" i="7"/>
  <c r="B25" i="7" s="1"/>
  <c r="D16" i="7"/>
  <c r="E75" i="7" s="1"/>
  <c r="D15" i="7"/>
  <c r="E68" i="7" s="1"/>
  <c r="D14" i="7"/>
  <c r="E55" i="7" s="1"/>
  <c r="D13" i="7"/>
  <c r="E41" i="7" s="1"/>
  <c r="C4" i="7"/>
  <c r="H25" i="7"/>
  <c r="H26" i="7"/>
  <c r="H27" i="7"/>
  <c r="H28" i="7"/>
  <c r="H29" i="7"/>
  <c r="H30" i="7"/>
  <c r="H31" i="7"/>
  <c r="H40" i="7"/>
  <c r="H41" i="7"/>
  <c r="H42" i="7"/>
  <c r="H43" i="7"/>
  <c r="H44" i="7"/>
  <c r="H45" i="7"/>
  <c r="H46" i="7"/>
  <c r="H54" i="7"/>
  <c r="H55" i="7"/>
  <c r="H56" i="7"/>
  <c r="H57" i="7"/>
  <c r="H58" i="7"/>
  <c r="H59" i="7"/>
  <c r="H60" i="7"/>
  <c r="H61" i="7"/>
  <c r="E25" i="7"/>
  <c r="E27" i="7"/>
  <c r="E29" i="7"/>
  <c r="E31" i="7"/>
  <c r="E33" i="7"/>
  <c r="B116" i="17"/>
  <c r="A4" i="8" s="1"/>
  <c r="E85" i="8"/>
  <c r="D85" i="8"/>
  <c r="E84" i="8"/>
  <c r="D84" i="8"/>
  <c r="E77" i="8"/>
  <c r="D74" i="8"/>
  <c r="E71" i="8"/>
  <c r="E70" i="8"/>
  <c r="D69" i="8"/>
  <c r="D67" i="8"/>
  <c r="D66" i="8"/>
  <c r="D65" i="8"/>
  <c r="D64" i="8"/>
  <c r="E62" i="8"/>
  <c r="E60" i="8"/>
  <c r="D57" i="8"/>
  <c r="D48" i="8"/>
  <c r="D44" i="8"/>
  <c r="D43" i="8"/>
  <c r="D42" i="8"/>
  <c r="D41" i="8"/>
  <c r="D32" i="8"/>
  <c r="D30" i="8"/>
  <c r="N21" i="8"/>
  <c r="N20" i="8"/>
  <c r="N19" i="8"/>
  <c r="N18" i="8"/>
  <c r="N17" i="8"/>
  <c r="N16" i="8"/>
  <c r="N15" i="8"/>
  <c r="N14" i="8"/>
  <c r="N13" i="8"/>
  <c r="N12" i="8"/>
  <c r="J12" i="8"/>
  <c r="A117" i="17"/>
  <c r="C5" i="8" s="1"/>
  <c r="B117" i="17"/>
  <c r="A5" i="8" s="1"/>
  <c r="A116" i="17"/>
  <c r="C4" i="8" s="1"/>
  <c r="C11" i="8"/>
  <c r="C12" i="8"/>
  <c r="C13" i="8"/>
  <c r="D14" i="8"/>
  <c r="C17" i="8"/>
  <c r="C18" i="8"/>
  <c r="C19" i="8"/>
  <c r="H22" i="8"/>
  <c r="A4" i="9"/>
  <c r="E17" i="9" s="1"/>
  <c r="D88" i="9"/>
  <c r="D86" i="9"/>
  <c r="D85" i="9"/>
  <c r="D84" i="9"/>
  <c r="D83" i="9"/>
  <c r="D82" i="9"/>
  <c r="D81" i="9"/>
  <c r="D80" i="9"/>
  <c r="D79" i="9"/>
  <c r="D78" i="9"/>
  <c r="D77" i="9"/>
  <c r="D76" i="9"/>
  <c r="D68" i="9"/>
  <c r="D61" i="9"/>
  <c r="D60" i="9"/>
  <c r="D59" i="9"/>
  <c r="D58" i="9"/>
  <c r="D57" i="9"/>
  <c r="D56" i="9"/>
  <c r="D55" i="9"/>
  <c r="D54" i="9"/>
  <c r="D47" i="9"/>
  <c r="D46" i="9"/>
  <c r="D45" i="9"/>
  <c r="D44" i="9"/>
  <c r="D43" i="9"/>
  <c r="D42" i="9"/>
  <c r="D41" i="9"/>
  <c r="D40" i="9"/>
  <c r="D32" i="9"/>
  <c r="B32" i="9" s="1"/>
  <c r="D31" i="9"/>
  <c r="B31" i="9" s="1"/>
  <c r="D30" i="9"/>
  <c r="B30" i="9" s="1"/>
  <c r="D29" i="9"/>
  <c r="B29" i="9" s="1"/>
  <c r="D28" i="9"/>
  <c r="B28" i="9" s="1"/>
  <c r="D27" i="9"/>
  <c r="B27" i="9" s="1"/>
  <c r="D26" i="9"/>
  <c r="B26" i="9" s="1"/>
  <c r="D25" i="9"/>
  <c r="B25" i="9" s="1"/>
  <c r="D16" i="9"/>
  <c r="E75" i="9" s="1"/>
  <c r="D15" i="9"/>
  <c r="E68" i="9" s="1"/>
  <c r="D14" i="9"/>
  <c r="E54" i="9" s="1"/>
  <c r="D13" i="9"/>
  <c r="E47" i="9" s="1"/>
  <c r="C4" i="9"/>
  <c r="H25" i="9"/>
  <c r="H26" i="9"/>
  <c r="H27" i="9"/>
  <c r="H28" i="9"/>
  <c r="H29" i="9"/>
  <c r="H30" i="9"/>
  <c r="H31" i="9"/>
  <c r="H40" i="9"/>
  <c r="H41" i="9"/>
  <c r="H42" i="9"/>
  <c r="H43" i="9"/>
  <c r="H44" i="9"/>
  <c r="H45" i="9"/>
  <c r="H46" i="9"/>
  <c r="H54" i="9"/>
  <c r="H55" i="9"/>
  <c r="H56" i="9"/>
  <c r="H57" i="9"/>
  <c r="H58" i="9"/>
  <c r="H59" i="9"/>
  <c r="H60" i="9"/>
  <c r="H61" i="9"/>
  <c r="E25" i="9"/>
  <c r="E26" i="9"/>
  <c r="E27" i="9"/>
  <c r="E28" i="9"/>
  <c r="E29" i="9"/>
  <c r="E30" i="9"/>
  <c r="E31" i="9"/>
  <c r="E32" i="9"/>
  <c r="E33" i="9"/>
  <c r="B111" i="17"/>
  <c r="A50" i="10" s="1"/>
  <c r="D100" i="10"/>
  <c r="D99" i="10"/>
  <c r="D98" i="10"/>
  <c r="D96" i="10"/>
  <c r="D95" i="10"/>
  <c r="E88" i="10"/>
  <c r="B114" i="17"/>
  <c r="A7" i="10" s="1"/>
  <c r="E84" i="10"/>
  <c r="B113" i="17"/>
  <c r="A81" i="10" s="1"/>
  <c r="E79" i="10"/>
  <c r="D75" i="10"/>
  <c r="E68" i="10"/>
  <c r="E67" i="10"/>
  <c r="D66" i="10"/>
  <c r="D64" i="10"/>
  <c r="B112" i="17"/>
  <c r="A5" i="10" s="1"/>
  <c r="E57" i="10"/>
  <c r="E52" i="10"/>
  <c r="D51" i="10"/>
  <c r="E43" i="10"/>
  <c r="D40" i="10"/>
  <c r="D39" i="10"/>
  <c r="F24" i="10"/>
  <c r="H86" i="10"/>
  <c r="Q22" i="10"/>
  <c r="O22" i="10"/>
  <c r="H75" i="10"/>
  <c r="H81" i="10"/>
  <c r="O21" i="10"/>
  <c r="O20" i="10"/>
  <c r="C19" i="10"/>
  <c r="H64" i="10"/>
  <c r="H99" i="10"/>
  <c r="O18" i="10"/>
  <c r="C18" i="10"/>
  <c r="O17" i="10"/>
  <c r="O15" i="10"/>
  <c r="O14" i="10"/>
  <c r="J14" i="10"/>
  <c r="F14" i="10"/>
  <c r="A114" i="17"/>
  <c r="C7" i="10" s="1"/>
  <c r="A113" i="17"/>
  <c r="C6" i="10" s="1"/>
  <c r="A112" i="17"/>
  <c r="C5" i="10" s="1"/>
  <c r="A111" i="17"/>
  <c r="C4" i="10" s="1"/>
  <c r="C13" i="10"/>
  <c r="C14" i="10"/>
  <c r="H39" i="10"/>
  <c r="K19" i="10"/>
  <c r="C23" i="10"/>
  <c r="C24" i="10"/>
  <c r="C25" i="10"/>
  <c r="C28" i="10"/>
  <c r="H28" i="10"/>
  <c r="M28" i="10"/>
  <c r="C29" i="10"/>
  <c r="C30" i="10"/>
  <c r="C31" i="10"/>
  <c r="A4" i="11"/>
  <c r="E17" i="11" s="1"/>
  <c r="D89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68" i="11"/>
  <c r="D61" i="11"/>
  <c r="D60" i="11"/>
  <c r="D59" i="11"/>
  <c r="D58" i="11"/>
  <c r="D57" i="11"/>
  <c r="D56" i="11"/>
  <c r="D55" i="11"/>
  <c r="D54" i="11"/>
  <c r="D47" i="11"/>
  <c r="D46" i="11"/>
  <c r="D45" i="11"/>
  <c r="D44" i="11"/>
  <c r="D43" i="11"/>
  <c r="D42" i="11"/>
  <c r="D41" i="11"/>
  <c r="D40" i="11"/>
  <c r="D32" i="11"/>
  <c r="B32" i="11" s="1"/>
  <c r="D31" i="11"/>
  <c r="B31" i="11" s="1"/>
  <c r="D30" i="11"/>
  <c r="B30" i="11" s="1"/>
  <c r="D29" i="11"/>
  <c r="B29" i="11" s="1"/>
  <c r="D28" i="11"/>
  <c r="B28" i="11" s="1"/>
  <c r="D27" i="11"/>
  <c r="B27" i="11" s="1"/>
  <c r="D26" i="11"/>
  <c r="B26" i="11" s="1"/>
  <c r="D25" i="11"/>
  <c r="B25" i="11" s="1"/>
  <c r="D16" i="11"/>
  <c r="E75" i="11" s="1"/>
  <c r="D15" i="11"/>
  <c r="E68" i="11" s="1"/>
  <c r="D14" i="11"/>
  <c r="E59" i="11" s="1"/>
  <c r="D13" i="11"/>
  <c r="E44" i="11" s="1"/>
  <c r="C4" i="11"/>
  <c r="H25" i="11"/>
  <c r="H26" i="11"/>
  <c r="H27" i="11"/>
  <c r="H28" i="11"/>
  <c r="H29" i="11"/>
  <c r="H30" i="11"/>
  <c r="H31" i="11"/>
  <c r="H40" i="11"/>
  <c r="H41" i="11"/>
  <c r="H42" i="11"/>
  <c r="H43" i="11"/>
  <c r="H44" i="11"/>
  <c r="H45" i="11"/>
  <c r="H46" i="11"/>
  <c r="H54" i="11"/>
  <c r="H55" i="11"/>
  <c r="H56" i="11"/>
  <c r="H57" i="11"/>
  <c r="H58" i="11"/>
  <c r="H59" i="11"/>
  <c r="H60" i="11"/>
  <c r="E25" i="11"/>
  <c r="E26" i="11"/>
  <c r="E27" i="11"/>
  <c r="E28" i="11"/>
  <c r="E29" i="11"/>
  <c r="E30" i="11"/>
  <c r="E31" i="11"/>
  <c r="E32" i="11"/>
  <c r="E33" i="11"/>
  <c r="B108" i="17"/>
  <c r="A36" i="12" s="1"/>
  <c r="E70" i="12"/>
  <c r="E69" i="12"/>
  <c r="H67" i="12"/>
  <c r="B109" i="17"/>
  <c r="A53" i="12" s="1"/>
  <c r="E65" i="12"/>
  <c r="E64" i="12"/>
  <c r="H62" i="12"/>
  <c r="E60" i="12"/>
  <c r="E59" i="12"/>
  <c r="H58" i="12"/>
  <c r="H53" i="12"/>
  <c r="Q14" i="12" s="1"/>
  <c r="Q15" i="12" s="1"/>
  <c r="E56" i="12"/>
  <c r="E55" i="12"/>
  <c r="E46" i="12"/>
  <c r="E42" i="12"/>
  <c r="E38" i="12"/>
  <c r="J27" i="12"/>
  <c r="C20" i="12"/>
  <c r="C19" i="12"/>
  <c r="C18" i="12"/>
  <c r="C17" i="12"/>
  <c r="O14" i="12"/>
  <c r="O12" i="12"/>
  <c r="J12" i="12"/>
  <c r="F12" i="12"/>
  <c r="A109" i="17"/>
  <c r="C5" i="12" s="1"/>
  <c r="A108" i="17"/>
  <c r="C4" i="12" s="1"/>
  <c r="C11" i="12"/>
  <c r="C12" i="12"/>
  <c r="H36" i="12"/>
  <c r="H40" i="12"/>
  <c r="H44" i="12"/>
  <c r="C13" i="12"/>
  <c r="P13" i="12"/>
  <c r="P15" i="12"/>
  <c r="D21" i="12"/>
  <c r="H27" i="12"/>
  <c r="A4" i="13"/>
  <c r="E17" i="13" s="1"/>
  <c r="D85" i="13"/>
  <c r="D84" i="13"/>
  <c r="D83" i="13"/>
  <c r="D82" i="13"/>
  <c r="D81" i="13"/>
  <c r="D80" i="13"/>
  <c r="D79" i="13"/>
  <c r="D78" i="13"/>
  <c r="D77" i="13"/>
  <c r="D76" i="13"/>
  <c r="D68" i="13"/>
  <c r="D61" i="13"/>
  <c r="D60" i="13"/>
  <c r="D59" i="13"/>
  <c r="D58" i="13"/>
  <c r="D57" i="13"/>
  <c r="D56" i="13"/>
  <c r="D55" i="13"/>
  <c r="D54" i="13"/>
  <c r="D47" i="13"/>
  <c r="D46" i="13"/>
  <c r="D45" i="13"/>
  <c r="D44" i="13"/>
  <c r="D43" i="13"/>
  <c r="D42" i="13"/>
  <c r="D41" i="13"/>
  <c r="D40" i="13"/>
  <c r="D32" i="13"/>
  <c r="B32" i="13" s="1"/>
  <c r="D31" i="13"/>
  <c r="B31" i="13" s="1"/>
  <c r="D30" i="13"/>
  <c r="B30" i="13" s="1"/>
  <c r="D29" i="13"/>
  <c r="B29" i="13" s="1"/>
  <c r="D28" i="13"/>
  <c r="B28" i="13" s="1"/>
  <c r="D27" i="13"/>
  <c r="B27" i="13" s="1"/>
  <c r="D26" i="13"/>
  <c r="B26" i="13" s="1"/>
  <c r="D25" i="13"/>
  <c r="B25" i="13" s="1"/>
  <c r="D16" i="13"/>
  <c r="E75" i="13" s="1"/>
  <c r="D15" i="13"/>
  <c r="E68" i="13" s="1"/>
  <c r="D14" i="13"/>
  <c r="E59" i="13" s="1"/>
  <c r="D13" i="13"/>
  <c r="E45" i="13" s="1"/>
  <c r="C4" i="13"/>
  <c r="H25" i="13"/>
  <c r="H26" i="13"/>
  <c r="H27" i="13"/>
  <c r="H28" i="13"/>
  <c r="H29" i="13"/>
  <c r="H30" i="13"/>
  <c r="H31" i="13"/>
  <c r="H40" i="13"/>
  <c r="H41" i="13"/>
  <c r="H42" i="13"/>
  <c r="H43" i="13"/>
  <c r="H44" i="13"/>
  <c r="H45" i="13"/>
  <c r="H46" i="13"/>
  <c r="H54" i="13"/>
  <c r="H55" i="13"/>
  <c r="H56" i="13"/>
  <c r="H57" i="13"/>
  <c r="H58" i="13"/>
  <c r="H59" i="13"/>
  <c r="H60" i="13"/>
  <c r="H61" i="13"/>
  <c r="E25" i="13"/>
  <c r="E26" i="13"/>
  <c r="E27" i="13"/>
  <c r="E28" i="13"/>
  <c r="E29" i="13"/>
  <c r="E30" i="13"/>
  <c r="E31" i="13"/>
  <c r="E32" i="13"/>
  <c r="E33" i="13"/>
  <c r="B105" i="17"/>
  <c r="E98" i="14"/>
  <c r="D97" i="14"/>
  <c r="D92" i="14"/>
  <c r="B106" i="17"/>
  <c r="E90" i="14"/>
  <c r="D89" i="14"/>
  <c r="D88" i="14"/>
  <c r="D83" i="14"/>
  <c r="E76" i="14"/>
  <c r="E75" i="14"/>
  <c r="D73" i="14"/>
  <c r="H71" i="14"/>
  <c r="D71" i="14"/>
  <c r="E64" i="14"/>
  <c r="D61" i="14"/>
  <c r="D60" i="14"/>
  <c r="E58" i="14"/>
  <c r="D55" i="14"/>
  <c r="E53" i="14"/>
  <c r="D49" i="14"/>
  <c r="E47" i="14"/>
  <c r="D43" i="14"/>
  <c r="E36" i="14"/>
  <c r="D31" i="14"/>
  <c r="O21" i="14"/>
  <c r="O20" i="14"/>
  <c r="O19" i="14"/>
  <c r="C19" i="14"/>
  <c r="O18" i="14"/>
  <c r="C18" i="14"/>
  <c r="O15" i="14"/>
  <c r="O14" i="14"/>
  <c r="O13" i="14"/>
  <c r="O12" i="14"/>
  <c r="F12" i="14"/>
  <c r="A106" i="17"/>
  <c r="C5" i="14" s="1"/>
  <c r="A105" i="17"/>
  <c r="C4" i="14" s="1"/>
  <c r="C11" i="14"/>
  <c r="C12" i="14"/>
  <c r="H31" i="14"/>
  <c r="C13" i="14"/>
  <c r="C14" i="14"/>
  <c r="H24" i="14"/>
  <c r="M24" i="14"/>
  <c r="B104" i="17"/>
  <c r="A157" i="15" s="1"/>
  <c r="E166" i="15"/>
  <c r="D162" i="15"/>
  <c r="E160" i="15"/>
  <c r="D157" i="15"/>
  <c r="E149" i="15"/>
  <c r="E148" i="15"/>
  <c r="E147" i="15"/>
  <c r="D143" i="15"/>
  <c r="D142" i="15"/>
  <c r="E140" i="15"/>
  <c r="D137" i="15"/>
  <c r="E134" i="15"/>
  <c r="E133" i="15"/>
  <c r="E132" i="15"/>
  <c r="D129" i="15"/>
  <c r="D128" i="15"/>
  <c r="E126" i="15"/>
  <c r="E125" i="15"/>
  <c r="E124" i="15"/>
  <c r="D118" i="15"/>
  <c r="D117" i="15"/>
  <c r="D116" i="15"/>
  <c r="E109" i="15"/>
  <c r="D106" i="15"/>
  <c r="E104" i="15"/>
  <c r="D101" i="15"/>
  <c r="D100" i="15"/>
  <c r="E98" i="15"/>
  <c r="D95" i="15"/>
  <c r="D94" i="15"/>
  <c r="D93" i="15"/>
  <c r="E91" i="15"/>
  <c r="E90" i="15"/>
  <c r="D88" i="15"/>
  <c r="D87" i="15"/>
  <c r="D86" i="15"/>
  <c r="D85" i="15"/>
  <c r="E83" i="15"/>
  <c r="E82" i="15"/>
  <c r="D80" i="15"/>
  <c r="D79" i="15"/>
  <c r="D78" i="15"/>
  <c r="D77" i="15"/>
  <c r="E69" i="15"/>
  <c r="E68" i="15"/>
  <c r="E67" i="15"/>
  <c r="D61" i="15"/>
  <c r="E55" i="15"/>
  <c r="D51" i="15"/>
  <c r="D50" i="15"/>
  <c r="D48" i="15"/>
  <c r="D47" i="15"/>
  <c r="D29" i="15"/>
  <c r="N20" i="15"/>
  <c r="N19" i="15"/>
  <c r="N18" i="15"/>
  <c r="H18" i="15"/>
  <c r="H21" i="15" s="1"/>
  <c r="N17" i="15"/>
  <c r="N16" i="15"/>
  <c r="N15" i="15"/>
  <c r="N14" i="15"/>
  <c r="N13" i="15"/>
  <c r="N12" i="15"/>
  <c r="N11" i="15"/>
  <c r="J11" i="15"/>
  <c r="F11" i="15"/>
  <c r="A104" i="17"/>
  <c r="C4" i="15" s="1"/>
  <c r="C10" i="15"/>
  <c r="C11" i="15"/>
  <c r="H29" i="15"/>
  <c r="H100" i="15" s="1"/>
  <c r="C12" i="15"/>
  <c r="C14" i="15"/>
  <c r="C15" i="15"/>
  <c r="C16" i="15"/>
  <c r="C17" i="15"/>
  <c r="C18" i="15"/>
  <c r="C19" i="15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5" i="17"/>
  <c r="A115" i="17"/>
  <c r="B110" i="17"/>
  <c r="A110" i="17"/>
  <c r="B107" i="17"/>
  <c r="A107" i="17"/>
  <c r="F24" i="17"/>
  <c r="G24" i="17"/>
  <c r="H24" i="17"/>
  <c r="K24" i="17"/>
  <c r="L24" i="17"/>
  <c r="M24" i="17"/>
  <c r="N24" i="17"/>
  <c r="Q24" i="17"/>
  <c r="T24" i="17"/>
  <c r="W24" i="17"/>
  <c r="X24" i="17"/>
  <c r="Z24" i="17"/>
  <c r="AA24" i="17"/>
  <c r="AB24" i="17"/>
  <c r="A42" i="17"/>
  <c r="A94" i="17" s="1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A49" i="17"/>
  <c r="A54" i="17"/>
  <c r="A59" i="17"/>
  <c r="A66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C103" i="17"/>
  <c r="D103" i="17"/>
  <c r="E103" i="17"/>
  <c r="F103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G112" i="17"/>
  <c r="F156" i="17"/>
  <c r="F157" i="17"/>
  <c r="F158" i="17"/>
  <c r="G158" i="17"/>
  <c r="F159" i="17"/>
  <c r="G159" i="17"/>
  <c r="F160" i="17"/>
  <c r="G160" i="17"/>
  <c r="F161" i="17"/>
  <c r="G161" i="17"/>
  <c r="F162" i="17"/>
  <c r="F163" i="17"/>
  <c r="F164" i="17"/>
  <c r="G164" i="17"/>
  <c r="E26" i="7"/>
  <c r="E28" i="7"/>
  <c r="E30" i="7"/>
  <c r="E32" i="7"/>
  <c r="H54" i="10"/>
  <c r="Q21" i="10"/>
  <c r="Q15" i="10"/>
  <c r="U24" i="17"/>
  <c r="D94" i="10"/>
  <c r="E45" i="9"/>
  <c r="F12" i="8"/>
  <c r="D120" i="15"/>
  <c r="D97" i="10"/>
  <c r="D130" i="15"/>
  <c r="D144" i="15"/>
  <c r="S104" i="17"/>
  <c r="E53" i="17"/>
  <c r="P54" i="17"/>
  <c r="E40" i="13"/>
  <c r="E46" i="13"/>
  <c r="K21" i="12"/>
  <c r="Q12" i="12"/>
  <c r="Q13" i="12" s="1"/>
  <c r="U104" i="17"/>
  <c r="Q106" i="17"/>
  <c r="E59" i="17"/>
  <c r="H100" i="10"/>
  <c r="K22" i="10"/>
  <c r="P17" i="10"/>
  <c r="P19" i="10" s="1"/>
  <c r="Q18" i="10"/>
  <c r="Q19" i="10" s="1"/>
  <c r="R119" i="17"/>
  <c r="F31" i="13" s="1"/>
  <c r="E40" i="9"/>
  <c r="P20" i="10"/>
  <c r="P23" i="10" s="1"/>
  <c r="Q120" i="17"/>
  <c r="V73" i="17"/>
  <c r="V119" i="17" s="1"/>
  <c r="F33" i="13" s="1"/>
  <c r="E58" i="9"/>
  <c r="E61" i="9"/>
  <c r="Q118" i="17"/>
  <c r="H97" i="10"/>
  <c r="H98" i="10"/>
  <c r="Q26" i="10" s="1"/>
  <c r="P26" i="10"/>
  <c r="Q19" i="14"/>
  <c r="P20" i="14"/>
  <c r="K16" i="14"/>
  <c r="Q21" i="14"/>
  <c r="H83" i="14"/>
  <c r="H92" i="14"/>
  <c r="J78" i="12"/>
  <c r="K25" i="12"/>
  <c r="F20" i="15"/>
  <c r="K26" i="12"/>
  <c r="K28" i="12" s="1"/>
  <c r="M27" i="12"/>
  <c r="M28" i="12" s="1"/>
  <c r="R105" i="17"/>
  <c r="G113" i="17"/>
  <c r="E46" i="9"/>
  <c r="K12" i="14"/>
  <c r="P19" i="14"/>
  <c r="P18" i="14"/>
  <c r="P22" i="14" s="1"/>
  <c r="K23" i="14"/>
  <c r="Q20" i="14"/>
  <c r="K18" i="14"/>
  <c r="K15" i="14"/>
  <c r="Q110" i="17" l="1"/>
  <c r="Q109" i="17"/>
  <c r="D24" i="17"/>
  <c r="C23" i="17"/>
  <c r="Q22" i="14"/>
  <c r="Q23" i="10"/>
  <c r="J17" i="14"/>
  <c r="D30" i="20"/>
  <c r="D27" i="20"/>
  <c r="D25" i="20"/>
  <c r="D34" i="20"/>
  <c r="D81" i="15"/>
  <c r="D31" i="20"/>
  <c r="D28" i="20"/>
  <c r="D26" i="20"/>
  <c r="D35" i="20"/>
  <c r="J19" i="8"/>
  <c r="D32" i="20"/>
  <c r="D37" i="20"/>
  <c r="D29" i="20"/>
  <c r="D33" i="20"/>
  <c r="D38" i="20"/>
  <c r="E27" i="20"/>
  <c r="E30" i="20"/>
  <c r="E25" i="20"/>
  <c r="E34" i="20"/>
  <c r="N33" i="2"/>
  <c r="O33" i="2" s="1"/>
  <c r="D66" i="15"/>
  <c r="E26" i="20"/>
  <c r="H64" i="8"/>
  <c r="O15" i="8" s="1"/>
  <c r="G56" i="7"/>
  <c r="J56" i="7" s="1"/>
  <c r="K65" i="17"/>
  <c r="E11" i="17"/>
  <c r="X9" i="20"/>
  <c r="Y9" i="20" s="1"/>
  <c r="G35" i="20"/>
  <c r="G36" i="20"/>
  <c r="H36" i="20" s="1"/>
  <c r="G38" i="20"/>
  <c r="G34" i="20"/>
  <c r="G37" i="20"/>
  <c r="Q12" i="20"/>
  <c r="J22" i="10"/>
  <c r="F20" i="14"/>
  <c r="D54" i="12"/>
  <c r="J17" i="15"/>
  <c r="E61" i="13"/>
  <c r="E43" i="9"/>
  <c r="E78" i="12"/>
  <c r="E43" i="7"/>
  <c r="B43" i="7" s="1"/>
  <c r="D68" i="12"/>
  <c r="D158" i="15"/>
  <c r="E60" i="9"/>
  <c r="E57" i="9"/>
  <c r="E57" i="7"/>
  <c r="E56" i="9"/>
  <c r="E59" i="9"/>
  <c r="B59" i="9" s="1"/>
  <c r="E47" i="11"/>
  <c r="B47" i="11" s="1"/>
  <c r="E42" i="7"/>
  <c r="B42" i="7" s="1"/>
  <c r="E55" i="9"/>
  <c r="B55" i="9" s="1"/>
  <c r="E43" i="13"/>
  <c r="B43" i="13" s="1"/>
  <c r="E40" i="7"/>
  <c r="E42" i="11"/>
  <c r="B42" i="11" s="1"/>
  <c r="E47" i="13"/>
  <c r="B47" i="13" s="1"/>
  <c r="E42" i="13"/>
  <c r="B42" i="13" s="1"/>
  <c r="E41" i="13"/>
  <c r="E56" i="13"/>
  <c r="B56" i="13" s="1"/>
  <c r="B46" i="9"/>
  <c r="B60" i="9"/>
  <c r="E43" i="11"/>
  <c r="B43" i="11" s="1"/>
  <c r="E46" i="11"/>
  <c r="B46" i="11" s="1"/>
  <c r="E44" i="9"/>
  <c r="B44" i="9" s="1"/>
  <c r="E150" i="15"/>
  <c r="E42" i="9"/>
  <c r="B42" i="9" s="1"/>
  <c r="E56" i="7"/>
  <c r="B56" i="7" s="1"/>
  <c r="A54" i="10"/>
  <c r="E59" i="7"/>
  <c r="E54" i="7"/>
  <c r="B54" i="7" s="1"/>
  <c r="D94" i="14"/>
  <c r="B61" i="9"/>
  <c r="E57" i="11"/>
  <c r="B57" i="11" s="1"/>
  <c r="E61" i="7"/>
  <c r="B61" i="7" s="1"/>
  <c r="E60" i="7"/>
  <c r="B60" i="7" s="1"/>
  <c r="E41" i="9"/>
  <c r="B41" i="9" s="1"/>
  <c r="E44" i="13"/>
  <c r="B44" i="13" s="1"/>
  <c r="E54" i="11"/>
  <c r="B54" i="11" s="1"/>
  <c r="E58" i="11"/>
  <c r="B58" i="11" s="1"/>
  <c r="E58" i="7"/>
  <c r="B58" i="7" s="1"/>
  <c r="B40" i="7"/>
  <c r="E135" i="15"/>
  <c r="E47" i="7"/>
  <c r="B47" i="7" s="1"/>
  <c r="E46" i="7"/>
  <c r="B46" i="7" s="1"/>
  <c r="A4" i="10"/>
  <c r="E61" i="11"/>
  <c r="E56" i="11"/>
  <c r="B56" i="11" s="1"/>
  <c r="E45" i="7"/>
  <c r="B45" i="7" s="1"/>
  <c r="B41" i="13"/>
  <c r="B61" i="11"/>
  <c r="B56" i="9"/>
  <c r="A39" i="10"/>
  <c r="E55" i="11"/>
  <c r="B55" i="11" s="1"/>
  <c r="E60" i="11"/>
  <c r="E44" i="7"/>
  <c r="B44" i="7" s="1"/>
  <c r="A64" i="10"/>
  <c r="B40" i="13"/>
  <c r="B60" i="11"/>
  <c r="B40" i="9"/>
  <c r="B41" i="7"/>
  <c r="B55" i="7"/>
  <c r="O14" i="8"/>
  <c r="P20" i="8"/>
  <c r="O16" i="8"/>
  <c r="O19" i="8"/>
  <c r="H85" i="8"/>
  <c r="H86" i="8"/>
  <c r="K19" i="8" s="1"/>
  <c r="H74" i="8"/>
  <c r="O13" i="8" s="1"/>
  <c r="O18" i="8"/>
  <c r="H84" i="8"/>
  <c r="K17" i="8" s="1"/>
  <c r="H57" i="8"/>
  <c r="K15" i="8"/>
  <c r="P17" i="8"/>
  <c r="D60" i="20" s="1"/>
  <c r="E60" i="20" s="1"/>
  <c r="P21" i="15"/>
  <c r="H85" i="15"/>
  <c r="H93" i="15"/>
  <c r="O20" i="15"/>
  <c r="V113" i="17"/>
  <c r="K113" i="17"/>
  <c r="V114" i="17"/>
  <c r="M53" i="17"/>
  <c r="M65" i="17"/>
  <c r="F49" i="17"/>
  <c r="I65" i="17"/>
  <c r="L109" i="17"/>
  <c r="G20" i="15"/>
  <c r="E41" i="17"/>
  <c r="E117" i="17" s="1"/>
  <c r="C41" i="17"/>
  <c r="C66" i="17" s="1"/>
  <c r="C116" i="17" s="1"/>
  <c r="D52" i="14"/>
  <c r="F22" i="10"/>
  <c r="U111" i="17"/>
  <c r="L116" i="17"/>
  <c r="U113" i="17"/>
  <c r="G27" i="10"/>
  <c r="J65" i="17"/>
  <c r="N65" i="17"/>
  <c r="V115" i="17"/>
  <c r="M104" i="17"/>
  <c r="H115" i="17"/>
  <c r="P66" i="17"/>
  <c r="J137" i="17"/>
  <c r="S42" i="17"/>
  <c r="S94" i="17" s="1"/>
  <c r="S140" i="17" s="1"/>
  <c r="H137" i="17"/>
  <c r="F27" i="7" s="1"/>
  <c r="G27" i="7" s="1"/>
  <c r="J27" i="7" s="1"/>
  <c r="H138" i="17"/>
  <c r="F42" i="7" s="1"/>
  <c r="G42" i="7" s="1"/>
  <c r="J42" i="7" s="1"/>
  <c r="D115" i="17"/>
  <c r="D65" i="17"/>
  <c r="H112" i="17"/>
  <c r="P59" i="17"/>
  <c r="S59" i="17"/>
  <c r="S115" i="17"/>
  <c r="E134" i="17"/>
  <c r="E93" i="17"/>
  <c r="E130" i="17"/>
  <c r="G19" i="10"/>
  <c r="P114" i="17"/>
  <c r="S112" i="17"/>
  <c r="I112" i="17"/>
  <c r="P115" i="17"/>
  <c r="I59" i="17"/>
  <c r="M112" i="17"/>
  <c r="P112" i="17"/>
  <c r="S114" i="17"/>
  <c r="S87" i="17"/>
  <c r="S130" i="17" s="1"/>
  <c r="S113" i="17"/>
  <c r="J126" i="17"/>
  <c r="G14" i="12"/>
  <c r="F104" i="17"/>
  <c r="H73" i="17"/>
  <c r="H120" i="17" s="1"/>
  <c r="F42" i="13" s="1"/>
  <c r="G42" i="13" s="1"/>
  <c r="J42" i="13" s="1"/>
  <c r="J73" i="17"/>
  <c r="J121" i="17" s="1"/>
  <c r="V53" i="17"/>
  <c r="R120" i="17"/>
  <c r="F46" i="13" s="1"/>
  <c r="G46" i="13" s="1"/>
  <c r="J46" i="13" s="1"/>
  <c r="G23" i="14"/>
  <c r="F107" i="17"/>
  <c r="N106" i="17"/>
  <c r="F53" i="17"/>
  <c r="S49" i="17"/>
  <c r="V118" i="17"/>
  <c r="V120" i="17"/>
  <c r="F18" i="10"/>
  <c r="J15" i="8"/>
  <c r="C73" i="17"/>
  <c r="C122" i="17" s="1"/>
  <c r="C53" i="17"/>
  <c r="G12" i="14"/>
  <c r="G53" i="17"/>
  <c r="G107" i="17"/>
  <c r="K106" i="17"/>
  <c r="K49" i="17"/>
  <c r="K105" i="17"/>
  <c r="G18" i="14"/>
  <c r="O105" i="17"/>
  <c r="O49" i="17"/>
  <c r="O107" i="17"/>
  <c r="F54" i="17"/>
  <c r="F109" i="17"/>
  <c r="N109" i="17"/>
  <c r="N58" i="17"/>
  <c r="G22" i="12"/>
  <c r="U109" i="17"/>
  <c r="U108" i="17"/>
  <c r="F87" i="17"/>
  <c r="F135" i="17" s="1"/>
  <c r="F78" i="9" s="1"/>
  <c r="C78" i="9" s="1"/>
  <c r="F115" i="17"/>
  <c r="G17" i="10"/>
  <c r="F112" i="17"/>
  <c r="S66" i="17"/>
  <c r="S117" i="17"/>
  <c r="F65" i="17"/>
  <c r="F80" i="17"/>
  <c r="F128" i="17" s="1"/>
  <c r="F58" i="17"/>
  <c r="N54" i="17"/>
  <c r="J16" i="14"/>
  <c r="G20" i="14"/>
  <c r="G25" i="12"/>
  <c r="S73" i="17"/>
  <c r="S120" i="17" s="1"/>
  <c r="J18" i="10"/>
  <c r="F17" i="12"/>
  <c r="J19" i="14"/>
  <c r="J21" i="12"/>
  <c r="F20" i="8"/>
  <c r="D75" i="8"/>
  <c r="V117" i="17"/>
  <c r="V66" i="17"/>
  <c r="G14" i="15"/>
  <c r="I104" i="17"/>
  <c r="D73" i="17"/>
  <c r="D121" i="17" s="1"/>
  <c r="D105" i="17"/>
  <c r="H49" i="17"/>
  <c r="H106" i="17"/>
  <c r="G15" i="8"/>
  <c r="H116" i="17"/>
  <c r="G17" i="8"/>
  <c r="K116" i="17"/>
  <c r="C58" i="17"/>
  <c r="C54" i="17"/>
  <c r="C110" i="17" s="1"/>
  <c r="C107" i="17"/>
  <c r="V79" i="17"/>
  <c r="F59" i="17"/>
  <c r="B115" i="2"/>
  <c r="G15" i="12"/>
  <c r="H105" i="17"/>
  <c r="H53" i="17"/>
  <c r="S107" i="17"/>
  <c r="D65" i="15"/>
  <c r="O106" i="17"/>
  <c r="V69" i="17"/>
  <c r="K73" i="17"/>
  <c r="K79" i="17" s="1"/>
  <c r="A92" i="14"/>
  <c r="A5" i="14"/>
  <c r="J12" i="15"/>
  <c r="J15" i="12"/>
  <c r="R116" i="17"/>
  <c r="R69" i="17"/>
  <c r="G19" i="8"/>
  <c r="H114" i="17"/>
  <c r="H65" i="17"/>
  <c r="H59" i="17"/>
  <c r="L114" i="17"/>
  <c r="L113" i="17"/>
  <c r="L112" i="17"/>
  <c r="C106" i="17"/>
  <c r="V121" i="17"/>
  <c r="F113" i="17"/>
  <c r="A5" i="12"/>
  <c r="V59" i="17"/>
  <c r="F108" i="17"/>
  <c r="G16" i="14"/>
  <c r="N108" i="17"/>
  <c r="S106" i="17"/>
  <c r="D53" i="17"/>
  <c r="P69" i="17"/>
  <c r="O73" i="17"/>
  <c r="O118" i="17" s="1"/>
  <c r="D138" i="15"/>
  <c r="C80" i="17"/>
  <c r="C127" i="17" s="1"/>
  <c r="F54" i="11" s="1"/>
  <c r="G54" i="11" s="1"/>
  <c r="J54" i="11" s="1"/>
  <c r="K53" i="17"/>
  <c r="F111" i="17"/>
  <c r="H66" i="17"/>
  <c r="N110" i="17"/>
  <c r="J105" i="17"/>
  <c r="J53" i="17"/>
  <c r="J49" i="17"/>
  <c r="V49" i="17"/>
  <c r="V106" i="17"/>
  <c r="L108" i="17"/>
  <c r="L54" i="17"/>
  <c r="E114" i="17"/>
  <c r="E115" i="17"/>
  <c r="E113" i="17"/>
  <c r="I87" i="17"/>
  <c r="I134" i="17" s="1"/>
  <c r="I115" i="17"/>
  <c r="P65" i="17"/>
  <c r="P87" i="17"/>
  <c r="P134" i="17" s="1"/>
  <c r="P111" i="17"/>
  <c r="J22" i="12"/>
  <c r="Q137" i="17"/>
  <c r="E72" i="8"/>
  <c r="T42" i="17"/>
  <c r="T94" i="17" s="1"/>
  <c r="U110" i="17"/>
  <c r="M115" i="17"/>
  <c r="R112" i="17"/>
  <c r="D57" i="14"/>
  <c r="R65" i="17"/>
  <c r="D103" i="15"/>
  <c r="R117" i="17"/>
  <c r="R66" i="17"/>
  <c r="B59" i="7"/>
  <c r="D49" i="15"/>
  <c r="W40" i="17"/>
  <c r="G138" i="17"/>
  <c r="O140" i="17"/>
  <c r="N141" i="17"/>
  <c r="F84" i="7" s="1"/>
  <c r="C84" i="7" s="1"/>
  <c r="S116" i="17"/>
  <c r="D53" i="15"/>
  <c r="J14" i="8"/>
  <c r="J20" i="12"/>
  <c r="J19" i="10"/>
  <c r="D86" i="10"/>
  <c r="J17" i="10"/>
  <c r="J17" i="8"/>
  <c r="F15" i="14"/>
  <c r="D62" i="15"/>
  <c r="T121" i="17"/>
  <c r="T122" i="17"/>
  <c r="T118" i="17"/>
  <c r="A60" i="14"/>
  <c r="A4" i="14"/>
  <c r="J140" i="17"/>
  <c r="J136" i="17"/>
  <c r="H110" i="17"/>
  <c r="G17" i="12"/>
  <c r="T65" i="17"/>
  <c r="T105" i="17"/>
  <c r="A77" i="15"/>
  <c r="C131" i="17"/>
  <c r="F25" i="9" s="1"/>
  <c r="P43" i="17"/>
  <c r="U136" i="17"/>
  <c r="H80" i="17"/>
  <c r="H125" i="17" s="1"/>
  <c r="F27" i="11" s="1"/>
  <c r="G27" i="11" s="1"/>
  <c r="J27" i="11" s="1"/>
  <c r="Q139" i="17"/>
  <c r="E133" i="17"/>
  <c r="B46" i="13"/>
  <c r="J138" i="17"/>
  <c r="G21" i="14"/>
  <c r="L105" i="17"/>
  <c r="A31" i="14"/>
  <c r="F139" i="17"/>
  <c r="F55" i="7" s="1"/>
  <c r="G55" i="7" s="1"/>
  <c r="J55" i="7" s="1"/>
  <c r="F141" i="17"/>
  <c r="F78" i="7" s="1"/>
  <c r="C78" i="7" s="1"/>
  <c r="P136" i="17"/>
  <c r="P137" i="17"/>
  <c r="M106" i="17"/>
  <c r="M73" i="17"/>
  <c r="M121" i="17" s="1"/>
  <c r="F59" i="13" s="1"/>
  <c r="G59" i="13" s="1"/>
  <c r="J59" i="13" s="1"/>
  <c r="M105" i="17"/>
  <c r="J110" i="17"/>
  <c r="J54" i="17"/>
  <c r="J108" i="17"/>
  <c r="K59" i="17"/>
  <c r="K87" i="17"/>
  <c r="K133" i="17" s="1"/>
  <c r="F58" i="9" s="1"/>
  <c r="G58" i="9" s="1"/>
  <c r="J58" i="9" s="1"/>
  <c r="N112" i="17"/>
  <c r="N114" i="17"/>
  <c r="J69" i="17"/>
  <c r="J66" i="17"/>
  <c r="V122" i="17"/>
  <c r="V123" i="17"/>
  <c r="U65" i="17"/>
  <c r="T87" i="17"/>
  <c r="F73" i="17"/>
  <c r="F118" i="17" s="1"/>
  <c r="Q115" i="17"/>
  <c r="J116" i="17"/>
  <c r="L139" i="17"/>
  <c r="Q119" i="17"/>
  <c r="U138" i="17"/>
  <c r="F47" i="7" s="1"/>
  <c r="G47" i="7" s="1"/>
  <c r="J47" i="7" s="1"/>
  <c r="Q138" i="17"/>
  <c r="Q136" i="17"/>
  <c r="J109" i="17"/>
  <c r="F140" i="17"/>
  <c r="E132" i="17"/>
  <c r="A55" i="14"/>
  <c r="M49" i="17"/>
  <c r="M87" i="17"/>
  <c r="R114" i="17"/>
  <c r="N134" i="17"/>
  <c r="A49" i="14"/>
  <c r="B68" i="13"/>
  <c r="R123" i="17"/>
  <c r="F83" i="13" s="1"/>
  <c r="C83" i="13" s="1"/>
  <c r="R121" i="17"/>
  <c r="F60" i="13" s="1"/>
  <c r="G60" i="13" s="1"/>
  <c r="J60" i="13" s="1"/>
  <c r="R122" i="17"/>
  <c r="O136" i="17"/>
  <c r="O141" i="17"/>
  <c r="R108" i="17"/>
  <c r="R110" i="17"/>
  <c r="G106" i="17"/>
  <c r="G105" i="17"/>
  <c r="N49" i="17"/>
  <c r="N73" i="17"/>
  <c r="N121" i="17" s="1"/>
  <c r="R106" i="17"/>
  <c r="R107" i="17"/>
  <c r="Q108" i="17"/>
  <c r="Q80" i="17"/>
  <c r="G18" i="10"/>
  <c r="H111" i="17"/>
  <c r="L59" i="17"/>
  <c r="L115" i="17"/>
  <c r="O113" i="17"/>
  <c r="O59" i="17"/>
  <c r="O114" i="17"/>
  <c r="V111" i="17"/>
  <c r="V87" i="17"/>
  <c r="V134" i="17" s="1"/>
  <c r="K69" i="17"/>
  <c r="K66" i="17"/>
  <c r="C82" i="11"/>
  <c r="U59" i="17"/>
  <c r="D78" i="12"/>
  <c r="G15" i="14"/>
  <c r="J139" i="17"/>
  <c r="A43" i="14"/>
  <c r="G15" i="10"/>
  <c r="K115" i="17"/>
  <c r="R118" i="17"/>
  <c r="O139" i="17"/>
  <c r="G115" i="2"/>
  <c r="H100" i="17"/>
  <c r="V112" i="17"/>
  <c r="H87" i="17"/>
  <c r="L80" i="17"/>
  <c r="Q141" i="17"/>
  <c r="R54" i="17"/>
  <c r="J106" i="17"/>
  <c r="J58" i="17"/>
  <c r="V105" i="17"/>
  <c r="F136" i="17"/>
  <c r="E135" i="17"/>
  <c r="F77" i="9" s="1"/>
  <c r="L16" i="10" s="1"/>
  <c r="E131" i="17"/>
  <c r="P58" i="17"/>
  <c r="L87" i="17"/>
  <c r="J18" i="14"/>
  <c r="F13" i="15"/>
  <c r="O115" i="17"/>
  <c r="Q54" i="17"/>
  <c r="E111" i="17"/>
  <c r="R87" i="17"/>
  <c r="R130" i="17" s="1"/>
  <c r="P117" i="17"/>
  <c r="N105" i="17"/>
  <c r="O104" i="17"/>
  <c r="G22" i="10"/>
  <c r="T111" i="17"/>
  <c r="H117" i="17"/>
  <c r="L111" i="17"/>
  <c r="U114" i="17"/>
  <c r="G49" i="17"/>
  <c r="O112" i="17"/>
  <c r="D63" i="14"/>
  <c r="D83" i="10"/>
  <c r="I24" i="6"/>
  <c r="A67" i="12"/>
  <c r="B54" i="9"/>
  <c r="D95" i="14"/>
  <c r="F20" i="12"/>
  <c r="E114" i="2"/>
  <c r="A4" i="12"/>
  <c r="F18" i="15"/>
  <c r="D123" i="15"/>
  <c r="J15" i="15"/>
  <c r="A62" i="12"/>
  <c r="D77" i="10"/>
  <c r="D82" i="10"/>
  <c r="A58" i="12"/>
  <c r="A40" i="12"/>
  <c r="D52" i="15"/>
  <c r="D131" i="15"/>
  <c r="D146" i="15"/>
  <c r="F23" i="12"/>
  <c r="D86" i="14"/>
  <c r="A85" i="15"/>
  <c r="F22" i="12"/>
  <c r="F20" i="10"/>
  <c r="D64" i="15"/>
  <c r="F15" i="8"/>
  <c r="A106" i="15"/>
  <c r="J16" i="10"/>
  <c r="J14" i="14"/>
  <c r="A71" i="14"/>
  <c r="A44" i="12"/>
  <c r="F16" i="14"/>
  <c r="F23" i="10"/>
  <c r="L23" i="14"/>
  <c r="G33" i="13"/>
  <c r="J33" i="13" s="1"/>
  <c r="N129" i="17"/>
  <c r="F85" i="11" s="1"/>
  <c r="C85" i="11" s="1"/>
  <c r="N125" i="17"/>
  <c r="C130" i="17"/>
  <c r="C132" i="17"/>
  <c r="F40" i="9" s="1"/>
  <c r="G40" i="9" s="1"/>
  <c r="J40" i="9" s="1"/>
  <c r="G79" i="17"/>
  <c r="G118" i="17"/>
  <c r="F116" i="17"/>
  <c r="F66" i="17"/>
  <c r="I117" i="17"/>
  <c r="G16" i="8"/>
  <c r="M16" i="8" s="1"/>
  <c r="D52" i="20" s="1"/>
  <c r="Q66" i="17"/>
  <c r="Q69" i="17"/>
  <c r="Q43" i="17"/>
  <c r="C133" i="17"/>
  <c r="F54" i="9" s="1"/>
  <c r="G54" i="9" s="1"/>
  <c r="J54" i="9" s="1"/>
  <c r="G123" i="17"/>
  <c r="S80" i="17"/>
  <c r="S129" i="17" s="1"/>
  <c r="G122" i="17"/>
  <c r="L66" i="17"/>
  <c r="U137" i="17"/>
  <c r="F32" i="7" s="1"/>
  <c r="G32" i="7" s="1"/>
  <c r="J32" i="7" s="1"/>
  <c r="U140" i="17"/>
  <c r="F68" i="7" s="1"/>
  <c r="G18" i="8"/>
  <c r="M117" i="17"/>
  <c r="E106" i="17"/>
  <c r="E73" i="17"/>
  <c r="G14" i="14"/>
  <c r="I73" i="17"/>
  <c r="I119" i="17" s="1"/>
  <c r="F28" i="13" s="1"/>
  <c r="I106" i="17"/>
  <c r="I53" i="17"/>
  <c r="I107" i="17"/>
  <c r="L73" i="17"/>
  <c r="L53" i="17"/>
  <c r="P107" i="17"/>
  <c r="P73" i="17"/>
  <c r="P105" i="17"/>
  <c r="T106" i="17"/>
  <c r="T49" i="17"/>
  <c r="T53" i="17"/>
  <c r="O58" i="17"/>
  <c r="O80" i="17"/>
  <c r="O54" i="17"/>
  <c r="O43" i="17"/>
  <c r="O110" i="17"/>
  <c r="G14" i="10"/>
  <c r="C65" i="17"/>
  <c r="G87" i="17"/>
  <c r="G115" i="17"/>
  <c r="J113" i="17"/>
  <c r="J115" i="17"/>
  <c r="J111" i="17"/>
  <c r="J112" i="17"/>
  <c r="Q87" i="17"/>
  <c r="Q130" i="17" s="1"/>
  <c r="Q65" i="17"/>
  <c r="Q59" i="17"/>
  <c r="T113" i="17"/>
  <c r="T114" i="17"/>
  <c r="T59" i="17"/>
  <c r="N66" i="17"/>
  <c r="N69" i="17"/>
  <c r="G20" i="8"/>
  <c r="U66" i="17"/>
  <c r="H132" i="17"/>
  <c r="F42" i="9" s="1"/>
  <c r="G42" i="9" s="1"/>
  <c r="J42" i="9" s="1"/>
  <c r="Q117" i="17"/>
  <c r="T112" i="17"/>
  <c r="G111" i="17"/>
  <c r="T107" i="17"/>
  <c r="Q112" i="17"/>
  <c r="C59" i="17"/>
  <c r="C111" i="17" s="1"/>
  <c r="H141" i="17"/>
  <c r="F80" i="7" s="1"/>
  <c r="C80" i="7" s="1"/>
  <c r="H136" i="17"/>
  <c r="W38" i="17"/>
  <c r="C135" i="17"/>
  <c r="F75" i="9" s="1"/>
  <c r="D75" i="9" s="1"/>
  <c r="N127" i="17"/>
  <c r="I105" i="17"/>
  <c r="A86" i="10"/>
  <c r="U139" i="17"/>
  <c r="F61" i="7" s="1"/>
  <c r="G61" i="7" s="1"/>
  <c r="J61" i="7" s="1"/>
  <c r="H58" i="17"/>
  <c r="H43" i="17"/>
  <c r="G121" i="17"/>
  <c r="Q123" i="17"/>
  <c r="B43" i="9"/>
  <c r="J114" i="17"/>
  <c r="N116" i="17"/>
  <c r="P106" i="17"/>
  <c r="G25" i="10"/>
  <c r="L49" i="17"/>
  <c r="L117" i="17"/>
  <c r="U117" i="17"/>
  <c r="J87" i="17"/>
  <c r="O108" i="17"/>
  <c r="F117" i="17"/>
  <c r="F137" i="17"/>
  <c r="F26" i="7" s="1"/>
  <c r="G26" i="7" s="1"/>
  <c r="J26" i="7" s="1"/>
  <c r="F100" i="17"/>
  <c r="G139" i="17"/>
  <c r="G141" i="17"/>
  <c r="F79" i="7" s="1"/>
  <c r="C79" i="7" s="1"/>
  <c r="L141" i="17"/>
  <c r="L140" i="17"/>
  <c r="L138" i="17"/>
  <c r="N138" i="17"/>
  <c r="N137" i="17"/>
  <c r="U80" i="17"/>
  <c r="U58" i="17"/>
  <c r="J125" i="17"/>
  <c r="T120" i="17"/>
  <c r="H93" i="17"/>
  <c r="U43" i="17"/>
  <c r="G65" i="17"/>
  <c r="G59" i="17"/>
  <c r="Q114" i="17"/>
  <c r="F138" i="17"/>
  <c r="F41" i="7" s="1"/>
  <c r="G41" i="7" s="1"/>
  <c r="J41" i="7" s="1"/>
  <c r="L137" i="17"/>
  <c r="Q121" i="17"/>
  <c r="C93" i="17"/>
  <c r="N124" i="17"/>
  <c r="U100" i="17"/>
  <c r="J43" i="17"/>
  <c r="N22" i="2" s="1"/>
  <c r="O22" i="2" s="1"/>
  <c r="H108" i="17"/>
  <c r="H109" i="17"/>
  <c r="G120" i="17"/>
  <c r="N117" i="17"/>
  <c r="O122" i="17"/>
  <c r="N100" i="17"/>
  <c r="H140" i="17"/>
  <c r="I66" i="17"/>
  <c r="P49" i="17"/>
  <c r="I116" i="17"/>
  <c r="Q116" i="17"/>
  <c r="L107" i="17"/>
  <c r="E107" i="17"/>
  <c r="E49" i="17"/>
  <c r="G15" i="15"/>
  <c r="U69" i="17"/>
  <c r="Q111" i="17"/>
  <c r="D119" i="15"/>
  <c r="F15" i="12"/>
  <c r="F12" i="15"/>
  <c r="F17" i="10"/>
  <c r="D163" i="15"/>
  <c r="D58" i="8"/>
  <c r="D45" i="12"/>
  <c r="F21" i="12"/>
  <c r="D41" i="12"/>
  <c r="J26" i="10"/>
  <c r="F19" i="15"/>
  <c r="D93" i="14"/>
  <c r="D165" i="15"/>
  <c r="D50" i="10"/>
  <c r="F25" i="12"/>
  <c r="D31" i="8"/>
  <c r="K42" i="17"/>
  <c r="K94" i="17" s="1"/>
  <c r="I42" i="17"/>
  <c r="I94" i="17" s="1"/>
  <c r="I141" i="17" s="1"/>
  <c r="F81" i="7" s="1"/>
  <c r="C81" i="7" s="1"/>
  <c r="H104" i="17"/>
  <c r="G13" i="15"/>
  <c r="Q49" i="17"/>
  <c r="Q107" i="17"/>
  <c r="K112" i="17"/>
  <c r="K114" i="17"/>
  <c r="N111" i="17"/>
  <c r="N115" i="17"/>
  <c r="R115" i="17"/>
  <c r="G24" i="10"/>
  <c r="O116" i="17"/>
  <c r="O66" i="17"/>
  <c r="E108" i="17"/>
  <c r="E58" i="17"/>
  <c r="U87" i="17"/>
  <c r="U133" i="17" s="1"/>
  <c r="F61" i="9" s="1"/>
  <c r="G61" i="9" s="1"/>
  <c r="J61" i="9" s="1"/>
  <c r="U115" i="17"/>
  <c r="D72" i="14"/>
  <c r="F43" i="17"/>
  <c r="D158" i="17" s="1"/>
  <c r="F106" i="17"/>
  <c r="D113" i="17"/>
  <c r="O138" i="17"/>
  <c r="B57" i="9"/>
  <c r="G19" i="12"/>
  <c r="N19" i="12" s="1"/>
  <c r="M107" i="17"/>
  <c r="J20" i="10"/>
  <c r="F15" i="15"/>
  <c r="G20" i="10"/>
  <c r="R111" i="17"/>
  <c r="Q105" i="17"/>
  <c r="E54" i="17"/>
  <c r="K111" i="17"/>
  <c r="E110" i="17"/>
  <c r="O69" i="17"/>
  <c r="N113" i="17"/>
  <c r="G26" i="10"/>
  <c r="F18" i="14"/>
  <c r="A83" i="14"/>
  <c r="O117" i="17"/>
  <c r="R113" i="17"/>
  <c r="J18" i="15"/>
  <c r="D63" i="15"/>
  <c r="D121" i="15"/>
  <c r="D46" i="8"/>
  <c r="J13" i="15"/>
  <c r="J17" i="12"/>
  <c r="G16" i="10"/>
  <c r="E112" i="17"/>
  <c r="E65" i="17"/>
  <c r="G58" i="17"/>
  <c r="G16" i="12"/>
  <c r="G80" i="17"/>
  <c r="G109" i="17"/>
  <c r="G13" i="12"/>
  <c r="D58" i="17"/>
  <c r="D109" i="17"/>
  <c r="D80" i="17"/>
  <c r="D126" i="17" s="1"/>
  <c r="G13" i="8"/>
  <c r="M13" i="8" s="1"/>
  <c r="D49" i="20" s="1"/>
  <c r="D69" i="17"/>
  <c r="D116" i="17"/>
  <c r="D117" i="17"/>
  <c r="S109" i="17"/>
  <c r="S58" i="17"/>
  <c r="S54" i="17"/>
  <c r="S108" i="17"/>
  <c r="T116" i="17"/>
  <c r="G110" i="17"/>
  <c r="E126" i="17"/>
  <c r="E86" i="17"/>
  <c r="E129" i="17"/>
  <c r="F77" i="11" s="1"/>
  <c r="F16" i="12"/>
  <c r="J16" i="12"/>
  <c r="J16" i="8"/>
  <c r="F14" i="15"/>
  <c r="F17" i="14"/>
  <c r="F16" i="8"/>
  <c r="F18" i="12"/>
  <c r="F19" i="10"/>
  <c r="D46" i="14"/>
  <c r="J14" i="15"/>
  <c r="G24" i="12"/>
  <c r="T54" i="17"/>
  <c r="T80" i="17"/>
  <c r="T58" i="17"/>
  <c r="T109" i="17"/>
  <c r="E124" i="17"/>
  <c r="M69" i="17"/>
  <c r="E128" i="17"/>
  <c r="T117" i="17"/>
  <c r="T110" i="17"/>
  <c r="D54" i="17"/>
  <c r="D110" i="17"/>
  <c r="M116" i="17"/>
  <c r="A75" i="10"/>
  <c r="A6" i="10"/>
  <c r="F13" i="8"/>
  <c r="F15" i="10"/>
  <c r="J13" i="8"/>
  <c r="J19" i="12"/>
  <c r="F19" i="12"/>
  <c r="J21" i="10"/>
  <c r="D96" i="14"/>
  <c r="D37" i="12"/>
  <c r="D107" i="15"/>
  <c r="F18" i="8"/>
  <c r="F19" i="14"/>
  <c r="J16" i="15"/>
  <c r="D96" i="15"/>
  <c r="D45" i="8"/>
  <c r="D78" i="10"/>
  <c r="D87" i="10"/>
  <c r="J18" i="8"/>
  <c r="D87" i="14"/>
  <c r="D89" i="15"/>
  <c r="F21" i="10"/>
  <c r="D45" i="14"/>
  <c r="D47" i="8"/>
  <c r="D84" i="14"/>
  <c r="D50" i="14"/>
  <c r="D36" i="12"/>
  <c r="D53" i="12"/>
  <c r="J22" i="14"/>
  <c r="D62" i="14"/>
  <c r="D44" i="12"/>
  <c r="F26" i="10"/>
  <c r="D58" i="12"/>
  <c r="D62" i="12"/>
  <c r="D145" i="15"/>
  <c r="D74" i="14"/>
  <c r="D44" i="14"/>
  <c r="J25" i="12"/>
  <c r="D108" i="15"/>
  <c r="D97" i="15"/>
  <c r="D54" i="10"/>
  <c r="D139" i="15"/>
  <c r="D65" i="10"/>
  <c r="D54" i="15"/>
  <c r="J20" i="8"/>
  <c r="D68" i="8"/>
  <c r="D159" i="15"/>
  <c r="D76" i="10"/>
  <c r="D40" i="12"/>
  <c r="D56" i="14"/>
  <c r="D122" i="15"/>
  <c r="D67" i="12"/>
  <c r="F17" i="6"/>
  <c r="F16" i="15"/>
  <c r="D51" i="14"/>
  <c r="M66" i="17"/>
  <c r="S110" i="17"/>
  <c r="J18" i="12"/>
  <c r="D66" i="17"/>
  <c r="J19" i="15"/>
  <c r="F22" i="14"/>
  <c r="D81" i="10"/>
  <c r="D102" i="15"/>
  <c r="E127" i="17"/>
  <c r="G108" i="17"/>
  <c r="D108" i="17"/>
  <c r="D59" i="8"/>
  <c r="E40" i="15"/>
  <c r="A137" i="15"/>
  <c r="A4" i="15"/>
  <c r="A29" i="15"/>
  <c r="A162" i="15"/>
  <c r="A93" i="15"/>
  <c r="N21" i="15"/>
  <c r="A100" i="15"/>
  <c r="B68" i="11"/>
  <c r="B57" i="7"/>
  <c r="B68" i="7"/>
  <c r="F14" i="8"/>
  <c r="F16" i="10"/>
  <c r="F19" i="8"/>
  <c r="J24" i="10"/>
  <c r="J23" i="12"/>
  <c r="E61" i="8"/>
  <c r="G21" i="8"/>
  <c r="V116" i="17"/>
  <c r="R80" i="17"/>
  <c r="F17" i="15"/>
  <c r="E109" i="17"/>
  <c r="J14" i="12"/>
  <c r="B61" i="13"/>
  <c r="F14" i="14"/>
  <c r="J20" i="14"/>
  <c r="B47" i="9"/>
  <c r="B58" i="9"/>
  <c r="B59" i="13"/>
  <c r="B44" i="11"/>
  <c r="B45" i="13"/>
  <c r="B59" i="11"/>
  <c r="B68" i="9"/>
  <c r="C104" i="17"/>
  <c r="N43" i="17"/>
  <c r="N104" i="17"/>
  <c r="G17" i="15"/>
  <c r="W37" i="17"/>
  <c r="C77" i="9"/>
  <c r="G31" i="13"/>
  <c r="J31" i="13" s="1"/>
  <c r="T119" i="17"/>
  <c r="T123" i="17"/>
  <c r="F84" i="13" s="1"/>
  <c r="T79" i="17"/>
  <c r="J128" i="17"/>
  <c r="J127" i="17"/>
  <c r="J124" i="17"/>
  <c r="G136" i="17"/>
  <c r="G140" i="17"/>
  <c r="G100" i="17"/>
  <c r="N136" i="17"/>
  <c r="N139" i="17"/>
  <c r="P139" i="17"/>
  <c r="P140" i="17"/>
  <c r="P141" i="17"/>
  <c r="P138" i="17"/>
  <c r="G104" i="17"/>
  <c r="G43" i="17"/>
  <c r="K39" i="17"/>
  <c r="I39" i="17"/>
  <c r="R58" i="17"/>
  <c r="R109" i="17"/>
  <c r="G23" i="12"/>
  <c r="N128" i="17"/>
  <c r="N126" i="17"/>
  <c r="K14" i="15"/>
  <c r="H77" i="15"/>
  <c r="H47" i="15"/>
  <c r="H61" i="15" s="1"/>
  <c r="K20" i="15" s="1"/>
  <c r="K13" i="15"/>
  <c r="R42" i="17"/>
  <c r="R94" i="17" s="1"/>
  <c r="H60" i="14"/>
  <c r="P13" i="14" s="1"/>
  <c r="Q15" i="14"/>
  <c r="H43" i="14"/>
  <c r="P14" i="14"/>
  <c r="H49" i="14"/>
  <c r="H55" i="14"/>
  <c r="J15" i="10"/>
  <c r="F13" i="14"/>
  <c r="F13" i="12"/>
  <c r="J13" i="12"/>
  <c r="J13" i="14"/>
  <c r="D49" i="17"/>
  <c r="D106" i="17"/>
  <c r="G13" i="14"/>
  <c r="D107" i="17"/>
  <c r="I111" i="17"/>
  <c r="I113" i="17"/>
  <c r="G21" i="10"/>
  <c r="M59" i="17"/>
  <c r="M114" i="17"/>
  <c r="M113" i="17"/>
  <c r="E57" i="13"/>
  <c r="B57" i="13" s="1"/>
  <c r="E58" i="13"/>
  <c r="B58" i="13" s="1"/>
  <c r="E60" i="13"/>
  <c r="B60" i="13" s="1"/>
  <c r="E55" i="13"/>
  <c r="B55" i="13" s="1"/>
  <c r="E54" i="13"/>
  <c r="B54" i="13" s="1"/>
  <c r="E41" i="11"/>
  <c r="B41" i="11" s="1"/>
  <c r="E40" i="11"/>
  <c r="B40" i="11" s="1"/>
  <c r="E45" i="11"/>
  <c r="B45" i="11" s="1"/>
  <c r="U107" i="17"/>
  <c r="U105" i="17"/>
  <c r="U73" i="17"/>
  <c r="U53" i="17"/>
  <c r="U49" i="17"/>
  <c r="G22" i="14"/>
  <c r="P110" i="17"/>
  <c r="P80" i="17"/>
  <c r="P109" i="17"/>
  <c r="D111" i="17"/>
  <c r="D87" i="17"/>
  <c r="D114" i="17"/>
  <c r="D112" i="17"/>
  <c r="G66" i="17"/>
  <c r="G117" i="17"/>
  <c r="G116" i="17"/>
  <c r="G69" i="17"/>
  <c r="N130" i="17"/>
  <c r="N135" i="17"/>
  <c r="F83" i="9" s="1"/>
  <c r="N93" i="17"/>
  <c r="N131" i="17"/>
  <c r="N132" i="17"/>
  <c r="B45" i="9"/>
  <c r="J21" i="14"/>
  <c r="F25" i="10"/>
  <c r="J25" i="10"/>
  <c r="F21" i="14"/>
  <c r="J24" i="12"/>
  <c r="E115" i="2"/>
  <c r="J20" i="15"/>
  <c r="E123" i="2"/>
  <c r="L43" i="17"/>
  <c r="N27" i="2" s="1"/>
  <c r="O27" i="2" s="1"/>
  <c r="O111" i="17"/>
  <c r="O65" i="17"/>
  <c r="O87" i="17"/>
  <c r="G23" i="10"/>
  <c r="G17" i="14"/>
  <c r="D122" i="17" l="1"/>
  <c r="P133" i="17"/>
  <c r="N27" i="17"/>
  <c r="N25" i="17"/>
  <c r="AC25" i="17" s="1"/>
  <c r="AD25" i="17" s="1"/>
  <c r="N37" i="2"/>
  <c r="O37" i="2" s="1"/>
  <c r="F19" i="6"/>
  <c r="B4" i="6"/>
  <c r="E10" i="6" s="1"/>
  <c r="N35" i="2"/>
  <c r="O35" i="2" s="1"/>
  <c r="P16" i="8"/>
  <c r="K20" i="8"/>
  <c r="M20" i="8" s="1"/>
  <c r="E21" i="17"/>
  <c r="AC11" i="17"/>
  <c r="AD11" i="17" s="1"/>
  <c r="N14" i="2"/>
  <c r="O14" i="2" s="1"/>
  <c r="N31" i="2"/>
  <c r="O31" i="2" s="1"/>
  <c r="F60" i="20"/>
  <c r="K60" i="20"/>
  <c r="F75" i="20" s="1"/>
  <c r="K21" i="8"/>
  <c r="K56" i="20"/>
  <c r="D56" i="20" s="1"/>
  <c r="M17" i="8"/>
  <c r="D53" i="20" s="1"/>
  <c r="P22" i="8"/>
  <c r="K18" i="8"/>
  <c r="L21" i="8"/>
  <c r="O12" i="8"/>
  <c r="O22" i="8" s="1"/>
  <c r="L19" i="8"/>
  <c r="M15" i="8"/>
  <c r="D51" i="20" s="1"/>
  <c r="H137" i="15"/>
  <c r="P15" i="15" s="1"/>
  <c r="O15" i="15"/>
  <c r="V131" i="17"/>
  <c r="F33" i="9" s="1"/>
  <c r="G33" i="9" s="1"/>
  <c r="J33" i="9" s="1"/>
  <c r="E66" i="17"/>
  <c r="K130" i="17"/>
  <c r="G12" i="8"/>
  <c r="M12" i="8" s="1"/>
  <c r="D48" i="20" s="1"/>
  <c r="G14" i="8"/>
  <c r="M14" i="8" s="1"/>
  <c r="D50" i="20" s="1"/>
  <c r="E116" i="17"/>
  <c r="W116" i="17" s="1"/>
  <c r="W41" i="17"/>
  <c r="M119" i="17"/>
  <c r="F30" i="13" s="1"/>
  <c r="G30" i="13" s="1"/>
  <c r="J30" i="13" s="1"/>
  <c r="S43" i="17"/>
  <c r="C117" i="17"/>
  <c r="W117" i="17" s="1"/>
  <c r="S141" i="17"/>
  <c r="S131" i="17"/>
  <c r="F125" i="17"/>
  <c r="F26" i="11" s="1"/>
  <c r="G26" i="11" s="1"/>
  <c r="J26" i="11" s="1"/>
  <c r="E69" i="17"/>
  <c r="C69" i="17"/>
  <c r="C123" i="17"/>
  <c r="F75" i="13" s="1"/>
  <c r="C118" i="17"/>
  <c r="S135" i="17"/>
  <c r="R132" i="17"/>
  <c r="F46" i="9" s="1"/>
  <c r="G46" i="9" s="1"/>
  <c r="J46" i="9" s="1"/>
  <c r="H118" i="17"/>
  <c r="H121" i="17"/>
  <c r="F56" i="13" s="1"/>
  <c r="G56" i="13" s="1"/>
  <c r="J56" i="13" s="1"/>
  <c r="H79" i="17"/>
  <c r="H123" i="17"/>
  <c r="F79" i="13" s="1"/>
  <c r="C79" i="13" s="1"/>
  <c r="S132" i="17"/>
  <c r="I131" i="17"/>
  <c r="F28" i="9" s="1"/>
  <c r="G28" i="9" s="1"/>
  <c r="J28" i="9" s="1"/>
  <c r="H122" i="17"/>
  <c r="C120" i="17"/>
  <c r="F40" i="13" s="1"/>
  <c r="G40" i="13" s="1"/>
  <c r="J40" i="13" s="1"/>
  <c r="H127" i="17"/>
  <c r="F56" i="11" s="1"/>
  <c r="G56" i="11" s="1"/>
  <c r="J56" i="11" s="1"/>
  <c r="H119" i="17"/>
  <c r="F27" i="13" s="1"/>
  <c r="G27" i="13" s="1"/>
  <c r="J27" i="13" s="1"/>
  <c r="S138" i="17"/>
  <c r="S139" i="17"/>
  <c r="S137" i="17"/>
  <c r="S136" i="17"/>
  <c r="S142" i="17" s="1"/>
  <c r="I139" i="17"/>
  <c r="F57" i="7" s="1"/>
  <c r="G57" i="7" s="1"/>
  <c r="J57" i="7" s="1"/>
  <c r="I137" i="17"/>
  <c r="F28" i="7" s="1"/>
  <c r="G28" i="7" s="1"/>
  <c r="K135" i="17"/>
  <c r="F81" i="9" s="1"/>
  <c r="C81" i="9" s="1"/>
  <c r="S133" i="17"/>
  <c r="S134" i="17"/>
  <c r="I130" i="17"/>
  <c r="I132" i="17"/>
  <c r="F43" i="9" s="1"/>
  <c r="G43" i="9" s="1"/>
  <c r="J43" i="9" s="1"/>
  <c r="I93" i="17"/>
  <c r="I133" i="17"/>
  <c r="F57" i="9" s="1"/>
  <c r="G57" i="9" s="1"/>
  <c r="J57" i="9" s="1"/>
  <c r="F124" i="17"/>
  <c r="C126" i="17"/>
  <c r="F40" i="11" s="1"/>
  <c r="G40" i="11" s="1"/>
  <c r="J40" i="11" s="1"/>
  <c r="D123" i="17"/>
  <c r="F76" i="13" s="1"/>
  <c r="L13" i="14" s="1"/>
  <c r="K121" i="17"/>
  <c r="F58" i="13" s="1"/>
  <c r="G58" i="13" s="1"/>
  <c r="J58" i="13" s="1"/>
  <c r="F119" i="17"/>
  <c r="F26" i="13" s="1"/>
  <c r="J118" i="17"/>
  <c r="F120" i="17"/>
  <c r="F41" i="13" s="1"/>
  <c r="G41" i="13" s="1"/>
  <c r="J41" i="13" s="1"/>
  <c r="I121" i="17"/>
  <c r="F57" i="13" s="1"/>
  <c r="J122" i="17"/>
  <c r="J123" i="17"/>
  <c r="I79" i="17"/>
  <c r="S122" i="17"/>
  <c r="F123" i="17"/>
  <c r="F78" i="13" s="1"/>
  <c r="C78" i="13" s="1"/>
  <c r="M79" i="17"/>
  <c r="J119" i="17"/>
  <c r="J120" i="17"/>
  <c r="J79" i="17"/>
  <c r="F130" i="17"/>
  <c r="F131" i="17"/>
  <c r="F26" i="9" s="1"/>
  <c r="F132" i="17"/>
  <c r="F41" i="9" s="1"/>
  <c r="G41" i="9" s="1"/>
  <c r="J41" i="9" s="1"/>
  <c r="F127" i="17"/>
  <c r="F55" i="11" s="1"/>
  <c r="G55" i="11" s="1"/>
  <c r="F86" i="17"/>
  <c r="C108" i="17"/>
  <c r="C125" i="17"/>
  <c r="F25" i="11" s="1"/>
  <c r="G25" i="11" s="1"/>
  <c r="S119" i="17"/>
  <c r="F133" i="17"/>
  <c r="F55" i="9" s="1"/>
  <c r="G55" i="9" s="1"/>
  <c r="J55" i="9" s="1"/>
  <c r="F134" i="17"/>
  <c r="C124" i="17"/>
  <c r="D120" i="17"/>
  <c r="C86" i="17"/>
  <c r="I120" i="17"/>
  <c r="F43" i="13" s="1"/>
  <c r="G43" i="13" s="1"/>
  <c r="T43" i="17"/>
  <c r="N44" i="2" s="1"/>
  <c r="F126" i="17"/>
  <c r="F41" i="11" s="1"/>
  <c r="G41" i="11" s="1"/>
  <c r="F129" i="17"/>
  <c r="F78" i="11" s="1"/>
  <c r="K131" i="17"/>
  <c r="F29" i="9" s="1"/>
  <c r="G29" i="9" s="1"/>
  <c r="J29" i="9" s="1"/>
  <c r="C109" i="17"/>
  <c r="D79" i="17"/>
  <c r="C129" i="17"/>
  <c r="F75" i="11" s="1"/>
  <c r="D75" i="11" s="1"/>
  <c r="S121" i="17"/>
  <c r="D119" i="17"/>
  <c r="S123" i="17"/>
  <c r="F93" i="17"/>
  <c r="P135" i="17"/>
  <c r="P130" i="17"/>
  <c r="P132" i="17"/>
  <c r="O120" i="17"/>
  <c r="O119" i="17"/>
  <c r="O121" i="17"/>
  <c r="K120" i="17"/>
  <c r="F44" i="13" s="1"/>
  <c r="G44" i="13" s="1"/>
  <c r="J44" i="13" s="1"/>
  <c r="K119" i="17"/>
  <c r="F29" i="13" s="1"/>
  <c r="G29" i="13" s="1"/>
  <c r="J29" i="13" s="1"/>
  <c r="K118" i="17"/>
  <c r="K122" i="17"/>
  <c r="D118" i="17"/>
  <c r="C128" i="17"/>
  <c r="I123" i="17"/>
  <c r="F80" i="13" s="1"/>
  <c r="C80" i="13" s="1"/>
  <c r="I135" i="17"/>
  <c r="F80" i="9" s="1"/>
  <c r="C80" i="9" s="1"/>
  <c r="U132" i="17"/>
  <c r="F47" i="9" s="1"/>
  <c r="G47" i="9" s="1"/>
  <c r="J47" i="9" s="1"/>
  <c r="K93" i="17"/>
  <c r="S118" i="17"/>
  <c r="K123" i="17"/>
  <c r="F81" i="13" s="1"/>
  <c r="C81" i="13" s="1"/>
  <c r="O123" i="17"/>
  <c r="P131" i="17"/>
  <c r="C79" i="17"/>
  <c r="C121" i="17"/>
  <c r="F54" i="13" s="1"/>
  <c r="G54" i="13" s="1"/>
  <c r="J54" i="13" s="1"/>
  <c r="C119" i="17"/>
  <c r="F25" i="13" s="1"/>
  <c r="G25" i="13" s="1"/>
  <c r="J25" i="13" s="1"/>
  <c r="F22" i="6"/>
  <c r="F15" i="6"/>
  <c r="F13" i="6"/>
  <c r="I138" i="17"/>
  <c r="F43" i="7" s="1"/>
  <c r="F20" i="6"/>
  <c r="F21" i="6"/>
  <c r="S128" i="17"/>
  <c r="N16" i="10"/>
  <c r="H142" i="17"/>
  <c r="F14" i="6"/>
  <c r="F18" i="6"/>
  <c r="Q124" i="17"/>
  <c r="Q127" i="17"/>
  <c r="Q125" i="17"/>
  <c r="N120" i="17"/>
  <c r="N119" i="17"/>
  <c r="N122" i="17"/>
  <c r="M134" i="17"/>
  <c r="M135" i="17"/>
  <c r="F82" i="9" s="1"/>
  <c r="C82" i="9" s="1"/>
  <c r="M131" i="17"/>
  <c r="F30" i="9" s="1"/>
  <c r="M93" i="17"/>
  <c r="M133" i="17"/>
  <c r="F59" i="9" s="1"/>
  <c r="G59" i="9" s="1"/>
  <c r="J59" i="9" s="1"/>
  <c r="M132" i="17"/>
  <c r="F45" i="9" s="1"/>
  <c r="G45" i="9" s="1"/>
  <c r="J45" i="9" s="1"/>
  <c r="T133" i="17"/>
  <c r="T134" i="17"/>
  <c r="R134" i="17"/>
  <c r="T135" i="17"/>
  <c r="F86" i="9" s="1"/>
  <c r="C86" i="9" s="1"/>
  <c r="M130" i="17"/>
  <c r="L142" i="17"/>
  <c r="Q128" i="17"/>
  <c r="N123" i="17"/>
  <c r="T93" i="17"/>
  <c r="J142" i="17"/>
  <c r="L125" i="17"/>
  <c r="L127" i="17"/>
  <c r="L124" i="17"/>
  <c r="L126" i="17"/>
  <c r="L129" i="17"/>
  <c r="L128" i="17"/>
  <c r="P142" i="17"/>
  <c r="R131" i="17"/>
  <c r="F31" i="9" s="1"/>
  <c r="R93" i="17"/>
  <c r="R133" i="17"/>
  <c r="F60" i="9" s="1"/>
  <c r="G60" i="9" s="1"/>
  <c r="J60" i="9" s="1"/>
  <c r="T132" i="17"/>
  <c r="U135" i="17"/>
  <c r="F88" i="9" s="1"/>
  <c r="C88" i="9" s="1"/>
  <c r="U130" i="17"/>
  <c r="K134" i="17"/>
  <c r="K132" i="17"/>
  <c r="F44" i="9" s="1"/>
  <c r="G44" i="9" s="1"/>
  <c r="J44" i="9" s="1"/>
  <c r="N79" i="17"/>
  <c r="Q129" i="17"/>
  <c r="T131" i="17"/>
  <c r="L130" i="17"/>
  <c r="L135" i="17"/>
  <c r="L131" i="17"/>
  <c r="L132" i="17"/>
  <c r="L134" i="17"/>
  <c r="H131" i="17"/>
  <c r="F27" i="9" s="1"/>
  <c r="H135" i="17"/>
  <c r="F79" i="9" s="1"/>
  <c r="C79" i="9" s="1"/>
  <c r="H130" i="17"/>
  <c r="H133" i="17"/>
  <c r="F56" i="9" s="1"/>
  <c r="G56" i="9" s="1"/>
  <c r="J56" i="9" s="1"/>
  <c r="H128" i="17"/>
  <c r="H126" i="17"/>
  <c r="F42" i="11" s="1"/>
  <c r="G42" i="11" s="1"/>
  <c r="J42" i="11" s="1"/>
  <c r="H129" i="17"/>
  <c r="F80" i="11" s="1"/>
  <c r="C80" i="11" s="1"/>
  <c r="R135" i="17"/>
  <c r="F85" i="9" s="1"/>
  <c r="C85" i="9" s="1"/>
  <c r="I118" i="17"/>
  <c r="I122" i="17"/>
  <c r="U93" i="17"/>
  <c r="L20" i="14"/>
  <c r="F16" i="6"/>
  <c r="S127" i="17"/>
  <c r="N118" i="17"/>
  <c r="L133" i="17"/>
  <c r="Q126" i="17"/>
  <c r="H134" i="17"/>
  <c r="H86" i="17"/>
  <c r="H124" i="17"/>
  <c r="T130" i="17"/>
  <c r="V93" i="17"/>
  <c r="V130" i="17"/>
  <c r="V133" i="17"/>
  <c r="V132" i="17"/>
  <c r="V135" i="17"/>
  <c r="F87" i="9" s="1"/>
  <c r="C87" i="9" s="1"/>
  <c r="F121" i="17"/>
  <c r="F55" i="13" s="1"/>
  <c r="G55" i="13" s="1"/>
  <c r="J55" i="13" s="1"/>
  <c r="F122" i="17"/>
  <c r="F79" i="17"/>
  <c r="M118" i="17"/>
  <c r="M122" i="17"/>
  <c r="M123" i="17"/>
  <c r="F82" i="13" s="1"/>
  <c r="C82" i="13" s="1"/>
  <c r="M120" i="17"/>
  <c r="F45" i="13" s="1"/>
  <c r="G45" i="13" s="1"/>
  <c r="J45" i="13" s="1"/>
  <c r="S126" i="17"/>
  <c r="C114" i="17"/>
  <c r="W114" i="17" s="1"/>
  <c r="C113" i="17"/>
  <c r="W113" i="17" s="1"/>
  <c r="C115" i="17"/>
  <c r="W115" i="17" s="1"/>
  <c r="C112" i="17"/>
  <c r="W112" i="17" s="1"/>
  <c r="E119" i="17"/>
  <c r="E118" i="17"/>
  <c r="E123" i="17"/>
  <c r="F77" i="13" s="1"/>
  <c r="E121" i="17"/>
  <c r="E79" i="17"/>
  <c r="E122" i="17"/>
  <c r="E120" i="17"/>
  <c r="U124" i="17"/>
  <c r="U125" i="17"/>
  <c r="F32" i="11" s="1"/>
  <c r="U128" i="17"/>
  <c r="F68" i="11" s="1"/>
  <c r="U129" i="17"/>
  <c r="F89" i="11" s="1"/>
  <c r="C89" i="11" s="1"/>
  <c r="U127" i="17"/>
  <c r="U126" i="17"/>
  <c r="F47" i="11" s="1"/>
  <c r="G47" i="11" s="1"/>
  <c r="J47" i="11" s="1"/>
  <c r="U86" i="17"/>
  <c r="Q134" i="17"/>
  <c r="Q135" i="17"/>
  <c r="Q131" i="17"/>
  <c r="O127" i="17"/>
  <c r="O129" i="17"/>
  <c r="O126" i="17"/>
  <c r="O125" i="17"/>
  <c r="O128" i="17"/>
  <c r="O124" i="17"/>
  <c r="Q133" i="17"/>
  <c r="J132" i="17"/>
  <c r="J134" i="17"/>
  <c r="J130" i="17"/>
  <c r="J133" i="17"/>
  <c r="J135" i="17"/>
  <c r="J131" i="17"/>
  <c r="L121" i="17"/>
  <c r="L123" i="17"/>
  <c r="L119" i="17"/>
  <c r="L120" i="17"/>
  <c r="L79" i="17"/>
  <c r="L118" i="17"/>
  <c r="L122" i="17"/>
  <c r="N12" i="2"/>
  <c r="O12" i="2" s="1"/>
  <c r="F69" i="7"/>
  <c r="E66" i="7" s="1"/>
  <c r="G68" i="7"/>
  <c r="O142" i="17"/>
  <c r="D163" i="17"/>
  <c r="N16" i="2"/>
  <c r="O16" i="2" s="1"/>
  <c r="N142" i="17"/>
  <c r="L22" i="12"/>
  <c r="N22" i="12" s="1"/>
  <c r="U142" i="17"/>
  <c r="W106" i="17"/>
  <c r="Q132" i="17"/>
  <c r="G21" i="15"/>
  <c r="S124" i="17"/>
  <c r="S125" i="17"/>
  <c r="Q142" i="17"/>
  <c r="F142" i="17"/>
  <c r="U131" i="17"/>
  <c r="F32" i="9" s="1"/>
  <c r="G32" i="9" s="1"/>
  <c r="J32" i="9" s="1"/>
  <c r="U134" i="17"/>
  <c r="F68" i="9" s="1"/>
  <c r="I140" i="17"/>
  <c r="I136" i="17"/>
  <c r="I100" i="17"/>
  <c r="G134" i="17"/>
  <c r="G130" i="17"/>
  <c r="G93" i="17"/>
  <c r="G135" i="17"/>
  <c r="G132" i="17"/>
  <c r="G133" i="17"/>
  <c r="G131" i="17"/>
  <c r="P118" i="17"/>
  <c r="P123" i="17"/>
  <c r="P120" i="17"/>
  <c r="P121" i="17"/>
  <c r="P119" i="17"/>
  <c r="P122" i="17"/>
  <c r="G24" i="14"/>
  <c r="R126" i="17"/>
  <c r="F46" i="11" s="1"/>
  <c r="G46" i="11" s="1"/>
  <c r="J46" i="11" s="1"/>
  <c r="R127" i="17"/>
  <c r="F60" i="11" s="1"/>
  <c r="G60" i="11" s="1"/>
  <c r="J60" i="11" s="1"/>
  <c r="R86" i="17"/>
  <c r="R129" i="17"/>
  <c r="F86" i="11" s="1"/>
  <c r="C86" i="11" s="1"/>
  <c r="R128" i="17"/>
  <c r="R125" i="17"/>
  <c r="F31" i="11" s="1"/>
  <c r="R124" i="17"/>
  <c r="D86" i="17"/>
  <c r="D128" i="17"/>
  <c r="D127" i="17"/>
  <c r="D129" i="17"/>
  <c r="F76" i="11" s="1"/>
  <c r="D125" i="17"/>
  <c r="D124" i="17"/>
  <c r="W104" i="17"/>
  <c r="L14" i="12"/>
  <c r="N14" i="12" s="1"/>
  <c r="C77" i="11"/>
  <c r="T127" i="17"/>
  <c r="T86" i="17"/>
  <c r="T129" i="17"/>
  <c r="F87" i="11" s="1"/>
  <c r="T126" i="17"/>
  <c r="T125" i="17"/>
  <c r="T124" i="17"/>
  <c r="T128" i="17"/>
  <c r="G125" i="17"/>
  <c r="G127" i="17"/>
  <c r="G86" i="17"/>
  <c r="G129" i="17"/>
  <c r="F79" i="11" s="1"/>
  <c r="G126" i="17"/>
  <c r="G124" i="17"/>
  <c r="G128" i="17"/>
  <c r="P127" i="17"/>
  <c r="P128" i="17"/>
  <c r="P126" i="17"/>
  <c r="P125" i="17"/>
  <c r="P129" i="17"/>
  <c r="P124" i="17"/>
  <c r="W107" i="17"/>
  <c r="P12" i="14"/>
  <c r="P16" i="14" s="1"/>
  <c r="K22" i="14"/>
  <c r="K19" i="14"/>
  <c r="Q14" i="14"/>
  <c r="Q16" i="14" s="1"/>
  <c r="K17" i="14"/>
  <c r="K24" i="14" s="1"/>
  <c r="R139" i="17"/>
  <c r="F60" i="7" s="1"/>
  <c r="G60" i="7" s="1"/>
  <c r="J60" i="7" s="1"/>
  <c r="R137" i="17"/>
  <c r="F31" i="7" s="1"/>
  <c r="G31" i="7" s="1"/>
  <c r="J31" i="7" s="1"/>
  <c r="R138" i="17"/>
  <c r="F46" i="7" s="1"/>
  <c r="G46" i="7" s="1"/>
  <c r="J46" i="7" s="1"/>
  <c r="R136" i="17"/>
  <c r="R142" i="17" s="1"/>
  <c r="R100" i="17"/>
  <c r="R141" i="17"/>
  <c r="F85" i="7" s="1"/>
  <c r="C85" i="7" s="1"/>
  <c r="R140" i="17"/>
  <c r="W111" i="17"/>
  <c r="D131" i="17"/>
  <c r="D132" i="17"/>
  <c r="D134" i="17"/>
  <c r="D130" i="17"/>
  <c r="D93" i="17"/>
  <c r="D135" i="17"/>
  <c r="D133" i="17"/>
  <c r="U79" i="17"/>
  <c r="U119" i="17"/>
  <c r="F32" i="13" s="1"/>
  <c r="U122" i="17"/>
  <c r="F68" i="13" s="1"/>
  <c r="U123" i="17"/>
  <c r="F85" i="13" s="1"/>
  <c r="C85" i="13" s="1"/>
  <c r="U121" i="17"/>
  <c r="F61" i="13" s="1"/>
  <c r="G61" i="13" s="1"/>
  <c r="J61" i="13" s="1"/>
  <c r="U120" i="17"/>
  <c r="F47" i="13" s="1"/>
  <c r="G47" i="13" s="1"/>
  <c r="J47" i="13" s="1"/>
  <c r="U118" i="17"/>
  <c r="G28" i="10"/>
  <c r="I110" i="17"/>
  <c r="I58" i="17"/>
  <c r="I109" i="17"/>
  <c r="I80" i="17"/>
  <c r="I108" i="17"/>
  <c r="I54" i="17"/>
  <c r="I43" i="17"/>
  <c r="G18" i="12"/>
  <c r="G28" i="13"/>
  <c r="J28" i="13" s="1"/>
  <c r="G25" i="9"/>
  <c r="L14" i="10"/>
  <c r="K139" i="17"/>
  <c r="F58" i="7" s="1"/>
  <c r="K100" i="17"/>
  <c r="K137" i="17"/>
  <c r="F29" i="7" s="1"/>
  <c r="G29" i="7" s="1"/>
  <c r="J29" i="7" s="1"/>
  <c r="K140" i="17"/>
  <c r="K136" i="17"/>
  <c r="K138" i="17"/>
  <c r="F44" i="7" s="1"/>
  <c r="G44" i="7" s="1"/>
  <c r="J44" i="7" s="1"/>
  <c r="K141" i="17"/>
  <c r="F82" i="7" s="1"/>
  <c r="C82" i="7" s="1"/>
  <c r="T141" i="17"/>
  <c r="F86" i="7" s="1"/>
  <c r="C86" i="7" s="1"/>
  <c r="T100" i="17"/>
  <c r="T138" i="17"/>
  <c r="T139" i="17"/>
  <c r="T136" i="17"/>
  <c r="T142" i="17" s="1"/>
  <c r="T140" i="17"/>
  <c r="T137" i="17"/>
  <c r="O131" i="17"/>
  <c r="O133" i="17"/>
  <c r="O135" i="17"/>
  <c r="F84" i="9" s="1"/>
  <c r="O130" i="17"/>
  <c r="O132" i="17"/>
  <c r="O134" i="17"/>
  <c r="K109" i="17"/>
  <c r="G20" i="12"/>
  <c r="K54" i="17"/>
  <c r="K110" i="17"/>
  <c r="K108" i="17"/>
  <c r="K80" i="17"/>
  <c r="K43" i="17"/>
  <c r="K58" i="17"/>
  <c r="L21" i="14"/>
  <c r="C84" i="13"/>
  <c r="C83" i="9"/>
  <c r="L22" i="10"/>
  <c r="N22" i="10" s="1"/>
  <c r="O19" i="15"/>
  <c r="H116" i="15"/>
  <c r="O14" i="15"/>
  <c r="H128" i="15"/>
  <c r="L20" i="15" s="1"/>
  <c r="P20" i="15"/>
  <c r="K16" i="15"/>
  <c r="O16" i="15"/>
  <c r="R43" i="17"/>
  <c r="G142" i="17"/>
  <c r="W105" i="17"/>
  <c r="AC21" i="17" l="1"/>
  <c r="AD21" i="17" s="1"/>
  <c r="E23" i="17"/>
  <c r="E24" i="17"/>
  <c r="AC24" i="17" s="1"/>
  <c r="AD24" i="17" s="1"/>
  <c r="AC27" i="17"/>
  <c r="AD27" i="17" s="1"/>
  <c r="I15" i="5"/>
  <c r="I19" i="5" s="1"/>
  <c r="N42" i="2"/>
  <c r="O42" i="2" s="1"/>
  <c r="G91" i="2"/>
  <c r="H91" i="2" s="1"/>
  <c r="G40" i="2"/>
  <c r="G90" i="2"/>
  <c r="N39" i="2"/>
  <c r="O39" i="2" s="1"/>
  <c r="G69" i="2"/>
  <c r="H69" i="2" s="1"/>
  <c r="G18" i="2"/>
  <c r="G68" i="2"/>
  <c r="H68" i="2" s="1"/>
  <c r="G19" i="2"/>
  <c r="N18" i="2"/>
  <c r="O18" i="2" s="1"/>
  <c r="G76" i="2"/>
  <c r="G25" i="2"/>
  <c r="N24" i="2"/>
  <c r="O24" i="2" s="1"/>
  <c r="C76" i="13"/>
  <c r="F61" i="11"/>
  <c r="G61" i="11" s="1"/>
  <c r="L22" i="8"/>
  <c r="M19" i="8"/>
  <c r="D55" i="20" s="1"/>
  <c r="M18" i="8"/>
  <c r="D54" i="20" s="1"/>
  <c r="K22" i="8"/>
  <c r="G22" i="8"/>
  <c r="D164" i="17"/>
  <c r="L17" i="14"/>
  <c r="L16" i="14"/>
  <c r="L12" i="12"/>
  <c r="N12" i="12" s="1"/>
  <c r="O44" i="2"/>
  <c r="W121" i="17"/>
  <c r="L18" i="14"/>
  <c r="G26" i="9"/>
  <c r="J26" i="9" s="1"/>
  <c r="L17" i="10"/>
  <c r="N17" i="10" s="1"/>
  <c r="L19" i="10"/>
  <c r="N19" i="10" s="1"/>
  <c r="L19" i="14"/>
  <c r="L27" i="10"/>
  <c r="N27" i="10" s="1"/>
  <c r="L20" i="10"/>
  <c r="L24" i="10"/>
  <c r="N24" i="10" s="1"/>
  <c r="F24" i="6"/>
  <c r="L25" i="10"/>
  <c r="N25" i="10" s="1"/>
  <c r="G62" i="9"/>
  <c r="F14" i="9" s="1"/>
  <c r="G31" i="9"/>
  <c r="J31" i="9" s="1"/>
  <c r="J62" i="9"/>
  <c r="J48" i="9"/>
  <c r="L17" i="12"/>
  <c r="N17" i="12" s="1"/>
  <c r="G30" i="9"/>
  <c r="J30" i="9" s="1"/>
  <c r="L21" i="10"/>
  <c r="L18" i="10"/>
  <c r="N18" i="10" s="1"/>
  <c r="G27" i="9"/>
  <c r="J27" i="9" s="1"/>
  <c r="F48" i="9"/>
  <c r="E38" i="9" s="1"/>
  <c r="W122" i="17"/>
  <c r="F62" i="9"/>
  <c r="F34" i="9"/>
  <c r="J68" i="7"/>
  <c r="G69" i="7"/>
  <c r="F15" i="7" s="1"/>
  <c r="F69" i="11"/>
  <c r="E66" i="11" s="1"/>
  <c r="G68" i="11"/>
  <c r="C77" i="13"/>
  <c r="L14" i="14"/>
  <c r="G68" i="9"/>
  <c r="F69" i="9"/>
  <c r="E66" i="9" s="1"/>
  <c r="G48" i="9"/>
  <c r="F13" i="9" s="1"/>
  <c r="W123" i="17"/>
  <c r="W118" i="17"/>
  <c r="L26" i="10"/>
  <c r="G32" i="11"/>
  <c r="J32" i="11" s="1"/>
  <c r="L16" i="12"/>
  <c r="N16" i="12" s="1"/>
  <c r="C79" i="11"/>
  <c r="C87" i="11"/>
  <c r="L24" i="12"/>
  <c r="N24" i="12" s="1"/>
  <c r="C76" i="11"/>
  <c r="L13" i="12"/>
  <c r="N13" i="12" s="1"/>
  <c r="L23" i="12"/>
  <c r="N23" i="12" s="1"/>
  <c r="G31" i="11"/>
  <c r="J31" i="11" s="1"/>
  <c r="J28" i="7"/>
  <c r="G32" i="13"/>
  <c r="J32" i="13" s="1"/>
  <c r="L22" i="14"/>
  <c r="W131" i="17"/>
  <c r="D75" i="13"/>
  <c r="L12" i="14"/>
  <c r="F86" i="13"/>
  <c r="W120" i="17"/>
  <c r="J25" i="9"/>
  <c r="W130" i="17"/>
  <c r="J25" i="11"/>
  <c r="G43" i="7"/>
  <c r="G57" i="13"/>
  <c r="F62" i="13"/>
  <c r="D156" i="17"/>
  <c r="K15" i="15"/>
  <c r="O13" i="15"/>
  <c r="K11" i="15"/>
  <c r="H162" i="15"/>
  <c r="P14" i="15"/>
  <c r="P17" i="15"/>
  <c r="F39" i="10" s="1"/>
  <c r="O18" i="15"/>
  <c r="L18" i="15"/>
  <c r="L21" i="15" s="1"/>
  <c r="H157" i="15"/>
  <c r="O12" i="15"/>
  <c r="K18" i="15"/>
  <c r="C84" i="9"/>
  <c r="L23" i="10"/>
  <c r="N23" i="10" s="1"/>
  <c r="I142" i="17"/>
  <c r="W133" i="17"/>
  <c r="W134" i="17"/>
  <c r="F48" i="13"/>
  <c r="E38" i="13" s="1"/>
  <c r="W119" i="17"/>
  <c r="J41" i="11"/>
  <c r="G71" i="2"/>
  <c r="D161" i="17"/>
  <c r="C78" i="11"/>
  <c r="L15" i="12"/>
  <c r="N15" i="12" s="1"/>
  <c r="D162" i="17"/>
  <c r="J55" i="11"/>
  <c r="K125" i="17"/>
  <c r="F29" i="11" s="1"/>
  <c r="K129" i="17"/>
  <c r="F83" i="11" s="1"/>
  <c r="C83" i="11" s="1"/>
  <c r="K86" i="17"/>
  <c r="K126" i="17"/>
  <c r="F44" i="11" s="1"/>
  <c r="G44" i="11" s="1"/>
  <c r="J44" i="11" s="1"/>
  <c r="K128" i="17"/>
  <c r="K127" i="17"/>
  <c r="F58" i="11" s="1"/>
  <c r="G58" i="11" s="1"/>
  <c r="J58" i="11" s="1"/>
  <c r="K124" i="17"/>
  <c r="K142" i="17"/>
  <c r="G58" i="7"/>
  <c r="I86" i="17"/>
  <c r="I129" i="17"/>
  <c r="I125" i="17"/>
  <c r="I128" i="17"/>
  <c r="I126" i="17"/>
  <c r="F43" i="11" s="1"/>
  <c r="G43" i="11" s="1"/>
  <c r="J43" i="11" s="1"/>
  <c r="I124" i="17"/>
  <c r="I127" i="17"/>
  <c r="F69" i="13"/>
  <c r="E66" i="13" s="1"/>
  <c r="G68" i="13"/>
  <c r="F76" i="9"/>
  <c r="W135" i="17"/>
  <c r="W132" i="17"/>
  <c r="J43" i="13"/>
  <c r="J48" i="13" s="1"/>
  <c r="G48" i="13"/>
  <c r="F13" i="13" s="1"/>
  <c r="L15" i="14"/>
  <c r="G26" i="13"/>
  <c r="F34" i="13"/>
  <c r="F17" i="5" l="1"/>
  <c r="F16" i="5"/>
  <c r="F15" i="5"/>
  <c r="F14" i="5"/>
  <c r="F13" i="5"/>
  <c r="F19" i="5" s="1"/>
  <c r="B4" i="5"/>
  <c r="E10" i="5" s="1"/>
  <c r="D42" i="17"/>
  <c r="E42" i="17"/>
  <c r="C42" i="17"/>
  <c r="AC23" i="17"/>
  <c r="AD23" i="17" s="1"/>
  <c r="L25" i="12"/>
  <c r="N25" i="12" s="1"/>
  <c r="F48" i="20"/>
  <c r="M21" i="8" s="1"/>
  <c r="J61" i="11"/>
  <c r="P19" i="3"/>
  <c r="P18" i="3"/>
  <c r="P15" i="3"/>
  <c r="P17" i="3"/>
  <c r="P20" i="3"/>
  <c r="P16" i="3"/>
  <c r="I73" i="20"/>
  <c r="I66" i="20"/>
  <c r="I70" i="20"/>
  <c r="I69" i="20"/>
  <c r="I74" i="20"/>
  <c r="I71" i="20"/>
  <c r="I72" i="20"/>
  <c r="I68" i="20"/>
  <c r="I67" i="20"/>
  <c r="J34" i="9"/>
  <c r="G34" i="9"/>
  <c r="F12" i="9" s="1"/>
  <c r="J68" i="9"/>
  <c r="G69" i="9"/>
  <c r="F15" i="9" s="1"/>
  <c r="G69" i="11"/>
  <c r="F15" i="11" s="1"/>
  <c r="J68" i="11"/>
  <c r="J26" i="13"/>
  <c r="J34" i="13" s="1"/>
  <c r="G34" i="13"/>
  <c r="F12" i="13" s="1"/>
  <c r="F57" i="11"/>
  <c r="F28" i="11"/>
  <c r="G29" i="11"/>
  <c r="J29" i="11" s="1"/>
  <c r="L20" i="12"/>
  <c r="N20" i="12" s="1"/>
  <c r="L24" i="14"/>
  <c r="H18" i="2"/>
  <c r="H40" i="2"/>
  <c r="J57" i="13"/>
  <c r="J62" i="13" s="1"/>
  <c r="G62" i="13"/>
  <c r="F14" i="13" s="1"/>
  <c r="C76" i="9"/>
  <c r="F89" i="9"/>
  <c r="L15" i="10"/>
  <c r="F81" i="11"/>
  <c r="J68" i="13"/>
  <c r="G69" i="13"/>
  <c r="F15" i="13" s="1"/>
  <c r="J58" i="7"/>
  <c r="H19" i="2"/>
  <c r="G20" i="2"/>
  <c r="I16" i="3" s="1"/>
  <c r="O11" i="15"/>
  <c r="O22" i="15" s="1"/>
  <c r="K19" i="15"/>
  <c r="M19" i="15" s="1"/>
  <c r="K12" i="15"/>
  <c r="P12" i="15"/>
  <c r="K17" i="15"/>
  <c r="P13" i="15"/>
  <c r="J43" i="7"/>
  <c r="I76" i="13"/>
  <c r="H79" i="13"/>
  <c r="H83" i="13"/>
  <c r="H81" i="13"/>
  <c r="I84" i="13"/>
  <c r="H75" i="13"/>
  <c r="H85" i="13"/>
  <c r="G86" i="13"/>
  <c r="F16" i="13" s="1"/>
  <c r="E73" i="13"/>
  <c r="I78" i="13"/>
  <c r="I77" i="13"/>
  <c r="H80" i="13"/>
  <c r="H82" i="13"/>
  <c r="C94" i="17" l="1"/>
  <c r="C43" i="17"/>
  <c r="E94" i="17"/>
  <c r="E43" i="17"/>
  <c r="N10" i="2" s="1"/>
  <c r="O10" i="2" s="1"/>
  <c r="D94" i="17"/>
  <c r="D43" i="17"/>
  <c r="I48" i="20"/>
  <c r="F66" i="20" s="1"/>
  <c r="K21" i="15"/>
  <c r="P14" i="10"/>
  <c r="P16" i="10" s="1"/>
  <c r="H50" i="10"/>
  <c r="I20" i="3"/>
  <c r="C81" i="11"/>
  <c r="I17" i="3"/>
  <c r="I18" i="3"/>
  <c r="I19" i="3"/>
  <c r="G57" i="11"/>
  <c r="P22" i="15"/>
  <c r="N15" i="10"/>
  <c r="L28" i="10"/>
  <c r="F18" i="13"/>
  <c r="H79" i="9"/>
  <c r="H81" i="9"/>
  <c r="H84" i="9"/>
  <c r="I76" i="9"/>
  <c r="H83" i="9"/>
  <c r="I78" i="9"/>
  <c r="I86" i="9"/>
  <c r="H85" i="9"/>
  <c r="H82" i="9"/>
  <c r="H87" i="9"/>
  <c r="H80" i="9"/>
  <c r="H88" i="9"/>
  <c r="G89" i="9"/>
  <c r="F16" i="9" s="1"/>
  <c r="F18" i="9" s="1"/>
  <c r="I77" i="9"/>
  <c r="E73" i="9"/>
  <c r="H75" i="9"/>
  <c r="I15" i="3"/>
  <c r="L18" i="12"/>
  <c r="G28" i="11"/>
  <c r="N8" i="2" l="1"/>
  <c r="D159" i="17"/>
  <c r="D137" i="17"/>
  <c r="D136" i="17"/>
  <c r="D142" i="17" s="1"/>
  <c r="D140" i="17"/>
  <c r="D100" i="17"/>
  <c r="D138" i="17"/>
  <c r="D139" i="17"/>
  <c r="D141" i="17"/>
  <c r="F76" i="7" s="1"/>
  <c r="C76" i="7" s="1"/>
  <c r="E139" i="17"/>
  <c r="E138" i="17"/>
  <c r="E100" i="17"/>
  <c r="E141" i="17"/>
  <c r="F77" i="7" s="1"/>
  <c r="C77" i="7" s="1"/>
  <c r="E136" i="17"/>
  <c r="E142" i="17" s="1"/>
  <c r="E140" i="17"/>
  <c r="E137" i="17"/>
  <c r="D157" i="17"/>
  <c r="N6" i="2"/>
  <c r="O6" i="2" s="1"/>
  <c r="C138" i="17"/>
  <c r="F40" i="7" s="1"/>
  <c r="G40" i="7" s="1"/>
  <c r="J40" i="7" s="1"/>
  <c r="C136" i="17"/>
  <c r="C142" i="17" s="1"/>
  <c r="C137" i="17"/>
  <c r="F25" i="7" s="1"/>
  <c r="G25" i="7" s="1"/>
  <c r="J25" i="7" s="1"/>
  <c r="C139" i="17"/>
  <c r="F54" i="7" s="1"/>
  <c r="G54" i="7" s="1"/>
  <c r="J54" i="7" s="1"/>
  <c r="C140" i="17"/>
  <c r="C141" i="17"/>
  <c r="F75" i="7" s="1"/>
  <c r="D75" i="7" s="1"/>
  <c r="C100" i="17"/>
  <c r="B4" i="9"/>
  <c r="G16" i="9" s="1"/>
  <c r="J28" i="11"/>
  <c r="J57" i="11"/>
  <c r="N18" i="12"/>
  <c r="B4" i="13"/>
  <c r="G15" i="13" s="1"/>
  <c r="K26" i="10"/>
  <c r="N26" i="10" s="1"/>
  <c r="P25" i="10"/>
  <c r="H94" i="10"/>
  <c r="H95" i="10"/>
  <c r="K20" i="10" s="1"/>
  <c r="N20" i="10" s="1"/>
  <c r="H96" i="10"/>
  <c r="K21" i="10" s="1"/>
  <c r="N21" i="10" s="1"/>
  <c r="Q14" i="10"/>
  <c r="Q16" i="10" s="1"/>
  <c r="G13" i="9" l="1"/>
  <c r="E23" i="13"/>
  <c r="E52" i="13"/>
  <c r="E10" i="13"/>
  <c r="E23" i="9"/>
  <c r="E10" i="9"/>
  <c r="E52" i="9"/>
  <c r="G13" i="13"/>
  <c r="G14" i="9"/>
  <c r="G16" i="13"/>
  <c r="G15" i="9"/>
  <c r="G14" i="13"/>
  <c r="G12" i="13"/>
  <c r="G12" i="9"/>
  <c r="K14" i="10"/>
  <c r="Q25" i="10"/>
  <c r="G18" i="9" l="1"/>
  <c r="K28" i="10"/>
  <c r="N28" i="10" s="1"/>
  <c r="N14" i="10"/>
  <c r="V110" i="17" l="1"/>
  <c r="V108" i="17"/>
  <c r="V109" i="17"/>
  <c r="V54" i="17"/>
  <c r="V58" i="17"/>
  <c r="G26" i="12"/>
  <c r="V80" i="17"/>
  <c r="V125" i="17" s="1"/>
  <c r="W39" i="17" l="1"/>
  <c r="V86" i="17"/>
  <c r="F33" i="11"/>
  <c r="G33" i="11" s="1"/>
  <c r="J33" i="11" s="1"/>
  <c r="V126" i="17"/>
  <c r="V124" i="17"/>
  <c r="V129" i="17"/>
  <c r="F88" i="11" s="1"/>
  <c r="C88" i="11" s="1"/>
  <c r="V128" i="17"/>
  <c r="V127" i="17"/>
  <c r="M108" i="17" l="1"/>
  <c r="W108" i="17" s="1"/>
  <c r="M58" i="17"/>
  <c r="M109" i="17"/>
  <c r="W109" i="17" s="1"/>
  <c r="M54" i="17"/>
  <c r="M110" i="17"/>
  <c r="W110" i="17" s="1"/>
  <c r="M80" i="17"/>
  <c r="M86" i="17" s="1"/>
  <c r="G21" i="12"/>
  <c r="G27" i="12" s="1"/>
  <c r="L26" i="12"/>
  <c r="N26" i="12" s="1"/>
  <c r="M125" i="17" l="1"/>
  <c r="W125" i="17" s="1"/>
  <c r="M128" i="17"/>
  <c r="W128" i="17" s="1"/>
  <c r="M127" i="17"/>
  <c r="F59" i="11" s="1"/>
  <c r="M129" i="17"/>
  <c r="W129" i="17" s="1"/>
  <c r="M126" i="17"/>
  <c r="F45" i="11" s="1"/>
  <c r="M124" i="17"/>
  <c r="W124" i="17" s="1"/>
  <c r="W127" i="17"/>
  <c r="F30" i="11" l="1"/>
  <c r="F34" i="11" s="1"/>
  <c r="F84" i="11"/>
  <c r="C84" i="11" s="1"/>
  <c r="W126" i="17"/>
  <c r="F90" i="11"/>
  <c r="F62" i="11"/>
  <c r="G59" i="11"/>
  <c r="G62" i="11" s="1"/>
  <c r="F14" i="11" s="1"/>
  <c r="F48" i="11"/>
  <c r="G45" i="11"/>
  <c r="L21" i="12" l="1"/>
  <c r="L28" i="12" s="1"/>
  <c r="G30" i="11"/>
  <c r="J30" i="11" s="1"/>
  <c r="J34" i="11" s="1"/>
  <c r="H89" i="11"/>
  <c r="E73" i="11"/>
  <c r="H82" i="11"/>
  <c r="H88" i="11"/>
  <c r="H80" i="11"/>
  <c r="H78" i="11"/>
  <c r="H81" i="11"/>
  <c r="H83" i="11"/>
  <c r="H79" i="11"/>
  <c r="H76" i="11"/>
  <c r="H86" i="11"/>
  <c r="H75" i="11"/>
  <c r="G90" i="11"/>
  <c r="F16" i="11" s="1"/>
  <c r="I87" i="11"/>
  <c r="H85" i="11"/>
  <c r="H77" i="11"/>
  <c r="H84" i="11"/>
  <c r="G48" i="11"/>
  <c r="F13" i="11" s="1"/>
  <c r="J45" i="11"/>
  <c r="J48" i="11" s="1"/>
  <c r="G34" i="11"/>
  <c r="F12" i="11" s="1"/>
  <c r="J59" i="11"/>
  <c r="J62" i="11" s="1"/>
  <c r="N21" i="12" l="1"/>
  <c r="F18" i="11"/>
  <c r="B4" i="11" l="1"/>
  <c r="G16" i="11" s="1"/>
  <c r="M42" i="17"/>
  <c r="M43" i="17" s="1"/>
  <c r="X10" i="20"/>
  <c r="V42" i="17" l="1"/>
  <c r="J9" i="20"/>
  <c r="K9" i="20" s="1"/>
  <c r="N29" i="2"/>
  <c r="O29" i="2" s="1"/>
  <c r="G80" i="2"/>
  <c r="V94" i="17"/>
  <c r="Y10" i="20"/>
  <c r="K34" i="20" s="1"/>
  <c r="G14" i="11"/>
  <c r="G15" i="11"/>
  <c r="G12" i="11"/>
  <c r="E52" i="11"/>
  <c r="E10" i="11"/>
  <c r="E23" i="11"/>
  <c r="G13" i="11"/>
  <c r="M94" i="17"/>
  <c r="M139" i="17" s="1"/>
  <c r="D160" i="17"/>
  <c r="D166" i="17" s="1"/>
  <c r="V43" i="17" l="1"/>
  <c r="G116" i="2" s="1"/>
  <c r="M34" i="20"/>
  <c r="W42" i="17"/>
  <c r="M140" i="17"/>
  <c r="M100" i="17"/>
  <c r="M137" i="17"/>
  <c r="F30" i="7" s="1"/>
  <c r="M141" i="17"/>
  <c r="F83" i="7" s="1"/>
  <c r="C83" i="7" s="1"/>
  <c r="M138" i="17"/>
  <c r="F45" i="7" s="1"/>
  <c r="F48" i="7" s="1"/>
  <c r="E38" i="7" s="1"/>
  <c r="M136" i="17"/>
  <c r="M142" i="17" s="1"/>
  <c r="F59" i="7"/>
  <c r="V139" i="17"/>
  <c r="W139" i="17" s="1"/>
  <c r="V141" i="17"/>
  <c r="V140" i="17"/>
  <c r="V136" i="17"/>
  <c r="V142" i="17" s="1"/>
  <c r="V100" i="17"/>
  <c r="V137" i="17"/>
  <c r="F33" i="7" s="1"/>
  <c r="G33" i="7" s="1"/>
  <c r="J33" i="7" s="1"/>
  <c r="V138" i="17"/>
  <c r="L113" i="2" l="1"/>
  <c r="M113" i="2" s="1"/>
  <c r="W43" i="17"/>
  <c r="W140" i="17"/>
  <c r="W138" i="17"/>
  <c r="G45" i="7"/>
  <c r="J45" i="7" s="1"/>
  <c r="J48" i="7" s="1"/>
  <c r="W137" i="17"/>
  <c r="W136" i="17"/>
  <c r="W142" i="17" s="1"/>
  <c r="F62" i="7"/>
  <c r="G59" i="7"/>
  <c r="F34" i="7"/>
  <c r="G30" i="7"/>
  <c r="F87" i="7"/>
  <c r="W141" i="17"/>
  <c r="G48" i="7" l="1"/>
  <c r="F13" i="7" s="1"/>
  <c r="C87" i="7"/>
  <c r="F89" i="7"/>
  <c r="J30" i="7"/>
  <c r="J34" i="7" s="1"/>
  <c r="G34" i="7"/>
  <c r="F12" i="7" s="1"/>
  <c r="J59" i="7"/>
  <c r="J62" i="7" s="1"/>
  <c r="G62" i="7"/>
  <c r="F14" i="7" s="1"/>
  <c r="H83" i="7" l="1"/>
  <c r="I86" i="7"/>
  <c r="I76" i="7"/>
  <c r="H80" i="7"/>
  <c r="I77" i="7"/>
  <c r="H79" i="7"/>
  <c r="H87" i="7"/>
  <c r="H81" i="7"/>
  <c r="H82" i="7"/>
  <c r="I75" i="7"/>
  <c r="H85" i="7"/>
  <c r="E73" i="7"/>
  <c r="H84" i="7"/>
  <c r="I78" i="7"/>
  <c r="G89" i="7"/>
  <c r="F16" i="7" s="1"/>
  <c r="F18" i="7" s="1"/>
  <c r="H88" i="7"/>
  <c r="B4" i="7" l="1"/>
  <c r="G13" i="7" s="1"/>
  <c r="G15" i="7" l="1"/>
  <c r="G12" i="7"/>
  <c r="G16" i="7"/>
  <c r="E52" i="7"/>
  <c r="E23" i="7"/>
  <c r="E10" i="7"/>
  <c r="G14" i="7"/>
  <c r="G1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KanORS</author>
  </authors>
  <commentList>
    <comment ref="B4" authorId="0" shapeId="0" xr:uid="{00000000-0006-0000-0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ktoe to PJ</t>
        </r>
      </text>
    </comment>
    <comment ref="A27" authorId="1" shapeId="0" xr:uid="{00000000-0006-0000-02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According to Eurostat, mainly lubrification and road surfacing.</t>
        </r>
      </text>
    </comment>
    <comment ref="B73" authorId="1" shapeId="0" xr:uid="{00000000-0006-0000-0200-000003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0" authorId="1" shapeId="0" xr:uid="{00000000-0006-0000-0200-000004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87" authorId="1" shapeId="0" xr:uid="{00000000-0006-0000-0200-000005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  <comment ref="B94" authorId="1" shapeId="0" xr:uid="{00000000-0006-0000-0200-000006000000}">
      <text>
        <r>
          <rPr>
            <b/>
            <sz val="11"/>
            <color indexed="8"/>
            <rFont val="Times New Roman"/>
            <family val="1"/>
          </rPr>
          <t>KanORS:</t>
        </r>
        <r>
          <rPr>
            <sz val="11"/>
            <color indexed="8"/>
            <rFont val="Times New Roman"/>
            <family val="1"/>
          </rPr>
          <t xml:space="preserve">
These energy service categories come from the Manufacturing Energy Consumption Survey (MECS) of the US Department of Energy - Energy Information Administration. There are 2 main categories:
Indirect Uses-Boiler Fuel: </t>
        </r>
        <r>
          <rPr>
            <b/>
            <sz val="11"/>
            <color indexed="8"/>
            <rFont val="Times New Roman"/>
            <family val="1"/>
          </rPr>
          <t xml:space="preserve">Steam
</t>
        </r>
        <r>
          <rPr>
            <sz val="11"/>
            <color indexed="8"/>
            <rFont val="Times New Roman"/>
            <family val="1"/>
          </rPr>
          <t xml:space="preserve">
Direct Uses-Total process: </t>
        </r>
        <r>
          <rPr>
            <b/>
            <sz val="11"/>
            <color indexed="8"/>
            <rFont val="Times New Roman"/>
            <family val="1"/>
          </rPr>
          <t xml:space="preserve">Process Heating*, Machine Drive, Electro-Chemical Processes, Other Processes. 
</t>
        </r>
        <r>
          <rPr>
            <sz val="11"/>
            <color indexed="8"/>
            <rFont val="Times New Roman"/>
            <family val="1"/>
          </rPr>
          <t xml:space="preserve">* Process Heating includes heating, ventilation and air conditionning facilities and excludes steam and hot water.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N2" authorId="0" shapeId="0" xr:uid="{00000000-0006-0000-1100-000001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This coefficient represents the possibility of expanding the existing supply infrastructure without additional investments.</t>
        </r>
      </text>
    </comment>
    <comment ref="H4" authorId="0" shapeId="0" xr:uid="{00000000-0006-0000-11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N4" authorId="0" shapeId="0" xr:uid="{00000000-0006-0000-11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This represents the existing infrastructure like gas pipelines and low temperature heat grids. This approach should be used for all those fuels which have significant infrastructure requirement for distribution.</t>
        </r>
      </text>
    </comment>
    <comment ref="H54" authorId="0" shapeId="0" xr:uid="{00000000-0006-0000-1100-000004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To allow flexible sector fuel production after the base year. </t>
        </r>
      </text>
    </comment>
    <comment ref="L112" authorId="0" shapeId="0" xr:uid="{00000000-0006-0000-11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These bounds represent the size of the existing infrastructure like gas pipelines and low temperature heat grids. They should be applied only to those fuels where this consideration applies; for example, electricity should be left out, as it is already accessible to all consumers in the developed world.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Z6" authorId="0" shapeId="0" xr:uid="{769C341D-E01F-44DE-9ABD-48481393CBE2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previous PET model</t>
        </r>
      </text>
    </comment>
    <comment ref="F46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Efficiency assumption
</t>
        </r>
      </text>
    </comment>
    <comment ref="H4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  <comment ref="J5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AFA assumption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4" authorId="0" shapeId="0" xr:uid="{27919A0F-C985-4655-B792-B689B3181021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KanORS</author>
  </authors>
  <commentList>
    <comment ref="B4" authorId="0" shapeId="0" xr:uid="{133552B0-02E5-43D1-97D0-9101838386C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19" authorId="1" shapeId="0" xr:uid="{00000000-0006-0000-0700-000001000000}">
      <text>
        <r>
          <rPr>
            <b/>
            <sz val="8"/>
            <color indexed="8"/>
            <rFont val="Tahoma"/>
            <family val="2"/>
          </rPr>
          <t xml:space="preserve">KanORS:
</t>
        </r>
        <r>
          <rPr>
            <sz val="8"/>
            <color indexed="8"/>
            <rFont val="Tahoma"/>
            <family val="2"/>
          </rPr>
          <t xml:space="preserve">
Input should be calibrated to MPPWOO.</t>
        </r>
      </text>
    </comment>
    <comment ref="J19" authorId="1" shapeId="0" xr:uid="{00000000-0006-0000-0700-000002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For input see MPPWOO.</t>
        </r>
      </text>
    </comment>
    <comment ref="L19" authorId="1" shapeId="0" xr:uid="{00000000-0006-0000-0700-000003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</t>
        </r>
      </text>
    </comment>
    <comment ref="E61" authorId="1" shapeId="0" xr:uid="{00000000-0006-0000-0700-000005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62" authorId="1" shapeId="0" xr:uid="{00000000-0006-0000-0700-000006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  <comment ref="E71" authorId="1" shapeId="0" xr:uid="{00000000-0006-0000-0700-000007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Black liquor in GJ/air dry ton</t>
        </r>
      </text>
    </comment>
    <comment ref="E72" authorId="1" shapeId="0" xr:uid="{00000000-0006-0000-0700-000008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Waste wood in GJ/air dry ton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Maurizio Gargiulo</author>
  </authors>
  <commentList>
    <comment ref="B4" authorId="0" shapeId="0" xr:uid="{23579B0F-7E72-4373-A9DA-57C30E9982F9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5" authorId="0" shapeId="0" xr:uid="{F6A21D73-B4DB-4DC7-8C2F-E3FE165F1787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6" authorId="0" shapeId="0" xr:uid="{803122B6-9076-48B2-BB7F-DC160BBF842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B7" authorId="0" shapeId="0" xr:uid="{20EF3E4C-78BF-44FE-8F64-463B918B1BB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PET 2005 value</t>
        </r>
      </text>
    </comment>
    <comment ref="F51" authorId="1" shapeId="0" xr:uid="{00000000-0006-0000-0A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Original alue 3.4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O4" authorId="0" shapeId="0" xr:uid="{00000000-0006-0000-1200-000001000000}">
      <text>
        <r>
          <rPr>
            <b/>
            <sz val="8"/>
            <color indexed="8"/>
            <rFont val="Tahoma"/>
            <family val="2"/>
          </rPr>
          <t>KanORS:</t>
        </r>
        <r>
          <rPr>
            <sz val="8"/>
            <color indexed="8"/>
            <rFont val="Tahoma"/>
            <family val="2"/>
          </rPr>
          <t xml:space="preserve">
Non Energy Uses</t>
        </r>
      </text>
    </comment>
  </commentList>
</comments>
</file>

<file path=xl/sharedStrings.xml><?xml version="1.0" encoding="utf-8"?>
<sst xmlns="http://schemas.openxmlformats.org/spreadsheetml/2006/main" count="3641" uniqueCount="1202">
  <si>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</si>
  <si>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</si>
  <si>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</si>
  <si>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</si>
  <si>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</si>
  <si>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</si>
  <si>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</si>
  <si>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</si>
  <si>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</si>
  <si>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</si>
  <si>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</si>
  <si>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</si>
  <si>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</si>
  <si>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</si>
  <si>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</si>
  <si>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</si>
  <si>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</si>
  <si>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</si>
  <si>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</si>
  <si>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</si>
  <si>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</si>
  <si>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</si>
  <si>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</si>
  <si>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</si>
  <si>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</si>
  <si>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</si>
  <si>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</si>
  <si>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</si>
  <si>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</si>
  <si>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</si>
  <si>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</si>
  <si>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</si>
  <si>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</si>
  <si>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</si>
  <si>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</si>
  <si>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</si>
  <si>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</si>
  <si>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</si>
  <si>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</si>
  <si>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</si>
  <si>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</si>
  <si>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</si>
  <si>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</si>
  <si>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</si>
  <si>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</si>
  <si>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</si>
  <si>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</si>
  <si>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</si>
  <si>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</si>
  <si>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</si>
  <si>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</si>
  <si>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</si>
  <si>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</si>
  <si>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</si>
  <si>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</si>
  <si>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</si>
  <si>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</si>
  <si>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</si>
  <si>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</si>
  <si>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</si>
  <si>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</si>
  <si>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</si>
  <si>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</si>
  <si>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</si>
  <si>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</si>
  <si>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</si>
  <si>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</si>
  <si>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</si>
  <si>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</si>
  <si>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</si>
  <si>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</si>
  <si>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</si>
  <si>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</si>
  <si>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</si>
  <si>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</si>
  <si>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</si>
  <si>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</si>
  <si>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</si>
  <si>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</si>
  <si>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</si>
  <si>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</si>
  <si>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</si>
  <si>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</si>
  <si>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</si>
  <si>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</si>
  <si>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</si>
  <si>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</si>
  <si>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</si>
  <si>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</si>
  <si>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</si>
  <si>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</si>
  <si>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</si>
  <si>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Transport</t>
  </si>
  <si>
    <t>Road Freight</t>
  </si>
  <si>
    <t>Road Light Goods Vehicle</t>
  </si>
  <si>
    <t>Road Private Car</t>
  </si>
  <si>
    <t>Public Passenger Services</t>
  </si>
  <si>
    <t>Rail</t>
  </si>
  <si>
    <t>Domestic Aviation</t>
  </si>
  <si>
    <t>International Aviation</t>
  </si>
  <si>
    <t>Fuel Tourism</t>
  </si>
  <si>
    <t>Navigation</t>
  </si>
  <si>
    <t>Unspecified</t>
  </si>
  <si>
    <t>Residential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</si>
  <si>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</si>
  <si>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</si>
  <si>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</si>
  <si>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</si>
  <si>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</si>
  <si>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</si>
  <si>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</si>
  <si>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</si>
  <si>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</si>
  <si>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~Country</t>
  </si>
  <si>
    <t>IE</t>
  </si>
  <si>
    <t>Sector</t>
  </si>
  <si>
    <t>Industry</t>
  </si>
  <si>
    <t>~Year</t>
  </si>
  <si>
    <t>~Unit conversion</t>
  </si>
  <si>
    <t>2110 Hard Coal &amp; Patent Fuels</t>
  </si>
  <si>
    <t>2121 Hard Coke</t>
  </si>
  <si>
    <t>2210 Total Lignite</t>
  </si>
  <si>
    <t>2230 Brown Coal Briquettes</t>
  </si>
  <si>
    <t>3210 Refinery Gas</t>
  </si>
  <si>
    <t>3220 LPG</t>
  </si>
  <si>
    <t>3230 Motor Spirit</t>
  </si>
  <si>
    <t>3240 Kerosenes - Jet Fuels</t>
  </si>
  <si>
    <t>3250 Naphtha</t>
  </si>
  <si>
    <t>3260 Gas / Diesel Oil</t>
  </si>
  <si>
    <t>3270 Residual Fuel Oil</t>
  </si>
  <si>
    <t>3281 White &amp; Industrial Spirit, 3282 Lubricants, 3283 Bitumen</t>
  </si>
  <si>
    <t>3290 Other Petroleum Products, 3285 Petroleum Coke</t>
  </si>
  <si>
    <t>4100 Natural Gas</t>
  </si>
  <si>
    <t>4210 Coke-Oven Gas</t>
  </si>
  <si>
    <t>4220 Blast-Furnace Gas</t>
  </si>
  <si>
    <t>4230 Gasworks Gas</t>
  </si>
  <si>
    <t>5530 Solar Energy</t>
  </si>
  <si>
    <t>5541 Wood &amp; Wood Waste</t>
  </si>
  <si>
    <t>5542 Biogas</t>
  </si>
  <si>
    <t>5543 MSW</t>
  </si>
  <si>
    <t>5550 Geothermal Energy</t>
  </si>
  <si>
    <t>5545 Biofuels</t>
  </si>
  <si>
    <t>7100 Industrial Wastes</t>
  </si>
  <si>
    <t>6000 Electrical Energy</t>
  </si>
  <si>
    <t>5200 Derived Heat</t>
  </si>
  <si>
    <t>Base-year energy consumption from Eurostat (PJ)</t>
  </si>
  <si>
    <t>Solid</t>
  </si>
  <si>
    <t>Oil</t>
  </si>
  <si>
    <t>Natural Gas</t>
  </si>
  <si>
    <t>Renewables</t>
  </si>
  <si>
    <t>Non-renewables</t>
  </si>
  <si>
    <t>Flow/Product</t>
  </si>
  <si>
    <t>Bituminous Coal</t>
  </si>
  <si>
    <t xml:space="preserve">Coke
</t>
  </si>
  <si>
    <t>Peat</t>
  </si>
  <si>
    <t>Kerosene</t>
  </si>
  <si>
    <t>Others</t>
  </si>
  <si>
    <t>Petroleum Coke</t>
  </si>
  <si>
    <t>Coke-Oven Gas</t>
  </si>
  <si>
    <t>Blast-Furnace Gas</t>
  </si>
  <si>
    <t>Gasworks Gas</t>
  </si>
  <si>
    <t>Total</t>
  </si>
  <si>
    <t>Eurostat Codes</t>
  </si>
  <si>
    <t>SEAI Codes</t>
  </si>
  <si>
    <t>3281,3282,3283</t>
  </si>
  <si>
    <t>3285,3290</t>
  </si>
  <si>
    <t>PJ</t>
  </si>
  <si>
    <t>ktoe</t>
  </si>
  <si>
    <t>PET</t>
  </si>
  <si>
    <t>Eurostat</t>
  </si>
  <si>
    <t>SEAI</t>
  </si>
  <si>
    <t>101800 Final energy consumption  Industry</t>
  </si>
  <si>
    <t>101805 Final energy consumption  Iron and steel industry</t>
  </si>
  <si>
    <t>Iron &amp; steel industry</t>
  </si>
  <si>
    <t>101810 Final energy consumption  Nonferrous metal industry</t>
  </si>
  <si>
    <t>Chemical and Petrochemical industry</t>
  </si>
  <si>
    <t>101815 Final energy consumption  Chemical industry</t>
  </si>
  <si>
    <t>Non-ferrous metal industry</t>
  </si>
  <si>
    <t>101820 Final energy consumption  Nonmetallic mineral products industry</t>
  </si>
  <si>
    <t>Non-metallic Minerals (Glass, pottery &amp; building mat. Industry)</t>
  </si>
  <si>
    <t>101825 Final energy consumption  Ore extraction (except fuels) industry</t>
  </si>
  <si>
    <t>Transport Equipment</t>
  </si>
  <si>
    <t>101830 Final energy consumption  Food, drink and tobacco industry</t>
  </si>
  <si>
    <t>Machinery</t>
  </si>
  <si>
    <t>101835 Final energy consumption  Textile, leather and clothing industry</t>
  </si>
  <si>
    <t>Mining and Quarrying</t>
  </si>
  <si>
    <t>101840 Final energy consumption  Paper and printing industry</t>
  </si>
  <si>
    <t>Food and Tabacco</t>
  </si>
  <si>
    <t>101845 Final energy consumption  Engineering and other metal industry</t>
  </si>
  <si>
    <t>Paper, Pulp and Print</t>
  </si>
  <si>
    <t>101850 Final energy consumption  Other nonclassified industries</t>
  </si>
  <si>
    <t>All remaining</t>
  </si>
  <si>
    <t>Wood and Wood Products</t>
  </si>
  <si>
    <t>101899 Final energy consumption  Adjustment</t>
  </si>
  <si>
    <t>Construction</t>
  </si>
  <si>
    <t>Other industries</t>
  </si>
  <si>
    <t>Textile and Leather</t>
  </si>
  <si>
    <t>Total all industries</t>
  </si>
  <si>
    <t>Non-specified (Industry)</t>
  </si>
  <si>
    <t>101600 Final nonenergy consumption</t>
  </si>
  <si>
    <t>101601 Final nonenergy consumption  Chemical industry</t>
  </si>
  <si>
    <t>101602 Final nonenergy consumption  Nonchemical industries</t>
  </si>
  <si>
    <t>\I:</t>
  </si>
  <si>
    <t>101006 Input to blastfurnace plants</t>
  </si>
  <si>
    <t>101106 Output from blastfurnace plants</t>
  </si>
  <si>
    <t>101400 Distribution losses</t>
  </si>
  <si>
    <t>COABIT</t>
  </si>
  <si>
    <t>COACOK</t>
  </si>
  <si>
    <t>PEAT</t>
  </si>
  <si>
    <t>COAHAR</t>
  </si>
  <si>
    <t>OILRFG</t>
  </si>
  <si>
    <t>OILLPG</t>
  </si>
  <si>
    <t>OILGSL</t>
  </si>
  <si>
    <t>OILKER</t>
  </si>
  <si>
    <t>OILNAP</t>
  </si>
  <si>
    <t>OILDST</t>
  </si>
  <si>
    <t>OILHFO</t>
  </si>
  <si>
    <t>OILNEU</t>
  </si>
  <si>
    <t>OILCOK</t>
  </si>
  <si>
    <t>GASNAT</t>
  </si>
  <si>
    <t>GASCOG</t>
  </si>
  <si>
    <t>GASBFG</t>
  </si>
  <si>
    <t>GASGWG</t>
  </si>
  <si>
    <t>RENSOL</t>
  </si>
  <si>
    <t>BIOWOO, BIOWCH, BIOWPE</t>
  </si>
  <si>
    <t>BIOGAS1G, BIOGAS2G</t>
  </si>
  <si>
    <t>RENGEO</t>
  </si>
  <si>
    <t>BIOMSW2</t>
  </si>
  <si>
    <t>ELC</t>
  </si>
  <si>
    <t>HET</t>
  </si>
  <si>
    <t>new</t>
  </si>
  <si>
    <t>COALIG</t>
  </si>
  <si>
    <t>COABRO</t>
  </si>
  <si>
    <t>OILOTH</t>
  </si>
  <si>
    <t>BIOWOO</t>
  </si>
  <si>
    <t>BIOGAS</t>
  </si>
  <si>
    <t>BIOMUN</t>
  </si>
  <si>
    <t>BIOLIQ</t>
  </si>
  <si>
    <t>BIOSLU</t>
  </si>
  <si>
    <t>old</t>
  </si>
  <si>
    <t>Base-year data aggregated by sector fuel (PJ)</t>
  </si>
  <si>
    <t>Hard Coal</t>
  </si>
  <si>
    <t>Lignite</t>
  </si>
  <si>
    <t>Brown Coal</t>
  </si>
  <si>
    <t>Coke</t>
  </si>
  <si>
    <t>Refinery Gas</t>
  </si>
  <si>
    <t>LPG</t>
  </si>
  <si>
    <t>Light Fuel Oil</t>
  </si>
  <si>
    <t>Naphtha</t>
  </si>
  <si>
    <t>Heavy Fuel Oil</t>
  </si>
  <si>
    <t>Non Energy</t>
  </si>
  <si>
    <t>Blast Furnace Gas</t>
  </si>
  <si>
    <t>Solar</t>
  </si>
  <si>
    <t>Geothermal</t>
  </si>
  <si>
    <t>Biomass</t>
  </si>
  <si>
    <t>MSW</t>
  </si>
  <si>
    <t>Industrial Wastes</t>
  </si>
  <si>
    <t xml:space="preserve">Hard Coal / Antracite </t>
  </si>
  <si>
    <t>Industrial Solid Wastes</t>
  </si>
  <si>
    <t>Industrial Liquid Wastes</t>
  </si>
  <si>
    <t>OILCRD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</si>
  <si>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</si>
  <si>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</si>
  <si>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</si>
  <si>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</si>
  <si>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</si>
  <si>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</si>
  <si>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</si>
  <si>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</si>
  <si>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>INDCOA</t>
  </si>
  <si>
    <t>INDPEA</t>
  </si>
  <si>
    <t>INDCOH</t>
  </si>
  <si>
    <t>INDCOK</t>
  </si>
  <si>
    <t>INDRFG</t>
  </si>
  <si>
    <t>INDLPG</t>
  </si>
  <si>
    <t>INDLFO</t>
  </si>
  <si>
    <t>INDNAP</t>
  </si>
  <si>
    <t>INDHFO</t>
  </si>
  <si>
    <t>INDNEU</t>
  </si>
  <si>
    <t>INDGAS</t>
  </si>
  <si>
    <t>INDCOG</t>
  </si>
  <si>
    <t>INDBFG</t>
  </si>
  <si>
    <t>INDSOL</t>
  </si>
  <si>
    <t>INDGEO</t>
  </si>
  <si>
    <t>INDBIO</t>
  </si>
  <si>
    <t>INDWASS</t>
  </si>
  <si>
    <t>INDWASL</t>
  </si>
  <si>
    <t>INDELC</t>
  </si>
  <si>
    <t>INDHTH</t>
  </si>
  <si>
    <t xml:space="preserve">Naphta </t>
  </si>
  <si>
    <t>INDCOL</t>
  </si>
  <si>
    <t>INDCOB</t>
  </si>
  <si>
    <t>INDMUN</t>
  </si>
  <si>
    <t>INDSLU</t>
  </si>
  <si>
    <t>Breakout by industry (Fractional Shares)</t>
  </si>
  <si>
    <t>Aluminium</t>
  </si>
  <si>
    <t>Copper</t>
  </si>
  <si>
    <t>Other</t>
  </si>
  <si>
    <t>Ammonia</t>
  </si>
  <si>
    <t>Chlorine</t>
  </si>
  <si>
    <t>Cement</t>
  </si>
  <si>
    <t>Lime</t>
  </si>
  <si>
    <t>Glass - Hollow</t>
  </si>
  <si>
    <t>Glass - Flat</t>
  </si>
  <si>
    <t>High Quality Paper</t>
  </si>
  <si>
    <t>Low Quality Paper</t>
  </si>
  <si>
    <t>Breakout by energy service (Fractional Shares)</t>
  </si>
  <si>
    <t>Other non ferrous metals</t>
  </si>
  <si>
    <t>Steam</t>
  </si>
  <si>
    <t>Process Heat</t>
  </si>
  <si>
    <t>Machine Drive</t>
  </si>
  <si>
    <t>Electro-Chemical Processes</t>
  </si>
  <si>
    <t>Other Processes</t>
  </si>
  <si>
    <t>Other chemicals</t>
  </si>
  <si>
    <t>Other non metallic minerals</t>
  </si>
  <si>
    <t>Final energy consumption by industry (PJ)</t>
  </si>
  <si>
    <t>XX~FI_T</t>
  </si>
  <si>
    <t>Attribute</t>
  </si>
  <si>
    <t>TechName</t>
  </si>
  <si>
    <t>CommName</t>
  </si>
  <si>
    <t>VA_SectFuelCons</t>
  </si>
  <si>
    <t>VT_IND</t>
  </si>
  <si>
    <t>fehlen</t>
  </si>
  <si>
    <t xml:space="preserve">mehrfach </t>
  </si>
  <si>
    <t>für BFG wurde Coke Brennstoffeinsatz bilanziert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</si>
  <si>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</si>
  <si>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</si>
  <si>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</si>
  <si>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</si>
  <si>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</si>
  <si>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</si>
  <si>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</si>
  <si>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</si>
  <si>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</t>
  </si>
  <si>
    <t>*VT_IND</t>
  </si>
  <si>
    <t>PJa</t>
  </si>
  <si>
    <t>*DMD</t>
  </si>
  <si>
    <t>IALFINPRO00</t>
  </si>
  <si>
    <t>IAL.Finishing Processes.00.</t>
  </si>
  <si>
    <t>Mt</t>
  </si>
  <si>
    <t>Mta</t>
  </si>
  <si>
    <t/>
  </si>
  <si>
    <t>*PRE</t>
  </si>
  <si>
    <t>IALHAHEPF00</t>
  </si>
  <si>
    <t>IAL.Hall Heroult.Point Feeders.00.</t>
  </si>
  <si>
    <t>IALHAHERG00</t>
  </si>
  <si>
    <t>IAL.Hall Heroult.Regular.00.</t>
  </si>
  <si>
    <t>IALINERAN00</t>
  </si>
  <si>
    <t>IAL.Inert Anodes.00.</t>
  </si>
  <si>
    <t>IALRECYCP00</t>
  </si>
  <si>
    <t>IAL.Recycled Production.00.</t>
  </si>
  <si>
    <t>IAMADVCAP00</t>
  </si>
  <si>
    <t>IAM.Advanced Production.CO2 Capture.00.</t>
  </si>
  <si>
    <t>IAMADVPRO00</t>
  </si>
  <si>
    <t>IAM.Advanced Production.00.</t>
  </si>
  <si>
    <t>IAMSTDPRO00</t>
  </si>
  <si>
    <t>IAM.Standard Production.00.</t>
  </si>
  <si>
    <t>DMD</t>
  </si>
  <si>
    <t>ICHDEMAND00</t>
  </si>
  <si>
    <t>ICH.Other Chemicals.00.</t>
  </si>
  <si>
    <t>ICHELEELC00</t>
  </si>
  <si>
    <t>ICH.Other Chemicals.Electro-Chemical Processes.ELC.00</t>
  </si>
  <si>
    <t>PRE</t>
  </si>
  <si>
    <t>ICHMCHBIO00</t>
  </si>
  <si>
    <t>ICH.Other Chemicals.Machine Drive.BIO.00</t>
  </si>
  <si>
    <t>ICHMCHCOA00</t>
  </si>
  <si>
    <t>ICH.Other Chemicals.Machine Drive.COA.00</t>
  </si>
  <si>
    <t>ICHMCHCOK00</t>
  </si>
  <si>
    <t>ICH.Other Chemicals.Machine Drive.COK.00</t>
  </si>
  <si>
    <t>ICHMCHELC00</t>
  </si>
  <si>
    <t>ICH.Other Chemicals.Machine Drive.ELC.00</t>
  </si>
  <si>
    <t>ICHMCHGAS00</t>
  </si>
  <si>
    <t>ICH.Other Chemicals.Machine Drive.GAS.00</t>
  </si>
  <si>
    <t>ICHMCHHFO00</t>
  </si>
  <si>
    <t>ICH.Other Chemicals.Machine Drive.HFO.00</t>
  </si>
  <si>
    <t>ICHMCHLFO00</t>
  </si>
  <si>
    <t>ICH.Other Chemicals.Machine Drive.LFO.00</t>
  </si>
  <si>
    <t>ICHMCHLPG00</t>
  </si>
  <si>
    <t>ICH.Other Chemicals.Machine Drive.LPG.00</t>
  </si>
  <si>
    <t>ICHOTH-NRG</t>
  </si>
  <si>
    <t>ICH: Other energy uses</t>
  </si>
  <si>
    <t>ICHPRCBIO00</t>
  </si>
  <si>
    <t>ICH.Other Chemicals.Process Heat.BIO.00</t>
  </si>
  <si>
    <t>ICHPRCCOA00</t>
  </si>
  <si>
    <t>ICH.Other Chemicals.Process Heat.COA.00</t>
  </si>
  <si>
    <t>ICHPRCCOK00</t>
  </si>
  <si>
    <t>ICH.Other Chemicals.Process Heat.COK.00</t>
  </si>
  <si>
    <t>ICHPRCELC00</t>
  </si>
  <si>
    <t>ICH.Other Chemicals.Process Heat.ELC.00</t>
  </si>
  <si>
    <t>ICHPRCGAS00</t>
  </si>
  <si>
    <t>ICH.Other Chemicals.Process Heat.GAS.00</t>
  </si>
  <si>
    <t>ICHPRCHFO00</t>
  </si>
  <si>
    <t>ICH.Other Chemicals.Process Heat.HFO.00</t>
  </si>
  <si>
    <t>ICHPRCLFO00</t>
  </si>
  <si>
    <t>ICH.Other Chemicals.Process Heat.LFO.00</t>
  </si>
  <si>
    <t>ICHPRCLPG00</t>
  </si>
  <si>
    <t>ICH.Other Chemicals.Process Heat.LPG.00</t>
  </si>
  <si>
    <t>HPL</t>
  </si>
  <si>
    <t>ICHSTMBIO00</t>
  </si>
  <si>
    <t>ICH.Other Chemicals.Steam.BIO.00</t>
  </si>
  <si>
    <t>GW</t>
  </si>
  <si>
    <t>ICHSTMCOA00</t>
  </si>
  <si>
    <t>ICH.Other Chemicals.Steam.COA.00</t>
  </si>
  <si>
    <t>ICHSTMCOK00</t>
  </si>
  <si>
    <t>ICH.Other Chemicals.Steam.COK.00</t>
  </si>
  <si>
    <t>ICHSTMELC00</t>
  </si>
  <si>
    <t>ICH.Other Chemicals.Steam.ELC.00</t>
  </si>
  <si>
    <t>ICHSTMGAS00</t>
  </si>
  <si>
    <t>ICH.Other Chemicals.Steam.GAS.00</t>
  </si>
  <si>
    <t>ICHSTMHFO00</t>
  </si>
  <si>
    <t>ICH.Other Chemicals.Steam.HFO.00</t>
  </si>
  <si>
    <t>ICHSTMHTH00</t>
  </si>
  <si>
    <t>ICH.Other Chemicals.Steam.HTH.00</t>
  </si>
  <si>
    <t>ICHSTMLFO00</t>
  </si>
  <si>
    <t>ICH.Other Chemicals.Steam.LFO.00</t>
  </si>
  <si>
    <t>ICHSTMLPG00</t>
  </si>
  <si>
    <t>ICH.Other Chemicals.Steam.LPG.00</t>
  </si>
  <si>
    <t>ICLADVPRO00</t>
  </si>
  <si>
    <t>ICL.Advanced Membrane Production.00.</t>
  </si>
  <si>
    <t>ICLHTHELH00</t>
  </si>
  <si>
    <t>Generic industrial boiler forCL.HFO</t>
  </si>
  <si>
    <t>ICLSTDPRO00</t>
  </si>
  <si>
    <t>ICL.Standard Membrane Production.00.</t>
  </si>
  <si>
    <t>ICLSTDPRO01</t>
  </si>
  <si>
    <t>ICL.Standard mercury Production.00.</t>
  </si>
  <si>
    <t>ICLSTDPRO02</t>
  </si>
  <si>
    <t>ICL.Standard diaphragm Production.00.</t>
  </si>
  <si>
    <t>ICMDRYPRD00</t>
  </si>
  <si>
    <t>ICM.Dry Process Production.00.</t>
  </si>
  <si>
    <t>ICMFINPRO00</t>
  </si>
  <si>
    <t>ICM.Finishing Processes.00.</t>
  </si>
  <si>
    <t>ICMPRCCOA00</t>
  </si>
  <si>
    <t>ICM.Generic fuel kiln.COA</t>
  </si>
  <si>
    <t>ICMPRCGAS00</t>
  </si>
  <si>
    <t>ICM.Generic fuel kiln.GAS</t>
  </si>
  <si>
    <t>ICMPRCHFO00</t>
  </si>
  <si>
    <t>ICM.Generic fuel kiln.HFO</t>
  </si>
  <si>
    <t>ICMWETPRD00</t>
  </si>
  <si>
    <t>ICM.Wet Process Production.00.</t>
  </si>
  <si>
    <t>ICUFINPRO00</t>
  </si>
  <si>
    <t>ICU.Finishing Processes.00.</t>
  </si>
  <si>
    <t>ICUOREPRD00</t>
  </si>
  <si>
    <t>ICU.Copper Production.00.</t>
  </si>
  <si>
    <t>ICURECPRD00</t>
  </si>
  <si>
    <t>ICU.Copper Recycling.00.</t>
  </si>
  <si>
    <t>IGFFLATGL00</t>
  </si>
  <si>
    <t>IGF.Glass Flat.00.</t>
  </si>
  <si>
    <t>IGHHOLLOW00</t>
  </si>
  <si>
    <t>IGH.Glass Hollow.00.</t>
  </si>
  <si>
    <t>IGHRECYCL00</t>
  </si>
  <si>
    <t>IGH.Glass Recycling.00.</t>
  </si>
  <si>
    <t>IISAODFUR00</t>
  </si>
  <si>
    <t>IIS.Argon Oxygen Furnace AOD.Regular.00.</t>
  </si>
  <si>
    <t>IISBLAFUR00</t>
  </si>
  <si>
    <t>IIS.Iron Blast Furnace.00.</t>
  </si>
  <si>
    <t>MISRIR</t>
  </si>
  <si>
    <t>IISBOXFUR00</t>
  </si>
  <si>
    <t>IIS.Blast Oxygen Furnace BOF.Regular.00.</t>
  </si>
  <si>
    <t>IISBOXSCR00</t>
  </si>
  <si>
    <t>IIS.Blast Oxygen Furnace BOF.Scrap.00.</t>
  </si>
  <si>
    <t>IISCOREXP00</t>
  </si>
  <si>
    <t>IIS.COREX.00.</t>
  </si>
  <si>
    <t>IISCUPOLA00</t>
  </si>
  <si>
    <t>IIS.Cast Iron Cupola.00.</t>
  </si>
  <si>
    <t>IISCYCFUR00</t>
  </si>
  <si>
    <t>IIS.Cyclone Convertor Furnace CCF.00.</t>
  </si>
  <si>
    <t>IISDRIEAF00</t>
  </si>
  <si>
    <t>IIS.EAF for DRI.00.</t>
  </si>
  <si>
    <t>IISDRISPN00</t>
  </si>
  <si>
    <t>IIS.Sponge Iron for DRI.00.</t>
  </si>
  <si>
    <t>IISELAFUR00</t>
  </si>
  <si>
    <t>IIS.Electric Arc Furnace.00.</t>
  </si>
  <si>
    <t>IISFECRFR00</t>
  </si>
  <si>
    <t>IIS.Ferrochrome Smelting Furnace.00.</t>
  </si>
  <si>
    <t>MISRFC</t>
  </si>
  <si>
    <t>IISFINPRO00</t>
  </si>
  <si>
    <t>IIS.Finishing Processes.00.</t>
  </si>
  <si>
    <t>IISPELLET00</t>
  </si>
  <si>
    <t>IIS.Pellet Production.00.</t>
  </si>
  <si>
    <t>IISSINTER00</t>
  </si>
  <si>
    <t>IIS.Sinter Production.00.</t>
  </si>
  <si>
    <t>ILMPRCCOA00</t>
  </si>
  <si>
    <t>ILM.Generic fuel kiln.COA</t>
  </si>
  <si>
    <t>ILMPRCCOG00</t>
  </si>
  <si>
    <t>ILM.Generic fuel kiln.COG</t>
  </si>
  <si>
    <t>ILMPRCGAS00</t>
  </si>
  <si>
    <t>ILM.Generic fuel kiln.GAS</t>
  </si>
  <si>
    <t>ILMPRCHFO00</t>
  </si>
  <si>
    <t>ILM.Generic fuel kiln.HFO</t>
  </si>
  <si>
    <t>ILMQLMPRO00</t>
  </si>
  <si>
    <t>ILM.Quick Lime Production.00.</t>
  </si>
  <si>
    <t>DAYNITE</t>
  </si>
  <si>
    <t>SEASON</t>
  </si>
  <si>
    <t>INFDEMAND00</t>
  </si>
  <si>
    <t>INF.Other Non Ferrous Metals.00.</t>
  </si>
  <si>
    <t>INFELEELC00</t>
  </si>
  <si>
    <t>INF.Other Non Ferrous Metals.Electro-Chemical Processes.ELC.00</t>
  </si>
  <si>
    <t>INFMCHBIO00</t>
  </si>
  <si>
    <t>INF.Other Non Ferrous Metals.Machine Drive.BIO.00</t>
  </si>
  <si>
    <t>INFMCHCOA00</t>
  </si>
  <si>
    <t>INF.Other Non Ferrous Metals.Machine Drive.COA.00</t>
  </si>
  <si>
    <t>INFMCHCOK00</t>
  </si>
  <si>
    <t>INF.Other Non Ferrous Metals.Machine Drive.COK.00</t>
  </si>
  <si>
    <t>INFMCHELC00</t>
  </si>
  <si>
    <t>INF.Other Non Ferrous Metals.Machine Drive.ELC.00</t>
  </si>
  <si>
    <t>INFMCHGAS00</t>
  </si>
  <si>
    <t>INF.Other Non Ferrous Metals.Machine Drive.GAS.00</t>
  </si>
  <si>
    <t>INFMCHHFO00</t>
  </si>
  <si>
    <t>INF.Other Non Ferrous Metals.Machine Drive.HFO.00</t>
  </si>
  <si>
    <t>INFMCHLFO00</t>
  </si>
  <si>
    <t>INF.Other Non Ferrous Metals.Machine Drive.LFO.00</t>
  </si>
  <si>
    <t>INFMCHLPG00</t>
  </si>
  <si>
    <t>INF.Other Non Ferrous Metals.Machine Drive.LPG.00</t>
  </si>
  <si>
    <t>INFOTH-NRG</t>
  </si>
  <si>
    <t>INF: Other energy uses</t>
  </si>
  <si>
    <t>INFPRCBIO00</t>
  </si>
  <si>
    <t>INF.Other Non Ferrous Metals.Process Heat.BIO.00</t>
  </si>
  <si>
    <t>INFPRCCOA00</t>
  </si>
  <si>
    <t>INF.Other Non Ferrous Metals.Process Heat.COA.00</t>
  </si>
  <si>
    <t>INFPRCCOK00</t>
  </si>
  <si>
    <t>INF.Other Non Ferrous Metals.Process Heat.COK.00</t>
  </si>
  <si>
    <t>INFPRCELC00</t>
  </si>
  <si>
    <t>INF.Other Non Ferrous Metals.Process Heat.ELC.00</t>
  </si>
  <si>
    <t>INFPRCGAS00</t>
  </si>
  <si>
    <t>INF.Other Non Ferrous Metals.Process Heat.GAS.00</t>
  </si>
  <si>
    <t>INFPRCHFO00</t>
  </si>
  <si>
    <t>INF.Other Non Ferrous Metals.Process Heat.HFO.00</t>
  </si>
  <si>
    <t>INFPRCLFO00</t>
  </si>
  <si>
    <t>INF.Other Non Ferrous Metals.Process Heat.LFO.00</t>
  </si>
  <si>
    <t>INFPRCLPG00</t>
  </si>
  <si>
    <t>INF.Other Non Ferrous Metals.Process Heat.LPG.00</t>
  </si>
  <si>
    <t>INFSTMBIO00</t>
  </si>
  <si>
    <t>INF.Other Non Ferrous Metals.Steam.BIO.00</t>
  </si>
  <si>
    <t>INFSTMCOA00</t>
  </si>
  <si>
    <t>INF.Other Non Ferrous Metals.Steam.COA.00</t>
  </si>
  <si>
    <t>INFSTMCOK00</t>
  </si>
  <si>
    <t>INF.Other Non Ferrous Metals.Steam.COK.00</t>
  </si>
  <si>
    <t>INFSTMELC00</t>
  </si>
  <si>
    <t>INF.Other Non Ferrous Metals.Steam.ELC.00</t>
  </si>
  <si>
    <t>INFSTMGAS00</t>
  </si>
  <si>
    <t>INF.Other Non Ferrous Metals.Steam.GAS.00</t>
  </si>
  <si>
    <t>INFSTMHFO00</t>
  </si>
  <si>
    <t>INF.Other Non Ferrous Metals.Steam.HFO.00</t>
  </si>
  <si>
    <t>INFSTMHTH00</t>
  </si>
  <si>
    <t>INF.Other Non Ferrous Metals.Steam.HTH.00</t>
  </si>
  <si>
    <t>INFSTMLFO00</t>
  </si>
  <si>
    <t>INF.Other Non Ferrous Metals.Steam.LFO.00</t>
  </si>
  <si>
    <t>INFSTMLPG00</t>
  </si>
  <si>
    <t>INF.Other Non Ferrous Metals.Steam.LPG.00</t>
  </si>
  <si>
    <t>INMDEMAND00</t>
  </si>
  <si>
    <t>INM.Other Non Metallic Minerals.00.</t>
  </si>
  <si>
    <t>INMELEELC00</t>
  </si>
  <si>
    <t>INM.Other Non Metallic Minerals.Electro-Chemical Processes.ELC.00</t>
  </si>
  <si>
    <t>INMMCHBIO00</t>
  </si>
  <si>
    <t>INM.Other Non Metallic Minerals.Machine Drive.BIO.00</t>
  </si>
  <si>
    <t>INMMCHCOA00</t>
  </si>
  <si>
    <t>INM.Other Non Metallic Minerals.Machine Drive.COA.00</t>
  </si>
  <si>
    <t>INMMCHCOK00</t>
  </si>
  <si>
    <t>INM.Other Non Metallic Minerals.Machine Drive.COK.00</t>
  </si>
  <si>
    <t>INMMCHELC00</t>
  </si>
  <si>
    <t>INM.Other Non Metallic Minerals.Machine Drive.ELC.00</t>
  </si>
  <si>
    <t>INMMCHGAS00</t>
  </si>
  <si>
    <t>INM.Other Non Metallic Minerals.Machine Drive.GAS.00</t>
  </si>
  <si>
    <t>INMMCHHFO00</t>
  </si>
  <si>
    <t>INM.Other Non Metallic Minerals.Machine Drive.HFO.00</t>
  </si>
  <si>
    <t>INMMCHLFO00</t>
  </si>
  <si>
    <t>INM.Other Non Metallic Minerals.Machine Drive.LFO.00</t>
  </si>
  <si>
    <t>INMMCHLPG00</t>
  </si>
  <si>
    <t>INM.Other Non Metallic Minerals.Machine Drive.LPG.00</t>
  </si>
  <si>
    <t>INMOTH-NRG</t>
  </si>
  <si>
    <t>INM: Other energy uses</t>
  </si>
  <si>
    <t>INMPRCBIO00</t>
  </si>
  <si>
    <t>INM.Other Non Metallic Minerals.Process Heat.BIO.00</t>
  </si>
  <si>
    <t>INMPRCCOA00</t>
  </si>
  <si>
    <t>INM.Other Non Metallic Minerals.Process Heat.COA.00</t>
  </si>
  <si>
    <t>INMPRCCOK00</t>
  </si>
  <si>
    <t>INM.Other Non Metallic Minerals.Process Heat.COK.00</t>
  </si>
  <si>
    <t>INMPRCELC00</t>
  </si>
  <si>
    <t>INM.Other Non Metallic Minerals.Process Heat.ELC.00</t>
  </si>
  <si>
    <t>INMPRCGAS00</t>
  </si>
  <si>
    <t>INM.Other Non Metallic Minerals.Process Heat.GAS.00</t>
  </si>
  <si>
    <t>INMPRCHFO00</t>
  </si>
  <si>
    <t>INM.Other Non Metallic Minerals.Process Heat.HFO.00</t>
  </si>
  <si>
    <t>INMPRCLFO00</t>
  </si>
  <si>
    <t>INM.Other Non Metallic Minerals.Process Heat.LFO.00</t>
  </si>
  <si>
    <t>INMPRCLPG00</t>
  </si>
  <si>
    <t>INM.Other Non Metallic Minerals.Process Heat.LPG.00</t>
  </si>
  <si>
    <t>INMSTMBIO00</t>
  </si>
  <si>
    <t>INM.Other Non Metallic Minerals.Steam.BIO.00</t>
  </si>
  <si>
    <t>INMSTMCOA00</t>
  </si>
  <si>
    <t>INM.Other Non Metallic Minerals.Steam.COA.00</t>
  </si>
  <si>
    <t>INMSTMCOK00</t>
  </si>
  <si>
    <t>INM.Other Non Metallic Minerals.Steam.COK.00</t>
  </si>
  <si>
    <t>INMSTMELC00</t>
  </si>
  <si>
    <t>INM.Other Non Metallic Minerals.Steam.ELC.00</t>
  </si>
  <si>
    <t>INMSTMGAS00</t>
  </si>
  <si>
    <t>INM.Other Non Metallic Minerals.Steam.GAS.00</t>
  </si>
  <si>
    <t>INMSTMHFO00</t>
  </si>
  <si>
    <t>INM.Other Non Metallic Minerals.Steam.HFO.00</t>
  </si>
  <si>
    <t>INMSTMHTH00</t>
  </si>
  <si>
    <t>INM.Other Non Metallic Minerals.Steam.HTH.00</t>
  </si>
  <si>
    <t>INMSTMLFO00</t>
  </si>
  <si>
    <t>INM.Other Non Metallic Minerals.Steam.LFO.00</t>
  </si>
  <si>
    <t>INMSTMLPG00</t>
  </si>
  <si>
    <t>INM.Other Non Metallic Minerals.Steam.LPG.00</t>
  </si>
  <si>
    <t>IOIDEMAND00</t>
  </si>
  <si>
    <t>IOI.Other Industries.00.</t>
  </si>
  <si>
    <t>IOIELEELC00</t>
  </si>
  <si>
    <t>IOI.Other Industries.Electro-Chemical Processes.ELC.00</t>
  </si>
  <si>
    <t>IOIMCHBIO00</t>
  </si>
  <si>
    <t>IOI.Other Industries.Machine Drive.BIO.00</t>
  </si>
  <si>
    <t>IOIMCHCOA00</t>
  </si>
  <si>
    <t>IOI.Other Industries.Machine Drive.COA.00</t>
  </si>
  <si>
    <t>IOIMCHCOK00</t>
  </si>
  <si>
    <t>IOI.Other Industries.Machine Drive.COK.00</t>
  </si>
  <si>
    <t>IOIMCHELC00</t>
  </si>
  <si>
    <t>IOI.Other Industries.Machine Drive.ELC.00</t>
  </si>
  <si>
    <t>IOIMCHGAS00</t>
  </si>
  <si>
    <t>IOI.Other Industries.Machine Drive.GAS.00</t>
  </si>
  <si>
    <t>IOIMCHHFO00</t>
  </si>
  <si>
    <t>IOI.Other Industries.Machine Drive.HFO.00</t>
  </si>
  <si>
    <t>IOIMCHLFO00</t>
  </si>
  <si>
    <t>IOI.Other Industries.Machine Drive.LFO.00</t>
  </si>
  <si>
    <t>IOIMCHLPG00</t>
  </si>
  <si>
    <t>IOI.Other Industries.Machine Drive.LPG.00</t>
  </si>
  <si>
    <t>IOIOTH-NRG</t>
  </si>
  <si>
    <t>IOI: Other energy uses</t>
  </si>
  <si>
    <t>IOIPRCBIO00</t>
  </si>
  <si>
    <t>IOI.Other Industries.Process Heat.BIO.00</t>
  </si>
  <si>
    <t>IOIPRCCOA00</t>
  </si>
  <si>
    <t>IOI.Other Industries.Process Heat.COA.00</t>
  </si>
  <si>
    <t>IOIPRCCOK00</t>
  </si>
  <si>
    <t>IOI.Other Industries.Process Heat.COK.00</t>
  </si>
  <si>
    <t>IOIPRCELC00</t>
  </si>
  <si>
    <t>IOI.Other Industries.Process Heat.ELC.00</t>
  </si>
  <si>
    <t>IOIPRCGAS00</t>
  </si>
  <si>
    <t>IOI.Other Industries.Process Heat.GAS.00</t>
  </si>
  <si>
    <t>IOIPRCHFO00</t>
  </si>
  <si>
    <t>IOI.Other Industries.Process Heat.HFO.00</t>
  </si>
  <si>
    <t>IOIPRCLFO00</t>
  </si>
  <si>
    <t>IOI.Other Industries.Process Heat.LFO.00</t>
  </si>
  <si>
    <t>IOIPRCLPG00</t>
  </si>
  <si>
    <t>IOI.Other Industries.Process Heat.LPG.00</t>
  </si>
  <si>
    <t>IOISTMBIO00</t>
  </si>
  <si>
    <t>IOI.Other Industries.Steam.BIO.00</t>
  </si>
  <si>
    <t>IOISTMCOA00</t>
  </si>
  <si>
    <t>IOI.Other Industries.Steam.COA.00</t>
  </si>
  <si>
    <t>IOISTMCOK00</t>
  </si>
  <si>
    <t>IOI.Other Industries.Steam.COK.00</t>
  </si>
  <si>
    <t>IOISTMELC00</t>
  </si>
  <si>
    <t>IOI.Other Industries.Steam.ELC.00</t>
  </si>
  <si>
    <t>IOISTMGAS00</t>
  </si>
  <si>
    <t>IOI.Other Industries.Steam.GAS.00</t>
  </si>
  <si>
    <t>IOISTMHFO00</t>
  </si>
  <si>
    <t>IOI.Other Industries.Steam.HFO.00</t>
  </si>
  <si>
    <t>IOISTMHTH00</t>
  </si>
  <si>
    <t>IOI.Other Industries.Steam.HTH.00</t>
  </si>
  <si>
    <t>IOISTMLFO00</t>
  </si>
  <si>
    <t>IOI.Other Industries.Steam.LFO.00</t>
  </si>
  <si>
    <t>IOISTMLPG00</t>
  </si>
  <si>
    <t>IOI.Other Industries.Steam.LPG.00</t>
  </si>
  <si>
    <t>IPPHIGQUA00</t>
  </si>
  <si>
    <t>IPP.High Quality Paper Production.00.</t>
  </si>
  <si>
    <t>IPPHTHBIO00</t>
  </si>
  <si>
    <t>IPP.Generic fuel kiln.BIO</t>
  </si>
  <si>
    <t>IPPHTHGAS00</t>
  </si>
  <si>
    <t>IPP.Generic fuel kiln.GAS</t>
  </si>
  <si>
    <t>IPPHTHHFO00</t>
  </si>
  <si>
    <t>IPP.Generic fuel kiln.HFO</t>
  </si>
  <si>
    <t>IPPLOWQUA00</t>
  </si>
  <si>
    <t>IPP.Low Quality Paper Production.00.</t>
  </si>
  <si>
    <t>IPPPUPCHE00</t>
  </si>
  <si>
    <t>IPP.Chemical Pulp Production.00.</t>
  </si>
  <si>
    <t>MPPPUP</t>
  </si>
  <si>
    <t>IPPPUPMEC00</t>
  </si>
  <si>
    <t>IPP.Mechanical Pulp Production.00.</t>
  </si>
  <si>
    <t>IPPPUPRYC00</t>
  </si>
  <si>
    <t>IPP.Recycling Pulp Production.00.</t>
  </si>
  <si>
    <t>NECDEMAND00</t>
  </si>
  <si>
    <t>NEC.Non Energy Consumption.Chemicals.00.</t>
  </si>
  <si>
    <t>NEODEMAND00</t>
  </si>
  <si>
    <t>NEO.Non Energy Consumption.Others.00.</t>
  </si>
  <si>
    <t>MIN</t>
  </si>
  <si>
    <t>MINMISORE1</t>
  </si>
  <si>
    <t>Source Iron&amp;Steel: Ore</t>
  </si>
  <si>
    <t>t</t>
  </si>
  <si>
    <t>MINMISSCR1</t>
  </si>
  <si>
    <t>Source Iron&amp;Steel: Scrap Iron</t>
  </si>
  <si>
    <t>MINMISOXY1</t>
  </si>
  <si>
    <t>Source Iron&amp;Steel: Oxygen</t>
  </si>
  <si>
    <t>MINMISQLI1</t>
  </si>
  <si>
    <t>Source Iron&amp;Steel: Quick Lime</t>
  </si>
  <si>
    <t>MINMALBAU1</t>
  </si>
  <si>
    <t>Source Aluminium: Bauxite</t>
  </si>
  <si>
    <t>MINMALSCR1</t>
  </si>
  <si>
    <t>Source Aluminium: Scrap</t>
  </si>
  <si>
    <t>MINMCUORE1</t>
  </si>
  <si>
    <t>Source Copper: Ore</t>
  </si>
  <si>
    <t>MINMCUSCR1</t>
  </si>
  <si>
    <t>Source Copper: Scrap</t>
  </si>
  <si>
    <t>MINMLMSTN1</t>
  </si>
  <si>
    <t>Source Lime: Limestone</t>
  </si>
  <si>
    <t>MINMGHRYC1</t>
  </si>
  <si>
    <t>Source Glass: Recycled</t>
  </si>
  <si>
    <t>MINMPPWOO1</t>
  </si>
  <si>
    <t>Source Paper: Wood</t>
  </si>
  <si>
    <t>MINMPPRYC1</t>
  </si>
  <si>
    <t>Source Paper: Recycled</t>
  </si>
  <si>
    <t>MINMPPNOH1</t>
  </si>
  <si>
    <t>Source Paper: Sodium Hydraxide</t>
  </si>
  <si>
    <t>MINMPPOXY1</t>
  </si>
  <si>
    <t>Source Paper: Oxygen</t>
  </si>
  <si>
    <t>MINMPPKAO1</t>
  </si>
  <si>
    <t>Source Paper: Kaolin</t>
  </si>
  <si>
    <t>MINMPPGYP1</t>
  </si>
  <si>
    <t>Source Paper: Gypsum</t>
  </si>
  <si>
    <t>Base-year infrastructure for industrial fuels</t>
  </si>
  <si>
    <t>~FI_T</t>
  </si>
  <si>
    <t>Comm-IN</t>
  </si>
  <si>
    <t>Comm-OUT</t>
  </si>
  <si>
    <t>EFF</t>
  </si>
  <si>
    <t>Share~FX</t>
  </si>
  <si>
    <t>INVCOST</t>
  </si>
  <si>
    <t>DELIV</t>
  </si>
  <si>
    <t>VAROM</t>
  </si>
  <si>
    <t>FIXOM</t>
  </si>
  <si>
    <t>CAP_BND~LO~2050</t>
  </si>
  <si>
    <t>Life</t>
  </si>
  <si>
    <t>\I: UNITS</t>
  </si>
  <si>
    <t>Euro/GJ-Yr</t>
  </si>
  <si>
    <t>Euro/GJ</t>
  </si>
  <si>
    <t>PJ-Yr</t>
  </si>
  <si>
    <t>Yr</t>
  </si>
  <si>
    <t>Fuel Tech - Hard Coal (IND)</t>
  </si>
  <si>
    <t>Fuel Tech - Lignite (IND)</t>
  </si>
  <si>
    <t>Fuel Tech - Brown Coal (IND)</t>
  </si>
  <si>
    <t>Fuel Tech - Coke (IND)</t>
  </si>
  <si>
    <t>Fuel Tech - Refinery Gas (IND)</t>
  </si>
  <si>
    <t>Fuel Tech - Liquified Petroleum Gas (IND)</t>
  </si>
  <si>
    <t>Fuel Tech - Light Fuel Oil (IND)</t>
  </si>
  <si>
    <t>Fuel Tech - Naphtha (IND)</t>
  </si>
  <si>
    <t>Fuel Tech - Heavy Fuel Oil (IND)</t>
  </si>
  <si>
    <t>Fuel Tech - Non Energy (IND)</t>
  </si>
  <si>
    <t>Fuel Tech - Natural Gas (IND)</t>
  </si>
  <si>
    <t>*=CONCATENATE(E32,"_INF")</t>
  </si>
  <si>
    <t>Fuel Tech - Coke Oven Gas (IND)</t>
  </si>
  <si>
    <t>*=CONCATENATE(E34,"_INF")</t>
  </si>
  <si>
    <t>Fuel Tech - Blast Furnace Gas (IND)</t>
  </si>
  <si>
    <t>Fuel Tech - Solar (IND)</t>
  </si>
  <si>
    <t>Fuel Tech - Geothermal (IND)</t>
  </si>
  <si>
    <t>Fuel Tech - Biomass (IND)</t>
  </si>
  <si>
    <t>Fuel Tech - Solid Waste (IND)</t>
  </si>
  <si>
    <t>BIOMSW1</t>
  </si>
  <si>
    <t>Fuel Tech - Industrial Waste-Sludge (IND)</t>
  </si>
  <si>
    <t>*=CONCATENATE(E47,"_INF")</t>
  </si>
  <si>
    <t>Fuel Tech - Hydro (IND)</t>
  </si>
  <si>
    <t>RENHYD</t>
  </si>
  <si>
    <t>*=CONCATENATE(E49,"_INF")</t>
  </si>
  <si>
    <t>Fuel Tech - Wind (IND)</t>
  </si>
  <si>
    <t>RENWIND</t>
  </si>
  <si>
    <t>New infrastructure for industrial fuels</t>
  </si>
  <si>
    <t>Deact</t>
  </si>
  <si>
    <t>*Share~FX</t>
  </si>
  <si>
    <t>START</t>
  </si>
  <si>
    <t>Fuel Tech New - Hard Coal (IND)</t>
  </si>
  <si>
    <t>Fuel Tech New - Lignite (IND)</t>
  </si>
  <si>
    <t>Fuel Tech New - Brown Coal (IND)</t>
  </si>
  <si>
    <t>Fuel Tech New - Coke (IND)</t>
  </si>
  <si>
    <t>Fuel Tech New - Refinery Gas (IND)</t>
  </si>
  <si>
    <t>Fuel Tech New - Liquified Petroleum Gas (IND)</t>
  </si>
  <si>
    <t>Fuel Tech New - Light Fuel Oil (IND)</t>
  </si>
  <si>
    <t>\I: Ignore this row</t>
  </si>
  <si>
    <t>Fuel Tech New - Naphtha (IND)</t>
  </si>
  <si>
    <t>Fuel Tech New - Heavy Fuel Oil (IND)</t>
  </si>
  <si>
    <t>Fuel Tech New - Non Energy (IND)</t>
  </si>
  <si>
    <t>Fuel Tech New - Natural Gas (IND)</t>
  </si>
  <si>
    <t>*=CONCATENATE(E83,"01")</t>
  </si>
  <si>
    <t>Fuel Tech New - Coke Oven Gas (IND)</t>
  </si>
  <si>
    <t>*=CONCATENATE(E86,"01")</t>
  </si>
  <si>
    <t>Fuel Tech New - Blast Furnace Gas (IND)</t>
  </si>
  <si>
    <t>Fuel Tech New - Solar (IND)</t>
  </si>
  <si>
    <t>Fuel Tech New - Geothermal (IND)</t>
  </si>
  <si>
    <t>Fuel Tech New - Wood Products (IND)</t>
  </si>
  <si>
    <t>*=CONCATENATE(E95,"01")</t>
  </si>
  <si>
    <t>Fuel Tech New - Municipal Waste (IND)</t>
  </si>
  <si>
    <t>Fuel Tech New - Industrial Waste-Sludge (IND)</t>
  </si>
  <si>
    <t>Fuel Tech New - Hydro (IND)</t>
  </si>
  <si>
    <t>Fuel Tech New - Wind (IND)</t>
  </si>
  <si>
    <t>Base-year infrastructure for industrial electricity</t>
  </si>
  <si>
    <t>Share~FX~2050</t>
  </si>
  <si>
    <t>Peak~WiP</t>
  </si>
  <si>
    <t>Cap2Act</t>
  </si>
  <si>
    <t>Euro/kW</t>
  </si>
  <si>
    <t>GJ/kW</t>
  </si>
  <si>
    <t>Fuel Tech - Electricity (IND)</t>
  </si>
  <si>
    <t>ELCC</t>
  </si>
  <si>
    <t>same share as NL</t>
  </si>
  <si>
    <t>ELCD</t>
  </si>
  <si>
    <t>Base-year infrastructure for industrial heat</t>
  </si>
  <si>
    <t>Share~UP</t>
  </si>
  <si>
    <t>Peak~Wi</t>
  </si>
  <si>
    <t>Stock</t>
  </si>
  <si>
    <t>Stock~2050</t>
  </si>
  <si>
    <t>AFA</t>
  </si>
  <si>
    <t>INDHET_INF</t>
  </si>
  <si>
    <t>Fuel Tech Base-year- High Temperature Heat (IND)</t>
  </si>
  <si>
    <t>ELCH</t>
  </si>
  <si>
    <t>New infrastructure for industrial heat</t>
  </si>
  <si>
    <t>Not Used; Existing cap assumed constant over the horizon</t>
  </si>
  <si>
    <t>INDHTH01</t>
  </si>
  <si>
    <t>Fuel Tech New - High Temperature Heat (IND)</t>
  </si>
  <si>
    <t>Commodities - Industry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</si>
  <si>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</si>
  <si>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</si>
  <si>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</si>
  <si>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</si>
  <si>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</si>
  <si>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</si>
  <si>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</si>
  <si>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</si>
  <si>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NRG</t>
  </si>
  <si>
    <t>Bituminous Coal (IND)</t>
  </si>
  <si>
    <t>Peat (IND)</t>
  </si>
  <si>
    <t>Hard Coal / Antracite (IND)</t>
  </si>
  <si>
    <t>Coke (IND)</t>
  </si>
  <si>
    <t>Refinary Gas (IND)</t>
  </si>
  <si>
    <t>Liquified Petroleum Gas (IND)</t>
  </si>
  <si>
    <t>Light Fuel Oil (IND)</t>
  </si>
  <si>
    <t>Naphtha (IND)</t>
  </si>
  <si>
    <t>Heavy Fuel Oil (IND)</t>
  </si>
  <si>
    <t>Non Energy (IND)</t>
  </si>
  <si>
    <t>Natural Gas (IND)</t>
  </si>
  <si>
    <t>Coke Oven Gas (IND)</t>
  </si>
  <si>
    <t>Blast Furnace Gas (IND)</t>
  </si>
  <si>
    <t>Solar (IND)</t>
  </si>
  <si>
    <t>Geothermal (IND)</t>
  </si>
  <si>
    <t>Biomass (IND)</t>
  </si>
  <si>
    <t>Industrial Solid Waste (IND)</t>
  </si>
  <si>
    <t>Industrial Liquid Waste (IND)</t>
  </si>
  <si>
    <t>INDHYD</t>
  </si>
  <si>
    <t>Hydro (IND)</t>
  </si>
  <si>
    <t>INDWIN</t>
  </si>
  <si>
    <t>Wind (IND)</t>
  </si>
  <si>
    <t>Electricity (IND)</t>
  </si>
  <si>
    <t>High Temperature Heat for IND</t>
  </si>
  <si>
    <t>HTHEAT</t>
  </si>
  <si>
    <t>INDLTH</t>
  </si>
  <si>
    <t>Low Temperature Heat for IND</t>
  </si>
  <si>
    <t>LTHEAT</t>
  </si>
  <si>
    <t>High Temperature Heat for IIS (IND)</t>
  </si>
  <si>
    <t>High Temperature Heat for IAL (IND)</t>
  </si>
  <si>
    <t>High Temperature Heat for ICU (IND)</t>
  </si>
  <si>
    <t>High Temperature Heat for INF (IND)</t>
  </si>
  <si>
    <t>High Temperature Heat for IAM (IND)</t>
  </si>
  <si>
    <t>High Temperature Heat for ICL (IND)</t>
  </si>
  <si>
    <t>High Temperature Heat for ICH (IND)</t>
  </si>
  <si>
    <t>High Temperature Heat for ICM (IND)</t>
  </si>
  <si>
    <t>High Temperature Heat for ILM (IND)</t>
  </si>
  <si>
    <t>High Temperature Heat for IGH (IND)</t>
  </si>
  <si>
    <t>High Temperature Heat for IGF (IND)</t>
  </si>
  <si>
    <t>High Temperature Heat for INM (IND)</t>
  </si>
  <si>
    <t>IPPHTH</t>
  </si>
  <si>
    <t>High Temperature Heat for IPH and IPL (IND)</t>
  </si>
  <si>
    <t>IPPPRC</t>
  </si>
  <si>
    <t>Process Heat for IPH and IPL (IND)</t>
  </si>
  <si>
    <t>High Temperature Heat for IOI (IND)</t>
  </si>
  <si>
    <t>REFHTH</t>
  </si>
  <si>
    <t>High Temperature Heat for refineries (IND)</t>
  </si>
  <si>
    <t>INDHH2</t>
  </si>
  <si>
    <t>Hydrogen (IND)</t>
  </si>
  <si>
    <t>MAT</t>
  </si>
  <si>
    <t>MISORE</t>
  </si>
  <si>
    <t>Iron and Steel: Ore</t>
  </si>
  <si>
    <t>LO</t>
  </si>
  <si>
    <t>MISPLT</t>
  </si>
  <si>
    <t>Iron and Steel: Pellet</t>
  </si>
  <si>
    <t>MISSNT</t>
  </si>
  <si>
    <t>Iron and Steel: Sinter</t>
  </si>
  <si>
    <t>Iron and Steel: Raw Iron</t>
  </si>
  <si>
    <t>MISDIR</t>
  </si>
  <si>
    <t>Iron and Steel: DRI Iron</t>
  </si>
  <si>
    <t>MISSCR</t>
  </si>
  <si>
    <t>Iron and Steel: Scrap Iron</t>
  </si>
  <si>
    <t>MISBFS</t>
  </si>
  <si>
    <t>Iron and Steel: Blast Furnace Slag</t>
  </si>
  <si>
    <t>MISOXY</t>
  </si>
  <si>
    <t>Iron and Steel: Oxygen</t>
  </si>
  <si>
    <t>MISQLI</t>
  </si>
  <si>
    <t>Iron and Steel: Quick Lime</t>
  </si>
  <si>
    <t>Iron and Steel: Ferrochrome</t>
  </si>
  <si>
    <t>MISCST</t>
  </si>
  <si>
    <t>Iron and Steel: Crude Steel</t>
  </si>
  <si>
    <t>MALBAU</t>
  </si>
  <si>
    <t>Aluminium: Bauxite</t>
  </si>
  <si>
    <t>MALSCR</t>
  </si>
  <si>
    <t>Aluminium: Scrap</t>
  </si>
  <si>
    <t>MALCAL</t>
  </si>
  <si>
    <t>Aluminium: Crude</t>
  </si>
  <si>
    <t>MCUORE</t>
  </si>
  <si>
    <t>Copper: Ore</t>
  </si>
  <si>
    <t>MCUSCR</t>
  </si>
  <si>
    <t>Copper: Scrap</t>
  </si>
  <si>
    <t>MCUSCU</t>
  </si>
  <si>
    <t>Copper: Secondary</t>
  </si>
  <si>
    <t>MCMCLK</t>
  </si>
  <si>
    <t>Cement: Clinker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</si>
  <si>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</si>
  <si>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</si>
  <si>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</si>
  <si>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</si>
  <si>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</si>
  <si>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</si>
  <si>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</si>
  <si>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</si>
  <si>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</si>
  <si>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</si>
  <si>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</si>
  <si>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</si>
  <si>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Paper: Pulp</t>
  </si>
  <si>
    <t>INDBLQ</t>
  </si>
  <si>
    <t>Paper: Black Liquor</t>
  </si>
  <si>
    <t>MPPKAO</t>
  </si>
  <si>
    <t>Paper: Kaolin</t>
  </si>
  <si>
    <t>MPPGYP</t>
  </si>
  <si>
    <t>Paper: Gypsum</t>
  </si>
  <si>
    <t>ENV</t>
  </si>
  <si>
    <t>INDCO2N</t>
  </si>
  <si>
    <t>Carbon Dioxide - Combustion (IND)</t>
  </si>
  <si>
    <t>kt</t>
  </si>
  <si>
    <t>INDCH4N</t>
  </si>
  <si>
    <t>Methane (IND)</t>
  </si>
  <si>
    <t>INDSO2N</t>
  </si>
  <si>
    <t>Sulphur Oxides (IND)</t>
  </si>
  <si>
    <t>INDNOXN</t>
  </si>
  <si>
    <t>Nitrogen Oxide (IND)</t>
  </si>
  <si>
    <t>INDPM10</t>
  </si>
  <si>
    <t>Particulate Matter &lt;10 µm (IND)</t>
  </si>
  <si>
    <t>INDPM25</t>
  </si>
  <si>
    <t>Particulate Matter &lt;2.5 µm (IND)</t>
  </si>
  <si>
    <t>INDPMBN</t>
  </si>
  <si>
    <t>Particulate 10 - Combustion (IND)</t>
  </si>
  <si>
    <t>INDVOCN</t>
  </si>
  <si>
    <t>Volatile Organic Compounds - Combustion (IND)</t>
  </si>
  <si>
    <t>INDSF6N</t>
  </si>
  <si>
    <t>Sulphur Hexafluoride - Combustion (IND)</t>
  </si>
  <si>
    <t>kg</t>
  </si>
  <si>
    <t>INDCXFN</t>
  </si>
  <si>
    <t>Fluoro Carbons - Combustion (IND)</t>
  </si>
  <si>
    <t>INDCO2P</t>
  </si>
  <si>
    <t>Carbon Dioxide - Process (IND)</t>
  </si>
  <si>
    <t>DEM</t>
  </si>
  <si>
    <t>IIS</t>
  </si>
  <si>
    <t>Iron and Steel Demand</t>
  </si>
  <si>
    <t>IAL</t>
  </si>
  <si>
    <t>Aluminium Demand</t>
  </si>
  <si>
    <t>ICU</t>
  </si>
  <si>
    <t>Copper Demand</t>
  </si>
  <si>
    <t>INF</t>
  </si>
  <si>
    <t>Other Non Ferrous Metals Demand</t>
  </si>
  <si>
    <t>IAM</t>
  </si>
  <si>
    <t>Ammonia Demand</t>
  </si>
  <si>
    <t>ICL</t>
  </si>
  <si>
    <t>Chlorine Demand</t>
  </si>
  <si>
    <t>ICH</t>
  </si>
  <si>
    <t>Other Chemicals Demand</t>
  </si>
  <si>
    <t>ICM</t>
  </si>
  <si>
    <t>Cement Demand</t>
  </si>
  <si>
    <t>ILM</t>
  </si>
  <si>
    <t>Lime Demand</t>
  </si>
  <si>
    <t>IGH</t>
  </si>
  <si>
    <t>Glass Hollow Demand</t>
  </si>
  <si>
    <t>IGF</t>
  </si>
  <si>
    <t>Glass Flat Demand</t>
  </si>
  <si>
    <t>INM</t>
  </si>
  <si>
    <t>Other Non Metallic Minerals Demand</t>
  </si>
  <si>
    <t>IPH</t>
  </si>
  <si>
    <t>High Quality Paper Demand</t>
  </si>
  <si>
    <t>IPL</t>
  </si>
  <si>
    <t>Low Quality Paper Demand</t>
  </si>
  <si>
    <t>IOI</t>
  </si>
  <si>
    <t>Other Industries</t>
  </si>
  <si>
    <t>NEC</t>
  </si>
  <si>
    <t>Non Energy Consumption - Chemicals</t>
  </si>
  <si>
    <t>NEO</t>
  </si>
  <si>
    <t>Non Energy Consumption - Others</t>
  </si>
  <si>
    <t>INFSTM</t>
  </si>
  <si>
    <t>Other Non Ferrous Metals.Steam.</t>
  </si>
  <si>
    <t>INFPRC</t>
  </si>
  <si>
    <t>Other Non Ferrous Metals.Process Heat.</t>
  </si>
  <si>
    <t>INFMCH</t>
  </si>
  <si>
    <t>Other Non Ferrous Metals.Machine Drive.</t>
  </si>
  <si>
    <t>INFELE</t>
  </si>
  <si>
    <t>Other Non Ferrous Metals.Electro-Chemicals.</t>
  </si>
  <si>
    <t>INFOTH</t>
  </si>
  <si>
    <t>Other Non Ferrous Metals.Other Processes.</t>
  </si>
  <si>
    <t>ICHSTM</t>
  </si>
  <si>
    <t>Other Chemicals.Steam.</t>
  </si>
  <si>
    <t>ICHPRC</t>
  </si>
  <si>
    <t>Other Chemicals.Process Heat.</t>
  </si>
  <si>
    <t>ICHMCH</t>
  </si>
  <si>
    <t>Other Chemicals.Machine Drive.</t>
  </si>
  <si>
    <t>ICHELE</t>
  </si>
  <si>
    <t>Other Chemicals.Electro-Chemicals.</t>
  </si>
  <si>
    <t>ICHOTH</t>
  </si>
  <si>
    <t>Other Chemicals.Other Processes.</t>
  </si>
  <si>
    <t>INMSTM</t>
  </si>
  <si>
    <t>Other Non Metallic Minerals.Steam.</t>
  </si>
  <si>
    <t>INMPRC</t>
  </si>
  <si>
    <t>Other Non Metallic Minerals.Process Heat.</t>
  </si>
  <si>
    <t>INMMCH</t>
  </si>
  <si>
    <t>Other Non Metallic Minerals.Machine Drive.</t>
  </si>
  <si>
    <t>INMELE</t>
  </si>
  <si>
    <t>Other Non Metallic Minerals.Electro-Chemicals.</t>
  </si>
  <si>
    <t>INMOTH</t>
  </si>
  <si>
    <t>Other Non Metallic Minerals.Other Processes.</t>
  </si>
  <si>
    <t>IOISTM</t>
  </si>
  <si>
    <t>Other Industries.Steam.</t>
  </si>
  <si>
    <t>IOIPRC</t>
  </si>
  <si>
    <t>Other Industries.Process Heat.</t>
  </si>
  <si>
    <t>IOIMCH</t>
  </si>
  <si>
    <t>Other Industries.Machine Drive.</t>
  </si>
  <si>
    <t>IOIELE</t>
  </si>
  <si>
    <t>Other Industries.Electro-Chemicals.</t>
  </si>
  <si>
    <t>IOIOTH</t>
  </si>
  <si>
    <t>Other Industries.Other Processes.</t>
  </si>
  <si>
    <t>ICMPRC</t>
  </si>
  <si>
    <t>Cement.Process Heat.</t>
  </si>
  <si>
    <t>ILMPRC</t>
  </si>
  <si>
    <t>Lime.Process Heat.</t>
  </si>
  <si>
    <t>All data are elaborated in the SubRes_IND-CHP_trans</t>
  </si>
  <si>
    <t>Version updated from Wouter and Mauri 27 March 2013</t>
  </si>
  <si>
    <t>Part of CHP fuel input subtracted from the table 'Base-year data aggregated by sector fuel (PJ)'</t>
  </si>
  <si>
    <t>Heat generated from CHP added to the table 'Base-year data aggregated by sector fuel (PJ)'</t>
  </si>
  <si>
    <t>Solids</t>
  </si>
  <si>
    <t>Derived Gas</t>
  </si>
  <si>
    <t>Waste</t>
  </si>
  <si>
    <t>HEAT</t>
  </si>
  <si>
    <t>Coal</t>
  </si>
  <si>
    <t>Stock (GW)</t>
  </si>
  <si>
    <t>Iron and steel industry</t>
  </si>
  <si>
    <t>Chemical industry</t>
  </si>
  <si>
    <t>Paper and printing industry</t>
  </si>
  <si>
    <t>Food and Beverage</t>
  </si>
  <si>
    <t>Tot</t>
  </si>
  <si>
    <t>Ratio</t>
  </si>
  <si>
    <t>Industrial CHP</t>
  </si>
  <si>
    <t>STOCK</t>
  </si>
  <si>
    <t>SHARE-I~UP</t>
  </si>
  <si>
    <t>SHARE-I~UP~2020</t>
  </si>
  <si>
    <t>AFA~2020</t>
  </si>
  <si>
    <t>CHPR</t>
  </si>
  <si>
    <t>CAP2ACT</t>
  </si>
  <si>
    <t>LIFE</t>
  </si>
  <si>
    <t>Heat/Elc</t>
  </si>
  <si>
    <t>PJ/GW</t>
  </si>
  <si>
    <t>Years</t>
  </si>
  <si>
    <t>*CHP</t>
  </si>
  <si>
    <t>*CHPINDIIS00</t>
  </si>
  <si>
    <t>CHP.Autoproducer.Industry.Iron&amp;Steel.00</t>
  </si>
  <si>
    <t>CHP</t>
  </si>
  <si>
    <t>CHPINDICH00</t>
  </si>
  <si>
    <t>CHP.Autoproducer.Industry.Chemical.00</t>
  </si>
  <si>
    <t>CHPINDIPP00</t>
  </si>
  <si>
    <t>CHP.Autoproducer.Industry.Pulp&amp;Paper.00</t>
  </si>
  <si>
    <t>CHPINDIOI00</t>
  </si>
  <si>
    <t>CHP.Autoproducer.Industry.Others.00</t>
  </si>
  <si>
    <t>Paper &amp; Printing Boiler</t>
  </si>
  <si>
    <t>Fuel Input</t>
  </si>
  <si>
    <t>Heat output</t>
  </si>
  <si>
    <t>BLQ available for CHP - this is a coeff calibrated on INDELC</t>
  </si>
  <si>
    <t>BLQ available for Boiler</t>
  </si>
  <si>
    <t>Paper &amp; Printing black liquor CHP</t>
  </si>
  <si>
    <t>Elc output</t>
  </si>
  <si>
    <t>Base-year technologies for ELC autoproduction</t>
  </si>
  <si>
    <t>Deact~FI_T</t>
  </si>
  <si>
    <t>CHPR~FX</t>
  </si>
  <si>
    <t>INDIPPHTH00</t>
  </si>
  <si>
    <t>Deact~FI_Process</t>
  </si>
  <si>
    <t>Generic Industrial Boiler for IPP</t>
  </si>
  <si>
    <t>CHPAUTOGENBLQ00</t>
  </si>
  <si>
    <t>CHP.Autoproducer.Black Liquor.00</t>
  </si>
  <si>
    <t>Base year demand (Mt)</t>
  </si>
  <si>
    <t>~FI_T: COM_FR</t>
  </si>
  <si>
    <t>Demand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</si>
  <si>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</si>
  <si>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</si>
  <si>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</si>
  <si>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</si>
  <si>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</si>
  <si>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</si>
  <si>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</si>
  <si>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</si>
  <si>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</si>
  <si>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</si>
  <si>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</si>
  <si>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</si>
  <si>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</si>
  <si>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</si>
  <si>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</si>
  <si>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</si>
  <si>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From Eurostat</t>
  </si>
  <si>
    <t>From the inputs provided below</t>
  </si>
  <si>
    <t>Proportion for raw iron and crude steel production (%)</t>
  </si>
  <si>
    <t>Final Energy Flows (PJ)</t>
  </si>
  <si>
    <t>Material Flows (Mt)</t>
  </si>
  <si>
    <t>Raw iron production</t>
  </si>
  <si>
    <t>Consumption</t>
  </si>
  <si>
    <t>Production</t>
  </si>
  <si>
    <t>Crude steel production</t>
  </si>
  <si>
    <t>Base-year technologies for finished iron and steel production</t>
  </si>
  <si>
    <t>End-Use</t>
  </si>
  <si>
    <t>Input</t>
  </si>
  <si>
    <t>Output</t>
  </si>
  <si>
    <t>\I: Unit</t>
  </si>
  <si>
    <t>Eur/ton</t>
  </si>
  <si>
    <t>Base-year technologies for stainless steel production</t>
  </si>
  <si>
    <t>Coeff for GASBFG production calibration</t>
  </si>
  <si>
    <t>Base-year technologies for ferrochrome production</t>
  </si>
  <si>
    <t>\D_TC: PCG=MISRFC</t>
  </si>
  <si>
    <t>Base-year technologies for crude steel production</t>
  </si>
  <si>
    <t>Base-year technologies for raw iron production</t>
  </si>
  <si>
    <t>\D_TC: PCG=MISRIR</t>
  </si>
  <si>
    <t>Base-year technologies for pellet and sinter production</t>
  </si>
  <si>
    <t>Proportion for ammonia production (%)</t>
  </si>
  <si>
    <t>IAM  ICL</t>
  </si>
  <si>
    <t>Proportion for chlorine production (%)</t>
  </si>
  <si>
    <t>HTH</t>
  </si>
  <si>
    <t>Base-year technologies for ammonia production</t>
  </si>
  <si>
    <t>Base-year technologies for chlorine production</t>
  </si>
  <si>
    <t>Base-year generic boiler for industrial heat</t>
  </si>
  <si>
    <t>CEFF</t>
  </si>
  <si>
    <t>Base year demand (PJ)</t>
  </si>
  <si>
    <t>Base-year technologies for other chemicals</t>
  </si>
  <si>
    <t>\I:  Service Demand</t>
  </si>
  <si>
    <t>Input~2050</t>
  </si>
  <si>
    <t>ICHHTH</t>
  </si>
  <si>
    <t>\I: Total</t>
  </si>
  <si>
    <t xml:space="preserve"> </t>
  </si>
  <si>
    <t>\I: Final Energy</t>
  </si>
  <si>
    <t>\I: Service Demand</t>
  </si>
  <si>
    <t>Peak</t>
  </si>
  <si>
    <t>*TOTAL</t>
  </si>
  <si>
    <t>Share-I~LO</t>
  </si>
  <si>
    <t>Share-I~UP</t>
  </si>
  <si>
    <t>Proportion for pulp production (%)</t>
  </si>
  <si>
    <t>Proportion for process heat production (%)</t>
  </si>
  <si>
    <t>Base-year technologies for low quality paper production</t>
  </si>
  <si>
    <t>was</t>
  </si>
  <si>
    <t>IPP</t>
  </si>
  <si>
    <t>Base-year technologies for high quality paper production</t>
  </si>
  <si>
    <t>Base-year technologies for pulp production</t>
  </si>
  <si>
    <t>Base-year generic technology for process kilns</t>
  </si>
  <si>
    <t>AF</t>
  </si>
  <si>
    <t>Proportion for crude aluminium production (%)</t>
  </si>
  <si>
    <t>IAL  ICU</t>
  </si>
  <si>
    <t>Proportion for secondary copper production (%)</t>
  </si>
  <si>
    <t>Existing technologies for finished aluminium production</t>
  </si>
  <si>
    <t>Existing technologies for crude aluminium production</t>
  </si>
  <si>
    <t>Base-year technologies for finished copper production</t>
  </si>
  <si>
    <t>Base-year technologies for secondary copper production</t>
  </si>
  <si>
    <t>Base-year technologies for other non ferrous metals</t>
  </si>
  <si>
    <t>INFHTH</t>
  </si>
  <si>
    <t>Share~LO</t>
  </si>
  <si>
    <t>Proportion for clincker production (%)</t>
  </si>
  <si>
    <t>ICM ILM IGH IGF</t>
  </si>
  <si>
    <t>Proportion for hollow glass production (%)</t>
  </si>
  <si>
    <t>Proportion for clinker kilns (%)</t>
  </si>
  <si>
    <t>ICMHTH</t>
  </si>
  <si>
    <t>ILMHTH</t>
  </si>
  <si>
    <t>Base-year technologies for finished cement production</t>
  </si>
  <si>
    <t>Base-year technologies for clincker production</t>
  </si>
  <si>
    <t>Base-year technologies for quick lime production</t>
  </si>
  <si>
    <t>Base-year technologies for hollow and flat glass production</t>
  </si>
  <si>
    <t>Base-year technologies for other non metallic minerals</t>
  </si>
  <si>
    <t>UCC data</t>
  </si>
  <si>
    <t>INMHTH</t>
  </si>
  <si>
    <t>Base-year technologies for other industries and adjustment</t>
  </si>
  <si>
    <t>IOIHTH</t>
  </si>
  <si>
    <t>Base-year technologies for non energy consumption in chemicals</t>
  </si>
  <si>
    <t>Final Energy</t>
  </si>
  <si>
    <t>(%)</t>
  </si>
  <si>
    <t>\I:TOTAL</t>
  </si>
  <si>
    <t>Base-year technologies for non energy consumption in others</t>
  </si>
  <si>
    <t>Material sources for industry</t>
  </si>
  <si>
    <t>COST</t>
  </si>
  <si>
    <t>MEuro/t</t>
  </si>
  <si>
    <t>Static coefficients for combustion emissions in industry</t>
  </si>
  <si>
    <t>XX~PRCCOMEMI</t>
  </si>
  <si>
    <t>IND*</t>
  </si>
  <si>
    <t>Dynamic coefficients for combustion emissions in industry</t>
  </si>
  <si>
    <t>~COMEMI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</si>
  <si>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</si>
  <si>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</si>
  <si>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</si>
  <si>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</si>
  <si>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</si>
  <si>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</si>
  <si>
    <t>Share~FX~2018</t>
  </si>
  <si>
    <t>Share~UP~2019</t>
  </si>
  <si>
    <t>SHARE-I~UP~0</t>
  </si>
  <si>
    <t>Share~UP~0</t>
  </si>
  <si>
    <t>I/E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</si>
</sst>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"/>
    <numFmt numFmtId="166" formatCode="0.000"/>
    <numFmt numFmtId="167" formatCode="0.000000"/>
    <numFmt numFmtId="168" formatCode="0.0000"/>
    <numFmt numFmtId="169" formatCode="0.00000000"/>
    <numFmt numFmtId="170" formatCode="0.00000"/>
    <numFmt numFmtId="171" formatCode="0.0%"/>
    <numFmt numFmtId="172" formatCode="\Te\x\t"/>
    <numFmt numFmtId="173" formatCode="#,##0.0;[Red]\-#,##0.0"/>
    <numFmt numFmtId="174" formatCode="dd/mm/yyyy;@"/>
    <numFmt numFmtId="175" formatCode="_ * #,##0.000_ ;_ * \-#,##0.000_ ;_ * &quot;-&quot;??_ ;_ @_ 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11"/>
      <color indexed="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9"/>
      <color indexed="12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1" borderId="2" applyNumberFormat="0" applyAlignment="0" applyProtection="0"/>
    <xf numFmtId="0" fontId="13" fillId="22" borderId="3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20" fillId="0" borderId="8" applyNumberFormat="0" applyFill="0" applyAlignment="0" applyProtection="0"/>
    <xf numFmtId="0" fontId="21" fillId="24" borderId="0" applyNumberFormat="0" applyBorder="0" applyAlignment="0" applyProtection="0"/>
    <xf numFmtId="0" fontId="4" fillId="25" borderId="9" applyNumberFormat="0" applyFont="0" applyAlignment="0" applyProtection="0"/>
    <xf numFmtId="0" fontId="22" fillId="21" borderId="10" applyNumberFormat="0" applyAlignment="0" applyProtection="0"/>
    <xf numFmtId="9" fontId="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0" applyNumberFormat="0" applyFill="0" applyBorder="0" applyAlignment="0" applyProtection="0"/>
  </cellStyleXfs>
  <cellXfs count="794">
    <xf numFmtId="0" fontId="0" fillId="0" borderId="0" xfId="0"/>
    <xf numFmtId="38" fontId="30" fillId="0" borderId="0" xfId="0" applyNumberFormat="1" applyFont="1" applyAlignment="1">
      <alignment horizontal="left" wrapText="1"/>
    </xf>
    <xf numFmtId="38" fontId="31" fillId="0" borderId="27" xfId="0" applyNumberFormat="1" applyFont="1" applyBorder="1" applyAlignment="1">
      <alignment horizontal="center" wrapText="1"/>
    </xf>
    <xf numFmtId="38" fontId="32" fillId="0" borderId="0" xfId="0" applyNumberFormat="1" applyFont="1" applyAlignment="1"/>
    <xf numFmtId="38" fontId="33" fillId="45" borderId="0" xfId="0" applyNumberFormat="1" applyFont="1" applyFill="1" applyAlignment="1"/>
    <xf numFmtId="38" fontId="32" fillId="0" borderId="0" xfId="0" applyNumberFormat="1" applyFont="1" applyFill="1"/>
    <xf numFmtId="38" fontId="34" fillId="45" borderId="0" xfId="0" applyNumberFormat="1" applyFont="1" applyFill="1"/>
    <xf numFmtId="38" fontId="35" fillId="45" borderId="0" xfId="0" applyNumberFormat="1" applyFont="1" applyFill="1"/>
    <xf numFmtId="38" fontId="31" fillId="0" borderId="0" xfId="0" applyNumberFormat="1" applyFont="1" applyFill="1"/>
    <xf numFmtId="38" fontId="34" fillId="45" borderId="0" xfId="0" applyNumberFormat="1" applyFont="1" applyFill="1" applyBorder="1"/>
    <xf numFmtId="38" fontId="32" fillId="0" borderId="0" xfId="0" applyNumberFormat="1" applyFont="1" applyFill="1" applyBorder="1"/>
    <xf numFmtId="173" fontId="35" fillId="45" borderId="0" xfId="0" applyNumberFormat="1" applyFont="1" applyFill="1" applyBorder="1"/>
    <xf numFmtId="38" fontId="31" fillId="0" borderId="0" xfId="0" applyNumberFormat="1" applyFont="1" applyFill="1" applyBorder="1"/>
    <xf numFmtId="38" fontId="32" fillId="0" borderId="0" xfId="0" applyNumberFormat="1" applyFont="1"/>
    <xf numFmtId="38" fontId="35" fillId="0" borderId="0" xfId="0" applyNumberFormat="1" applyFont="1" applyFill="1"/>
    <xf numFmtId="38" fontId="34" fillId="0" borderId="0" xfId="0" applyNumberFormat="1" applyFont="1" applyFill="1"/>
    <xf numFmtId="38" fontId="31" fillId="0" borderId="0" xfId="0" applyNumberFormat="1" applyFont="1"/>
    <xf numFmtId="38" fontId="31" fillId="46" borderId="0" xfId="0" applyNumberFormat="1" applyFont="1" applyFill="1"/>
    <xf numFmtId="38" fontId="32" fillId="0" borderId="0" xfId="0" applyNumberFormat="1" applyFont="1" applyFill="1"/>
    <xf numFmtId="38" fontId="31" fillId="0" borderId="0" xfId="0" applyNumberFormat="1" applyFont="1" applyFill="1"/>
    <xf numFmtId="38" fontId="31" fillId="0" borderId="0" xfId="0" applyNumberFormat="1" applyFont="1" applyBorder="1"/>
    <xf numFmtId="38" fontId="32" fillId="0" borderId="0" xfId="0" applyNumberFormat="1" applyFont="1" applyAlignment="1">
      <alignment horizontal="left"/>
    </xf>
    <xf numFmtId="38" fontId="31" fillId="0" borderId="0" xfId="0" applyNumberFormat="1" applyFont="1" applyFill="1" applyAlignment="1">
      <alignment horizontal="center"/>
    </xf>
    <xf numFmtId="38" fontId="32" fillId="0" borderId="0" xfId="0" applyNumberFormat="1" applyFont="1" applyFill="1" applyAlignment="1">
      <alignment horizontal="center"/>
    </xf>
    <xf numFmtId="38" fontId="31" fillId="0" borderId="0" xfId="0" applyNumberFormat="1" applyFont="1" applyFill="1" applyBorder="1"/>
    <xf numFmtId="0" fontId="36" fillId="0" borderId="0" xfId="0" applyFont="1"/>
    <xf numFmtId="0" fontId="36" fillId="0" borderId="0" xfId="0" applyNumberFormat="1" applyFont="1" applyFill="1" applyBorder="1" applyAlignment="1" applyProtection="1"/>
    <xf numFmtId="0" fontId="37" fillId="27" borderId="0" xfId="0" quotePrefix="1" applyNumberFormat="1" applyFont="1" applyFill="1" applyBorder="1" applyAlignment="1" applyProtection="1">
      <alignment horizontal="left"/>
    </xf>
    <xf numFmtId="0" fontId="38" fillId="27" borderId="0" xfId="0" applyNumberFormat="1" applyFont="1" applyFill="1" applyBorder="1" applyAlignment="1" applyProtection="1"/>
    <xf numFmtId="0" fontId="39" fillId="0" borderId="18" xfId="0" applyNumberFormat="1" applyFont="1" applyFill="1" applyBorder="1" applyAlignment="1" applyProtection="1">
      <alignment horizontal="left"/>
    </xf>
    <xf numFmtId="0" fontId="39" fillId="0" borderId="18" xfId="0" applyNumberFormat="1" applyFont="1" applyFill="1" applyBorder="1" applyAlignment="1" applyProtection="1"/>
    <xf numFmtId="0" fontId="36" fillId="26" borderId="16" xfId="0" applyNumberFormat="1" applyFont="1" applyFill="1" applyBorder="1" applyAlignment="1" applyProtection="1">
      <alignment horizontal="left" vertical="center" wrapText="1"/>
    </xf>
    <xf numFmtId="1" fontId="36" fillId="26" borderId="16" xfId="0" applyNumberFormat="1" applyFont="1" applyFill="1" applyBorder="1" applyAlignment="1" applyProtection="1">
      <alignment horizontal="center"/>
    </xf>
    <xf numFmtId="0" fontId="36" fillId="26" borderId="0" xfId="0" applyNumberFormat="1" applyFont="1" applyFill="1" applyBorder="1" applyAlignment="1" applyProtection="1">
      <alignment horizontal="left" vertical="center" wrapText="1"/>
    </xf>
    <xf numFmtId="2" fontId="36" fillId="20" borderId="0" xfId="0" applyNumberFormat="1" applyFont="1" applyFill="1" applyBorder="1" applyAlignment="1" applyProtection="1">
      <alignment horizontal="right"/>
    </xf>
    <xf numFmtId="0" fontId="39" fillId="0" borderId="0" xfId="0" applyNumberFormat="1" applyFont="1" applyFill="1" applyBorder="1" applyAlignment="1" applyProtection="1">
      <alignment horizontal="left"/>
    </xf>
    <xf numFmtId="0" fontId="37" fillId="0" borderId="0" xfId="0" applyNumberFormat="1" applyFont="1" applyFill="1" applyBorder="1" applyAlignment="1" applyProtection="1"/>
    <xf numFmtId="2" fontId="36" fillId="26" borderId="0" xfId="0" applyNumberFormat="1" applyFont="1" applyFill="1" applyBorder="1" applyAlignment="1" applyProtection="1">
      <alignment horizontal="right"/>
    </xf>
    <xf numFmtId="2" fontId="36" fillId="26" borderId="0" xfId="0" applyNumberFormat="1" applyFont="1" applyFill="1" applyBorder="1" applyAlignment="1" applyProtection="1"/>
    <xf numFmtId="2" fontId="36" fillId="26" borderId="0" xfId="0" applyNumberFormat="1" applyFont="1" applyFill="1"/>
    <xf numFmtId="0" fontId="39" fillId="0" borderId="0" xfId="0" applyNumberFormat="1" applyFont="1" applyFill="1" applyBorder="1" applyAlignment="1" applyProtection="1"/>
    <xf numFmtId="0" fontId="40" fillId="0" borderId="0" xfId="0" applyNumberFormat="1" applyFont="1" applyFill="1" applyBorder="1" applyAlignment="1" applyProtection="1"/>
    <xf numFmtId="0" fontId="36" fillId="20" borderId="0" xfId="0" applyFont="1" applyFill="1"/>
    <xf numFmtId="0" fontId="37" fillId="27" borderId="0" xfId="0" applyNumberFormat="1" applyFont="1" applyFill="1" applyBorder="1" applyAlignment="1" applyProtection="1"/>
    <xf numFmtId="0" fontId="36" fillId="26" borderId="15" xfId="0" applyNumberFormat="1" applyFont="1" applyFill="1" applyBorder="1" applyAlignment="1" applyProtection="1">
      <alignment vertical="center"/>
    </xf>
    <xf numFmtId="0" fontId="36" fillId="26" borderId="15" xfId="0" applyNumberFormat="1" applyFont="1" applyFill="1" applyBorder="1" applyAlignment="1" applyProtection="1">
      <alignment horizontal="center" vertical="center" wrapText="1"/>
    </xf>
    <xf numFmtId="0" fontId="41" fillId="26" borderId="17" xfId="0" applyNumberFormat="1" applyFont="1" applyFill="1" applyBorder="1" applyAlignment="1" applyProtection="1">
      <alignment horizontal="center" vertical="center" wrapText="1"/>
    </xf>
    <xf numFmtId="0" fontId="36" fillId="26" borderId="16" xfId="0" applyNumberFormat="1" applyFont="1" applyFill="1" applyBorder="1" applyAlignment="1" applyProtection="1">
      <alignment vertical="center"/>
    </xf>
    <xf numFmtId="0" fontId="36" fillId="26" borderId="16" xfId="0" applyNumberFormat="1" applyFont="1" applyFill="1" applyBorder="1" applyAlignment="1" applyProtection="1">
      <alignment horizontal="center" vertical="center" wrapText="1"/>
    </xf>
    <xf numFmtId="0" fontId="36" fillId="26" borderId="0" xfId="0" applyNumberFormat="1" applyFont="1" applyFill="1" applyBorder="1" applyAlignment="1" applyProtection="1"/>
    <xf numFmtId="0" fontId="36" fillId="28" borderId="0" xfId="0" applyNumberFormat="1" applyFont="1" applyFill="1" applyBorder="1" applyAlignment="1" applyProtection="1">
      <alignment wrapText="1"/>
    </xf>
    <xf numFmtId="0" fontId="36" fillId="20" borderId="0" xfId="0" applyNumberFormat="1" applyFont="1" applyFill="1" applyBorder="1" applyAlignment="1" applyProtection="1"/>
    <xf numFmtId="1" fontId="36" fillId="20" borderId="0" xfId="0" applyNumberFormat="1" applyFont="1" applyFill="1" applyBorder="1" applyAlignment="1" applyProtection="1"/>
    <xf numFmtId="0" fontId="39" fillId="26" borderId="18" xfId="0" applyNumberFormat="1" applyFont="1" applyFill="1" applyBorder="1" applyAlignment="1" applyProtection="1"/>
    <xf numFmtId="0" fontId="36" fillId="26" borderId="18" xfId="0" applyNumberFormat="1" applyFont="1" applyFill="1" applyBorder="1" applyAlignment="1" applyProtection="1">
      <alignment wrapText="1"/>
    </xf>
    <xf numFmtId="0" fontId="36" fillId="26" borderId="18" xfId="0" applyNumberFormat="1" applyFont="1" applyFill="1" applyBorder="1" applyAlignment="1" applyProtection="1"/>
    <xf numFmtId="0" fontId="42" fillId="26" borderId="18" xfId="0" applyNumberFormat="1" applyFont="1" applyFill="1" applyBorder="1" applyAlignment="1" applyProtection="1">
      <alignment horizontal="left"/>
    </xf>
    <xf numFmtId="2" fontId="36" fillId="26" borderId="18" xfId="0" applyNumberFormat="1" applyFont="1" applyFill="1" applyBorder="1" applyAlignment="1" applyProtection="1"/>
    <xf numFmtId="1" fontId="36" fillId="26" borderId="0" xfId="0" applyNumberFormat="1" applyFont="1" applyFill="1" applyBorder="1" applyAlignment="1" applyProtection="1"/>
    <xf numFmtId="2" fontId="36" fillId="26" borderId="15" xfId="0" applyNumberFormat="1" applyFont="1" applyFill="1" applyBorder="1" applyAlignment="1" applyProtection="1"/>
    <xf numFmtId="2" fontId="36" fillId="20" borderId="0" xfId="0" applyNumberFormat="1" applyFont="1" applyFill="1" applyBorder="1" applyAlignment="1" applyProtection="1"/>
    <xf numFmtId="0" fontId="36" fillId="28" borderId="0" xfId="0" quotePrefix="1" applyNumberFormat="1" applyFont="1" applyFill="1" applyBorder="1" applyAlignment="1" applyProtection="1">
      <alignment horizontal="left" wrapText="1"/>
    </xf>
    <xf numFmtId="0" fontId="36" fillId="0" borderId="0" xfId="0" applyNumberFormat="1" applyFont="1" applyFill="1" applyBorder="1" applyAlignment="1" applyProtection="1">
      <alignment wrapText="1"/>
    </xf>
    <xf numFmtId="2" fontId="36" fillId="0" borderId="0" xfId="0" applyNumberFormat="1" applyFont="1" applyFill="1" applyBorder="1" applyAlignment="1" applyProtection="1"/>
    <xf numFmtId="166" fontId="36" fillId="0" borderId="0" xfId="0" applyNumberFormat="1" applyFont="1" applyFill="1" applyBorder="1" applyAlignment="1" applyProtection="1"/>
    <xf numFmtId="0" fontId="36" fillId="0" borderId="0" xfId="0" applyNumberFormat="1" applyFont="1" applyFill="1" applyBorder="1" applyAlignment="1" applyProtection="1">
      <protection locked="0"/>
    </xf>
    <xf numFmtId="0" fontId="36" fillId="26" borderId="15" xfId="0" applyFont="1" applyFill="1" applyBorder="1" applyAlignment="1">
      <alignment horizontal="center" vertical="center" wrapText="1"/>
    </xf>
    <xf numFmtId="0" fontId="36" fillId="29" borderId="0" xfId="0" applyNumberFormat="1" applyFont="1" applyFill="1" applyBorder="1" applyAlignment="1" applyProtection="1"/>
    <xf numFmtId="0" fontId="41" fillId="26" borderId="0" xfId="0" applyNumberFormat="1" applyFont="1" applyFill="1" applyBorder="1" applyAlignment="1" applyProtection="1"/>
    <xf numFmtId="0" fontId="36" fillId="27" borderId="0" xfId="0" applyNumberFormat="1" applyFont="1" applyFill="1" applyBorder="1" applyAlignment="1" applyProtection="1"/>
    <xf numFmtId="1" fontId="36" fillId="28" borderId="0" xfId="0" applyNumberFormat="1" applyFont="1" applyFill="1" applyBorder="1" applyAlignment="1" applyProtection="1"/>
    <xf numFmtId="2" fontId="36" fillId="29" borderId="0" xfId="0" applyNumberFormat="1" applyFont="1" applyFill="1" applyBorder="1" applyAlignment="1" applyProtection="1"/>
    <xf numFmtId="0" fontId="36" fillId="26" borderId="0" xfId="0" applyNumberFormat="1" applyFont="1" applyFill="1" applyBorder="1" applyAlignment="1" applyProtection="1">
      <alignment wrapText="1"/>
    </xf>
    <xf numFmtId="0" fontId="36" fillId="26" borderId="16" xfId="0" applyNumberFormat="1" applyFont="1" applyFill="1" applyBorder="1" applyAlignment="1" applyProtection="1">
      <alignment vertical="center" wrapText="1"/>
    </xf>
    <xf numFmtId="0" fontId="36" fillId="26" borderId="16" xfId="0" quotePrefix="1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/>
    <xf numFmtId="0" fontId="36" fillId="28" borderId="0" xfId="0" applyNumberFormat="1" applyFont="1" applyFill="1" applyBorder="1" applyAlignment="1" applyProtection="1"/>
    <xf numFmtId="1" fontId="36" fillId="20" borderId="22" xfId="0" applyNumberFormat="1" applyFont="1" applyFill="1" applyBorder="1" applyAlignment="1" applyProtection="1"/>
    <xf numFmtId="0" fontId="36" fillId="26" borderId="22" xfId="0" applyNumberFormat="1" applyFont="1" applyFill="1" applyBorder="1" applyAlignment="1" applyProtection="1"/>
    <xf numFmtId="0" fontId="36" fillId="20" borderId="22" xfId="0" applyNumberFormat="1" applyFont="1" applyFill="1" applyBorder="1" applyAlignment="1" applyProtection="1"/>
    <xf numFmtId="1" fontId="43" fillId="26" borderId="0" xfId="0" applyNumberFormat="1" applyFont="1" applyFill="1" applyBorder="1" applyAlignment="1" applyProtection="1"/>
    <xf numFmtId="0" fontId="36" fillId="36" borderId="0" xfId="0" applyFont="1" applyFill="1"/>
    <xf numFmtId="0" fontId="39" fillId="0" borderId="0" xfId="0" applyFont="1" applyFill="1"/>
    <xf numFmtId="0" fontId="40" fillId="30" borderId="16" xfId="0" applyFont="1" applyFill="1" applyBorder="1" applyAlignment="1">
      <alignment horizontal="center" vertical="center"/>
    </xf>
    <xf numFmtId="0" fontId="36" fillId="26" borderId="16" xfId="0" applyNumberFormat="1" applyFont="1" applyFill="1" applyBorder="1" applyAlignment="1" applyProtection="1"/>
    <xf numFmtId="0" fontId="44" fillId="26" borderId="16" xfId="0" applyNumberFormat="1" applyFont="1" applyFill="1" applyBorder="1" applyAlignment="1" applyProtection="1"/>
    <xf numFmtId="0" fontId="40" fillId="26" borderId="0" xfId="0" applyNumberFormat="1" applyFont="1" applyFill="1" applyBorder="1" applyAlignment="1" applyProtection="1"/>
    <xf numFmtId="165" fontId="40" fillId="26" borderId="0" xfId="0" applyNumberFormat="1" applyFont="1" applyFill="1" applyBorder="1" applyAlignment="1" applyProtection="1">
      <alignment horizontal="left"/>
    </xf>
    <xf numFmtId="2" fontId="45" fillId="0" borderId="0" xfId="0" applyNumberFormat="1" applyFont="1" applyFill="1" applyBorder="1" applyAlignment="1" applyProtection="1"/>
    <xf numFmtId="0" fontId="36" fillId="26" borderId="17" xfId="0" applyNumberFormat="1" applyFont="1" applyFill="1" applyBorder="1" applyAlignment="1" applyProtection="1">
      <alignment vertical="center"/>
    </xf>
    <xf numFmtId="0" fontId="36" fillId="26" borderId="17" xfId="0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>
      <alignment horizontal="left" vertical="center" wrapText="1"/>
    </xf>
    <xf numFmtId="0" fontId="36" fillId="26" borderId="14" xfId="0" applyNumberFormat="1" applyFont="1" applyFill="1" applyBorder="1" applyAlignment="1" applyProtection="1">
      <alignment vertical="center"/>
    </xf>
    <xf numFmtId="0" fontId="36" fillId="26" borderId="16" xfId="0" applyNumberFormat="1" applyFont="1" applyFill="1" applyBorder="1" applyAlignment="1" applyProtection="1">
      <alignment horizontal="center" vertical="center"/>
    </xf>
    <xf numFmtId="0" fontId="42" fillId="28" borderId="0" xfId="0" quotePrefix="1" applyNumberFormat="1" applyFont="1" applyFill="1" applyBorder="1" applyAlignment="1" applyProtection="1">
      <alignment horizontal="left"/>
    </xf>
    <xf numFmtId="0" fontId="36" fillId="28" borderId="0" xfId="0" quotePrefix="1" applyNumberFormat="1" applyFont="1" applyFill="1" applyBorder="1" applyAlignment="1" applyProtection="1">
      <alignment horizontal="left"/>
    </xf>
    <xf numFmtId="0" fontId="42" fillId="26" borderId="0" xfId="0" applyNumberFormat="1" applyFont="1" applyFill="1" applyBorder="1" applyAlignment="1" applyProtection="1">
      <alignment horizontal="left"/>
    </xf>
    <xf numFmtId="166" fontId="36" fillId="30" borderId="0" xfId="0" applyNumberFormat="1" applyFont="1" applyFill="1" applyBorder="1" applyAlignment="1" applyProtection="1"/>
    <xf numFmtId="0" fontId="42" fillId="26" borderId="0" xfId="0" applyNumberFormat="1" applyFont="1" applyFill="1" applyBorder="1" applyAlignment="1" applyProtection="1"/>
    <xf numFmtId="0" fontId="44" fillId="26" borderId="0" xfId="0" applyNumberFormat="1" applyFont="1" applyFill="1" applyBorder="1" applyAlignment="1" applyProtection="1"/>
    <xf numFmtId="0" fontId="46" fillId="26" borderId="0" xfId="0" applyNumberFormat="1" applyFont="1" applyFill="1" applyBorder="1" applyAlignment="1" applyProtection="1"/>
    <xf numFmtId="165" fontId="36" fillId="26" borderId="0" xfId="0" applyNumberFormat="1" applyFont="1" applyFill="1" applyBorder="1" applyAlignment="1" applyProtection="1"/>
    <xf numFmtId="1" fontId="36" fillId="30" borderId="0" xfId="0" applyNumberFormat="1" applyFont="1" applyFill="1" applyBorder="1" applyAlignment="1" applyProtection="1"/>
    <xf numFmtId="0" fontId="37" fillId="27" borderId="0" xfId="0" applyNumberFormat="1" applyFont="1" applyFill="1" applyBorder="1" applyAlignment="1" applyProtection="1">
      <alignment horizontal="left"/>
    </xf>
    <xf numFmtId="2" fontId="40" fillId="30" borderId="0" xfId="0" applyNumberFormat="1" applyFont="1" applyFill="1" applyBorder="1" applyAlignment="1" applyProtection="1">
      <alignment wrapText="1"/>
    </xf>
    <xf numFmtId="0" fontId="47" fillId="0" borderId="0" xfId="0" applyNumberFormat="1" applyFont="1" applyFill="1" applyBorder="1" applyAlignment="1" applyProtection="1"/>
    <xf numFmtId="0" fontId="48" fillId="0" borderId="0" xfId="0" applyNumberFormat="1" applyFont="1" applyFill="1" applyBorder="1" applyAlignment="1" applyProtection="1"/>
    <xf numFmtId="0" fontId="48" fillId="0" borderId="0" xfId="0" applyNumberFormat="1" applyFont="1" applyFill="1" applyBorder="1" applyAlignment="1" applyProtection="1">
      <alignment horizontal="center"/>
    </xf>
    <xf numFmtId="0" fontId="49" fillId="0" borderId="0" xfId="0" applyNumberFormat="1" applyFont="1" applyFill="1" applyBorder="1" applyAlignment="1" applyProtection="1">
      <alignment horizontal="center" vertical="center" wrapText="1"/>
    </xf>
    <xf numFmtId="0" fontId="36" fillId="26" borderId="0" xfId="0" applyFont="1" applyFill="1"/>
    <xf numFmtId="166" fontId="36" fillId="26" borderId="0" xfId="0" applyNumberFormat="1" applyFont="1" applyFill="1" applyBorder="1" applyAlignment="1" applyProtection="1"/>
    <xf numFmtId="166" fontId="36" fillId="20" borderId="0" xfId="0" applyNumberFormat="1" applyFont="1" applyFill="1" applyBorder="1" applyAlignment="1" applyProtection="1"/>
    <xf numFmtId="2" fontId="49" fillId="0" borderId="0" xfId="0" applyNumberFormat="1" applyFont="1" applyFill="1" applyAlignment="1">
      <alignment horizontal="center"/>
    </xf>
    <xf numFmtId="0" fontId="50" fillId="0" borderId="0" xfId="0" applyNumberFormat="1" applyFont="1" applyFill="1" applyBorder="1" applyAlignment="1" applyProtection="1"/>
    <xf numFmtId="0" fontId="50" fillId="26" borderId="16" xfId="0" applyNumberFormat="1" applyFont="1" applyFill="1" applyBorder="1" applyAlignment="1" applyProtection="1"/>
    <xf numFmtId="2" fontId="36" fillId="26" borderId="16" xfId="0" applyNumberFormat="1" applyFont="1" applyFill="1" applyBorder="1" applyAlignment="1" applyProtection="1"/>
    <xf numFmtId="169" fontId="36" fillId="26" borderId="16" xfId="0" applyNumberFormat="1" applyFont="1" applyFill="1" applyBorder="1" applyAlignment="1" applyProtection="1"/>
    <xf numFmtId="0" fontId="51" fillId="0" borderId="0" xfId="0" applyNumberFormat="1" applyFont="1" applyFill="1" applyBorder="1" applyAlignment="1" applyProtection="1">
      <alignment horizontal="center" vertical="center" wrapText="1"/>
    </xf>
    <xf numFmtId="0" fontId="44" fillId="26" borderId="16" xfId="0" applyNumberFormat="1" applyFont="1" applyFill="1" applyBorder="1" applyAlignment="1" applyProtection="1">
      <alignment horizontal="center" vertical="center" wrapText="1"/>
    </xf>
    <xf numFmtId="2" fontId="36" fillId="30" borderId="0" xfId="0" applyNumberFormat="1" applyFont="1" applyFill="1" applyBorder="1" applyAlignment="1" applyProtection="1"/>
    <xf numFmtId="166" fontId="36" fillId="29" borderId="22" xfId="0" applyNumberFormat="1" applyFont="1" applyFill="1" applyBorder="1" applyAlignment="1" applyProtection="1"/>
    <xf numFmtId="2" fontId="36" fillId="26" borderId="22" xfId="0" applyNumberFormat="1" applyFont="1" applyFill="1" applyBorder="1" applyAlignment="1" applyProtection="1"/>
    <xf numFmtId="0" fontId="36" fillId="26" borderId="15" xfId="0" applyNumberFormat="1" applyFont="1" applyFill="1" applyBorder="1" applyAlignment="1" applyProtection="1"/>
    <xf numFmtId="0" fontId="36" fillId="20" borderId="15" xfId="0" applyNumberFormat="1" applyFont="1" applyFill="1" applyBorder="1" applyAlignment="1" applyProtection="1"/>
    <xf numFmtId="166" fontId="36" fillId="29" borderId="0" xfId="0" applyNumberFormat="1" applyFont="1" applyFill="1" applyBorder="1" applyAlignment="1" applyProtection="1"/>
    <xf numFmtId="0" fontId="36" fillId="26" borderId="0" xfId="0" applyFont="1" applyFill="1" applyBorder="1"/>
    <xf numFmtId="166" fontId="36" fillId="29" borderId="18" xfId="0" applyNumberFormat="1" applyFont="1" applyFill="1" applyBorder="1" applyAlignment="1" applyProtection="1"/>
    <xf numFmtId="0" fontId="36" fillId="20" borderId="18" xfId="0" applyNumberFormat="1" applyFont="1" applyFill="1" applyBorder="1" applyAlignment="1" applyProtection="1"/>
    <xf numFmtId="166" fontId="36" fillId="26" borderId="16" xfId="0" applyNumberFormat="1" applyFont="1" applyFill="1" applyBorder="1" applyAlignment="1" applyProtection="1"/>
    <xf numFmtId="0" fontId="36" fillId="0" borderId="22" xfId="0" applyNumberFormat="1" applyFont="1" applyFill="1" applyBorder="1" applyAlignment="1" applyProtection="1"/>
    <xf numFmtId="2" fontId="39" fillId="0" borderId="0" xfId="0" applyNumberFormat="1" applyFont="1" applyFill="1" applyBorder="1" applyAlignment="1" applyProtection="1"/>
    <xf numFmtId="0" fontId="51" fillId="0" borderId="18" xfId="0" applyNumberFormat="1" applyFont="1" applyFill="1" applyBorder="1" applyAlignment="1" applyProtection="1">
      <alignment horizontal="center" vertical="center" wrapText="1"/>
    </xf>
    <xf numFmtId="166" fontId="36" fillId="26" borderId="21" xfId="0" applyNumberFormat="1" applyFont="1" applyFill="1" applyBorder="1" applyAlignment="1" applyProtection="1"/>
    <xf numFmtId="0" fontId="52" fillId="0" borderId="0" xfId="0" applyNumberFormat="1" applyFont="1" applyFill="1" applyBorder="1" applyAlignment="1" applyProtection="1">
      <alignment horizontal="center" vertical="center" wrapText="1"/>
    </xf>
    <xf numFmtId="0" fontId="36" fillId="26" borderId="16" xfId="0" applyFont="1" applyFill="1" applyBorder="1" applyAlignment="1">
      <alignment horizontal="center" vertical="center" wrapText="1"/>
    </xf>
    <xf numFmtId="0" fontId="36" fillId="28" borderId="0" xfId="0" applyFont="1" applyFill="1" applyAlignment="1">
      <alignment wrapText="1"/>
    </xf>
    <xf numFmtId="2" fontId="36" fillId="26" borderId="0" xfId="0" applyNumberFormat="1" applyFont="1" applyFill="1" applyBorder="1"/>
    <xf numFmtId="1" fontId="36" fillId="26" borderId="0" xfId="0" applyNumberFormat="1" applyFont="1" applyFill="1"/>
    <xf numFmtId="1" fontId="36" fillId="26" borderId="0" xfId="0" applyNumberFormat="1" applyFont="1" applyFill="1" applyBorder="1"/>
    <xf numFmtId="0" fontId="36" fillId="20" borderId="0" xfId="0" applyFont="1" applyFill="1" applyBorder="1"/>
    <xf numFmtId="2" fontId="36" fillId="26" borderId="16" xfId="0" applyNumberFormat="1" applyFont="1" applyFill="1" applyBorder="1"/>
    <xf numFmtId="166" fontId="36" fillId="26" borderId="16" xfId="0" applyNumberFormat="1" applyFont="1" applyFill="1" applyBorder="1"/>
    <xf numFmtId="0" fontId="36" fillId="26" borderId="16" xfId="0" applyFont="1" applyFill="1" applyBorder="1"/>
    <xf numFmtId="0" fontId="49" fillId="36" borderId="0" xfId="0" applyNumberFormat="1" applyFont="1" applyFill="1" applyBorder="1" applyAlignment="1" applyProtection="1">
      <alignment horizontal="center" vertical="center" wrapText="1"/>
    </xf>
    <xf numFmtId="2" fontId="49" fillId="36" borderId="0" xfId="0" applyNumberFormat="1" applyFont="1" applyFill="1" applyAlignment="1">
      <alignment horizontal="center"/>
    </xf>
    <xf numFmtId="167" fontId="36" fillId="26" borderId="16" xfId="0" applyNumberFormat="1" applyFont="1" applyFill="1" applyBorder="1" applyAlignment="1" applyProtection="1"/>
    <xf numFmtId="170" fontId="36" fillId="26" borderId="22" xfId="0" applyNumberFormat="1" applyFont="1" applyFill="1" applyBorder="1" applyAlignment="1" applyProtection="1"/>
    <xf numFmtId="170" fontId="36" fillId="26" borderId="0" xfId="0" applyNumberFormat="1" applyFont="1" applyFill="1" applyBorder="1" applyAlignment="1" applyProtection="1"/>
    <xf numFmtId="170" fontId="36" fillId="26" borderId="18" xfId="0" applyNumberFormat="1" applyFont="1" applyFill="1" applyBorder="1" applyAlignment="1" applyProtection="1"/>
    <xf numFmtId="0" fontId="36" fillId="0" borderId="0" xfId="0" applyFont="1" applyBorder="1"/>
    <xf numFmtId="170" fontId="36" fillId="30" borderId="0" xfId="0" applyNumberFormat="1" applyFont="1" applyFill="1" applyBorder="1" applyAlignment="1" applyProtection="1"/>
    <xf numFmtId="0" fontId="36" fillId="26" borderId="0" xfId="0" applyFont="1" applyFill="1" applyAlignment="1"/>
    <xf numFmtId="2" fontId="36" fillId="26" borderId="0" xfId="0" applyNumberFormat="1" applyFont="1" applyFill="1" applyAlignment="1"/>
    <xf numFmtId="1" fontId="36" fillId="26" borderId="0" xfId="0" applyNumberFormat="1" applyFont="1" applyFill="1" applyAlignment="1"/>
    <xf numFmtId="2" fontId="36" fillId="26" borderId="0" xfId="0" applyNumberFormat="1" applyFont="1" applyFill="1" applyBorder="1" applyAlignment="1"/>
    <xf numFmtId="0" fontId="36" fillId="20" borderId="0" xfId="0" applyFont="1" applyFill="1" applyAlignment="1"/>
    <xf numFmtId="1" fontId="36" fillId="26" borderId="0" xfId="0" applyNumberFormat="1" applyFont="1" applyFill="1" applyBorder="1" applyAlignment="1"/>
    <xf numFmtId="0" fontId="36" fillId="20" borderId="0" xfId="0" applyFont="1" applyFill="1" applyBorder="1" applyAlignment="1"/>
    <xf numFmtId="2" fontId="40" fillId="29" borderId="0" xfId="0" applyNumberFormat="1" applyFont="1" applyFill="1" applyBorder="1" applyAlignment="1" applyProtection="1"/>
    <xf numFmtId="0" fontId="40" fillId="32" borderId="0" xfId="0" applyNumberFormat="1" applyFont="1" applyFill="1" applyBorder="1" applyAlignment="1" applyProtection="1"/>
    <xf numFmtId="0" fontId="40" fillId="32" borderId="0" xfId="0" quotePrefix="1" applyNumberFormat="1" applyFont="1" applyFill="1" applyBorder="1" applyAlignment="1" applyProtection="1">
      <alignment horizontal="left"/>
    </xf>
    <xf numFmtId="0" fontId="36" fillId="32" borderId="0" xfId="0" applyNumberFormat="1" applyFont="1" applyFill="1" applyBorder="1" applyAlignment="1" applyProtection="1"/>
    <xf numFmtId="9" fontId="36" fillId="29" borderId="0" xfId="0" applyNumberFormat="1" applyFont="1" applyFill="1" applyBorder="1" applyAlignment="1" applyProtection="1"/>
    <xf numFmtId="0" fontId="36" fillId="26" borderId="16" xfId="0" applyNumberFormat="1" applyFont="1" applyFill="1" applyBorder="1" applyAlignment="1" applyProtection="1">
      <alignment horizontal="left" wrapText="1"/>
    </xf>
    <xf numFmtId="0" fontId="36" fillId="26" borderId="16" xfId="0" applyNumberFormat="1" applyFont="1" applyFill="1" applyBorder="1" applyAlignment="1" applyProtection="1">
      <alignment horizontal="center"/>
    </xf>
    <xf numFmtId="0" fontId="36" fillId="0" borderId="0" xfId="0" applyNumberFormat="1" applyFont="1" applyFill="1" applyBorder="1" applyAlignment="1" applyProtection="1">
      <alignment horizontal="center"/>
    </xf>
    <xf numFmtId="0" fontId="36" fillId="26" borderId="16" xfId="0" applyNumberFormat="1" applyFont="1" applyFill="1" applyBorder="1" applyAlignment="1" applyProtection="1">
      <alignment horizontal="center" wrapText="1"/>
    </xf>
    <xf numFmtId="9" fontId="39" fillId="29" borderId="0" xfId="0" applyNumberFormat="1" applyFont="1" applyFill="1" applyBorder="1" applyAlignment="1" applyProtection="1"/>
    <xf numFmtId="0" fontId="36" fillId="30" borderId="0" xfId="0" applyNumberFormat="1" applyFont="1" applyFill="1" applyBorder="1" applyAlignment="1" applyProtection="1"/>
    <xf numFmtId="165" fontId="36" fillId="30" borderId="0" xfId="0" applyNumberFormat="1" applyFont="1" applyFill="1" applyBorder="1" applyAlignment="1" applyProtection="1"/>
    <xf numFmtId="0" fontId="50" fillId="26" borderId="0" xfId="0" applyNumberFormat="1" applyFont="1" applyFill="1" applyBorder="1" applyAlignment="1" applyProtection="1"/>
    <xf numFmtId="9" fontId="43" fillId="26" borderId="0" xfId="39" applyFont="1" applyFill="1" applyBorder="1" applyAlignment="1">
      <alignment horizontal="right"/>
    </xf>
    <xf numFmtId="166" fontId="36" fillId="30" borderId="0" xfId="0" applyNumberFormat="1" applyFont="1" applyFill="1"/>
    <xf numFmtId="165" fontId="36" fillId="0" borderId="0" xfId="0" applyNumberFormat="1" applyFont="1" applyFill="1" applyBorder="1" applyAlignment="1" applyProtection="1"/>
    <xf numFmtId="0" fontId="39" fillId="26" borderId="0" xfId="0" applyFont="1" applyFill="1"/>
    <xf numFmtId="170" fontId="36" fillId="30" borderId="0" xfId="0" applyNumberFormat="1" applyFont="1" applyFill="1"/>
    <xf numFmtId="9" fontId="43" fillId="26" borderId="0" xfId="39" applyNumberFormat="1" applyFont="1" applyFill="1" applyBorder="1" applyAlignment="1">
      <alignment horizontal="right"/>
    </xf>
    <xf numFmtId="0" fontId="36" fillId="26" borderId="14" xfId="0" applyNumberFormat="1" applyFont="1" applyFill="1" applyBorder="1" applyAlignment="1" applyProtection="1">
      <alignment horizontal="left" wrapText="1"/>
    </xf>
    <xf numFmtId="0" fontId="36" fillId="26" borderId="14" xfId="0" applyNumberFormat="1" applyFont="1" applyFill="1" applyBorder="1" applyAlignment="1" applyProtection="1">
      <alignment horizontal="center" vertical="center" wrapText="1"/>
    </xf>
    <xf numFmtId="0" fontId="36" fillId="26" borderId="14" xfId="0" applyNumberFormat="1" applyFont="1" applyFill="1" applyBorder="1" applyAlignment="1" applyProtection="1">
      <alignment horizontal="center" wrapText="1"/>
    </xf>
    <xf numFmtId="0" fontId="42" fillId="28" borderId="0" xfId="0" applyNumberFormat="1" applyFont="1" applyFill="1" applyBorder="1" applyAlignment="1" applyProtection="1"/>
    <xf numFmtId="2" fontId="36" fillId="20" borderId="0" xfId="0" applyNumberFormat="1" applyFont="1" applyFill="1"/>
    <xf numFmtId="166" fontId="40" fillId="26" borderId="0" xfId="0" applyNumberFormat="1" applyFont="1" applyFill="1" applyBorder="1" applyAlignment="1" applyProtection="1"/>
    <xf numFmtId="165" fontId="40" fillId="26" borderId="0" xfId="0" applyNumberFormat="1" applyFont="1" applyFill="1" applyBorder="1" applyAlignment="1" applyProtection="1"/>
    <xf numFmtId="0" fontId="42" fillId="33" borderId="0" xfId="0" applyFont="1" applyFill="1" applyBorder="1" applyAlignment="1">
      <alignment horizontal="left"/>
    </xf>
    <xf numFmtId="166" fontId="36" fillId="29" borderId="0" xfId="0" applyNumberFormat="1" applyFont="1" applyFill="1" applyBorder="1" applyAlignment="1" applyProtection="1">
      <alignment vertical="top" wrapText="1"/>
    </xf>
    <xf numFmtId="0" fontId="43" fillId="26" borderId="0" xfId="0" applyNumberFormat="1" applyFont="1" applyFill="1" applyBorder="1" applyAlignment="1" applyProtection="1"/>
    <xf numFmtId="0" fontId="36" fillId="37" borderId="0" xfId="0" applyNumberFormat="1" applyFont="1" applyFill="1" applyBorder="1" applyAlignment="1" applyProtection="1"/>
    <xf numFmtId="168" fontId="40" fillId="26" borderId="0" xfId="0" applyNumberFormat="1" applyFont="1" applyFill="1" applyBorder="1" applyAlignment="1" applyProtection="1"/>
    <xf numFmtId="0" fontId="36" fillId="20" borderId="0" xfId="0" applyNumberFormat="1" applyFont="1" applyFill="1" applyBorder="1" applyAlignment="1" applyProtection="1">
      <alignment vertical="top" wrapText="1"/>
    </xf>
    <xf numFmtId="0" fontId="36" fillId="28" borderId="0" xfId="0" applyFont="1" applyFill="1"/>
    <xf numFmtId="0" fontId="36" fillId="28" borderId="0" xfId="0" applyNumberFormat="1" applyFont="1" applyFill="1" applyBorder="1" applyAlignment="1" applyProtection="1">
      <alignment horizontal="left" wrapText="1"/>
    </xf>
    <xf numFmtId="0" fontId="36" fillId="28" borderId="18" xfId="0" applyFont="1" applyFill="1" applyBorder="1"/>
    <xf numFmtId="0" fontId="36" fillId="28" borderId="18" xfId="0" applyNumberFormat="1" applyFont="1" applyFill="1" applyBorder="1" applyAlignment="1" applyProtection="1"/>
    <xf numFmtId="2" fontId="36" fillId="29" borderId="18" xfId="0" applyNumberFormat="1" applyFont="1" applyFill="1" applyBorder="1" applyAlignment="1" applyProtection="1"/>
    <xf numFmtId="165" fontId="40" fillId="26" borderId="18" xfId="0" applyNumberFormat="1" applyFont="1" applyFill="1" applyBorder="1" applyAlignment="1" applyProtection="1"/>
    <xf numFmtId="2" fontId="36" fillId="20" borderId="18" xfId="0" applyNumberFormat="1" applyFont="1" applyFill="1" applyBorder="1" applyAlignment="1" applyProtection="1"/>
    <xf numFmtId="165" fontId="36" fillId="20" borderId="0" xfId="0" applyNumberFormat="1" applyFont="1" applyFill="1" applyBorder="1" applyAlignment="1" applyProtection="1"/>
    <xf numFmtId="0" fontId="36" fillId="26" borderId="16" xfId="0" applyFont="1" applyFill="1" applyBorder="1" applyAlignment="1">
      <alignment vertical="center"/>
    </xf>
    <xf numFmtId="0" fontId="50" fillId="26" borderId="16" xfId="0" applyFont="1" applyFill="1" applyBorder="1"/>
    <xf numFmtId="9" fontId="43" fillId="26" borderId="0" xfId="0" applyNumberFormat="1" applyFont="1" applyFill="1" applyBorder="1" applyAlignment="1" applyProtection="1">
      <alignment horizontal="right"/>
    </xf>
    <xf numFmtId="165" fontId="36" fillId="30" borderId="18" xfId="0" applyNumberFormat="1" applyFont="1" applyFill="1" applyBorder="1" applyAlignment="1" applyProtection="1"/>
    <xf numFmtId="165" fontId="36" fillId="29" borderId="0" xfId="0" applyNumberFormat="1" applyFont="1" applyFill="1" applyBorder="1" applyAlignment="1" applyProtection="1">
      <alignment vertical="top" wrapText="1"/>
    </xf>
    <xf numFmtId="165" fontId="40" fillId="26" borderId="21" xfId="0" applyNumberFormat="1" applyFont="1" applyFill="1" applyBorder="1" applyAlignment="1" applyProtection="1"/>
    <xf numFmtId="10" fontId="36" fillId="29" borderId="0" xfId="0" applyNumberFormat="1" applyFont="1" applyFill="1" applyBorder="1" applyAlignment="1" applyProtection="1"/>
    <xf numFmtId="0" fontId="43" fillId="0" borderId="0" xfId="0" applyNumberFormat="1" applyFont="1" applyFill="1" applyBorder="1" applyAlignment="1" applyProtection="1"/>
    <xf numFmtId="0" fontId="42" fillId="28" borderId="0" xfId="0" applyFont="1" applyFill="1"/>
    <xf numFmtId="165" fontId="40" fillId="26" borderId="0" xfId="0" applyNumberFormat="1" applyFont="1" applyFill="1"/>
    <xf numFmtId="166" fontId="36" fillId="20" borderId="0" xfId="0" applyNumberFormat="1" applyFont="1" applyFill="1" applyBorder="1" applyAlignment="1" applyProtection="1">
      <alignment vertical="top" wrapText="1"/>
    </xf>
    <xf numFmtId="0" fontId="40" fillId="26" borderId="0" xfId="0" applyFont="1" applyFill="1"/>
    <xf numFmtId="2" fontId="36" fillId="20" borderId="0" xfId="0" applyNumberFormat="1" applyFont="1" applyFill="1" applyBorder="1" applyAlignment="1" applyProtection="1">
      <alignment vertical="top" wrapText="1"/>
    </xf>
    <xf numFmtId="2" fontId="40" fillId="26" borderId="0" xfId="0" applyNumberFormat="1" applyFont="1" applyFill="1" applyBorder="1" applyAlignment="1" applyProtection="1"/>
    <xf numFmtId="0" fontId="43" fillId="26" borderId="0" xfId="0" applyNumberFormat="1" applyFont="1" applyFill="1" applyBorder="1" applyAlignment="1" applyProtection="1">
      <alignment horizontal="left"/>
    </xf>
    <xf numFmtId="2" fontId="40" fillId="29" borderId="0" xfId="0" applyNumberFormat="1" applyFont="1" applyFill="1" applyBorder="1" applyAlignment="1" applyProtection="1">
      <alignment horizontal="right"/>
    </xf>
    <xf numFmtId="168" fontId="36" fillId="0" borderId="0" xfId="0" applyNumberFormat="1" applyFont="1" applyFill="1" applyBorder="1" applyAlignment="1" applyProtection="1"/>
    <xf numFmtId="0" fontId="43" fillId="0" borderId="0" xfId="0" applyNumberFormat="1" applyFont="1" applyFill="1" applyBorder="1" applyAlignment="1" applyProtection="1">
      <alignment horizontal="left"/>
    </xf>
    <xf numFmtId="0" fontId="40" fillId="26" borderId="0" xfId="0" applyNumberFormat="1" applyFont="1" applyFill="1" applyBorder="1" applyAlignment="1" applyProtection="1">
      <alignment horizontal="left"/>
    </xf>
    <xf numFmtId="0" fontId="36" fillId="26" borderId="0" xfId="0" applyNumberFormat="1" applyFont="1" applyFill="1" applyBorder="1" applyAlignment="1" applyProtection="1">
      <alignment horizontal="left"/>
    </xf>
    <xf numFmtId="0" fontId="42" fillId="28" borderId="0" xfId="0" applyNumberFormat="1" applyFont="1" applyFill="1" applyBorder="1" applyAlignment="1" applyProtection="1">
      <alignment horizontal="left"/>
    </xf>
    <xf numFmtId="0" fontId="36" fillId="28" borderId="0" xfId="0" applyNumberFormat="1" applyFont="1" applyFill="1" applyBorder="1" applyAlignment="1" applyProtection="1">
      <alignment horizontal="left"/>
    </xf>
    <xf numFmtId="0" fontId="37" fillId="27" borderId="18" xfId="0" applyNumberFormat="1" applyFont="1" applyFill="1" applyBorder="1" applyAlignment="1" applyProtection="1"/>
    <xf numFmtId="0" fontId="36" fillId="27" borderId="18" xfId="0" applyNumberFormat="1" applyFont="1" applyFill="1" applyBorder="1" applyAlignment="1" applyProtection="1"/>
    <xf numFmtId="0" fontId="36" fillId="0" borderId="18" xfId="0" applyNumberFormat="1" applyFont="1" applyFill="1" applyBorder="1" applyAlignment="1" applyProtection="1"/>
    <xf numFmtId="168" fontId="36" fillId="30" borderId="0" xfId="0" applyNumberFormat="1" applyFont="1" applyFill="1" applyBorder="1" applyAlignment="1" applyProtection="1"/>
    <xf numFmtId="166" fontId="36" fillId="30" borderId="22" xfId="0" applyNumberFormat="1" applyFont="1" applyFill="1" applyBorder="1" applyAlignment="1" applyProtection="1"/>
    <xf numFmtId="9" fontId="36" fillId="29" borderId="0" xfId="39" applyFont="1" applyFill="1"/>
    <xf numFmtId="170" fontId="36" fillId="0" borderId="0" xfId="0" applyNumberFormat="1" applyFont="1" applyFill="1" applyBorder="1" applyAlignment="1" applyProtection="1"/>
    <xf numFmtId="0" fontId="45" fillId="0" borderId="0" xfId="0" applyNumberFormat="1" applyFont="1" applyFill="1" applyBorder="1" applyAlignment="1" applyProtection="1"/>
    <xf numFmtId="0" fontId="36" fillId="33" borderId="0" xfId="0" applyFont="1" applyFill="1" applyBorder="1" applyAlignment="1">
      <alignment horizontal="left"/>
    </xf>
    <xf numFmtId="0" fontId="53" fillId="0" borderId="0" xfId="0" applyNumberFormat="1" applyFont="1" applyFill="1" applyBorder="1" applyAlignment="1" applyProtection="1"/>
    <xf numFmtId="0" fontId="43" fillId="23" borderId="0" xfId="0" applyFont="1" applyFill="1" applyAlignment="1">
      <alignment horizontal="center" wrapText="1"/>
    </xf>
    <xf numFmtId="0" fontId="39" fillId="26" borderId="0" xfId="0" applyNumberFormat="1" applyFont="1" applyFill="1" applyBorder="1" applyAlignment="1" applyProtection="1"/>
    <xf numFmtId="0" fontId="36" fillId="23" borderId="0" xfId="0" applyFont="1" applyFill="1" applyAlignment="1">
      <alignment horizontal="center"/>
    </xf>
    <xf numFmtId="0" fontId="43" fillId="23" borderId="0" xfId="0" applyFont="1" applyFill="1" applyAlignment="1">
      <alignment horizontal="center"/>
    </xf>
    <xf numFmtId="0" fontId="39" fillId="26" borderId="0" xfId="0" quotePrefix="1" applyNumberFormat="1" applyFont="1" applyFill="1" applyBorder="1" applyAlignment="1" applyProtection="1">
      <alignment horizontal="left"/>
    </xf>
    <xf numFmtId="2" fontId="36" fillId="32" borderId="0" xfId="0" applyNumberFormat="1" applyFont="1" applyFill="1" applyBorder="1" applyAlignment="1" applyProtection="1">
      <alignment vertical="top" wrapText="1"/>
    </xf>
    <xf numFmtId="0" fontId="39" fillId="26" borderId="14" xfId="0" applyNumberFormat="1" applyFont="1" applyFill="1" applyBorder="1" applyAlignment="1" applyProtection="1">
      <alignment vertical="center"/>
      <protection locked="0"/>
    </xf>
    <xf numFmtId="0" fontId="40" fillId="26" borderId="14" xfId="0" applyNumberFormat="1" applyFont="1" applyFill="1" applyBorder="1" applyAlignment="1" applyProtection="1">
      <alignment horizontal="left" vertical="center"/>
    </xf>
    <xf numFmtId="1" fontId="36" fillId="0" borderId="0" xfId="0" applyNumberFormat="1" applyFont="1"/>
    <xf numFmtId="0" fontId="37" fillId="27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54" fillId="0" borderId="0" xfId="0" applyFont="1"/>
    <xf numFmtId="0" fontId="56" fillId="0" borderId="0" xfId="0" applyFont="1"/>
    <xf numFmtId="0" fontId="36" fillId="26" borderId="17" xfId="0" applyFont="1" applyFill="1" applyBorder="1" applyAlignment="1">
      <alignment vertical="center"/>
    </xf>
    <xf numFmtId="0" fontId="36" fillId="26" borderId="17" xfId="0" applyFont="1" applyFill="1" applyBorder="1" applyAlignment="1">
      <alignment horizontal="center" vertical="center"/>
    </xf>
    <xf numFmtId="0" fontId="36" fillId="26" borderId="17" xfId="0" applyFont="1" applyFill="1" applyBorder="1" applyAlignment="1">
      <alignment horizontal="center" vertical="center" wrapText="1"/>
    </xf>
    <xf numFmtId="172" fontId="39" fillId="0" borderId="0" xfId="0" applyNumberFormat="1" applyFont="1"/>
    <xf numFmtId="172" fontId="36" fillId="0" borderId="0" xfId="0" applyNumberFormat="1" applyFont="1"/>
    <xf numFmtId="0" fontId="36" fillId="26" borderId="14" xfId="0" applyFont="1" applyFill="1" applyBorder="1" applyAlignment="1">
      <alignment vertical="center"/>
    </xf>
    <xf numFmtId="0" fontId="36" fillId="26" borderId="14" xfId="0" applyFont="1" applyFill="1" applyBorder="1" applyAlignment="1">
      <alignment horizontal="center" vertical="center" wrapText="1"/>
    </xf>
    <xf numFmtId="172" fontId="40" fillId="26" borderId="12" xfId="0" applyNumberFormat="1" applyFont="1" applyFill="1" applyBorder="1"/>
    <xf numFmtId="172" fontId="40" fillId="26" borderId="17" xfId="0" applyNumberFormat="1" applyFont="1" applyFill="1" applyBorder="1"/>
    <xf numFmtId="172" fontId="40" fillId="26" borderId="19" xfId="0" applyNumberFormat="1" applyFont="1" applyFill="1" applyBorder="1"/>
    <xf numFmtId="172" fontId="36" fillId="0" borderId="0" xfId="0" quotePrefix="1" applyNumberFormat="1" applyFont="1" applyFill="1"/>
    <xf numFmtId="172" fontId="36" fillId="0" borderId="0" xfId="0" applyNumberFormat="1" applyFont="1" applyFill="1"/>
    <xf numFmtId="0" fontId="39" fillId="26" borderId="0" xfId="0" applyNumberFormat="1" applyFont="1" applyFill="1" applyBorder="1" applyAlignment="1" applyProtection="1">
      <alignment vertical="center"/>
      <protection locked="0"/>
    </xf>
    <xf numFmtId="0" fontId="40" fillId="26" borderId="0" xfId="0" applyNumberFormat="1" applyFont="1" applyFill="1" applyBorder="1" applyAlignment="1" applyProtection="1">
      <alignment horizontal="left"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9" fillId="0" borderId="0" xfId="0" applyNumberFormat="1" applyFont="1" applyFill="1" applyBorder="1" applyAlignment="1" applyProtection="1">
      <alignment vertical="center"/>
    </xf>
    <xf numFmtId="0" fontId="36" fillId="0" borderId="0" xfId="0" applyFont="1" applyAlignment="1">
      <alignment vertical="center"/>
    </xf>
    <xf numFmtId="0" fontId="36" fillId="26" borderId="0" xfId="0" applyNumberFormat="1" applyFont="1" applyFill="1" applyBorder="1" applyAlignment="1" applyProtection="1">
      <alignment vertical="center"/>
      <protection locked="0"/>
    </xf>
    <xf numFmtId="0" fontId="40" fillId="26" borderId="0" xfId="0" applyFont="1" applyFill="1" applyBorder="1" applyAlignment="1">
      <alignment horizontal="left" vertical="center"/>
    </xf>
    <xf numFmtId="0" fontId="40" fillId="0" borderId="0" xfId="0" applyNumberFormat="1" applyFont="1" applyFill="1" applyBorder="1" applyAlignment="1" applyProtection="1">
      <alignment vertical="center"/>
    </xf>
    <xf numFmtId="0" fontId="37" fillId="27" borderId="0" xfId="0" applyNumberFormat="1" applyFont="1" applyFill="1" applyBorder="1" applyAlignment="1" applyProtection="1">
      <alignment vertical="center"/>
      <protection locked="0"/>
    </xf>
    <xf numFmtId="0" fontId="38" fillId="27" borderId="0" xfId="0" applyNumberFormat="1" applyFont="1" applyFill="1" applyBorder="1" applyAlignment="1" applyProtection="1">
      <alignment vertical="center"/>
    </xf>
    <xf numFmtId="0" fontId="40" fillId="26" borderId="25" xfId="0" applyNumberFormat="1" applyFont="1" applyFill="1" applyBorder="1" applyAlignment="1" applyProtection="1">
      <alignment horizontal="left" vertical="center"/>
    </xf>
    <xf numFmtId="0" fontId="40" fillId="26" borderId="152" xfId="0" applyNumberFormat="1" applyFont="1" applyFill="1" applyBorder="1" applyAlignment="1" applyProtection="1">
      <alignment horizontal="left" vertical="center"/>
    </xf>
    <xf numFmtId="0" fontId="58" fillId="26" borderId="15" xfId="0" applyNumberFormat="1" applyFont="1" applyFill="1" applyBorder="1" applyAlignment="1" applyProtection="1">
      <alignment horizontal="left" vertical="center"/>
    </xf>
    <xf numFmtId="0" fontId="58" fillId="26" borderId="152" xfId="0" applyNumberFormat="1" applyFont="1" applyFill="1" applyBorder="1" applyAlignment="1" applyProtection="1">
      <alignment horizontal="left" vertical="center"/>
    </xf>
    <xf numFmtId="0" fontId="40" fillId="26" borderId="15" xfId="0" applyNumberFormat="1" applyFont="1" applyFill="1" applyBorder="1" applyAlignment="1" applyProtection="1">
      <alignment horizontal="left" vertical="center"/>
    </xf>
    <xf numFmtId="0" fontId="40" fillId="26" borderId="11" xfId="0" applyNumberFormat="1" applyFont="1" applyFill="1" applyBorder="1" applyAlignment="1" applyProtection="1">
      <alignment horizontal="left" vertical="center"/>
    </xf>
    <xf numFmtId="0" fontId="36" fillId="26" borderId="25" xfId="0" applyNumberFormat="1" applyFont="1" applyFill="1" applyBorder="1" applyAlignment="1" applyProtection="1">
      <alignment vertical="center" wrapText="1"/>
    </xf>
    <xf numFmtId="0" fontId="36" fillId="26" borderId="152" xfId="0" applyNumberFormat="1" applyFont="1" applyFill="1" applyBorder="1" applyAlignment="1" applyProtection="1">
      <alignment vertical="center"/>
    </xf>
    <xf numFmtId="0" fontId="36" fillId="26" borderId="25" xfId="0" applyNumberFormat="1" applyFont="1" applyFill="1" applyBorder="1" applyAlignment="1" applyProtection="1">
      <alignment horizontal="center" vertical="center" wrapText="1"/>
    </xf>
    <xf numFmtId="0" fontId="36" fillId="26" borderId="152" xfId="0" applyNumberFormat="1" applyFont="1" applyFill="1" applyBorder="1" applyAlignment="1" applyProtection="1">
      <alignment horizontal="left" vertical="center"/>
    </xf>
    <xf numFmtId="0" fontId="36" fillId="26" borderId="152" xfId="0" applyNumberFormat="1" applyFont="1" applyFill="1" applyBorder="1" applyAlignment="1" applyProtection="1">
      <alignment horizontal="center" vertical="center" wrapText="1"/>
    </xf>
    <xf numFmtId="0" fontId="36" fillId="26" borderId="11" xfId="0" applyNumberFormat="1" applyFont="1" applyFill="1" applyBorder="1" applyAlignment="1" applyProtection="1">
      <alignment horizontal="center" vertical="center" wrapText="1"/>
    </xf>
    <xf numFmtId="0" fontId="36" fillId="26" borderId="25" xfId="0" applyNumberFormat="1" applyFont="1" applyFill="1" applyBorder="1" applyAlignment="1" applyProtection="1">
      <alignment horizontal="center" vertical="center"/>
    </xf>
    <xf numFmtId="0" fontId="36" fillId="26" borderId="152" xfId="0" applyNumberFormat="1" applyFont="1" applyFill="1" applyBorder="1" applyAlignment="1" applyProtection="1">
      <alignment horizontal="center" vertical="center"/>
    </xf>
    <xf numFmtId="0" fontId="39" fillId="26" borderId="153" xfId="0" applyNumberFormat="1" applyFont="1" applyFill="1" applyBorder="1" applyAlignment="1" applyProtection="1">
      <alignment vertical="center"/>
      <protection locked="0"/>
    </xf>
    <xf numFmtId="0" fontId="36" fillId="26" borderId="23" xfId="0" applyNumberFormat="1" applyFont="1" applyFill="1" applyBorder="1" applyAlignment="1" applyProtection="1">
      <alignment horizontal="center" vertical="center" wrapText="1"/>
    </xf>
    <xf numFmtId="0" fontId="36" fillId="26" borderId="153" xfId="0" applyNumberFormat="1" applyFont="1" applyFill="1" applyBorder="1" applyAlignment="1" applyProtection="1">
      <alignment horizontal="center" vertical="center" wrapText="1"/>
    </xf>
    <xf numFmtId="49" fontId="36" fillId="26" borderId="16" xfId="0" applyNumberFormat="1" applyFont="1" applyFill="1" applyBorder="1" applyAlignment="1" applyProtection="1">
      <alignment horizontal="center" vertical="center" wrapText="1"/>
    </xf>
    <xf numFmtId="49" fontId="36" fillId="26" borderId="153" xfId="0" applyNumberFormat="1" applyFont="1" applyFill="1" applyBorder="1" applyAlignment="1" applyProtection="1">
      <alignment horizontal="center" vertical="center"/>
    </xf>
    <xf numFmtId="0" fontId="36" fillId="26" borderId="72" xfId="0" applyNumberFormat="1" applyFont="1" applyFill="1" applyBorder="1" applyAlignment="1" applyProtection="1">
      <alignment horizontal="center" vertical="center" wrapText="1"/>
    </xf>
    <xf numFmtId="0" fontId="36" fillId="26" borderId="23" xfId="0" applyNumberFormat="1" applyFont="1" applyFill="1" applyBorder="1" applyAlignment="1" applyProtection="1">
      <alignment horizontal="center" vertical="center"/>
    </xf>
    <xf numFmtId="0" fontId="36" fillId="26" borderId="153" xfId="0" applyNumberFormat="1" applyFont="1" applyFill="1" applyBorder="1" applyAlignment="1" applyProtection="1">
      <alignment horizontal="center" vertical="center"/>
    </xf>
    <xf numFmtId="0" fontId="36" fillId="26" borderId="24" xfId="0" applyNumberFormat="1" applyFont="1" applyFill="1" applyBorder="1" applyAlignment="1" applyProtection="1">
      <alignment horizontal="left" vertical="center"/>
    </xf>
    <xf numFmtId="0" fontId="36" fillId="26" borderId="113" xfId="0" applyNumberFormat="1" applyFont="1" applyFill="1" applyBorder="1" applyAlignment="1" applyProtection="1">
      <alignment horizontal="left" vertical="center"/>
    </xf>
    <xf numFmtId="2" fontId="36" fillId="34" borderId="0" xfId="0" applyNumberFormat="1" applyFont="1" applyFill="1" applyBorder="1" applyAlignment="1" applyProtection="1">
      <alignment vertical="center" wrapText="1"/>
    </xf>
    <xf numFmtId="2" fontId="36" fillId="34" borderId="113" xfId="0" applyNumberFormat="1" applyFont="1" applyFill="1" applyBorder="1" applyAlignment="1" applyProtection="1">
      <alignment vertical="center" wrapText="1"/>
    </xf>
    <xf numFmtId="2" fontId="36" fillId="34" borderId="24" xfId="0" applyNumberFormat="1" applyFont="1" applyFill="1" applyBorder="1" applyAlignment="1" applyProtection="1">
      <alignment vertical="center" wrapText="1"/>
    </xf>
    <xf numFmtId="2" fontId="36" fillId="34" borderId="101" xfId="0" applyNumberFormat="1" applyFont="1" applyFill="1" applyBorder="1" applyAlignment="1" applyProtection="1">
      <alignment vertical="center" wrapText="1"/>
    </xf>
    <xf numFmtId="1" fontId="36" fillId="26" borderId="24" xfId="0" applyNumberFormat="1" applyFont="1" applyFill="1" applyBorder="1" applyAlignment="1" applyProtection="1">
      <alignment horizontal="right" vertical="center"/>
    </xf>
    <xf numFmtId="1" fontId="36" fillId="26" borderId="113" xfId="0" applyNumberFormat="1" applyFont="1" applyFill="1" applyBorder="1" applyAlignment="1" applyProtection="1">
      <alignment horizontal="right" vertical="center"/>
    </xf>
    <xf numFmtId="1" fontId="36" fillId="34" borderId="0" xfId="0" applyNumberFormat="1" applyFont="1" applyFill="1" applyBorder="1" applyAlignment="1" applyProtection="1">
      <alignment vertical="center" wrapText="1"/>
    </xf>
    <xf numFmtId="1" fontId="36" fillId="34" borderId="113" xfId="0" applyNumberFormat="1" applyFont="1" applyFill="1" applyBorder="1" applyAlignment="1" applyProtection="1">
      <alignment vertical="center" wrapText="1"/>
    </xf>
    <xf numFmtId="1" fontId="36" fillId="34" borderId="24" xfId="0" applyNumberFormat="1" applyFont="1" applyFill="1" applyBorder="1" applyAlignment="1" applyProtection="1">
      <alignment vertical="center" wrapText="1"/>
    </xf>
    <xf numFmtId="1" fontId="36" fillId="34" borderId="101" xfId="0" applyNumberFormat="1" applyFont="1" applyFill="1" applyBorder="1" applyAlignment="1" applyProtection="1">
      <alignment vertical="center" wrapText="1"/>
    </xf>
    <xf numFmtId="168" fontId="36" fillId="34" borderId="0" xfId="0" applyNumberFormat="1" applyFont="1" applyFill="1" applyBorder="1" applyAlignment="1" applyProtection="1">
      <alignment vertical="center" wrapText="1"/>
    </xf>
    <xf numFmtId="168" fontId="36" fillId="34" borderId="113" xfId="0" applyNumberFormat="1" applyFont="1" applyFill="1" applyBorder="1" applyAlignment="1" applyProtection="1">
      <alignment vertical="center" wrapText="1"/>
    </xf>
    <xf numFmtId="168" fontId="36" fillId="34" borderId="24" xfId="0" applyNumberFormat="1" applyFont="1" applyFill="1" applyBorder="1" applyAlignment="1" applyProtection="1">
      <alignment vertical="center" wrapText="1"/>
    </xf>
    <xf numFmtId="168" fontId="36" fillId="34" borderId="101" xfId="0" applyNumberFormat="1" applyFont="1" applyFill="1" applyBorder="1" applyAlignment="1" applyProtection="1">
      <alignment vertical="center" wrapText="1"/>
    </xf>
    <xf numFmtId="168" fontId="36" fillId="34" borderId="101" xfId="0" applyNumberFormat="1" applyFont="1" applyFill="1" applyBorder="1" applyAlignment="1" applyProtection="1">
      <alignment vertical="center" wrapText="1"/>
    </xf>
    <xf numFmtId="168" fontId="36" fillId="0" borderId="0" xfId="0" applyNumberFormat="1" applyFont="1" applyFill="1" applyBorder="1" applyAlignment="1" applyProtection="1">
      <alignment vertical="center"/>
    </xf>
    <xf numFmtId="0" fontId="36" fillId="26" borderId="12" xfId="0" applyNumberFormat="1" applyFont="1" applyFill="1" applyBorder="1" applyAlignment="1" applyProtection="1">
      <alignment horizontal="left" vertical="center"/>
    </xf>
    <xf numFmtId="0" fontId="36" fillId="26" borderId="19" xfId="0" applyFont="1" applyFill="1" applyBorder="1" applyAlignment="1">
      <alignment horizontal="left" vertical="center"/>
    </xf>
    <xf numFmtId="2" fontId="36" fillId="26" borderId="17" xfId="0" applyNumberFormat="1" applyFont="1" applyFill="1" applyBorder="1" applyAlignment="1">
      <alignment vertical="center" wrapText="1"/>
    </xf>
    <xf numFmtId="2" fontId="36" fillId="26" borderId="19" xfId="0" applyNumberFormat="1" applyFont="1" applyFill="1" applyBorder="1" applyAlignment="1">
      <alignment vertical="center" wrapText="1"/>
    </xf>
    <xf numFmtId="2" fontId="36" fillId="26" borderId="12" xfId="0" applyNumberFormat="1" applyFont="1" applyFill="1" applyBorder="1" applyAlignment="1">
      <alignment vertical="center" wrapText="1"/>
    </xf>
    <xf numFmtId="2" fontId="36" fillId="26" borderId="1" xfId="0" applyNumberFormat="1" applyFont="1" applyFill="1" applyBorder="1" applyAlignment="1">
      <alignment vertical="center" wrapText="1"/>
    </xf>
    <xf numFmtId="1" fontId="36" fillId="26" borderId="1" xfId="0" applyNumberFormat="1" applyFont="1" applyFill="1" applyBorder="1" applyAlignment="1">
      <alignment vertical="center" wrapText="1"/>
    </xf>
    <xf numFmtId="1" fontId="36" fillId="26" borderId="12" xfId="0" applyNumberFormat="1" applyFont="1" applyFill="1" applyBorder="1" applyAlignment="1">
      <alignment vertical="center" wrapText="1"/>
    </xf>
    <xf numFmtId="1" fontId="36" fillId="26" borderId="19" xfId="0" applyNumberFormat="1" applyFont="1" applyFill="1" applyBorder="1" applyAlignment="1">
      <alignment vertical="center" wrapText="1"/>
    </xf>
    <xf numFmtId="0" fontId="36" fillId="26" borderId="23" xfId="0" applyNumberFormat="1" applyFont="1" applyFill="1" applyBorder="1" applyAlignment="1" applyProtection="1">
      <alignment horizontal="left" vertical="center"/>
    </xf>
    <xf numFmtId="0" fontId="36" fillId="26" borderId="153" xfId="0" applyFont="1" applyFill="1" applyBorder="1" applyAlignment="1">
      <alignment vertical="center"/>
    </xf>
    <xf numFmtId="2" fontId="36" fillId="26" borderId="16" xfId="0" applyNumberFormat="1" applyFont="1" applyFill="1" applyBorder="1" applyAlignment="1" applyProtection="1">
      <alignment vertical="center"/>
    </xf>
    <xf numFmtId="2" fontId="36" fillId="26" borderId="153" xfId="0" applyNumberFormat="1" applyFont="1" applyFill="1" applyBorder="1" applyAlignment="1" applyProtection="1">
      <alignment vertical="center"/>
    </xf>
    <xf numFmtId="2" fontId="36" fillId="26" borderId="23" xfId="0" applyNumberFormat="1" applyFont="1" applyFill="1" applyBorder="1" applyAlignment="1" applyProtection="1">
      <alignment vertical="center"/>
    </xf>
    <xf numFmtId="2" fontId="36" fillId="26" borderId="72" xfId="0" applyNumberFormat="1" applyFont="1" applyFill="1" applyBorder="1" applyAlignment="1" applyProtection="1">
      <alignment vertical="center"/>
    </xf>
    <xf numFmtId="1" fontId="36" fillId="26" borderId="72" xfId="0" applyNumberFormat="1" applyFont="1" applyFill="1" applyBorder="1" applyAlignment="1" applyProtection="1">
      <alignment vertical="center"/>
    </xf>
    <xf numFmtId="1" fontId="36" fillId="26" borderId="23" xfId="0" applyNumberFormat="1" applyFont="1" applyFill="1" applyBorder="1" applyAlignment="1" applyProtection="1">
      <alignment vertical="center"/>
    </xf>
    <xf numFmtId="1" fontId="36" fillId="26" borderId="153" xfId="0" applyNumberFormat="1" applyFont="1" applyFill="1" applyBorder="1" applyAlignment="1" applyProtection="1">
      <alignment vertical="center"/>
    </xf>
    <xf numFmtId="0" fontId="50" fillId="26" borderId="24" xfId="0" applyNumberFormat="1" applyFont="1" applyFill="1" applyBorder="1" applyAlignment="1" applyProtection="1">
      <alignment vertical="center"/>
    </xf>
    <xf numFmtId="0" fontId="36" fillId="26" borderId="113" xfId="0" applyFont="1" applyFill="1" applyBorder="1" applyAlignment="1">
      <alignment vertical="center"/>
    </xf>
    <xf numFmtId="1" fontId="36" fillId="26" borderId="0" xfId="0" applyNumberFormat="1" applyFont="1" applyFill="1" applyBorder="1" applyAlignment="1" applyProtection="1">
      <alignment vertical="center"/>
    </xf>
    <xf numFmtId="1" fontId="36" fillId="26" borderId="113" xfId="0" applyNumberFormat="1" applyFont="1" applyFill="1" applyBorder="1" applyAlignment="1" applyProtection="1">
      <alignment vertical="center"/>
    </xf>
    <xf numFmtId="1" fontId="36" fillId="26" borderId="24" xfId="0" applyNumberFormat="1" applyFont="1" applyFill="1" applyBorder="1" applyAlignment="1" applyProtection="1">
      <alignment vertical="center"/>
    </xf>
    <xf numFmtId="1" fontId="36" fillId="26" borderId="101" xfId="0" applyNumberFormat="1" applyFont="1" applyFill="1" applyBorder="1" applyAlignment="1" applyProtection="1">
      <alignment vertical="center"/>
    </xf>
    <xf numFmtId="1" fontId="36" fillId="34" borderId="0" xfId="0" applyNumberFormat="1" applyFont="1" applyFill="1" applyBorder="1" applyAlignment="1" applyProtection="1">
      <alignment vertical="center"/>
    </xf>
    <xf numFmtId="1" fontId="36" fillId="34" borderId="113" xfId="0" applyNumberFormat="1" applyFont="1" applyFill="1" applyBorder="1" applyAlignment="1" applyProtection="1">
      <alignment vertical="center"/>
    </xf>
    <xf numFmtId="1" fontId="36" fillId="34" borderId="24" xfId="0" applyNumberFormat="1" applyFont="1" applyFill="1" applyBorder="1" applyAlignment="1" applyProtection="1">
      <alignment vertical="center"/>
    </xf>
    <xf numFmtId="1" fontId="36" fillId="34" borderId="101" xfId="0" applyNumberFormat="1" applyFont="1" applyFill="1" applyBorder="1" applyAlignment="1" applyProtection="1">
      <alignment vertical="center"/>
    </xf>
    <xf numFmtId="0" fontId="36" fillId="26" borderId="18" xfId="0" applyNumberFormat="1" applyFont="1" applyFill="1" applyBorder="1" applyAlignment="1" applyProtection="1">
      <alignment vertical="center"/>
    </xf>
    <xf numFmtId="0" fontId="36" fillId="26" borderId="20" xfId="0" applyNumberFormat="1" applyFont="1" applyFill="1" applyBorder="1" applyAlignment="1" applyProtection="1">
      <alignment horizontal="left" vertical="center"/>
    </xf>
    <xf numFmtId="1" fontId="36" fillId="26" borderId="26" xfId="0" applyNumberFormat="1" applyFont="1" applyFill="1" applyBorder="1" applyAlignment="1" applyProtection="1">
      <alignment horizontal="right" vertical="center"/>
    </xf>
    <xf numFmtId="1" fontId="36" fillId="26" borderId="20" xfId="0" applyNumberFormat="1" applyFont="1" applyFill="1" applyBorder="1" applyAlignment="1" applyProtection="1">
      <alignment horizontal="right" vertical="center"/>
    </xf>
    <xf numFmtId="0" fontId="43" fillId="0" borderId="0" xfId="0" applyNumberFormat="1" applyFont="1" applyFill="1" applyBorder="1" applyAlignment="1" applyProtection="1">
      <alignment horizontal="left" vertical="center"/>
    </xf>
    <xf numFmtId="0" fontId="36" fillId="47" borderId="0" xfId="0" applyNumberFormat="1" applyFont="1" applyFill="1" applyBorder="1" applyAlignment="1" applyProtection="1">
      <alignment horizontal="center" vertical="center"/>
    </xf>
    <xf numFmtId="0" fontId="36" fillId="28" borderId="0" xfId="0" applyNumberFormat="1" applyFont="1" applyFill="1" applyBorder="1" applyAlignment="1" applyProtection="1">
      <alignment horizontal="center" vertical="center"/>
    </xf>
    <xf numFmtId="2" fontId="36" fillId="0" borderId="0" xfId="0" applyNumberFormat="1" applyFont="1" applyFill="1" applyBorder="1" applyAlignment="1" applyProtection="1">
      <alignment vertical="center"/>
    </xf>
    <xf numFmtId="0" fontId="37" fillId="27" borderId="0" xfId="0" applyNumberFormat="1" applyFont="1" applyFill="1" applyBorder="1" applyAlignment="1" applyProtection="1">
      <alignment horizontal="left" vertical="center"/>
    </xf>
    <xf numFmtId="0" fontId="36" fillId="26" borderId="0" xfId="0" applyNumberFormat="1" applyFont="1" applyFill="1" applyBorder="1" applyAlignment="1" applyProtection="1">
      <alignment horizontal="left" vertical="center"/>
    </xf>
    <xf numFmtId="1" fontId="36" fillId="42" borderId="0" xfId="0" applyNumberFormat="1" applyFont="1" applyFill="1" applyBorder="1" applyAlignment="1">
      <alignment horizontal="right" vertical="center"/>
    </xf>
    <xf numFmtId="1" fontId="36" fillId="34" borderId="0" xfId="0" applyNumberFormat="1" applyFont="1" applyFill="1" applyBorder="1" applyAlignment="1">
      <alignment vertical="center"/>
    </xf>
    <xf numFmtId="1" fontId="36" fillId="34" borderId="0" xfId="0" applyNumberFormat="1" applyFont="1" applyFill="1" applyBorder="1" applyAlignment="1">
      <alignment horizontal="right" vertical="center"/>
    </xf>
    <xf numFmtId="1" fontId="36" fillId="42" borderId="0" xfId="0" applyNumberFormat="1" applyFont="1" applyFill="1" applyBorder="1" applyAlignment="1">
      <alignment vertical="center"/>
    </xf>
    <xf numFmtId="1" fontId="36" fillId="35" borderId="0" xfId="0" applyNumberFormat="1" applyFont="1" applyFill="1" applyBorder="1" applyAlignment="1">
      <alignment horizontal="right" vertical="center"/>
    </xf>
    <xf numFmtId="166" fontId="36" fillId="43" borderId="0" xfId="0" applyNumberFormat="1" applyFont="1" applyFill="1" applyBorder="1" applyAlignment="1">
      <alignment horizontal="right" vertical="center"/>
    </xf>
    <xf numFmtId="166" fontId="36" fillId="26" borderId="0" xfId="0" applyNumberFormat="1" applyFont="1" applyFill="1" applyBorder="1" applyAlignment="1" applyProtection="1">
      <alignment horizontal="right" vertical="center"/>
    </xf>
    <xf numFmtId="166" fontId="36" fillId="35" borderId="0" xfId="0" applyNumberFormat="1" applyFont="1" applyFill="1" applyBorder="1" applyAlignment="1">
      <alignment horizontal="right" vertical="center"/>
    </xf>
    <xf numFmtId="1" fontId="36" fillId="26" borderId="0" xfId="0" applyNumberFormat="1" applyFont="1" applyFill="1" applyBorder="1" applyAlignment="1" applyProtection="1">
      <alignment horizontal="right" vertical="center"/>
    </xf>
    <xf numFmtId="1" fontId="36" fillId="43" borderId="0" xfId="0" applyNumberFormat="1" applyFont="1" applyFill="1" applyBorder="1" applyAlignment="1">
      <alignment horizontal="right" vertical="center"/>
    </xf>
    <xf numFmtId="2" fontId="36" fillId="42" borderId="0" xfId="0" applyNumberFormat="1" applyFont="1" applyFill="1" applyBorder="1" applyAlignment="1">
      <alignment horizontal="right" vertical="center"/>
    </xf>
    <xf numFmtId="2" fontId="36" fillId="26" borderId="16" xfId="0" applyNumberFormat="1" applyFont="1" applyFill="1" applyBorder="1" applyAlignment="1" applyProtection="1">
      <alignment horizontal="right" vertical="center"/>
    </xf>
    <xf numFmtId="1" fontId="36" fillId="26" borderId="16" xfId="0" applyNumberFormat="1" applyFont="1" applyFill="1" applyBorder="1" applyAlignment="1" applyProtection="1">
      <alignment horizontal="right" vertical="center"/>
    </xf>
    <xf numFmtId="0" fontId="42" fillId="0" borderId="0" xfId="0" applyNumberFormat="1" applyFont="1" applyFill="1" applyBorder="1" applyAlignment="1" applyProtection="1">
      <alignment vertical="center"/>
    </xf>
    <xf numFmtId="0" fontId="36" fillId="47" borderId="0" xfId="0" quotePrefix="1" applyNumberFormat="1" applyFont="1" applyFill="1" applyBorder="1" applyAlignment="1" applyProtection="1">
      <alignment horizontal="center" vertical="center"/>
    </xf>
    <xf numFmtId="0" fontId="45" fillId="0" borderId="0" xfId="0" applyNumberFormat="1" applyFont="1" applyFill="1" applyBorder="1" applyAlignment="1" applyProtection="1">
      <alignment vertical="center"/>
    </xf>
    <xf numFmtId="0" fontId="36" fillId="28" borderId="0" xfId="0" quotePrefix="1" applyNumberFormat="1" applyFont="1" applyFill="1" applyBorder="1" applyAlignment="1" applyProtection="1">
      <alignment horizontal="center" vertical="center"/>
    </xf>
    <xf numFmtId="0" fontId="36" fillId="26" borderId="0" xfId="0" applyNumberFormat="1" applyFont="1" applyFill="1" applyBorder="1" applyAlignment="1" applyProtection="1">
      <alignment vertical="center"/>
    </xf>
    <xf numFmtId="1" fontId="36" fillId="23" borderId="0" xfId="0" applyNumberFormat="1" applyFont="1" applyFill="1" applyBorder="1" applyAlignment="1" applyProtection="1">
      <alignment horizontal="right" vertical="center" wrapText="1"/>
    </xf>
    <xf numFmtId="9" fontId="36" fillId="26" borderId="0" xfId="39" applyFont="1" applyFill="1" applyBorder="1" applyAlignment="1" applyProtection="1">
      <alignment horizontal="right" vertical="center"/>
    </xf>
    <xf numFmtId="9" fontId="36" fillId="29" borderId="0" xfId="39" applyFont="1" applyFill="1" applyBorder="1" applyAlignment="1" applyProtection="1">
      <alignment horizontal="right" vertical="center"/>
    </xf>
    <xf numFmtId="0" fontId="59" fillId="26" borderId="17" xfId="0" applyNumberFormat="1" applyFont="1" applyFill="1" applyBorder="1" applyAlignment="1" applyProtection="1">
      <alignment vertical="center"/>
      <protection locked="0"/>
    </xf>
    <xf numFmtId="9" fontId="43" fillId="26" borderId="17" xfId="39" applyFont="1" applyFill="1" applyBorder="1" applyAlignment="1" applyProtection="1">
      <alignment horizontal="right" vertical="center"/>
    </xf>
    <xf numFmtId="0" fontId="59" fillId="26" borderId="0" xfId="0" applyNumberFormat="1" applyFont="1" applyFill="1" applyBorder="1" applyAlignment="1" applyProtection="1">
      <alignment vertical="center"/>
      <protection locked="0"/>
    </xf>
    <xf numFmtId="9" fontId="36" fillId="36" borderId="0" xfId="39" applyFont="1" applyFill="1" applyBorder="1" applyAlignment="1" applyProtection="1">
      <alignment horizontal="right" vertical="center"/>
    </xf>
    <xf numFmtId="0" fontId="36" fillId="26" borderId="0" xfId="0" applyNumberFormat="1" applyFont="1" applyFill="1" applyBorder="1" applyAlignment="1" applyProtection="1">
      <alignment vertical="center" wrapText="1"/>
    </xf>
    <xf numFmtId="0" fontId="36" fillId="26" borderId="0" xfId="0" quotePrefix="1" applyNumberFormat="1" applyFont="1" applyFill="1" applyBorder="1" applyAlignment="1" applyProtection="1">
      <alignment horizontal="left" vertical="center"/>
    </xf>
    <xf numFmtId="1" fontId="36" fillId="30" borderId="0" xfId="0" applyNumberFormat="1" applyFont="1" applyFill="1" applyBorder="1" applyAlignment="1" applyProtection="1">
      <alignment horizontal="right" vertical="center"/>
    </xf>
    <xf numFmtId="1" fontId="36" fillId="23" borderId="0" xfId="0" applyNumberFormat="1" applyFont="1" applyFill="1" applyBorder="1" applyAlignment="1" applyProtection="1">
      <alignment horizontal="right" vertical="center"/>
    </xf>
    <xf numFmtId="2" fontId="36" fillId="30" borderId="0" xfId="0" applyNumberFormat="1" applyFont="1" applyFill="1" applyBorder="1" applyAlignment="1" applyProtection="1">
      <alignment horizontal="right" vertical="center"/>
    </xf>
    <xf numFmtId="2" fontId="36" fillId="26" borderId="0" xfId="0" applyNumberFormat="1" applyFont="1" applyFill="1" applyBorder="1" applyAlignment="1" applyProtection="1">
      <alignment horizontal="right" vertical="center"/>
    </xf>
    <xf numFmtId="0" fontId="36" fillId="26" borderId="17" xfId="0" applyNumberFormat="1" applyFont="1" applyFill="1" applyBorder="1" applyAlignment="1" applyProtection="1">
      <alignment horizontal="left" vertical="center"/>
    </xf>
    <xf numFmtId="0" fontId="36" fillId="26" borderId="17" xfId="0" applyNumberFormat="1" applyFont="1" applyFill="1" applyBorder="1" applyAlignment="1" applyProtection="1">
      <alignment horizontal="left" vertical="center" wrapText="1"/>
    </xf>
    <xf numFmtId="2" fontId="36" fillId="30" borderId="17" xfId="0" applyNumberFormat="1" applyFont="1" applyFill="1" applyBorder="1" applyAlignment="1" applyProtection="1">
      <alignment horizontal="right" vertical="center"/>
    </xf>
    <xf numFmtId="2" fontId="36" fillId="26" borderId="17" xfId="0" applyNumberFormat="1" applyFont="1" applyFill="1" applyBorder="1" applyAlignment="1" applyProtection="1">
      <alignment horizontal="right" vertical="center"/>
    </xf>
    <xf numFmtId="1" fontId="36" fillId="0" borderId="0" xfId="0" applyNumberFormat="1" applyFont="1" applyFill="1" applyBorder="1" applyAlignment="1" applyProtection="1">
      <alignment vertical="center"/>
    </xf>
    <xf numFmtId="0" fontId="39" fillId="0" borderId="18" xfId="0" applyNumberFormat="1" applyFont="1" applyFill="1" applyBorder="1" applyAlignment="1" applyProtection="1">
      <alignment vertical="center"/>
    </xf>
    <xf numFmtId="0" fontId="36" fillId="0" borderId="18" xfId="0" applyNumberFormat="1" applyFont="1" applyFill="1" applyBorder="1" applyAlignment="1" applyProtection="1">
      <alignment vertical="center"/>
    </xf>
    <xf numFmtId="0" fontId="39" fillId="0" borderId="17" xfId="0" applyNumberFormat="1" applyFont="1" applyFill="1" applyBorder="1" applyAlignment="1" applyProtection="1">
      <alignment vertical="center"/>
    </xf>
    <xf numFmtId="0" fontId="36" fillId="0" borderId="17" xfId="0" applyNumberFormat="1" applyFont="1" applyFill="1" applyBorder="1" applyAlignment="1" applyProtection="1">
      <alignment vertical="center"/>
    </xf>
    <xf numFmtId="0" fontId="40" fillId="26" borderId="17" xfId="0" applyNumberFormat="1" applyFont="1" applyFill="1" applyBorder="1" applyAlignment="1" applyProtection="1">
      <alignment vertical="center"/>
    </xf>
    <xf numFmtId="0" fontId="39" fillId="26" borderId="17" xfId="0" applyNumberFormat="1" applyFont="1" applyFill="1" applyBorder="1" applyAlignment="1" applyProtection="1">
      <alignment vertical="center"/>
    </xf>
    <xf numFmtId="166" fontId="36" fillId="26" borderId="15" xfId="0" applyNumberFormat="1" applyFont="1" applyFill="1" applyBorder="1" applyAlignment="1" applyProtection="1">
      <alignment vertical="center"/>
    </xf>
    <xf numFmtId="166" fontId="36" fillId="26" borderId="0" xfId="0" applyNumberFormat="1" applyFont="1" applyFill="1" applyBorder="1" applyAlignment="1" applyProtection="1">
      <alignment vertical="center"/>
    </xf>
    <xf numFmtId="0" fontId="36" fillId="31" borderId="0" xfId="0" applyNumberFormat="1" applyFont="1" applyFill="1" applyBorder="1" applyAlignment="1" applyProtection="1">
      <alignment vertical="center"/>
    </xf>
    <xf numFmtId="166" fontId="36" fillId="0" borderId="0" xfId="0" applyNumberFormat="1" applyFont="1" applyFill="1" applyBorder="1" applyAlignment="1" applyProtection="1">
      <alignment vertical="center"/>
    </xf>
    <xf numFmtId="0" fontId="60" fillId="36" borderId="0" xfId="0" applyFont="1" applyFill="1"/>
    <xf numFmtId="0" fontId="36" fillId="36" borderId="0" xfId="0" applyFont="1" applyFill="1"/>
    <xf numFmtId="0" fontId="36" fillId="0" borderId="0" xfId="0" applyFont="1" applyFill="1"/>
    <xf numFmtId="0" fontId="47" fillId="0" borderId="0" xfId="0" applyFont="1" applyFill="1"/>
    <xf numFmtId="0" fontId="36" fillId="0" borderId="17" xfId="0" applyFont="1" applyBorder="1"/>
    <xf numFmtId="0" fontId="58" fillId="0" borderId="12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58" fillId="0" borderId="0" xfId="0" applyFont="1" applyFill="1" applyBorder="1" applyAlignment="1">
      <alignment wrapText="1"/>
    </xf>
    <xf numFmtId="0" fontId="36" fillId="0" borderId="16" xfId="0" applyFont="1" applyFill="1" applyBorder="1" applyAlignment="1">
      <alignment vertical="center"/>
    </xf>
    <xf numFmtId="0" fontId="36" fillId="38" borderId="16" xfId="0" applyFont="1" applyFill="1" applyBorder="1" applyAlignment="1">
      <alignment horizontal="center" wrapText="1"/>
    </xf>
    <xf numFmtId="0" fontId="36" fillId="39" borderId="23" xfId="0" applyFont="1" applyFill="1" applyBorder="1" applyAlignment="1">
      <alignment horizontal="center" wrapText="1"/>
    </xf>
    <xf numFmtId="0" fontId="36" fillId="0" borderId="0" xfId="0" applyFont="1" applyFill="1" applyBorder="1" applyAlignment="1">
      <alignment horizontal="center" wrapText="1"/>
    </xf>
    <xf numFmtId="0" fontId="36" fillId="38" borderId="0" xfId="0" applyFont="1" applyFill="1" applyBorder="1" applyAlignment="1">
      <alignment horizontal="center" wrapText="1"/>
    </xf>
    <xf numFmtId="2" fontId="58" fillId="0" borderId="0" xfId="0" applyNumberFormat="1" applyFont="1"/>
    <xf numFmtId="0" fontId="36" fillId="0" borderId="0" xfId="0" applyFont="1" applyFill="1" applyBorder="1" applyAlignment="1">
      <alignment horizontal="left"/>
    </xf>
    <xf numFmtId="1" fontId="36" fillId="0" borderId="0" xfId="0" applyNumberFormat="1" applyFont="1" applyFill="1" applyBorder="1" applyAlignment="1">
      <alignment horizontal="right"/>
    </xf>
    <xf numFmtId="2" fontId="36" fillId="0" borderId="15" xfId="0" applyNumberFormat="1" applyFont="1" applyBorder="1"/>
    <xf numFmtId="0" fontId="36" fillId="0" borderId="15" xfId="0" applyFont="1" applyFill="1" applyBorder="1" applyAlignment="1">
      <alignment horizontal="left"/>
    </xf>
    <xf numFmtId="1" fontId="36" fillId="41" borderId="25" xfId="0" applyNumberFormat="1" applyFont="1" applyFill="1" applyBorder="1" applyAlignment="1">
      <alignment horizontal="right"/>
    </xf>
    <xf numFmtId="2" fontId="36" fillId="36" borderId="0" xfId="0" applyNumberFormat="1" applyFont="1" applyFill="1" applyBorder="1"/>
    <xf numFmtId="1" fontId="36" fillId="41" borderId="24" xfId="0" applyNumberFormat="1" applyFont="1" applyFill="1" applyBorder="1" applyAlignment="1">
      <alignment horizontal="right"/>
    </xf>
    <xf numFmtId="2" fontId="58" fillId="0" borderId="0" xfId="0" applyNumberFormat="1" applyFont="1" applyFill="1" applyBorder="1"/>
    <xf numFmtId="0" fontId="36" fillId="0" borderId="18" xfId="0" applyFont="1" applyFill="1" applyBorder="1" applyAlignment="1">
      <alignment horizontal="left"/>
    </xf>
    <xf numFmtId="1" fontId="36" fillId="41" borderId="26" xfId="0" applyNumberFormat="1" applyFont="1" applyFill="1" applyBorder="1" applyAlignment="1">
      <alignment horizontal="right"/>
    </xf>
    <xf numFmtId="0" fontId="36" fillId="0" borderId="0" xfId="0" applyFont="1" applyFill="1" applyBorder="1"/>
    <xf numFmtId="165" fontId="36" fillId="36" borderId="0" xfId="0" applyNumberFormat="1" applyFont="1" applyFill="1"/>
    <xf numFmtId="0" fontId="58" fillId="0" borderId="0" xfId="0" applyFont="1" applyFill="1" applyBorder="1" applyAlignment="1">
      <alignment horizontal="left"/>
    </xf>
    <xf numFmtId="2" fontId="57" fillId="7" borderId="2" xfId="34" applyNumberFormat="1" applyFont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9" fontId="36" fillId="36" borderId="0" xfId="39" applyFont="1" applyFill="1"/>
    <xf numFmtId="2" fontId="61" fillId="21" borderId="2" xfId="26" applyNumberFormat="1" applyFont="1" applyAlignment="1">
      <alignment horizontal="right"/>
    </xf>
    <xf numFmtId="1" fontId="36" fillId="0" borderId="0" xfId="0" applyNumberFormat="1" applyFont="1" applyFill="1" applyBorder="1" applyAlignment="1">
      <alignment horizontal="left"/>
    </xf>
    <xf numFmtId="2" fontId="36" fillId="0" borderId="0" xfId="0" applyNumberFormat="1" applyFont="1" applyFill="1" applyBorder="1" applyAlignment="1">
      <alignment horizontal="left"/>
    </xf>
    <xf numFmtId="166" fontId="36" fillId="0" borderId="0" xfId="0" applyNumberFormat="1" applyFont="1" applyFill="1" applyBorder="1" applyAlignment="1">
      <alignment horizontal="right"/>
    </xf>
    <xf numFmtId="2" fontId="36" fillId="0" borderId="0" xfId="0" applyNumberFormat="1" applyFont="1"/>
    <xf numFmtId="2" fontId="36" fillId="0" borderId="0" xfId="0" applyNumberFormat="1" applyFont="1" applyAlignment="1">
      <alignment horizontal="left"/>
    </xf>
    <xf numFmtId="172" fontId="36" fillId="44" borderId="0" xfId="0" quotePrefix="1" applyNumberFormat="1" applyFont="1" applyFill="1"/>
    <xf numFmtId="172" fontId="36" fillId="44" borderId="0" xfId="0" applyNumberFormat="1" applyFont="1" applyFill="1"/>
    <xf numFmtId="172" fontId="42" fillId="28" borderId="17" xfId="0" applyNumberFormat="1" applyFont="1" applyFill="1" applyBorder="1" applyAlignment="1" applyProtection="1"/>
    <xf numFmtId="172" fontId="39" fillId="26" borderId="18" xfId="0" applyNumberFormat="1" applyFont="1" applyFill="1" applyBorder="1" applyAlignment="1" applyProtection="1"/>
    <xf numFmtId="172" fontId="39" fillId="26" borderId="0" xfId="0" applyNumberFormat="1" applyFont="1" applyFill="1" applyBorder="1" applyAlignment="1" applyProtection="1"/>
    <xf numFmtId="172" fontId="36" fillId="28" borderId="18" xfId="0" applyNumberFormat="1" applyFont="1" applyFill="1" applyBorder="1" applyAlignment="1" applyProtection="1"/>
    <xf numFmtId="172" fontId="36" fillId="26" borderId="17" xfId="0" applyNumberFormat="1" applyFont="1" applyFill="1" applyBorder="1" applyAlignment="1" applyProtection="1"/>
    <xf numFmtId="172" fontId="42" fillId="26" borderId="17" xfId="0" applyNumberFormat="1" applyFont="1" applyFill="1" applyBorder="1" applyAlignment="1" applyProtection="1"/>
    <xf numFmtId="172" fontId="42" fillId="28" borderId="17" xfId="0" quotePrefix="1" applyNumberFormat="1" applyFont="1" applyFill="1" applyBorder="1" applyAlignment="1" applyProtection="1">
      <alignment horizontal="left"/>
    </xf>
    <xf numFmtId="172" fontId="62" fillId="26" borderId="17" xfId="0" applyNumberFormat="1" applyFont="1" applyFill="1" applyBorder="1" applyAlignment="1" applyProtection="1"/>
    <xf numFmtId="172" fontId="42" fillId="28" borderId="18" xfId="0" quotePrefix="1" applyNumberFormat="1" applyFont="1" applyFill="1" applyBorder="1" applyAlignment="1" applyProtection="1">
      <alignment horizontal="left"/>
    </xf>
    <xf numFmtId="172" fontId="36" fillId="26" borderId="18" xfId="0" applyNumberFormat="1" applyFont="1" applyFill="1" applyBorder="1" applyAlignment="1" applyProtection="1"/>
    <xf numFmtId="172" fontId="36" fillId="26" borderId="0" xfId="0" applyNumberFormat="1" applyFont="1" applyFill="1" applyBorder="1" applyAlignment="1" applyProtection="1"/>
    <xf numFmtId="172" fontId="42" fillId="26" borderId="18" xfId="0" applyNumberFormat="1" applyFont="1" applyFill="1" applyBorder="1" applyAlignment="1" applyProtection="1"/>
    <xf numFmtId="172" fontId="42" fillId="28" borderId="18" xfId="0" applyNumberFormat="1" applyFont="1" applyFill="1" applyBorder="1" applyAlignment="1" applyProtection="1"/>
    <xf numFmtId="172" fontId="42" fillId="28" borderId="18" xfId="0" applyNumberFormat="1" applyFont="1" applyFill="1" applyBorder="1" applyAlignment="1" applyProtection="1">
      <alignment horizontal="left"/>
    </xf>
    <xf numFmtId="172" fontId="62" fillId="26" borderId="18" xfId="0" applyNumberFormat="1" applyFont="1" applyFill="1" applyBorder="1" applyAlignment="1" applyProtection="1"/>
    <xf numFmtId="172" fontId="63" fillId="26" borderId="0" xfId="0" applyNumberFormat="1" applyFont="1" applyFill="1" applyBorder="1" applyAlignment="1" applyProtection="1"/>
    <xf numFmtId="172" fontId="36" fillId="28" borderId="0" xfId="0" applyNumberFormat="1" applyFont="1" applyFill="1" applyBorder="1" applyAlignment="1" applyProtection="1">
      <alignment horizontal="left" vertical="center" wrapText="1"/>
    </xf>
    <xf numFmtId="172" fontId="42" fillId="28" borderId="0" xfId="0" quotePrefix="1" applyNumberFormat="1" applyFont="1" applyFill="1" applyBorder="1" applyAlignment="1" applyProtection="1">
      <alignment horizontal="left"/>
    </xf>
    <xf numFmtId="172" fontId="36" fillId="26" borderId="0" xfId="0" applyNumberFormat="1" applyFont="1" applyFill="1" applyBorder="1" applyAlignment="1" applyProtection="1">
      <alignment horizontal="left" vertical="center" wrapText="1"/>
    </xf>
    <xf numFmtId="172" fontId="42" fillId="26" borderId="0" xfId="0" applyNumberFormat="1" applyFont="1" applyFill="1" applyBorder="1" applyAlignment="1">
      <alignment horizontal="left"/>
    </xf>
    <xf numFmtId="172" fontId="42" fillId="26" borderId="0" xfId="0" applyNumberFormat="1" applyFont="1" applyFill="1" applyBorder="1"/>
    <xf numFmtId="172" fontId="42" fillId="28" borderId="0" xfId="0" applyNumberFormat="1" applyFont="1" applyFill="1" applyBorder="1" applyAlignment="1" applyProtection="1">
      <alignment horizontal="left"/>
    </xf>
    <xf numFmtId="172" fontId="42" fillId="28" borderId="0" xfId="0" applyNumberFormat="1" applyFont="1" applyFill="1" applyBorder="1" applyAlignment="1" applyProtection="1"/>
    <xf numFmtId="172" fontId="42" fillId="26" borderId="0" xfId="0" applyNumberFormat="1" applyFont="1" applyFill="1" applyBorder="1" applyAlignment="1" applyProtection="1"/>
    <xf numFmtId="172" fontId="36" fillId="28" borderId="0" xfId="0" applyNumberFormat="1" applyFont="1" applyFill="1" applyBorder="1" applyAlignment="1" applyProtection="1"/>
    <xf numFmtId="172" fontId="42" fillId="26" borderId="0" xfId="0" applyNumberFormat="1" applyFont="1" applyFill="1" applyBorder="1" applyAlignment="1" applyProtection="1">
      <alignment horizontal="left"/>
    </xf>
    <xf numFmtId="172" fontId="62" fillId="26" borderId="0" xfId="0" applyNumberFormat="1" applyFont="1" applyFill="1" applyBorder="1" applyAlignment="1" applyProtection="1"/>
    <xf numFmtId="172" fontId="42" fillId="26" borderId="22" xfId="0" quotePrefix="1" applyNumberFormat="1" applyFont="1" applyFill="1" applyBorder="1" applyAlignment="1" applyProtection="1"/>
    <xf numFmtId="172" fontId="42" fillId="26" borderId="0" xfId="0" quotePrefix="1" applyNumberFormat="1" applyFont="1" applyFill="1" applyBorder="1" applyAlignment="1" applyProtection="1"/>
    <xf numFmtId="172" fontId="42" fillId="28" borderId="0" xfId="0" quotePrefix="1" applyNumberFormat="1" applyFont="1" applyFill="1" applyBorder="1" applyAlignment="1" applyProtection="1"/>
    <xf numFmtId="172" fontId="42" fillId="26" borderId="0" xfId="0" quotePrefix="1" applyNumberFormat="1" applyFont="1" applyFill="1" applyBorder="1" applyAlignment="1" applyProtection="1">
      <alignment horizontal="left"/>
    </xf>
    <xf numFmtId="172" fontId="62" fillId="26" borderId="0" xfId="0" quotePrefix="1" applyNumberFormat="1" applyFont="1" applyFill="1" applyBorder="1" applyAlignment="1" applyProtection="1"/>
    <xf numFmtId="172" fontId="36" fillId="26" borderId="16" xfId="0" applyNumberFormat="1" applyFont="1" applyFill="1" applyBorder="1" applyAlignment="1" applyProtection="1">
      <alignment horizontal="center"/>
    </xf>
    <xf numFmtId="172" fontId="36" fillId="26" borderId="16" xfId="0" applyNumberFormat="1" applyFont="1" applyFill="1" applyBorder="1" applyAlignment="1" applyProtection="1"/>
    <xf numFmtId="172" fontId="39" fillId="0" borderId="0" xfId="0" applyNumberFormat="1" applyFont="1" applyFill="1" applyBorder="1" applyAlignment="1" applyProtection="1"/>
    <xf numFmtId="172" fontId="36" fillId="0" borderId="0" xfId="0" applyNumberFormat="1" applyFont="1" applyFill="1" applyBorder="1" applyAlignment="1" applyProtection="1"/>
    <xf numFmtId="172" fontId="37" fillId="27" borderId="0" xfId="0" applyNumberFormat="1" applyFont="1" applyFill="1" applyBorder="1" applyAlignment="1" applyProtection="1"/>
    <xf numFmtId="172" fontId="36" fillId="0" borderId="15" xfId="0" applyNumberFormat="1" applyFont="1" applyFill="1" applyBorder="1"/>
    <xf numFmtId="172" fontId="36" fillId="0" borderId="15" xfId="0" quotePrefix="1" applyNumberFormat="1" applyFont="1" applyFill="1" applyBorder="1"/>
    <xf numFmtId="172" fontId="36" fillId="0" borderId="0" xfId="0" applyNumberFormat="1" applyFont="1" applyFill="1" applyBorder="1"/>
    <xf numFmtId="172" fontId="36" fillId="0" borderId="18" xfId="0" applyNumberFormat="1" applyFont="1" applyFill="1" applyBorder="1"/>
    <xf numFmtId="172" fontId="36" fillId="0" borderId="18" xfId="0" quotePrefix="1" applyNumberFormat="1" applyFont="1" applyFill="1" applyBorder="1"/>
    <xf numFmtId="172" fontId="36" fillId="0" borderId="17" xfId="0" applyNumberFormat="1" applyFont="1" applyFill="1" applyBorder="1"/>
    <xf numFmtId="0" fontId="36" fillId="0" borderId="0" xfId="0" applyFont="1"/>
    <xf numFmtId="0" fontId="37" fillId="27" borderId="0" xfId="0" quotePrefix="1" applyFont="1" applyFill="1" applyAlignment="1">
      <alignment horizontal="left"/>
    </xf>
    <xf numFmtId="0" fontId="64" fillId="0" borderId="0" xfId="0" applyFont="1" applyFill="1"/>
    <xf numFmtId="0" fontId="64" fillId="0" borderId="0" xfId="0" applyFont="1"/>
    <xf numFmtId="172" fontId="56" fillId="45" borderId="15" xfId="0" applyNumberFormat="1" applyFont="1" applyFill="1" applyBorder="1"/>
    <xf numFmtId="172" fontId="56" fillId="45" borderId="0" xfId="0" applyNumberFormat="1" applyFont="1" applyFill="1"/>
    <xf numFmtId="0" fontId="56" fillId="45" borderId="15" xfId="0" applyFont="1" applyFill="1" applyBorder="1"/>
    <xf numFmtId="175" fontId="56" fillId="39" borderId="15" xfId="0" applyNumberFormat="1" applyFont="1" applyFill="1" applyBorder="1"/>
    <xf numFmtId="166" fontId="56" fillId="39" borderId="15" xfId="0" applyNumberFormat="1" applyFont="1" applyFill="1" applyBorder="1"/>
    <xf numFmtId="2" fontId="56" fillId="50" borderId="15" xfId="0" applyNumberFormat="1" applyFont="1" applyFill="1" applyBorder="1"/>
    <xf numFmtId="10" fontId="56" fillId="45" borderId="15" xfId="39" applyNumberFormat="1" applyFont="1" applyFill="1" applyBorder="1"/>
    <xf numFmtId="164" fontId="56" fillId="50" borderId="15" xfId="0" applyNumberFormat="1" applyFont="1" applyFill="1" applyBorder="1"/>
    <xf numFmtId="166" fontId="56" fillId="45" borderId="15" xfId="0" applyNumberFormat="1" applyFont="1" applyFill="1" applyBorder="1"/>
    <xf numFmtId="0" fontId="56" fillId="50" borderId="15" xfId="0" applyFont="1" applyFill="1" applyBorder="1"/>
    <xf numFmtId="0" fontId="56" fillId="45" borderId="0" xfId="0" applyFont="1" applyFill="1" applyBorder="1"/>
    <xf numFmtId="166" fontId="56" fillId="39" borderId="0" xfId="0" applyNumberFormat="1" applyFont="1" applyFill="1" applyBorder="1"/>
    <xf numFmtId="2" fontId="56" fillId="50" borderId="0" xfId="0" applyNumberFormat="1" applyFont="1" applyFill="1" applyBorder="1"/>
    <xf numFmtId="0" fontId="56" fillId="45" borderId="18" xfId="0" applyFont="1" applyFill="1" applyBorder="1"/>
    <xf numFmtId="166" fontId="56" fillId="39" borderId="18" xfId="0" applyNumberFormat="1" applyFont="1" applyFill="1" applyBorder="1"/>
    <xf numFmtId="2" fontId="56" fillId="50" borderId="18" xfId="0" applyNumberFormat="1" applyFont="1" applyFill="1" applyBorder="1"/>
    <xf numFmtId="0" fontId="56" fillId="45" borderId="0" xfId="0" applyFont="1" applyFill="1"/>
    <xf numFmtId="2" fontId="36" fillId="40" borderId="15" xfId="0" applyNumberFormat="1" applyFont="1" applyFill="1" applyBorder="1" applyAlignment="1">
      <alignment horizontal="right"/>
    </xf>
    <xf numFmtId="2" fontId="36" fillId="40" borderId="15" xfId="0" applyNumberFormat="1" applyFont="1" applyFill="1" applyBorder="1"/>
    <xf numFmtId="2" fontId="36" fillId="40" borderId="0" xfId="0" applyNumberFormat="1" applyFont="1" applyFill="1" applyBorder="1" applyAlignment="1">
      <alignment horizontal="right"/>
    </xf>
    <xf numFmtId="2" fontId="36" fillId="40" borderId="0" xfId="0" applyNumberFormat="1" applyFont="1" applyFill="1" applyBorder="1"/>
    <xf numFmtId="2" fontId="36" fillId="36" borderId="0" xfId="0" applyNumberFormat="1" applyFont="1" applyFill="1" applyBorder="1" applyAlignment="1">
      <alignment horizontal="right"/>
    </xf>
    <xf numFmtId="2" fontId="36" fillId="36" borderId="18" xfId="0" applyNumberFormat="1" applyFont="1" applyFill="1" applyBorder="1" applyAlignment="1">
      <alignment horizontal="right"/>
    </xf>
    <xf numFmtId="2" fontId="36" fillId="40" borderId="18" xfId="0" applyNumberFormat="1" applyFont="1" applyFill="1" applyBorder="1" applyAlignment="1">
      <alignment horizontal="right"/>
    </xf>
    <xf numFmtId="2" fontId="36" fillId="40" borderId="18" xfId="0" applyNumberFormat="1" applyFont="1" applyFill="1" applyBorder="1"/>
    <xf numFmtId="172" fontId="56" fillId="45" borderId="0" xfId="0" applyNumberFormat="1" applyFont="1" applyFill="1" applyBorder="1"/>
    <xf numFmtId="9" fontId="56" fillId="45" borderId="15" xfId="39" applyFont="1" applyFill="1" applyBorder="1"/>
    <xf numFmtId="9" fontId="56" fillId="45" borderId="0" xfId="39" applyFont="1" applyFill="1" applyBorder="1"/>
    <xf numFmtId="9" fontId="56" fillId="45" borderId="0" xfId="39" applyFont="1" applyFill="1"/>
    <xf numFmtId="9" fontId="56" fillId="45" borderId="18" xfId="39" applyFont="1" applyFill="1" applyBorder="1"/>
    <xf numFmtId="2" fontId="36" fillId="36" borderId="0" xfId="0" applyNumberFormat="1" applyFont="1" applyFill="1"/>
    <xf numFmtId="1" fontId="36" fillId="36" borderId="25" xfId="0" applyNumberFormat="1" applyFont="1" applyFill="1" applyBorder="1" applyAlignment="1">
      <alignment horizontal="right"/>
    </xf>
    <xf numFmtId="1" fontId="36" fillId="36" borderId="24" xfId="0" applyNumberFormat="1" applyFont="1" applyFill="1" applyBorder="1" applyAlignment="1">
      <alignment horizontal="right"/>
    </xf>
    <xf numFmtId="1" fontId="36" fillId="36" borderId="26" xfId="0" applyNumberFormat="1" applyFont="1" applyFill="1" applyBorder="1" applyAlignment="1">
      <alignment horizontal="right"/>
    </xf>
    <xf numFmtId="1" fontId="36" fillId="0" borderId="0" xfId="0" applyNumberFormat="1" applyFont="1" applyFill="1" applyBorder="1" applyAlignment="1" applyProtection="1"/>
    <xf numFmtId="0" fontId="42" fillId="0" borderId="0" xfId="0" applyNumberFormat="1" applyFont="1" applyFill="1" applyBorder="1" applyAlignment="1" applyProtection="1">
      <alignment horizontal="left"/>
    </xf>
    <xf numFmtId="2" fontId="36" fillId="0" borderId="0" xfId="0" applyNumberFormat="1" applyFont="1" applyFill="1" applyBorder="1"/>
    <xf numFmtId="0" fontId="41" fillId="0" borderId="0" xfId="0" applyNumberFormat="1" applyFont="1" applyFill="1" applyBorder="1" applyAlignment="1" applyProtection="1"/>
    <xf numFmtId="0" fontId="36" fillId="0" borderId="0" xfId="0" quotePrefix="1" applyNumberFormat="1" applyFont="1" applyFill="1" applyBorder="1" applyAlignment="1" applyProtection="1">
      <alignment horizontal="left" wrapText="1"/>
    </xf>
    <xf numFmtId="0" fontId="0" fillId="0" borderId="0" xfId="0"/>
    <xf numFmtId="0" fontId="56" fillId="0" borderId="0" xfId="0" applyFont="1" applyFill="1"/>
    <xf numFmtId="0" fontId="55" fillId="27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7" fillId="27" borderId="0" xfId="0" applyFont="1" applyFill="1" applyAlignment="1">
      <alignment horizontal="left"/>
    </xf>
    <xf numFmtId="0" fontId="56" fillId="48" borderId="21" xfId="0" applyFont="1" applyFill="1" applyBorder="1"/>
    <xf numFmtId="0" fontId="56" fillId="0" borderId="0" xfId="0" applyFont="1" applyFill="1" applyBorder="1" applyAlignment="1">
      <alignment horizontal="left"/>
    </xf>
    <xf numFmtId="168" fontId="56" fillId="0" borderId="0" xfId="0" applyNumberFormat="1" applyFont="1" applyFill="1" applyBorder="1" applyAlignment="1">
      <alignment horizontal="right"/>
    </xf>
    <xf numFmtId="2" fontId="56" fillId="0" borderId="0" xfId="0" applyNumberFormat="1" applyFont="1"/>
    <xf numFmtId="0" fontId="56" fillId="0" borderId="0" xfId="0" applyFont="1" applyFill="1" applyBorder="1"/>
    <xf numFmtId="0" fontId="0" fillId="0" borderId="0" xfId="0" applyBorder="1"/>
    <xf numFmtId="0" fontId="3" fillId="49" borderId="16" xfId="0" applyFont="1" applyFill="1" applyBorder="1"/>
    <xf numFmtId="0" fontId="3" fillId="48" borderId="21" xfId="0" applyFont="1" applyFill="1" applyBorder="1"/>
    <xf numFmtId="0" fontId="3" fillId="44" borderId="16" xfId="0" applyFont="1" applyFill="1" applyBorder="1"/>
    <xf numFmtId="38" fontId="31" fillId="0" borderId="28" xfId="0" applyNumberFormat="1" applyFont="1" applyBorder="1" applyAlignment="1">
      <alignment horizontal="center" textRotation="90" wrapText="1"/>
    </xf>
    <xf numFmtId="38" fontId="31" fillId="0" borderId="29" xfId="0" applyNumberFormat="1" applyFont="1" applyBorder="1" applyAlignment="1">
      <alignment horizontal="center" textRotation="90" wrapText="1"/>
    </xf>
    <xf numFmtId="38" fontId="31" fillId="0" borderId="30" xfId="0" applyNumberFormat="1" applyFont="1" applyBorder="1" applyAlignment="1">
      <alignment horizontal="center" textRotation="90" wrapText="1"/>
    </xf>
    <xf numFmtId="38" fontId="31" fillId="0" borderId="31" xfId="0" applyNumberFormat="1" applyFont="1" applyBorder="1" applyAlignment="1">
      <alignment horizontal="center" textRotation="90" wrapText="1"/>
    </xf>
    <xf numFmtId="38" fontId="31" fillId="0" borderId="32" xfId="0" applyNumberFormat="1" applyFont="1" applyBorder="1" applyAlignment="1">
      <alignment horizontal="center" textRotation="90" wrapText="1"/>
    </xf>
    <xf numFmtId="38" fontId="31" fillId="0" borderId="14" xfId="0" applyNumberFormat="1" applyFont="1" applyBorder="1" applyAlignment="1">
      <alignment horizontal="center" textRotation="90" wrapText="1"/>
    </xf>
    <xf numFmtId="38" fontId="31" fillId="0" borderId="33" xfId="0" applyNumberFormat="1" applyFont="1" applyBorder="1" applyAlignment="1">
      <alignment horizontal="center" textRotation="90" wrapText="1"/>
    </xf>
    <xf numFmtId="38" fontId="31" fillId="0" borderId="34" xfId="0" applyNumberFormat="1" applyFont="1" applyBorder="1" applyAlignment="1">
      <alignment horizontal="center" textRotation="90" wrapText="1"/>
    </xf>
    <xf numFmtId="38" fontId="32" fillId="0" borderId="35" xfId="0" applyNumberFormat="1" applyFont="1" applyBorder="1" applyAlignment="1">
      <alignment horizontal="left"/>
    </xf>
    <xf numFmtId="38" fontId="31" fillId="0" borderId="36" xfId="0" applyNumberFormat="1" applyFont="1" applyBorder="1" applyAlignment="1">
      <alignment horizontal="center"/>
    </xf>
    <xf numFmtId="38" fontId="31" fillId="0" borderId="37" xfId="0" applyNumberFormat="1" applyFont="1" applyBorder="1" applyAlignment="1">
      <alignment horizontal="center"/>
    </xf>
    <xf numFmtId="38" fontId="31" fillId="0" borderId="38" xfId="0" applyNumberFormat="1" applyFont="1" applyBorder="1" applyAlignment="1">
      <alignment horizontal="center"/>
    </xf>
    <xf numFmtId="38" fontId="31" fillId="0" borderId="39" xfId="0" applyNumberFormat="1" applyFont="1" applyBorder="1" applyAlignment="1">
      <alignment horizontal="center"/>
    </xf>
    <xf numFmtId="38" fontId="32" fillId="0" borderId="40" xfId="0" applyNumberFormat="1" applyFont="1" applyBorder="1" applyAlignment="1">
      <alignment horizontal="center"/>
    </xf>
    <xf numFmtId="38" fontId="31" fillId="0" borderId="41" xfId="0" applyNumberFormat="1" applyFont="1" applyBorder="1" applyAlignment="1">
      <alignment horizontal="center"/>
    </xf>
    <xf numFmtId="38" fontId="32" fillId="0" borderId="38" xfId="0" applyNumberFormat="1" applyFont="1" applyBorder="1" applyAlignment="1">
      <alignment horizontal="center"/>
    </xf>
    <xf numFmtId="38" fontId="32" fillId="51" borderId="39" xfId="0" applyNumberFormat="1" applyFont="1" applyFill="1" applyBorder="1" applyAlignment="1">
      <alignment horizontal="center"/>
    </xf>
    <xf numFmtId="38" fontId="32" fillId="0" borderId="39" xfId="0" applyNumberFormat="1" applyFont="1" applyBorder="1" applyAlignment="1">
      <alignment horizontal="center"/>
    </xf>
    <xf numFmtId="38" fontId="32" fillId="0" borderId="42" xfId="0" applyNumberFormat="1" applyFont="1" applyBorder="1" applyAlignment="1">
      <alignment horizontal="center"/>
    </xf>
    <xf numFmtId="38" fontId="31" fillId="0" borderId="35" xfId="0" applyNumberFormat="1" applyFont="1" applyBorder="1" applyAlignment="1">
      <alignment horizontal="center"/>
    </xf>
    <xf numFmtId="38" fontId="32" fillId="0" borderId="43" xfId="0" applyNumberFormat="1" applyFont="1" applyBorder="1" applyAlignment="1">
      <alignment horizontal="center"/>
    </xf>
    <xf numFmtId="38" fontId="32" fillId="0" borderId="41" xfId="0" applyNumberFormat="1" applyFont="1" applyBorder="1" applyAlignment="1">
      <alignment horizontal="center"/>
    </xf>
    <xf numFmtId="38" fontId="32" fillId="0" borderId="44" xfId="0" applyNumberFormat="1" applyFont="1" applyBorder="1" applyAlignment="1">
      <alignment horizontal="center"/>
    </xf>
    <xf numFmtId="38" fontId="32" fillId="0" borderId="45" xfId="0" applyNumberFormat="1" applyFont="1" applyBorder="1" applyAlignment="1">
      <alignment horizontal="left"/>
    </xf>
    <xf numFmtId="38" fontId="31" fillId="0" borderId="46" xfId="0" applyNumberFormat="1" applyFont="1" applyBorder="1" applyAlignment="1">
      <alignment horizontal="center"/>
    </xf>
    <xf numFmtId="38" fontId="31" fillId="0" borderId="47" xfId="0" applyNumberFormat="1" applyFont="1" applyBorder="1" applyAlignment="1">
      <alignment horizontal="center"/>
    </xf>
    <xf numFmtId="38" fontId="31" fillId="0" borderId="48" xfId="0" applyNumberFormat="1" applyFont="1" applyBorder="1" applyAlignment="1">
      <alignment horizontal="center"/>
    </xf>
    <xf numFmtId="38" fontId="31" fillId="0" borderId="49" xfId="0" applyNumberFormat="1" applyFont="1" applyBorder="1" applyAlignment="1">
      <alignment horizontal="center"/>
    </xf>
    <xf numFmtId="38" fontId="32" fillId="0" borderId="49" xfId="0" applyNumberFormat="1" applyFont="1" applyBorder="1" applyAlignment="1">
      <alignment horizontal="center"/>
    </xf>
    <xf numFmtId="38" fontId="31" fillId="0" borderId="50" xfId="0" applyNumberFormat="1" applyFont="1" applyBorder="1" applyAlignment="1">
      <alignment horizontal="center"/>
    </xf>
    <xf numFmtId="38" fontId="32" fillId="0" borderId="48" xfId="0" applyNumberFormat="1" applyFont="1" applyBorder="1" applyAlignment="1">
      <alignment horizontal="center"/>
    </xf>
    <xf numFmtId="38" fontId="32" fillId="51" borderId="51" xfId="0" applyNumberFormat="1" applyFont="1" applyFill="1" applyBorder="1" applyAlignment="1">
      <alignment horizontal="center"/>
    </xf>
    <xf numFmtId="38" fontId="32" fillId="0" borderId="51" xfId="0" applyNumberFormat="1" applyFont="1" applyBorder="1" applyAlignment="1">
      <alignment horizontal="center"/>
    </xf>
    <xf numFmtId="38" fontId="31" fillId="0" borderId="45" xfId="0" applyNumberFormat="1" applyFont="1" applyBorder="1" applyAlignment="1">
      <alignment horizontal="center"/>
    </xf>
    <xf numFmtId="38" fontId="32" fillId="0" borderId="52" xfId="0" applyNumberFormat="1" applyFont="1" applyBorder="1" applyAlignment="1">
      <alignment horizontal="center"/>
    </xf>
    <xf numFmtId="38" fontId="32" fillId="0" borderId="50" xfId="0" applyNumberFormat="1" applyFont="1" applyBorder="1" applyAlignment="1">
      <alignment horizontal="center"/>
    </xf>
    <xf numFmtId="38" fontId="32" fillId="0" borderId="53" xfId="0" applyNumberFormat="1" applyFont="1" applyBorder="1" applyAlignment="1">
      <alignment horizontal="center"/>
    </xf>
    <xf numFmtId="38" fontId="31" fillId="0" borderId="51" xfId="0" applyNumberFormat="1" applyFont="1" applyBorder="1" applyAlignment="1">
      <alignment horizontal="center"/>
    </xf>
    <xf numFmtId="38" fontId="32" fillId="0" borderId="54" xfId="0" applyNumberFormat="1" applyFont="1" applyBorder="1" applyAlignment="1">
      <alignment horizontal="left"/>
    </xf>
    <xf numFmtId="38" fontId="31" fillId="0" borderId="55" xfId="0" applyNumberFormat="1" applyFont="1" applyBorder="1" applyAlignment="1">
      <alignment horizontal="center"/>
    </xf>
    <xf numFmtId="38" fontId="31" fillId="0" borderId="56" xfId="0" applyNumberFormat="1" applyFont="1" applyBorder="1" applyAlignment="1">
      <alignment horizontal="center"/>
    </xf>
    <xf numFmtId="38" fontId="32" fillId="0" borderId="57" xfId="0" applyNumberFormat="1" applyFont="1" applyBorder="1" applyAlignment="1">
      <alignment horizontal="center"/>
    </xf>
    <xf numFmtId="38" fontId="31" fillId="0" borderId="58" xfId="0" applyNumberFormat="1" applyFont="1" applyBorder="1" applyAlignment="1">
      <alignment horizontal="center"/>
    </xf>
    <xf numFmtId="38" fontId="32" fillId="0" borderId="56" xfId="0" applyNumberFormat="1" applyFont="1" applyBorder="1" applyAlignment="1">
      <alignment horizontal="center"/>
    </xf>
    <xf numFmtId="38" fontId="32" fillId="51" borderId="56" xfId="0" applyNumberFormat="1" applyFont="1" applyFill="1" applyBorder="1" applyAlignment="1">
      <alignment horizontal="center"/>
    </xf>
    <xf numFmtId="38" fontId="31" fillId="0" borderId="54" xfId="0" applyNumberFormat="1" applyFont="1" applyBorder="1" applyAlignment="1">
      <alignment horizontal="center"/>
    </xf>
    <xf numFmtId="38" fontId="32" fillId="0" borderId="59" xfId="0" applyNumberFormat="1" applyFont="1" applyBorder="1" applyAlignment="1">
      <alignment horizontal="center"/>
    </xf>
    <xf numFmtId="38" fontId="32" fillId="0" borderId="60" xfId="0" applyNumberFormat="1" applyFont="1" applyBorder="1" applyAlignment="1">
      <alignment horizontal="center"/>
    </xf>
    <xf numFmtId="38" fontId="32" fillId="0" borderId="58" xfId="0" applyNumberFormat="1" applyFont="1" applyBorder="1" applyAlignment="1">
      <alignment horizontal="center"/>
    </xf>
    <xf numFmtId="38" fontId="32" fillId="0" borderId="61" xfId="0" applyNumberFormat="1" applyFont="1" applyBorder="1" applyAlignment="1">
      <alignment horizontal="center"/>
    </xf>
    <xf numFmtId="38" fontId="31" fillId="0" borderId="22" xfId="0" applyNumberFormat="1" applyFont="1" applyBorder="1" applyAlignment="1">
      <alignment horizontal="left"/>
    </xf>
    <xf numFmtId="38" fontId="31" fillId="0" borderId="62" xfId="0" applyNumberFormat="1" applyFont="1" applyBorder="1" applyAlignment="1">
      <alignment horizontal="center"/>
    </xf>
    <xf numFmtId="38" fontId="31" fillId="0" borderId="63" xfId="0" applyNumberFormat="1" applyFont="1" applyBorder="1" applyAlignment="1">
      <alignment horizontal="center"/>
    </xf>
    <xf numFmtId="38" fontId="31" fillId="0" borderId="22" xfId="0" applyNumberFormat="1" applyFont="1" applyBorder="1" applyAlignment="1">
      <alignment horizontal="center"/>
    </xf>
    <xf numFmtId="38" fontId="31" fillId="0" borderId="42" xfId="0" applyNumberFormat="1" applyFont="1" applyBorder="1" applyAlignment="1">
      <alignment horizontal="center"/>
    </xf>
    <xf numFmtId="38" fontId="31" fillId="0" borderId="64" xfId="0" applyNumberFormat="1" applyFont="1" applyBorder="1" applyAlignment="1">
      <alignment horizontal="center"/>
    </xf>
    <xf numFmtId="38" fontId="31" fillId="51" borderId="42" xfId="0" applyNumberFormat="1" applyFont="1" applyFill="1" applyBorder="1" applyAlignment="1">
      <alignment horizontal="center"/>
    </xf>
    <xf numFmtId="38" fontId="31" fillId="0" borderId="65" xfId="0" applyNumberFormat="1" applyFont="1" applyBorder="1" applyAlignment="1">
      <alignment horizontal="center"/>
    </xf>
    <xf numFmtId="38" fontId="31" fillId="0" borderId="66" xfId="0" applyNumberFormat="1" applyFont="1" applyBorder="1" applyAlignment="1">
      <alignment horizontal="center"/>
    </xf>
    <xf numFmtId="38" fontId="31" fillId="0" borderId="67" xfId="0" applyNumberFormat="1" applyFont="1" applyBorder="1" applyAlignment="1">
      <alignment horizontal="center"/>
    </xf>
    <xf numFmtId="38" fontId="31" fillId="0" borderId="16" xfId="0" applyNumberFormat="1" applyFont="1" applyBorder="1" applyAlignment="1">
      <alignment horizontal="left"/>
    </xf>
    <xf numFmtId="38" fontId="31" fillId="0" borderId="68" xfId="0" applyNumberFormat="1" applyFont="1" applyBorder="1" applyAlignment="1">
      <alignment horizontal="center"/>
    </xf>
    <xf numFmtId="38" fontId="31" fillId="0" borderId="69" xfId="0" applyNumberFormat="1" applyFont="1" applyBorder="1" applyAlignment="1">
      <alignment horizontal="center"/>
    </xf>
    <xf numFmtId="38" fontId="31" fillId="0" borderId="16" xfId="0" applyNumberFormat="1" applyFont="1" applyBorder="1" applyAlignment="1">
      <alignment horizontal="center"/>
    </xf>
    <xf numFmtId="38" fontId="31" fillId="0" borderId="70" xfId="0" applyNumberFormat="1" applyFont="1" applyBorder="1" applyAlignment="1">
      <alignment horizontal="center"/>
    </xf>
    <xf numFmtId="38" fontId="31" fillId="0" borderId="71" xfId="0" applyNumberFormat="1" applyFont="1" applyBorder="1" applyAlignment="1">
      <alignment horizontal="center"/>
    </xf>
    <xf numFmtId="38" fontId="31" fillId="0" borderId="72" xfId="0" applyNumberFormat="1" applyFont="1" applyBorder="1" applyAlignment="1">
      <alignment horizontal="center"/>
    </xf>
    <xf numFmtId="38" fontId="31" fillId="51" borderId="70" xfId="0" applyNumberFormat="1" applyFont="1" applyFill="1" applyBorder="1" applyAlignment="1">
      <alignment horizontal="center"/>
    </xf>
    <xf numFmtId="38" fontId="32" fillId="0" borderId="72" xfId="0" applyNumberFormat="1" applyFont="1" applyBorder="1" applyAlignment="1">
      <alignment horizontal="center"/>
    </xf>
    <xf numFmtId="38" fontId="31" fillId="0" borderId="73" xfId="0" applyNumberFormat="1" applyFont="1" applyBorder="1" applyAlignment="1">
      <alignment horizontal="center"/>
    </xf>
    <xf numFmtId="38" fontId="31" fillId="0" borderId="74" xfId="0" applyNumberFormat="1" applyFont="1" applyBorder="1" applyAlignment="1">
      <alignment horizontal="center"/>
    </xf>
    <xf numFmtId="38" fontId="31" fillId="0" borderId="75" xfId="0" applyNumberFormat="1" applyFont="1" applyBorder="1" applyAlignment="1">
      <alignment horizontal="center"/>
    </xf>
    <xf numFmtId="38" fontId="31" fillId="0" borderId="76" xfId="0" applyNumberFormat="1" applyFont="1" applyBorder="1" applyAlignment="1">
      <alignment horizontal="center"/>
    </xf>
    <xf numFmtId="38" fontId="31" fillId="0" borderId="77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left"/>
    </xf>
    <xf numFmtId="38" fontId="31" fillId="0" borderId="79" xfId="0" applyNumberFormat="1" applyFont="1" applyBorder="1" applyAlignment="1">
      <alignment horizontal="center"/>
    </xf>
    <xf numFmtId="38" fontId="31" fillId="0" borderId="80" xfId="0" applyNumberFormat="1" applyFont="1" applyBorder="1" applyAlignment="1">
      <alignment horizontal="center"/>
    </xf>
    <xf numFmtId="38" fontId="32" fillId="0" borderId="81" xfId="0" applyNumberFormat="1" applyFont="1" applyBorder="1" applyAlignment="1">
      <alignment horizontal="center"/>
    </xf>
    <xf numFmtId="38" fontId="32" fillId="0" borderId="82" xfId="0" applyNumberFormat="1" applyFont="1" applyBorder="1" applyAlignment="1">
      <alignment horizontal="center"/>
    </xf>
    <xf numFmtId="38" fontId="32" fillId="0" borderId="83" xfId="0" applyNumberFormat="1" applyFont="1" applyBorder="1" applyAlignment="1">
      <alignment horizontal="center"/>
    </xf>
    <xf numFmtId="38" fontId="31" fillId="0" borderId="84" xfId="0" applyNumberFormat="1" applyFont="1" applyBorder="1" applyAlignment="1">
      <alignment horizontal="center"/>
    </xf>
    <xf numFmtId="38" fontId="32" fillId="51" borderId="82" xfId="0" applyNumberFormat="1" applyFont="1" applyFill="1" applyBorder="1" applyAlignment="1">
      <alignment horizontal="center"/>
    </xf>
    <xf numFmtId="38" fontId="31" fillId="0" borderId="78" xfId="0" applyNumberFormat="1" applyFont="1" applyBorder="1" applyAlignment="1">
      <alignment horizontal="center"/>
    </xf>
    <xf numFmtId="38" fontId="32" fillId="0" borderId="85" xfId="0" applyNumberFormat="1" applyFont="1" applyBorder="1" applyAlignment="1">
      <alignment horizontal="center"/>
    </xf>
    <xf numFmtId="38" fontId="32" fillId="0" borderId="84" xfId="0" applyNumberFormat="1" applyFont="1" applyBorder="1" applyAlignment="1">
      <alignment horizontal="center"/>
    </xf>
    <xf numFmtId="38" fontId="32" fillId="0" borderId="86" xfId="0" applyNumberFormat="1" applyFont="1" applyBorder="1" applyAlignment="1">
      <alignment horizontal="center"/>
    </xf>
    <xf numFmtId="38" fontId="32" fillId="0" borderId="87" xfId="0" applyNumberFormat="1" applyFont="1" applyBorder="1" applyAlignment="1">
      <alignment horizontal="center"/>
    </xf>
    <xf numFmtId="38" fontId="32" fillId="0" borderId="88" xfId="0" applyNumberFormat="1" applyFont="1" applyBorder="1" applyAlignment="1">
      <alignment horizontal="left"/>
    </xf>
    <xf numFmtId="38" fontId="31" fillId="0" borderId="89" xfId="0" applyNumberFormat="1" applyFont="1" applyBorder="1" applyAlignment="1">
      <alignment horizontal="center"/>
    </xf>
    <xf numFmtId="38" fontId="31" fillId="0" borderId="90" xfId="0" applyNumberFormat="1" applyFont="1" applyBorder="1" applyAlignment="1">
      <alignment horizontal="center"/>
    </xf>
    <xf numFmtId="38" fontId="32" fillId="0" borderId="91" xfId="0" applyNumberFormat="1" applyFont="1" applyBorder="1" applyAlignment="1">
      <alignment horizontal="center"/>
    </xf>
    <xf numFmtId="38" fontId="32" fillId="0" borderId="92" xfId="0" applyNumberFormat="1" applyFont="1" applyBorder="1" applyAlignment="1">
      <alignment horizontal="center"/>
    </xf>
    <xf numFmtId="38" fontId="32" fillId="0" borderId="93" xfId="0" applyNumberFormat="1" applyFont="1" applyBorder="1" applyAlignment="1">
      <alignment horizontal="center"/>
    </xf>
    <xf numFmtId="38" fontId="31" fillId="0" borderId="94" xfId="0" applyNumberFormat="1" applyFont="1" applyBorder="1" applyAlignment="1">
      <alignment horizontal="center"/>
    </xf>
    <xf numFmtId="38" fontId="32" fillId="51" borderId="92" xfId="0" applyNumberFormat="1" applyFont="1" applyFill="1" applyBorder="1" applyAlignment="1">
      <alignment horizontal="center"/>
    </xf>
    <xf numFmtId="38" fontId="31" fillId="0" borderId="88" xfId="0" applyNumberFormat="1" applyFont="1" applyBorder="1" applyAlignment="1">
      <alignment horizontal="center"/>
    </xf>
    <xf numFmtId="38" fontId="32" fillId="0" borderId="95" xfId="0" applyNumberFormat="1" applyFont="1" applyBorder="1" applyAlignment="1">
      <alignment horizontal="center"/>
    </xf>
    <xf numFmtId="38" fontId="32" fillId="0" borderId="94" xfId="0" applyNumberFormat="1" applyFont="1" applyBorder="1" applyAlignment="1">
      <alignment horizontal="center"/>
    </xf>
    <xf numFmtId="38" fontId="32" fillId="0" borderId="96" xfId="0" applyNumberFormat="1" applyFont="1" applyBorder="1" applyAlignment="1">
      <alignment horizontal="center"/>
    </xf>
    <xf numFmtId="38" fontId="31" fillId="0" borderId="0" xfId="0" applyNumberFormat="1" applyFont="1" applyAlignment="1">
      <alignment horizontal="left"/>
    </xf>
    <xf numFmtId="38" fontId="31" fillId="0" borderId="27" xfId="0" applyNumberFormat="1" applyFont="1" applyBorder="1" applyAlignment="1">
      <alignment horizontal="center"/>
    </xf>
    <xf numFmtId="38" fontId="31" fillId="0" borderId="97" xfId="0" applyNumberFormat="1" applyFont="1" applyBorder="1" applyAlignment="1">
      <alignment horizontal="center"/>
    </xf>
    <xf numFmtId="38" fontId="31" fillId="0" borderId="98" xfId="0" applyNumberFormat="1" applyFont="1" applyBorder="1" applyAlignment="1">
      <alignment horizontal="center"/>
    </xf>
    <xf numFmtId="38" fontId="31" fillId="0" borderId="99" xfId="0" applyNumberFormat="1" applyFont="1" applyBorder="1" applyAlignment="1">
      <alignment horizontal="center"/>
    </xf>
    <xf numFmtId="38" fontId="31" fillId="0" borderId="100" xfId="0" applyNumberFormat="1" applyFont="1" applyBorder="1" applyAlignment="1">
      <alignment horizontal="center"/>
    </xf>
    <xf numFmtId="38" fontId="31" fillId="0" borderId="101" xfId="0" applyNumberFormat="1" applyFont="1" applyBorder="1" applyAlignment="1">
      <alignment horizontal="center"/>
    </xf>
    <xf numFmtId="38" fontId="31" fillId="51" borderId="99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24" xfId="0" applyNumberFormat="1" applyFont="1" applyBorder="1" applyAlignment="1">
      <alignment horizontal="center"/>
    </xf>
    <xf numFmtId="38" fontId="31" fillId="0" borderId="102" xfId="0" applyNumberFormat="1" applyFont="1" applyBorder="1" applyAlignment="1">
      <alignment horizontal="center"/>
    </xf>
    <xf numFmtId="38" fontId="31" fillId="0" borderId="103" xfId="0" applyNumberFormat="1" applyFont="1" applyBorder="1" applyAlignment="1">
      <alignment horizontal="center"/>
    </xf>
    <xf numFmtId="38" fontId="32" fillId="0" borderId="104" xfId="0" applyNumberFormat="1" applyFont="1" applyBorder="1" applyAlignment="1">
      <alignment horizontal="center"/>
    </xf>
    <xf numFmtId="1" fontId="32" fillId="0" borderId="50" xfId="0" applyNumberFormat="1" applyFont="1" applyBorder="1" applyAlignment="1">
      <alignment horizontal="center"/>
    </xf>
    <xf numFmtId="38" fontId="32" fillId="0" borderId="0" xfId="0" applyNumberFormat="1" applyFont="1"/>
    <xf numFmtId="38" fontId="31" fillId="0" borderId="15" xfId="0" applyNumberFormat="1" applyFont="1" applyBorder="1" applyAlignment="1">
      <alignment horizontal="left"/>
    </xf>
    <xf numFmtId="38" fontId="31" fillId="0" borderId="105" xfId="0" applyNumberFormat="1" applyFont="1" applyBorder="1" applyAlignment="1">
      <alignment horizontal="center"/>
    </xf>
    <xf numFmtId="38" fontId="31" fillId="0" borderId="106" xfId="0" applyNumberFormat="1" applyFont="1" applyBorder="1" applyAlignment="1">
      <alignment horizontal="center"/>
    </xf>
    <xf numFmtId="38" fontId="32" fillId="0" borderId="107" xfId="0" applyNumberFormat="1" applyFont="1" applyBorder="1" applyAlignment="1">
      <alignment horizontal="center"/>
    </xf>
    <xf numFmtId="38" fontId="32" fillId="0" borderId="108" xfId="0" applyNumberFormat="1" applyFont="1" applyBorder="1" applyAlignment="1">
      <alignment horizontal="center"/>
    </xf>
    <xf numFmtId="38" fontId="32" fillId="0" borderId="109" xfId="0" applyNumberFormat="1" applyFont="1" applyBorder="1" applyAlignment="1">
      <alignment horizontal="center"/>
    </xf>
    <xf numFmtId="38" fontId="31" fillId="0" borderId="11" xfId="0" applyNumberFormat="1" applyFont="1" applyBorder="1" applyAlignment="1">
      <alignment horizontal="center"/>
    </xf>
    <xf numFmtId="38" fontId="32" fillId="51" borderId="108" xfId="0" applyNumberFormat="1" applyFont="1" applyFill="1" applyBorder="1" applyAlignment="1">
      <alignment horizontal="center"/>
    </xf>
    <xf numFmtId="38" fontId="31" fillId="0" borderId="15" xfId="0" applyNumberFormat="1" applyFont="1" applyBorder="1" applyAlignment="1">
      <alignment horizontal="center"/>
    </xf>
    <xf numFmtId="38" fontId="32" fillId="0" borderId="25" xfId="0" applyNumberFormat="1" applyFont="1" applyBorder="1" applyAlignment="1">
      <alignment horizontal="center"/>
    </xf>
    <xf numFmtId="38" fontId="32" fillId="0" borderId="102" xfId="0" applyNumberFormat="1" applyFont="1" applyBorder="1" applyAlignment="1">
      <alignment horizontal="center"/>
    </xf>
    <xf numFmtId="38" fontId="32" fillId="0" borderId="11" xfId="0" applyNumberFormat="1" applyFont="1" applyBorder="1" applyAlignment="1">
      <alignment horizontal="center"/>
    </xf>
    <xf numFmtId="38" fontId="32" fillId="0" borderId="110" xfId="0" applyNumberFormat="1" applyFont="1" applyBorder="1" applyAlignment="1">
      <alignment horizontal="center"/>
    </xf>
    <xf numFmtId="38" fontId="31" fillId="0" borderId="111" xfId="0" applyNumberFormat="1" applyFont="1" applyBorder="1" applyAlignment="1">
      <alignment horizontal="center"/>
    </xf>
    <xf numFmtId="38" fontId="31" fillId="0" borderId="112" xfId="0" applyNumberFormat="1" applyFont="1" applyBorder="1" applyAlignment="1">
      <alignment horizontal="center"/>
    </xf>
    <xf numFmtId="38" fontId="31" fillId="0" borderId="82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center"/>
    </xf>
    <xf numFmtId="38" fontId="32" fillId="0" borderId="0" xfId="0" applyNumberFormat="1" applyFont="1" applyAlignment="1">
      <alignment horizontal="left"/>
    </xf>
    <xf numFmtId="38" fontId="31" fillId="0" borderId="113" xfId="0" applyNumberFormat="1" applyFont="1" applyBorder="1" applyAlignment="1">
      <alignment horizontal="center"/>
    </xf>
    <xf numFmtId="38" fontId="31" fillId="0" borderId="114" xfId="0" applyNumberFormat="1" applyFont="1" applyBorder="1" applyAlignment="1">
      <alignment horizontal="center"/>
    </xf>
    <xf numFmtId="38" fontId="32" fillId="0" borderId="100" xfId="0" applyNumberFormat="1" applyFont="1" applyBorder="1" applyAlignment="1">
      <alignment horizontal="center"/>
    </xf>
    <xf numFmtId="38" fontId="32" fillId="0" borderId="0" xfId="0" applyNumberFormat="1" applyFont="1" applyAlignment="1">
      <alignment horizontal="center"/>
    </xf>
    <xf numFmtId="38" fontId="32" fillId="51" borderId="99" xfId="0" applyNumberFormat="1" applyFont="1" applyFill="1" applyBorder="1" applyAlignment="1">
      <alignment horizontal="center"/>
    </xf>
    <xf numFmtId="38" fontId="32" fillId="0" borderId="99" xfId="0" applyNumberFormat="1" applyFont="1" applyBorder="1" applyAlignment="1">
      <alignment horizontal="center"/>
    </xf>
    <xf numFmtId="38" fontId="32" fillId="0" borderId="24" xfId="0" applyNumberFormat="1" applyFont="1" applyBorder="1" applyAlignment="1">
      <alignment horizontal="center"/>
    </xf>
    <xf numFmtId="38" fontId="32" fillId="0" borderId="98" xfId="0" applyNumberFormat="1" applyFont="1" applyBorder="1" applyAlignment="1">
      <alignment horizontal="center"/>
    </xf>
    <xf numFmtId="38" fontId="32" fillId="0" borderId="101" xfId="0" applyNumberFormat="1" applyFont="1" applyBorder="1" applyAlignment="1">
      <alignment horizontal="center"/>
    </xf>
    <xf numFmtId="38" fontId="32" fillId="0" borderId="103" xfId="0" applyNumberFormat="1" applyFont="1" applyBorder="1" applyAlignment="1">
      <alignment horizontal="center"/>
    </xf>
    <xf numFmtId="38" fontId="31" fillId="0" borderId="115" xfId="0" applyNumberFormat="1" applyFont="1" applyBorder="1" applyAlignment="1">
      <alignment horizontal="center"/>
    </xf>
    <xf numFmtId="38" fontId="32" fillId="0" borderId="116" xfId="0" applyNumberFormat="1" applyFont="1" applyBorder="1" applyAlignment="1">
      <alignment horizontal="center"/>
    </xf>
    <xf numFmtId="38" fontId="32" fillId="0" borderId="54" xfId="0" applyNumberFormat="1" applyFont="1" applyBorder="1" applyAlignment="1">
      <alignment horizontal="center"/>
    </xf>
    <xf numFmtId="38" fontId="32" fillId="51" borderId="60" xfId="0" applyNumberFormat="1" applyFont="1" applyFill="1" applyBorder="1" applyAlignment="1">
      <alignment horizontal="center"/>
    </xf>
    <xf numFmtId="38" fontId="31" fillId="0" borderId="117" xfId="0" applyNumberFormat="1" applyFont="1" applyBorder="1" applyAlignment="1">
      <alignment horizontal="left"/>
    </xf>
    <xf numFmtId="38" fontId="31" fillId="0" borderId="118" xfId="0" applyNumberFormat="1" applyFont="1" applyBorder="1" applyAlignment="1">
      <alignment horizontal="center"/>
    </xf>
    <xf numFmtId="38" fontId="31" fillId="0" borderId="119" xfId="0" applyNumberFormat="1" applyFont="1" applyBorder="1" applyAlignment="1">
      <alignment horizontal="center"/>
    </xf>
    <xf numFmtId="38" fontId="31" fillId="0" borderId="120" xfId="0" applyNumberFormat="1" applyFont="1" applyBorder="1" applyAlignment="1">
      <alignment horizontal="center"/>
    </xf>
    <xf numFmtId="38" fontId="31" fillId="0" borderId="121" xfId="0" applyNumberFormat="1" applyFont="1" applyBorder="1" applyAlignment="1">
      <alignment horizontal="center"/>
    </xf>
    <xf numFmtId="38" fontId="31" fillId="0" borderId="122" xfId="0" applyNumberFormat="1" applyFont="1" applyBorder="1" applyAlignment="1">
      <alignment horizontal="center"/>
    </xf>
    <xf numFmtId="38" fontId="31" fillId="51" borderId="121" xfId="0" applyNumberFormat="1" applyFont="1" applyFill="1" applyBorder="1" applyAlignment="1">
      <alignment horizontal="center"/>
    </xf>
    <xf numFmtId="38" fontId="31" fillId="0" borderId="117" xfId="0" applyNumberFormat="1" applyFont="1" applyBorder="1" applyAlignment="1">
      <alignment horizontal="center"/>
    </xf>
    <xf numFmtId="38" fontId="31" fillId="0" borderId="123" xfId="0" applyNumberFormat="1" applyFont="1" applyBorder="1" applyAlignment="1">
      <alignment horizontal="center"/>
    </xf>
    <xf numFmtId="38" fontId="31" fillId="0" borderId="124" xfId="0" applyNumberFormat="1" applyFont="1" applyBorder="1" applyAlignment="1">
      <alignment horizontal="center"/>
    </xf>
    <xf numFmtId="38" fontId="32" fillId="0" borderId="15" xfId="0" applyNumberFormat="1" applyFont="1" applyBorder="1" applyAlignment="1">
      <alignment horizontal="left"/>
    </xf>
    <xf numFmtId="38" fontId="32" fillId="0" borderId="105" xfId="0" applyNumberFormat="1" applyFont="1" applyBorder="1" applyAlignment="1">
      <alignment horizontal="center"/>
    </xf>
    <xf numFmtId="38" fontId="32" fillId="0" borderId="106" xfId="0" applyNumberFormat="1" applyFont="1" applyBorder="1" applyAlignment="1">
      <alignment horizontal="center"/>
    </xf>
    <xf numFmtId="38" fontId="32" fillId="0" borderId="15" xfId="0" applyNumberFormat="1" applyFont="1" applyBorder="1" applyAlignment="1">
      <alignment horizontal="center"/>
    </xf>
    <xf numFmtId="38" fontId="31" fillId="51" borderId="65" xfId="0" applyNumberFormat="1" applyFont="1" applyFill="1" applyBorder="1" applyAlignment="1">
      <alignment horizontal="center"/>
    </xf>
    <xf numFmtId="38" fontId="31" fillId="0" borderId="21" xfId="0" applyNumberFormat="1" applyFont="1" applyBorder="1" applyAlignment="1">
      <alignment horizontal="left"/>
    </xf>
    <xf numFmtId="38" fontId="31" fillId="0" borderId="125" xfId="0" applyNumberFormat="1" applyFont="1" applyBorder="1" applyAlignment="1">
      <alignment horizontal="center"/>
    </xf>
    <xf numFmtId="38" fontId="31" fillId="0" borderId="126" xfId="0" applyNumberFormat="1" applyFont="1" applyBorder="1" applyAlignment="1">
      <alignment horizontal="center"/>
    </xf>
    <xf numFmtId="38" fontId="31" fillId="0" borderId="127" xfId="0" applyNumberFormat="1" applyFont="1" applyBorder="1" applyAlignment="1">
      <alignment horizontal="center"/>
    </xf>
    <xf numFmtId="38" fontId="31" fillId="0" borderId="128" xfId="0" applyNumberFormat="1" applyFont="1" applyBorder="1" applyAlignment="1">
      <alignment horizontal="center"/>
    </xf>
    <xf numFmtId="38" fontId="31" fillId="0" borderId="129" xfId="0" applyNumberFormat="1" applyFont="1" applyBorder="1" applyAlignment="1">
      <alignment horizontal="center"/>
    </xf>
    <xf numFmtId="38" fontId="31" fillId="0" borderId="130" xfId="0" applyNumberFormat="1" applyFont="1" applyBorder="1" applyAlignment="1">
      <alignment horizontal="center"/>
    </xf>
    <xf numFmtId="38" fontId="31" fillId="51" borderId="127" xfId="0" applyNumberFormat="1" applyFont="1" applyFill="1" applyBorder="1" applyAlignment="1">
      <alignment horizontal="center"/>
    </xf>
    <xf numFmtId="38" fontId="31" fillId="0" borderId="21" xfId="0" applyNumberFormat="1" applyFont="1" applyBorder="1" applyAlignment="1">
      <alignment horizontal="center"/>
    </xf>
    <xf numFmtId="38" fontId="31" fillId="0" borderId="131" xfId="0" applyNumberFormat="1" applyFont="1" applyBorder="1" applyAlignment="1">
      <alignment horizontal="center"/>
    </xf>
    <xf numFmtId="38" fontId="32" fillId="0" borderId="132" xfId="0" applyNumberFormat="1" applyFont="1" applyBorder="1" applyAlignment="1">
      <alignment horizontal="left" vertical="top" wrapText="1"/>
    </xf>
    <xf numFmtId="38" fontId="32" fillId="0" borderId="133" xfId="0" applyNumberFormat="1" applyFont="1" applyBorder="1" applyAlignment="1">
      <alignment vertical="top"/>
    </xf>
    <xf numFmtId="38" fontId="31" fillId="0" borderId="134" xfId="0" applyNumberFormat="1" applyFont="1" applyBorder="1" applyAlignment="1">
      <alignment horizontal="center"/>
    </xf>
    <xf numFmtId="38" fontId="32" fillId="0" borderId="135" xfId="0" applyNumberFormat="1" applyFont="1" applyBorder="1" applyAlignment="1">
      <alignment horizontal="center"/>
    </xf>
    <xf numFmtId="38" fontId="31" fillId="0" borderId="136" xfId="0" applyNumberFormat="1" applyFont="1" applyBorder="1" applyAlignment="1">
      <alignment horizontal="center"/>
    </xf>
    <xf numFmtId="38" fontId="32" fillId="0" borderId="137" xfId="0" applyNumberFormat="1" applyFont="1" applyBorder="1" applyAlignment="1">
      <alignment horizontal="center"/>
    </xf>
    <xf numFmtId="38" fontId="32" fillId="51" borderId="87" xfId="0" applyNumberFormat="1" applyFont="1" applyFill="1" applyBorder="1" applyAlignment="1">
      <alignment horizontal="center"/>
    </xf>
    <xf numFmtId="38" fontId="31" fillId="31" borderId="136" xfId="0" applyNumberFormat="1" applyFont="1" applyFill="1" applyBorder="1" applyAlignment="1">
      <alignment horizontal="center"/>
    </xf>
    <xf numFmtId="38" fontId="32" fillId="31" borderId="84" xfId="0" applyNumberFormat="1" applyFont="1" applyFill="1" applyBorder="1" applyAlignment="1">
      <alignment horizontal="center"/>
    </xf>
    <xf numFmtId="38" fontId="31" fillId="0" borderId="132" xfId="0" applyNumberFormat="1" applyFont="1" applyBorder="1" applyAlignment="1">
      <alignment horizontal="center"/>
    </xf>
    <xf numFmtId="38" fontId="32" fillId="0" borderId="138" xfId="0" applyNumberFormat="1" applyFont="1" applyBorder="1" applyAlignment="1">
      <alignment horizontal="center"/>
    </xf>
    <xf numFmtId="38" fontId="32" fillId="26" borderId="45" xfId="0" applyNumberFormat="1" applyFont="1" applyFill="1" applyBorder="1" applyAlignment="1">
      <alignment horizontal="left" vertical="top" wrapText="1"/>
    </xf>
    <xf numFmtId="38" fontId="32" fillId="0" borderId="46" xfId="0" applyNumberFormat="1" applyFont="1" applyBorder="1" applyAlignment="1">
      <alignment horizontal="left" vertical="top"/>
    </xf>
    <xf numFmtId="38" fontId="31" fillId="31" borderId="50" xfId="0" applyNumberFormat="1" applyFont="1" applyFill="1" applyBorder="1" applyAlignment="1">
      <alignment horizontal="center"/>
    </xf>
    <xf numFmtId="38" fontId="32" fillId="31" borderId="50" xfId="0" applyNumberFormat="1" applyFont="1" applyFill="1" applyBorder="1" applyAlignment="1">
      <alignment horizontal="center"/>
    </xf>
    <xf numFmtId="38" fontId="32" fillId="0" borderId="45" xfId="0" applyNumberFormat="1" applyFont="1" applyBorder="1" applyAlignment="1">
      <alignment horizontal="center"/>
    </xf>
    <xf numFmtId="38" fontId="32" fillId="0" borderId="45" xfId="0" applyNumberFormat="1" applyFont="1" applyBorder="1" applyAlignment="1">
      <alignment horizontal="left" vertical="top" wrapText="1"/>
    </xf>
    <xf numFmtId="38" fontId="32" fillId="0" borderId="46" xfId="0" applyNumberFormat="1" applyFont="1" applyBorder="1" applyAlignment="1">
      <alignment vertical="top"/>
    </xf>
    <xf numFmtId="38" fontId="32" fillId="31" borderId="136" xfId="0" applyNumberFormat="1" applyFont="1" applyFill="1" applyBorder="1" applyAlignment="1">
      <alignment horizontal="center"/>
    </xf>
    <xf numFmtId="38" fontId="32" fillId="0" borderId="132" xfId="0" applyNumberFormat="1" applyFont="1" applyBorder="1" applyAlignment="1">
      <alignment horizontal="center"/>
    </xf>
    <xf numFmtId="38" fontId="32" fillId="0" borderId="136" xfId="0" applyNumberFormat="1" applyFont="1" applyBorder="1" applyAlignment="1">
      <alignment horizontal="center"/>
    </xf>
    <xf numFmtId="38" fontId="32" fillId="31" borderId="101" xfId="0" applyNumberFormat="1" applyFont="1" applyFill="1" applyBorder="1" applyAlignment="1">
      <alignment horizontal="center"/>
    </xf>
    <xf numFmtId="38" fontId="32" fillId="26" borderId="88" xfId="0" applyNumberFormat="1" applyFont="1" applyFill="1" applyBorder="1" applyAlignment="1">
      <alignment horizontal="left" vertical="top" wrapText="1"/>
    </xf>
    <xf numFmtId="38" fontId="32" fillId="0" borderId="89" xfId="0" applyNumberFormat="1" applyFont="1" applyBorder="1" applyAlignment="1">
      <alignment vertical="top"/>
    </xf>
    <xf numFmtId="38" fontId="31" fillId="0" borderId="139" xfId="0" applyNumberFormat="1" applyFont="1" applyBorder="1" applyAlignment="1">
      <alignment horizontal="center"/>
    </xf>
    <xf numFmtId="38" fontId="32" fillId="0" borderId="140" xfId="0" applyNumberFormat="1" applyFont="1" applyBorder="1" applyAlignment="1">
      <alignment horizontal="center"/>
    </xf>
    <xf numFmtId="38" fontId="32" fillId="0" borderId="141" xfId="0" applyNumberFormat="1" applyFont="1" applyBorder="1" applyAlignment="1">
      <alignment horizontal="center"/>
    </xf>
    <xf numFmtId="38" fontId="31" fillId="0" borderId="142" xfId="0" applyNumberFormat="1" applyFont="1" applyBorder="1" applyAlignment="1">
      <alignment horizontal="center"/>
    </xf>
    <xf numFmtId="38" fontId="32" fillId="0" borderId="143" xfId="0" applyNumberFormat="1" applyFont="1" applyBorder="1" applyAlignment="1">
      <alignment horizontal="center"/>
    </xf>
    <xf numFmtId="38" fontId="32" fillId="51" borderId="140" xfId="0" applyNumberFormat="1" applyFont="1" applyFill="1" applyBorder="1" applyAlignment="1">
      <alignment horizontal="center"/>
    </xf>
    <xf numFmtId="38" fontId="31" fillId="31" borderId="142" xfId="0" applyNumberFormat="1" applyFont="1" applyFill="1" applyBorder="1" applyAlignment="1">
      <alignment horizontal="center"/>
    </xf>
    <xf numFmtId="38" fontId="32" fillId="31" borderId="94" xfId="0" applyNumberFormat="1" applyFont="1" applyFill="1" applyBorder="1" applyAlignment="1">
      <alignment horizontal="center"/>
    </xf>
    <xf numFmtId="38" fontId="31" fillId="0" borderId="144" xfId="0" applyNumberFormat="1" applyFont="1" applyBorder="1" applyAlignment="1">
      <alignment horizontal="center"/>
    </xf>
    <xf numFmtId="38" fontId="32" fillId="0" borderId="145" xfId="0" applyNumberFormat="1" applyFont="1" applyBorder="1" applyAlignment="1">
      <alignment horizontal="center"/>
    </xf>
    <xf numFmtId="38" fontId="32" fillId="0" borderId="88" xfId="0" applyNumberFormat="1" applyFont="1" applyBorder="1" applyAlignment="1">
      <alignment horizontal="center"/>
    </xf>
    <xf numFmtId="38" fontId="32" fillId="0" borderId="146" xfId="0" applyNumberFormat="1" applyFont="1" applyBorder="1" applyAlignment="1">
      <alignment horizontal="center"/>
    </xf>
    <xf numFmtId="38" fontId="31" fillId="0" borderId="147" xfId="0" applyNumberFormat="1" applyFont="1" applyBorder="1" applyAlignment="1">
      <alignment horizontal="center"/>
    </xf>
    <xf numFmtId="38" fontId="31" fillId="0" borderId="148" xfId="0" applyNumberFormat="1" applyFont="1" applyBorder="1" applyAlignment="1">
      <alignment horizontal="center"/>
    </xf>
    <xf numFmtId="38" fontId="31" fillId="0" borderId="1" xfId="0" applyNumberFormat="1" applyFont="1" applyBorder="1" applyAlignment="1">
      <alignment horizontal="center"/>
    </xf>
    <xf numFmtId="38" fontId="31" fillId="0" borderId="149" xfId="0" applyNumberFormat="1" applyFont="1" applyBorder="1" applyAlignment="1">
      <alignment horizontal="center"/>
    </xf>
    <xf numFmtId="38" fontId="31" fillId="51" borderId="102" xfId="0" applyNumberFormat="1" applyFont="1" applyFill="1" applyBorder="1" applyAlignment="1">
      <alignment horizontal="center"/>
    </xf>
    <xf numFmtId="38" fontId="31" fillId="0" borderId="17" xfId="0" applyNumberFormat="1" applyFont="1" applyBorder="1" applyAlignment="1">
      <alignment horizontal="center"/>
    </xf>
    <xf numFmtId="38" fontId="31" fillId="0" borderId="12" xfId="0" applyNumberFormat="1" applyFont="1" applyBorder="1" applyAlignment="1">
      <alignment horizontal="center"/>
    </xf>
    <xf numFmtId="38" fontId="31" fillId="0" borderId="4" xfId="0" applyNumberFormat="1" applyFont="1" applyBorder="1" applyAlignment="1">
      <alignment horizontal="center"/>
    </xf>
    <xf numFmtId="38" fontId="32" fillId="0" borderId="78" xfId="0" applyNumberFormat="1" applyFont="1" applyBorder="1" applyAlignment="1">
      <alignment horizontal="left" vertical="top" wrapText="1"/>
    </xf>
    <xf numFmtId="38" fontId="31" fillId="0" borderId="81" xfId="0" applyNumberFormat="1" applyFont="1" applyBorder="1" applyAlignment="1">
      <alignment horizontal="center"/>
    </xf>
    <xf numFmtId="38" fontId="31" fillId="0" borderId="133" xfId="0" applyNumberFormat="1" applyFont="1" applyBorder="1" applyAlignment="1">
      <alignment horizontal="center"/>
    </xf>
    <xf numFmtId="38" fontId="31" fillId="0" borderId="137" xfId="0" applyNumberFormat="1" applyFont="1" applyBorder="1" applyAlignment="1">
      <alignment horizontal="center"/>
    </xf>
    <xf numFmtId="38" fontId="31" fillId="0" borderId="87" xfId="0" applyNumberFormat="1" applyFont="1" applyBorder="1" applyAlignment="1">
      <alignment horizontal="center"/>
    </xf>
    <xf numFmtId="38" fontId="31" fillId="0" borderId="91" xfId="0" applyNumberFormat="1" applyFont="1" applyBorder="1" applyAlignment="1">
      <alignment horizontal="center"/>
    </xf>
    <xf numFmtId="38" fontId="31" fillId="0" borderId="92" xfId="0" applyNumberFormat="1" applyFont="1" applyBorder="1" applyAlignment="1">
      <alignment horizontal="center"/>
    </xf>
    <xf numFmtId="38" fontId="31" fillId="0" borderId="17" xfId="0" applyNumberFormat="1" applyFont="1" applyBorder="1" applyAlignment="1">
      <alignment horizontal="left"/>
    </xf>
    <xf numFmtId="38" fontId="31" fillId="0" borderId="150" xfId="0" applyNumberFormat="1" applyFont="1" applyBorder="1" applyAlignment="1">
      <alignment horizontal="center"/>
    </xf>
    <xf numFmtId="38" fontId="31" fillId="36" borderId="17" xfId="0" applyNumberFormat="1" applyFont="1" applyFill="1" applyBorder="1" applyAlignment="1">
      <alignment horizontal="left"/>
    </xf>
    <xf numFmtId="38" fontId="31" fillId="36" borderId="150" xfId="0" applyNumberFormat="1" applyFont="1" applyFill="1" applyBorder="1" applyAlignment="1">
      <alignment horizontal="center"/>
    </xf>
    <xf numFmtId="38" fontId="31" fillId="51" borderId="149" xfId="0" applyNumberFormat="1" applyFont="1" applyFill="1" applyBorder="1" applyAlignment="1">
      <alignment horizontal="center"/>
    </xf>
    <xf numFmtId="38" fontId="31" fillId="36" borderId="4" xfId="0" applyNumberFormat="1" applyFont="1" applyFill="1" applyBorder="1" applyAlignment="1">
      <alignment horizontal="center"/>
    </xf>
    <xf numFmtId="38" fontId="32" fillId="36" borderId="78" xfId="0" applyNumberFormat="1" applyFont="1" applyFill="1" applyBorder="1" applyAlignment="1">
      <alignment horizontal="left" vertical="top" wrapText="1"/>
    </xf>
    <xf numFmtId="38" fontId="31" fillId="36" borderId="79" xfId="0" applyNumberFormat="1" applyFont="1" applyFill="1" applyBorder="1" applyAlignment="1">
      <alignment horizontal="center"/>
    </xf>
    <xf numFmtId="38" fontId="32" fillId="36" borderId="104" xfId="0" applyNumberFormat="1" applyFont="1" applyFill="1" applyBorder="1" applyAlignment="1">
      <alignment horizontal="center"/>
    </xf>
    <xf numFmtId="38" fontId="32" fillId="36" borderId="88" xfId="0" applyNumberFormat="1" applyFont="1" applyFill="1" applyBorder="1" applyAlignment="1">
      <alignment horizontal="left" vertical="top" wrapText="1"/>
    </xf>
    <xf numFmtId="38" fontId="31" fillId="36" borderId="89" xfId="0" applyNumberFormat="1" applyFont="1" applyFill="1" applyBorder="1" applyAlignment="1">
      <alignment horizontal="center"/>
    </xf>
    <xf numFmtId="38" fontId="32" fillId="36" borderId="96" xfId="0" applyNumberFormat="1" applyFont="1" applyFill="1" applyBorder="1" applyAlignment="1">
      <alignment horizontal="center"/>
    </xf>
    <xf numFmtId="38" fontId="31" fillId="0" borderId="107" xfId="0" applyNumberFormat="1" applyFont="1" applyBorder="1" applyAlignment="1">
      <alignment horizontal="center"/>
    </xf>
    <xf numFmtId="38" fontId="31" fillId="0" borderId="108" xfId="0" applyNumberFormat="1" applyFont="1" applyBorder="1" applyAlignment="1">
      <alignment horizontal="center"/>
    </xf>
    <xf numFmtId="38" fontId="31" fillId="0" borderId="109" xfId="0" applyNumberFormat="1" applyFont="1" applyBorder="1" applyAlignment="1">
      <alignment horizontal="center"/>
    </xf>
    <xf numFmtId="38" fontId="31" fillId="51" borderId="108" xfId="0" applyNumberFormat="1" applyFont="1" applyFill="1" applyBorder="1" applyAlignment="1">
      <alignment horizontal="center"/>
    </xf>
    <xf numFmtId="38" fontId="31" fillId="0" borderId="25" xfId="0" applyNumberFormat="1" applyFont="1" applyBorder="1" applyAlignment="1">
      <alignment horizontal="center"/>
    </xf>
    <xf numFmtId="38" fontId="31" fillId="0" borderId="88" xfId="0" applyNumberFormat="1" applyFont="1" applyBorder="1" applyAlignment="1">
      <alignment horizontal="left" vertical="top" wrapText="1"/>
    </xf>
    <xf numFmtId="38" fontId="31" fillId="0" borderId="96" xfId="0" applyNumberFormat="1" applyFont="1" applyBorder="1" applyAlignment="1">
      <alignment horizontal="center"/>
    </xf>
    <xf numFmtId="38" fontId="31" fillId="0" borderId="151" xfId="0" applyNumberFormat="1" applyFont="1" applyBorder="1" applyAlignment="1">
      <alignment horizontal="center"/>
    </xf>
    <xf numFmtId="38" fontId="0" fillId="0" borderId="0" xfId="0" applyNumberFormat="1"/>
    <xf numFmtId="171" fontId="31" fillId="0" borderId="0" xfId="39" applyNumberFormat="1" applyFont="1" applyFill="1" applyBorder="1" applyAlignment="1">
      <alignment horizontal="center"/>
    </xf>
    <xf numFmtId="38" fontId="31" fillId="0" borderId="0" xfId="0" applyNumberFormat="1" applyFont="1"/>
    <xf numFmtId="174" fontId="31" fillId="0" borderId="0" xfId="0" applyNumberFormat="1" applyFont="1" applyAlignment="1">
      <alignment horizontal="left"/>
    </xf>
    <xf numFmtId="174" fontId="32" fillId="52" borderId="0" xfId="0" applyNumberFormat="1" applyFont="1" applyFill="1" applyAlignment="1">
      <alignment horizontal="left"/>
    </xf>
    <xf numFmtId="174" fontId="31" fillId="46" borderId="0" xfId="0" applyNumberFormat="1" applyFont="1" applyFill="1" applyAlignment="1">
      <alignment horizontal="left"/>
    </xf>
    <xf numFmtId="9" fontId="0" fillId="0" borderId="0" xfId="39" applyFont="1" applyFill="1"/>
    <xf numFmtId="174" fontId="32" fillId="31" borderId="0" xfId="0" applyNumberFormat="1" applyFont="1" applyFill="1" applyAlignment="1">
      <alignment horizontal="left"/>
    </xf>
    <xf numFmtId="38" fontId="32" fillId="51" borderId="0" xfId="0" applyNumberFormat="1" applyFont="1" applyFill="1" applyAlignment="1">
      <alignment horizontal="left"/>
    </xf>
    <xf numFmtId="174" fontId="32" fillId="46" borderId="0" xfId="0" applyNumberFormat="1" applyFont="1" applyFill="1" applyAlignment="1">
      <alignment horizontal="left"/>
    </xf>
    <xf numFmtId="38" fontId="0" fillId="46" borderId="0" xfId="0" applyNumberFormat="1" applyFill="1"/>
    <xf numFmtId="38" fontId="32" fillId="0" borderId="0" xfId="0" applyNumberFormat="1" applyFont="1"/>
    <xf numFmtId="38" fontId="31" fillId="0" borderId="0" xfId="0" applyNumberFormat="1" applyFont="1"/>
    <xf numFmtId="40" fontId="32" fillId="0" borderId="0" xfId="0" applyNumberFormat="1" applyFont="1"/>
    <xf numFmtId="40" fontId="31" fillId="0" borderId="0" xfId="0" applyNumberFormat="1" applyFont="1"/>
    <xf numFmtId="0" fontId="2" fillId="49" borderId="16" xfId="0" applyFont="1" applyFill="1" applyBorder="1"/>
    <xf numFmtId="0" fontId="1" fillId="44" borderId="16" xfId="0" applyFont="1" applyFill="1" applyBorder="1"/>
    <xf numFmtId="1" fontId="56" fillId="50" borderId="15" xfId="0" applyNumberFormat="1" applyFont="1" applyFill="1" applyBorder="1"/>
    <xf numFmtId="0" fontId="3" fillId="48" borderId="22" xfId="0" applyFont="1" applyFill="1" applyBorder="1"/>
    <xf numFmtId="1" fontId="56" fillId="50" borderId="0" xfId="0" applyNumberFormat="1" applyFont="1" applyFill="1" applyBorder="1"/>
    <xf numFmtId="1" fontId="56" fillId="50" borderId="18" xfId="0" applyNumberFormat="1" applyFont="1" applyFill="1" applyBorder="1"/>
    <xf numFmtId="0" fontId="1" fillId="49" borderId="16" xfId="0" applyFont="1" applyFill="1" applyBorder="1"/>
    <xf numFmtId="0" fontId="1" fillId="48" borderId="21" xfId="0" applyFont="1" applyFill="1" applyBorder="1"/>
    <xf numFmtId="0" fontId="58" fillId="0" borderId="17" xfId="0" applyFont="1" applyBorder="1" applyAlignment="1">
      <alignment horizontal="left" wrapText="1"/>
    </xf>
    <xf numFmtId="0" fontId="58" fillId="0" borderId="19" xfId="0" applyFont="1" applyBorder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A56D-3DB7-4E03-AF18-7B9827792DE6}">
  <sheetPr codeName="Sheet2">
    <pageSetUpPr fitToPage="1"/>
  </sheetPr>
  <dimension ref="A1:AO70"/>
  <sheetViews>
    <sheetView view="pageBreakPreview" zoomScaleNormal="65" zoomScaleSheetLayoutView="100" workbookViewId="0">
      <pane xSplit="2" ySplit="1" topLeftCell="AA2" activePane="bottomRight" state="frozen"/>
      <selection pane="topRight" activeCell="B21" sqref="B21"/>
      <selection pane="bottomLeft" activeCell="B21" sqref="B21"/>
      <selection pane="bottomRight" activeCell="AP61" sqref="AP61"/>
    </sheetView>
  </sheetViews>
  <sheetFormatPr defaultColWidth="9.140625" defaultRowHeight="12.75"/>
  <cols>
    <col min="1" max="1" width="38.140625" style="21" customWidth="1"/>
    <col min="2" max="2" width="13" style="13" bestFit="1" customWidth="1"/>
    <col min="3" max="4" width="7.5703125" style="22" bestFit="1" customWidth="1"/>
    <col min="5" max="5" width="9.140625" style="22"/>
    <col min="6" max="6" width="6.140625" style="23" customWidth="1"/>
    <col min="7" max="7" width="5.85546875" style="23" bestFit="1" customWidth="1"/>
    <col min="8" max="8" width="6.42578125" style="22" bestFit="1" customWidth="1"/>
    <col min="9" max="9" width="6.140625" style="23" bestFit="1" customWidth="1"/>
    <col min="10" max="10" width="6" style="23" bestFit="1" customWidth="1"/>
    <col min="11" max="11" width="6.85546875" style="23" bestFit="1" customWidth="1"/>
    <col min="12" max="12" width="8.7109375" style="19" bestFit="1" customWidth="1"/>
    <col min="13" max="13" width="8.140625" style="18" bestFit="1" customWidth="1"/>
    <col min="14" max="14" width="5.28515625" style="18" customWidth="1"/>
    <col min="15" max="15" width="7.42578125" style="18" customWidth="1"/>
    <col min="16" max="16" width="7.42578125" style="18" bestFit="1" customWidth="1"/>
    <col min="17" max="17" width="8.140625" style="18" bestFit="1" customWidth="1"/>
    <col min="18" max="18" width="7.28515625" style="18" bestFit="1" customWidth="1"/>
    <col min="19" max="19" width="7.42578125" style="18" bestFit="1" customWidth="1"/>
    <col min="20" max="20" width="8.42578125" style="18" bestFit="1" customWidth="1"/>
    <col min="21" max="21" width="6.85546875" style="18" bestFit="1" customWidth="1"/>
    <col min="22" max="24" width="5.42578125" style="18" customWidth="1"/>
    <col min="25" max="25" width="5.42578125" style="23" customWidth="1"/>
    <col min="26" max="26" width="8.140625" style="20" bestFit="1" customWidth="1"/>
    <col min="27" max="27" width="6.7109375" style="19" bestFit="1" customWidth="1"/>
    <col min="28" max="29" width="5.5703125" style="18" customWidth="1"/>
    <col min="30" max="30" width="8.7109375" style="18" bestFit="1" customWidth="1"/>
    <col min="31" max="31" width="5.5703125" style="18" customWidth="1"/>
    <col min="32" max="32" width="5.85546875" style="18" bestFit="1" customWidth="1"/>
    <col min="33" max="33" width="7" style="18" customWidth="1"/>
    <col min="34" max="36" width="5.5703125" style="18" customWidth="1"/>
    <col min="37" max="37" width="8.7109375" style="20" bestFit="1" customWidth="1"/>
    <col min="38" max="38" width="4.42578125" style="24" bestFit="1" customWidth="1"/>
    <col min="39" max="39" width="9.140625" style="18" bestFit="1" customWidth="1"/>
    <col min="40" max="40" width="9.140625" style="13"/>
    <col min="41" max="41" width="9.140625" style="6"/>
    <col min="42" max="16384" width="9.140625" style="13"/>
  </cols>
  <sheetData>
    <row r="1" spans="1:41" s="3" customFormat="1" ht="105.75" customHeight="1" thickBot="1">
      <c r="A1" s="1" t="s">
        <v>1191</v>
      </c>
      <c r="B1" s="2" t="s">
        <v>0</v>
      </c>
      <c r="C1" s="527" t="s">
        <v>1</v>
      </c>
      <c r="D1" s="528" t="s">
        <v>2</v>
      </c>
      <c r="E1" s="529" t="s">
        <v>3</v>
      </c>
      <c r="F1" s="530" t="s">
        <v>4</v>
      </c>
      <c r="G1" s="530" t="s">
        <v>5</v>
      </c>
      <c r="H1" s="531" t="s">
        <v>6</v>
      </c>
      <c r="I1" s="528" t="s">
        <v>7</v>
      </c>
      <c r="J1" s="529" t="s">
        <v>8</v>
      </c>
      <c r="K1" s="529" t="s">
        <v>9</v>
      </c>
      <c r="L1" s="531" t="s">
        <v>10</v>
      </c>
      <c r="M1" s="528" t="s">
        <v>11</v>
      </c>
      <c r="N1" s="529" t="s">
        <v>12</v>
      </c>
      <c r="O1" s="529" t="s">
        <v>13</v>
      </c>
      <c r="P1" s="529" t="s">
        <v>14</v>
      </c>
      <c r="Q1" s="529" t="s">
        <v>15</v>
      </c>
      <c r="R1" s="529" t="s">
        <v>16</v>
      </c>
      <c r="S1" s="529" t="s">
        <v>17</v>
      </c>
      <c r="T1" s="529" t="s">
        <v>18</v>
      </c>
      <c r="U1" s="529" t="s">
        <v>19</v>
      </c>
      <c r="V1" s="530" t="s">
        <v>20</v>
      </c>
      <c r="W1" s="530" t="s">
        <v>21</v>
      </c>
      <c r="X1" s="530" t="s">
        <v>22</v>
      </c>
      <c r="Y1" s="529" t="s">
        <v>23</v>
      </c>
      <c r="Z1" s="531" t="s">
        <v>24</v>
      </c>
      <c r="AA1" s="532" t="s">
        <v>25</v>
      </c>
      <c r="AB1" s="533" t="s">
        <v>26</v>
      </c>
      <c r="AC1" s="529" t="s">
        <v>27</v>
      </c>
      <c r="AD1" s="529" t="s">
        <v>28</v>
      </c>
      <c r="AE1" s="529" t="s">
        <v>29</v>
      </c>
      <c r="AF1" s="529" t="s">
        <v>30</v>
      </c>
      <c r="AG1" s="529" t="s">
        <v>31</v>
      </c>
      <c r="AH1" s="529" t="s">
        <v>32</v>
      </c>
      <c r="AI1" s="530" t="s">
        <v>33</v>
      </c>
      <c r="AJ1" s="531" t="s">
        <v>34</v>
      </c>
      <c r="AK1" s="531" t="s">
        <v>35</v>
      </c>
      <c r="AL1" s="532" t="s">
        <v>36</v>
      </c>
      <c r="AM1" s="534" t="s">
        <v>37</v>
      </c>
      <c r="AO1" s="4"/>
    </row>
    <row r="2" spans="1:41" s="5" customFormat="1" ht="12.75" customHeight="1">
      <c r="A2" s="535" t="s">
        <v>38</v>
      </c>
      <c r="B2" s="536"/>
      <c r="C2" s="537">
        <f>SUM(D2:G2)</f>
        <v>0</v>
      </c>
      <c r="D2" s="538">
        <v>0</v>
      </c>
      <c r="E2" s="539"/>
      <c r="F2" s="540"/>
      <c r="G2" s="540"/>
      <c r="H2" s="541">
        <f>SUM(I2:K2)</f>
        <v>815.92434898628403</v>
      </c>
      <c r="I2" s="542">
        <v>688.22034898628408</v>
      </c>
      <c r="J2" s="543">
        <v>127.70399999999999</v>
      </c>
      <c r="K2" s="544"/>
      <c r="L2" s="541">
        <f>SUM(M2:Y2)</f>
        <v>0</v>
      </c>
      <c r="M2" s="542"/>
      <c r="N2" s="545"/>
      <c r="O2" s="545"/>
      <c r="P2" s="545"/>
      <c r="Q2" s="545"/>
      <c r="R2" s="545"/>
      <c r="S2" s="545"/>
      <c r="T2" s="545"/>
      <c r="U2" s="545"/>
      <c r="V2" s="540"/>
      <c r="W2" s="540"/>
      <c r="X2" s="540"/>
      <c r="Y2" s="544"/>
      <c r="Z2" s="541">
        <v>2751.9191872187112</v>
      </c>
      <c r="AA2" s="546">
        <f>SUM(AB2:AI2)</f>
        <v>1310.4304732727737</v>
      </c>
      <c r="AB2" s="547">
        <v>59.691708987970003</v>
      </c>
      <c r="AC2" s="544">
        <v>727.12733781532609</v>
      </c>
      <c r="AD2" s="544">
        <v>386.92983626909194</v>
      </c>
      <c r="AE2" s="544">
        <v>33.531818868055431</v>
      </c>
      <c r="AF2" s="544">
        <v>16.813132576534866</v>
      </c>
      <c r="AG2" s="544">
        <v>27.095124147648001</v>
      </c>
      <c r="AH2" s="542">
        <v>14.978481167970049</v>
      </c>
      <c r="AI2" s="540">
        <v>44.263033440177487</v>
      </c>
      <c r="AJ2" s="548">
        <v>145.43710297949829</v>
      </c>
      <c r="AK2" s="548"/>
      <c r="AL2" s="546"/>
      <c r="AM2" s="549">
        <f>C2+H2+L2+Z2+AA2+AJ2+AK2+AL2</f>
        <v>5023.7111124572675</v>
      </c>
      <c r="AO2" s="6"/>
    </row>
    <row r="3" spans="1:41" s="5" customFormat="1" ht="12.75" customHeight="1">
      <c r="A3" s="550" t="s">
        <v>39</v>
      </c>
      <c r="B3" s="551"/>
      <c r="C3" s="552">
        <f>SUM(D3:G3)</f>
        <v>845.31519216250194</v>
      </c>
      <c r="D3" s="553">
        <v>795.03994947759963</v>
      </c>
      <c r="E3" s="554">
        <v>42.207539024941362</v>
      </c>
      <c r="F3" s="555"/>
      <c r="G3" s="555">
        <v>8.0677036599609497</v>
      </c>
      <c r="H3" s="556">
        <f>SUM(I3:K3)</f>
        <v>0</v>
      </c>
      <c r="I3" s="557"/>
      <c r="J3" s="558"/>
      <c r="K3" s="559"/>
      <c r="L3" s="556">
        <f>SUM(M3:Y3)</f>
        <v>9098.7612301490572</v>
      </c>
      <c r="M3" s="557">
        <v>3053.4742963851995</v>
      </c>
      <c r="N3" s="559">
        <v>0</v>
      </c>
      <c r="O3" s="559">
        <v>564.2282843555555</v>
      </c>
      <c r="P3" s="559">
        <v>369.55541863968</v>
      </c>
      <c r="Q3" s="559">
        <v>1543.1782335883197</v>
      </c>
      <c r="R3" s="559">
        <v>59.086705990112996</v>
      </c>
      <c r="S3" s="559">
        <v>157.5463640726893</v>
      </c>
      <c r="T3" s="559">
        <v>2941.4703035056637</v>
      </c>
      <c r="U3" s="559">
        <v>163.70335639230669</v>
      </c>
      <c r="V3" s="555">
        <v>0</v>
      </c>
      <c r="W3" s="555">
        <v>201.02619184950296</v>
      </c>
      <c r="X3" s="555">
        <v>1.2397796420726457</v>
      </c>
      <c r="Y3" s="559">
        <v>44.252295727955044</v>
      </c>
      <c r="Z3" s="556">
        <v>1728.338063506957</v>
      </c>
      <c r="AA3" s="560">
        <f>SUM(AB3:AI3)</f>
        <v>157.61637079012797</v>
      </c>
      <c r="AB3" s="561"/>
      <c r="AC3" s="559"/>
      <c r="AD3" s="559">
        <v>30.596672981664</v>
      </c>
      <c r="AE3" s="559"/>
      <c r="AF3" s="559"/>
      <c r="AG3" s="559">
        <v>127.01969780846397</v>
      </c>
      <c r="AH3" s="557"/>
      <c r="AI3" s="555"/>
      <c r="AJ3" s="562"/>
      <c r="AK3" s="562">
        <v>139.45061680000001</v>
      </c>
      <c r="AL3" s="560"/>
      <c r="AM3" s="563">
        <f t="shared" ref="AM3:AM21" si="0">C3+H3+L3+Z3+AA3+AJ3+AK3+AL3</f>
        <v>11969.481473408645</v>
      </c>
      <c r="AO3" s="6"/>
    </row>
    <row r="4" spans="1:41" s="5" customFormat="1" ht="12.75" customHeight="1">
      <c r="A4" s="550" t="s">
        <v>40</v>
      </c>
      <c r="B4" s="551"/>
      <c r="C4" s="552">
        <f>SUM(D4:G4)</f>
        <v>15.186580890896002</v>
      </c>
      <c r="D4" s="553">
        <v>0</v>
      </c>
      <c r="E4" s="564">
        <v>14.097722162000002</v>
      </c>
      <c r="F4" s="555"/>
      <c r="G4" s="555">
        <v>1.0888587288959999</v>
      </c>
      <c r="H4" s="556">
        <f>SUM(I4:K4)</f>
        <v>7.0330680000000001</v>
      </c>
      <c r="I4" s="557"/>
      <c r="J4" s="558"/>
      <c r="K4" s="559">
        <v>7.0330680000000001</v>
      </c>
      <c r="L4" s="556">
        <f>SUM(M4:Y4)</f>
        <v>1717.0574370770564</v>
      </c>
      <c r="M4" s="557">
        <v>0</v>
      </c>
      <c r="N4" s="559"/>
      <c r="O4" s="559">
        <v>364.52221864444448</v>
      </c>
      <c r="P4" s="559">
        <v>21.672508399360005</v>
      </c>
      <c r="Q4" s="559">
        <v>156.29379915984001</v>
      </c>
      <c r="R4" s="559">
        <v>986.60611760112999</v>
      </c>
      <c r="S4" s="559">
        <v>35.289733288720633</v>
      </c>
      <c r="T4" s="559">
        <v>102.14625414775992</v>
      </c>
      <c r="U4" s="559">
        <v>2.9088437938490893E-3</v>
      </c>
      <c r="V4" s="555">
        <v>36.297317128453038</v>
      </c>
      <c r="W4" s="555">
        <v>5.465927722</v>
      </c>
      <c r="X4" s="555">
        <v>1.7941621000000001E-2</v>
      </c>
      <c r="Y4" s="559">
        <v>8.7427105205545299</v>
      </c>
      <c r="Z4" s="556">
        <v>0</v>
      </c>
      <c r="AA4" s="560">
        <f>SUM(AB4:AI4)</f>
        <v>16.875293717856</v>
      </c>
      <c r="AB4" s="561"/>
      <c r="AC4" s="559"/>
      <c r="AD4" s="559">
        <v>7.8402815999999991</v>
      </c>
      <c r="AE4" s="559"/>
      <c r="AF4" s="559"/>
      <c r="AG4" s="559">
        <v>9.0350121178560006</v>
      </c>
      <c r="AH4" s="557"/>
      <c r="AI4" s="555"/>
      <c r="AJ4" s="562"/>
      <c r="AK4" s="562">
        <v>141.83539077999998</v>
      </c>
      <c r="AL4" s="560"/>
      <c r="AM4" s="563">
        <f t="shared" si="0"/>
        <v>1897.9877704658084</v>
      </c>
      <c r="AO4" s="6"/>
    </row>
    <row r="5" spans="1:41" s="5" customFormat="1" ht="12.75" customHeight="1">
      <c r="A5" s="550" t="s">
        <v>41</v>
      </c>
      <c r="B5" s="551"/>
      <c r="C5" s="552">
        <f>SUM(D5:G5)</f>
        <v>0</v>
      </c>
      <c r="D5" s="553"/>
      <c r="E5" s="564"/>
      <c r="F5" s="555"/>
      <c r="G5" s="555"/>
      <c r="H5" s="556">
        <f>SUM(I5:K5)</f>
        <v>0</v>
      </c>
      <c r="I5" s="557"/>
      <c r="J5" s="558"/>
      <c r="K5" s="559"/>
      <c r="L5" s="556">
        <f>SUM(M5:Y5)</f>
        <v>162.14899063248015</v>
      </c>
      <c r="M5" s="557"/>
      <c r="N5" s="559"/>
      <c r="O5" s="559"/>
      <c r="P5" s="559"/>
      <c r="Q5" s="559"/>
      <c r="R5" s="559">
        <v>15.730078096892656</v>
      </c>
      <c r="S5" s="559"/>
      <c r="T5" s="559">
        <v>146.41891253558748</v>
      </c>
      <c r="U5" s="559"/>
      <c r="V5" s="555"/>
      <c r="W5" s="555"/>
      <c r="X5" s="555"/>
      <c r="Y5" s="559"/>
      <c r="Z5" s="556"/>
      <c r="AA5" s="560">
        <f>SUM(AB5:AI5)</f>
        <v>0</v>
      </c>
      <c r="AB5" s="561"/>
      <c r="AC5" s="559"/>
      <c r="AD5" s="559"/>
      <c r="AE5" s="559"/>
      <c r="AF5" s="559"/>
      <c r="AG5" s="559"/>
      <c r="AH5" s="557"/>
      <c r="AI5" s="555"/>
      <c r="AJ5" s="562"/>
      <c r="AK5" s="562"/>
      <c r="AL5" s="560"/>
      <c r="AM5" s="563">
        <f t="shared" si="0"/>
        <v>162.14899063248015</v>
      </c>
      <c r="AO5" s="6"/>
    </row>
    <row r="6" spans="1:41" s="5" customFormat="1" ht="12.75" customHeight="1" thickBot="1">
      <c r="A6" s="565" t="s">
        <v>42</v>
      </c>
      <c r="B6" s="566"/>
      <c r="C6" s="552">
        <f>SUM(D6:G6)</f>
        <v>-105.50045932171129</v>
      </c>
      <c r="D6" s="567">
        <v>-106.11399866466098</v>
      </c>
      <c r="E6" s="555">
        <v>-0.8079766727235479</v>
      </c>
      <c r="F6" s="568"/>
      <c r="G6" s="568">
        <v>1.4215160156732278</v>
      </c>
      <c r="H6" s="569">
        <f>SUM(I6:K6)</f>
        <v>-122.93905189963694</v>
      </c>
      <c r="I6" s="570">
        <v>-136.53826589963694</v>
      </c>
      <c r="J6" s="571">
        <v>0</v>
      </c>
      <c r="K6" s="570">
        <v>13.599214000000003</v>
      </c>
      <c r="L6" s="569">
        <f>SUM(M6:Y6)</f>
        <v>160.4304507360369</v>
      </c>
      <c r="M6" s="557">
        <v>38.730964773999993</v>
      </c>
      <c r="N6" s="559"/>
      <c r="O6" s="559">
        <v>-9.6980083333333713</v>
      </c>
      <c r="P6" s="559">
        <v>12.883201938880001</v>
      </c>
      <c r="Q6" s="559">
        <v>82.12024884504001</v>
      </c>
      <c r="R6" s="559">
        <v>23.637599999999999</v>
      </c>
      <c r="S6" s="559">
        <v>1.4659197380156652</v>
      </c>
      <c r="T6" s="559">
        <v>8.3874136006762399</v>
      </c>
      <c r="U6" s="559">
        <v>3.419577960051174</v>
      </c>
      <c r="V6" s="568">
        <v>-0.51646778729281662</v>
      </c>
      <c r="W6" s="568">
        <v>0</v>
      </c>
      <c r="X6" s="568">
        <v>0</v>
      </c>
      <c r="Y6" s="570">
        <v>0</v>
      </c>
      <c r="Z6" s="569">
        <v>0</v>
      </c>
      <c r="AA6" s="572">
        <f>SUM(AB6:AI6)</f>
        <v>4.2804283179600002</v>
      </c>
      <c r="AB6" s="573"/>
      <c r="AC6" s="574"/>
      <c r="AD6" s="574">
        <v>8.7401158199999704E-2</v>
      </c>
      <c r="AE6" s="574"/>
      <c r="AF6" s="574"/>
      <c r="AG6" s="574">
        <v>4.1930271597600006</v>
      </c>
      <c r="AH6" s="570"/>
      <c r="AI6" s="568"/>
      <c r="AJ6" s="575"/>
      <c r="AK6" s="575"/>
      <c r="AL6" s="572"/>
      <c r="AM6" s="576">
        <f t="shared" si="0"/>
        <v>-63.728632167351321</v>
      </c>
      <c r="AO6" s="6"/>
    </row>
    <row r="7" spans="1:41" s="8" customFormat="1" ht="12.75" customHeight="1">
      <c r="A7" s="577" t="s">
        <v>43</v>
      </c>
      <c r="B7" s="578"/>
      <c r="C7" s="579">
        <f t="shared" ref="C7:AL7" si="1">C2+C3-C4-C5+C6</f>
        <v>724.62815194989457</v>
      </c>
      <c r="D7" s="580">
        <f t="shared" si="1"/>
        <v>688.92595081293871</v>
      </c>
      <c r="E7" s="581">
        <f t="shared" si="1"/>
        <v>27.30184019021781</v>
      </c>
      <c r="F7" s="581">
        <f t="shared" si="1"/>
        <v>0</v>
      </c>
      <c r="G7" s="581">
        <f t="shared" si="1"/>
        <v>8.4003609467381786</v>
      </c>
      <c r="H7" s="582">
        <f t="shared" si="1"/>
        <v>685.95222908664709</v>
      </c>
      <c r="I7" s="580">
        <f t="shared" si="1"/>
        <v>551.68208308664714</v>
      </c>
      <c r="J7" s="583">
        <f t="shared" si="1"/>
        <v>127.70399999999999</v>
      </c>
      <c r="K7" s="581">
        <f t="shared" si="1"/>
        <v>6.5661460000000034</v>
      </c>
      <c r="L7" s="582">
        <f t="shared" si="1"/>
        <v>7379.9852531755569</v>
      </c>
      <c r="M7" s="580">
        <f t="shared" si="1"/>
        <v>3092.2052611591994</v>
      </c>
      <c r="N7" s="581">
        <f t="shared" si="1"/>
        <v>0</v>
      </c>
      <c r="O7" s="581">
        <f t="shared" si="1"/>
        <v>190.00805737777765</v>
      </c>
      <c r="P7" s="581">
        <f t="shared" si="1"/>
        <v>360.76611217919998</v>
      </c>
      <c r="Q7" s="581">
        <f t="shared" si="1"/>
        <v>1469.0046832735197</v>
      </c>
      <c r="R7" s="581">
        <f t="shared" si="1"/>
        <v>-919.61188970790954</v>
      </c>
      <c r="S7" s="581">
        <f t="shared" si="1"/>
        <v>123.72255052198433</v>
      </c>
      <c r="T7" s="581">
        <f t="shared" si="1"/>
        <v>2701.2925504229925</v>
      </c>
      <c r="U7" s="581">
        <f t="shared" si="1"/>
        <v>167.12002550856403</v>
      </c>
      <c r="V7" s="581">
        <f t="shared" si="1"/>
        <v>-36.813784915745856</v>
      </c>
      <c r="W7" s="581">
        <f t="shared" si="1"/>
        <v>195.56026412750296</v>
      </c>
      <c r="X7" s="581">
        <f t="shared" si="1"/>
        <v>1.2218380210726456</v>
      </c>
      <c r="Y7" s="581">
        <f t="shared" si="1"/>
        <v>35.509585207400512</v>
      </c>
      <c r="Z7" s="582">
        <f t="shared" si="1"/>
        <v>4480.2572507256682</v>
      </c>
      <c r="AA7" s="582">
        <f t="shared" si="1"/>
        <v>1455.4519786630058</v>
      </c>
      <c r="AB7" s="580">
        <f t="shared" si="1"/>
        <v>59.691708987970003</v>
      </c>
      <c r="AC7" s="581">
        <f t="shared" si="1"/>
        <v>727.12733781532609</v>
      </c>
      <c r="AD7" s="581">
        <f t="shared" si="1"/>
        <v>409.77362880895589</v>
      </c>
      <c r="AE7" s="581">
        <f t="shared" si="1"/>
        <v>33.531818868055431</v>
      </c>
      <c r="AF7" s="581">
        <f t="shared" si="1"/>
        <v>16.813132576534866</v>
      </c>
      <c r="AG7" s="581">
        <f t="shared" si="1"/>
        <v>149.27283699801595</v>
      </c>
      <c r="AH7" s="584">
        <f t="shared" si="1"/>
        <v>14.978481167970049</v>
      </c>
      <c r="AI7" s="580">
        <f t="shared" si="1"/>
        <v>44.263033440177487</v>
      </c>
      <c r="AJ7" s="582">
        <f t="shared" si="1"/>
        <v>145.43710297949829</v>
      </c>
      <c r="AK7" s="582">
        <f t="shared" si="1"/>
        <v>-2.3847739799999772</v>
      </c>
      <c r="AL7" s="585">
        <f t="shared" si="1"/>
        <v>0</v>
      </c>
      <c r="AM7" s="586">
        <f t="shared" si="0"/>
        <v>14869.327192600271</v>
      </c>
      <c r="AN7" s="5"/>
      <c r="AO7" s="7"/>
    </row>
    <row r="8" spans="1:41" s="8" customFormat="1" ht="12.75" customHeight="1" thickBot="1">
      <c r="A8" s="587" t="s">
        <v>44</v>
      </c>
      <c r="B8" s="588"/>
      <c r="C8" s="589">
        <f t="shared" ref="C8:AL8" si="2">C7-C28</f>
        <v>724.62815194989457</v>
      </c>
      <c r="D8" s="590">
        <f>D7-D28</f>
        <v>688.92595081293871</v>
      </c>
      <c r="E8" s="591">
        <f t="shared" si="2"/>
        <v>27.30184019021781</v>
      </c>
      <c r="F8" s="592">
        <f t="shared" si="2"/>
        <v>0</v>
      </c>
      <c r="G8" s="592">
        <f t="shared" si="2"/>
        <v>8.4003609467381786</v>
      </c>
      <c r="H8" s="593">
        <f t="shared" si="2"/>
        <v>685.95222908664709</v>
      </c>
      <c r="I8" s="590">
        <f t="shared" si="2"/>
        <v>551.68208308664714</v>
      </c>
      <c r="J8" s="594">
        <f t="shared" si="2"/>
        <v>127.70399999999999</v>
      </c>
      <c r="K8" s="591">
        <f t="shared" si="2"/>
        <v>6.5661460000000034</v>
      </c>
      <c r="L8" s="593">
        <f t="shared" si="2"/>
        <v>7147.6935658195807</v>
      </c>
      <c r="M8" s="590">
        <f t="shared" si="2"/>
        <v>3092.2052611591994</v>
      </c>
      <c r="N8" s="591">
        <f t="shared" si="2"/>
        <v>0</v>
      </c>
      <c r="O8" s="591">
        <f t="shared" si="2"/>
        <v>190.00805737777765</v>
      </c>
      <c r="P8" s="591">
        <f t="shared" si="2"/>
        <v>360.76611217919998</v>
      </c>
      <c r="Q8" s="591">
        <f t="shared" si="2"/>
        <v>1469.0046832735197</v>
      </c>
      <c r="R8" s="591">
        <f t="shared" si="2"/>
        <v>-919.61188970790954</v>
      </c>
      <c r="S8" s="591">
        <f t="shared" si="2"/>
        <v>123.72255052198433</v>
      </c>
      <c r="T8" s="591">
        <f t="shared" si="2"/>
        <v>2701.2925504229925</v>
      </c>
      <c r="U8" s="591">
        <f t="shared" si="2"/>
        <v>167.12002550856403</v>
      </c>
      <c r="V8" s="592">
        <f t="shared" si="2"/>
        <v>-36.813784915745856</v>
      </c>
      <c r="W8" s="592">
        <f t="shared" si="2"/>
        <v>0</v>
      </c>
      <c r="X8" s="592">
        <f t="shared" si="2"/>
        <v>0</v>
      </c>
      <c r="Y8" s="591">
        <f t="shared" si="2"/>
        <v>0</v>
      </c>
      <c r="Z8" s="593">
        <f t="shared" si="2"/>
        <v>4480.2572507256682</v>
      </c>
      <c r="AA8" s="595">
        <f t="shared" si="2"/>
        <v>1455.4519786630058</v>
      </c>
      <c r="AB8" s="590">
        <f t="shared" si="2"/>
        <v>59.691708987970003</v>
      </c>
      <c r="AC8" s="591">
        <f t="shared" si="2"/>
        <v>727.12733781532609</v>
      </c>
      <c r="AD8" s="591">
        <f t="shared" si="2"/>
        <v>409.77362880895589</v>
      </c>
      <c r="AE8" s="591">
        <f t="shared" si="2"/>
        <v>33.531818868055431</v>
      </c>
      <c r="AF8" s="591">
        <f t="shared" si="2"/>
        <v>16.813132576534866</v>
      </c>
      <c r="AG8" s="591">
        <f t="shared" si="2"/>
        <v>149.27283699801595</v>
      </c>
      <c r="AH8" s="596">
        <f t="shared" si="2"/>
        <v>14.978481167970049</v>
      </c>
      <c r="AI8" s="590">
        <f t="shared" si="2"/>
        <v>44.263033440177487</v>
      </c>
      <c r="AJ8" s="593">
        <f t="shared" si="2"/>
        <v>145.43710297949829</v>
      </c>
      <c r="AK8" s="593">
        <f t="shared" si="2"/>
        <v>-2.3847739799999772</v>
      </c>
      <c r="AL8" s="590">
        <f t="shared" si="2"/>
        <v>0</v>
      </c>
      <c r="AM8" s="597">
        <f t="shared" si="0"/>
        <v>14637.035505244296</v>
      </c>
      <c r="AN8" s="5"/>
      <c r="AO8" s="7"/>
    </row>
    <row r="9" spans="1:41" s="8" customFormat="1" ht="12.75" customHeight="1">
      <c r="A9" s="577" t="s">
        <v>45</v>
      </c>
      <c r="B9" s="578"/>
      <c r="C9" s="579">
        <f t="shared" ref="C9:AL9" si="3">SUM(C10:C14)</f>
        <v>488.64939432989598</v>
      </c>
      <c r="D9" s="584">
        <f t="shared" si="3"/>
        <v>488.64939432989598</v>
      </c>
      <c r="E9" s="581">
        <f t="shared" si="3"/>
        <v>0</v>
      </c>
      <c r="F9" s="598">
        <f t="shared" si="3"/>
        <v>0</v>
      </c>
      <c r="G9" s="598">
        <f t="shared" si="3"/>
        <v>0</v>
      </c>
      <c r="H9" s="582">
        <f t="shared" si="3"/>
        <v>539.94139129191865</v>
      </c>
      <c r="I9" s="584">
        <f t="shared" si="3"/>
        <v>539.94139129191865</v>
      </c>
      <c r="J9" s="583">
        <f t="shared" si="3"/>
        <v>0</v>
      </c>
      <c r="K9" s="581">
        <f t="shared" si="3"/>
        <v>0</v>
      </c>
      <c r="L9" s="582">
        <f t="shared" si="3"/>
        <v>3126.9350452866179</v>
      </c>
      <c r="M9" s="581">
        <f t="shared" si="3"/>
        <v>3092.2052611591994</v>
      </c>
      <c r="N9" s="581">
        <f t="shared" si="3"/>
        <v>0</v>
      </c>
      <c r="O9" s="581">
        <f t="shared" si="3"/>
        <v>0</v>
      </c>
      <c r="P9" s="581">
        <f t="shared" si="3"/>
        <v>0</v>
      </c>
      <c r="Q9" s="581">
        <f t="shared" si="3"/>
        <v>0</v>
      </c>
      <c r="R9" s="581">
        <f t="shared" si="3"/>
        <v>25.868327226603597</v>
      </c>
      <c r="S9" s="581">
        <f t="shared" si="3"/>
        <v>0.63499472294399995</v>
      </c>
      <c r="T9" s="581">
        <f t="shared" si="3"/>
        <v>8.2264621778709284</v>
      </c>
      <c r="U9" s="581">
        <f t="shared" si="3"/>
        <v>0</v>
      </c>
      <c r="V9" s="598">
        <f t="shared" si="3"/>
        <v>0</v>
      </c>
      <c r="W9" s="598">
        <f t="shared" si="3"/>
        <v>0</v>
      </c>
      <c r="X9" s="598">
        <f t="shared" si="3"/>
        <v>0</v>
      </c>
      <c r="Y9" s="581">
        <f t="shared" si="3"/>
        <v>0</v>
      </c>
      <c r="Z9" s="582">
        <f t="shared" si="3"/>
        <v>2501.2994242635782</v>
      </c>
      <c r="AA9" s="580">
        <f t="shared" si="3"/>
        <v>213.29280212790383</v>
      </c>
      <c r="AB9" s="599">
        <f t="shared" si="3"/>
        <v>0</v>
      </c>
      <c r="AC9" s="581">
        <f t="shared" si="3"/>
        <v>0</v>
      </c>
      <c r="AD9" s="581">
        <f t="shared" si="3"/>
        <v>172.72491180671966</v>
      </c>
      <c r="AE9" s="581">
        <f t="shared" si="3"/>
        <v>33.531818868055431</v>
      </c>
      <c r="AF9" s="581">
        <f t="shared" si="3"/>
        <v>7.0360714531287174</v>
      </c>
      <c r="AG9" s="581">
        <f t="shared" si="3"/>
        <v>0</v>
      </c>
      <c r="AH9" s="584">
        <f t="shared" si="3"/>
        <v>0</v>
      </c>
      <c r="AI9" s="598">
        <f t="shared" si="3"/>
        <v>0</v>
      </c>
      <c r="AJ9" s="582">
        <f t="shared" si="3"/>
        <v>90.714163374524205</v>
      </c>
      <c r="AK9" s="582">
        <f t="shared" si="3"/>
        <v>54.069944079999999</v>
      </c>
      <c r="AL9" s="580">
        <f t="shared" si="3"/>
        <v>0</v>
      </c>
      <c r="AM9" s="600">
        <f t="shared" si="0"/>
        <v>7014.9021647544387</v>
      </c>
      <c r="AN9" s="5"/>
      <c r="AO9" s="7"/>
    </row>
    <row r="10" spans="1:41" s="5" customFormat="1" ht="12.75" customHeight="1">
      <c r="A10" s="601" t="s">
        <v>46</v>
      </c>
      <c r="B10" s="602"/>
      <c r="C10" s="603">
        <f>SUM(D10:G10)</f>
        <v>488.64939432989598</v>
      </c>
      <c r="D10" s="604">
        <v>488.64939432989598</v>
      </c>
      <c r="E10" s="605"/>
      <c r="F10" s="606"/>
      <c r="G10" s="606"/>
      <c r="H10" s="607">
        <f>SUM(I10:K10)</f>
        <v>467.10845991760607</v>
      </c>
      <c r="I10" s="604">
        <v>467.10845991760607</v>
      </c>
      <c r="J10" s="608">
        <v>0</v>
      </c>
      <c r="K10" s="605"/>
      <c r="L10" s="607">
        <f>SUM(M10:Y10)</f>
        <v>34.094789404474525</v>
      </c>
      <c r="M10" s="605"/>
      <c r="N10" s="605"/>
      <c r="O10" s="605"/>
      <c r="P10" s="605"/>
      <c r="Q10" s="605"/>
      <c r="R10" s="605">
        <v>25.868327226603597</v>
      </c>
      <c r="S10" s="605"/>
      <c r="T10" s="605">
        <v>8.2264621778709284</v>
      </c>
      <c r="U10" s="605"/>
      <c r="V10" s="606"/>
      <c r="W10" s="606"/>
      <c r="X10" s="606"/>
      <c r="Y10" s="605"/>
      <c r="Z10" s="607">
        <v>2187.6033883210698</v>
      </c>
      <c r="AA10" s="609">
        <f>SUM(AB10:AI10)</f>
        <v>204.19282321191795</v>
      </c>
      <c r="AB10" s="610"/>
      <c r="AC10" s="605"/>
      <c r="AD10" s="605">
        <v>170.66100434386252</v>
      </c>
      <c r="AE10" s="605">
        <v>33.531818868055431</v>
      </c>
      <c r="AF10" s="605"/>
      <c r="AG10" s="605"/>
      <c r="AH10" s="604"/>
      <c r="AI10" s="606"/>
      <c r="AJ10" s="611">
        <v>90.714163374524205</v>
      </c>
      <c r="AK10" s="607"/>
      <c r="AL10" s="609"/>
      <c r="AM10" s="612">
        <f t="shared" si="0"/>
        <v>3472.3630185594884</v>
      </c>
      <c r="AO10" s="6"/>
    </row>
    <row r="11" spans="1:41" s="5" customFormat="1" ht="12.75" customHeight="1">
      <c r="A11" s="550" t="s">
        <v>47</v>
      </c>
      <c r="B11" s="551"/>
      <c r="C11" s="552">
        <f>SUM(D11:G11)</f>
        <v>0</v>
      </c>
      <c r="D11" s="557">
        <v>0</v>
      </c>
      <c r="E11" s="559"/>
      <c r="F11" s="555"/>
      <c r="G11" s="555"/>
      <c r="H11" s="556">
        <f>SUM(I11:K11)</f>
        <v>4.7573545322072528</v>
      </c>
      <c r="I11" s="557">
        <v>4.7573545322072528</v>
      </c>
      <c r="J11" s="558"/>
      <c r="K11" s="559"/>
      <c r="L11" s="556">
        <f>SUM(M11:Y11)</f>
        <v>0.63499472294399995</v>
      </c>
      <c r="M11" s="559"/>
      <c r="N11" s="613">
        <v>0</v>
      </c>
      <c r="O11" s="559"/>
      <c r="P11" s="559"/>
      <c r="Q11" s="559"/>
      <c r="R11" s="559">
        <v>0</v>
      </c>
      <c r="S11" s="559">
        <v>0.63499472294399995</v>
      </c>
      <c r="T11" s="559">
        <v>0</v>
      </c>
      <c r="U11" s="559"/>
      <c r="V11" s="555"/>
      <c r="W11" s="555"/>
      <c r="X11" s="555"/>
      <c r="Y11" s="559"/>
      <c r="Z11" s="556">
        <v>272.96145103491432</v>
      </c>
      <c r="AA11" s="560">
        <f>SUM(AB11:AI11)</f>
        <v>9.0999789159858597</v>
      </c>
      <c r="AB11" s="561"/>
      <c r="AC11" s="559"/>
      <c r="AD11" s="559">
        <v>2.0639074628571428</v>
      </c>
      <c r="AE11" s="559"/>
      <c r="AF11" s="559">
        <v>7.0360714531287174</v>
      </c>
      <c r="AG11" s="559"/>
      <c r="AH11" s="557"/>
      <c r="AI11" s="555"/>
      <c r="AJ11" s="562"/>
      <c r="AK11" s="562"/>
      <c r="AL11" s="560"/>
      <c r="AM11" s="563">
        <f t="shared" si="0"/>
        <v>287.45377920605142</v>
      </c>
      <c r="AO11" s="6"/>
    </row>
    <row r="12" spans="1:41" s="5" customFormat="1" ht="12.75" customHeight="1">
      <c r="A12" s="550" t="s">
        <v>48</v>
      </c>
      <c r="B12" s="551"/>
      <c r="C12" s="552"/>
      <c r="D12" s="557"/>
      <c r="E12" s="559"/>
      <c r="F12" s="555"/>
      <c r="G12" s="555"/>
      <c r="H12" s="556"/>
      <c r="I12" s="557"/>
      <c r="J12" s="558"/>
      <c r="K12" s="559"/>
      <c r="L12" s="556"/>
      <c r="M12" s="559"/>
      <c r="N12" s="613"/>
      <c r="O12" s="559"/>
      <c r="P12" s="559"/>
      <c r="Q12" s="559"/>
      <c r="R12" s="559"/>
      <c r="S12" s="559"/>
      <c r="T12" s="559"/>
      <c r="U12" s="559"/>
      <c r="V12" s="555"/>
      <c r="W12" s="555"/>
      <c r="X12" s="555"/>
      <c r="Y12" s="559"/>
      <c r="Z12" s="556"/>
      <c r="AA12" s="560"/>
      <c r="AB12" s="561"/>
      <c r="AC12" s="559"/>
      <c r="AD12" s="559"/>
      <c r="AE12" s="559"/>
      <c r="AF12" s="559"/>
      <c r="AG12" s="559"/>
      <c r="AH12" s="557"/>
      <c r="AI12" s="555"/>
      <c r="AJ12" s="562"/>
      <c r="AK12" s="562">
        <v>42.942060079999997</v>
      </c>
      <c r="AL12" s="560"/>
      <c r="AM12" s="563">
        <f t="shared" si="0"/>
        <v>42.942060079999997</v>
      </c>
      <c r="AO12" s="6"/>
    </row>
    <row r="13" spans="1:41" s="5" customFormat="1" ht="12.75" customHeight="1">
      <c r="A13" s="550" t="s">
        <v>49</v>
      </c>
      <c r="B13" s="551"/>
      <c r="C13" s="552">
        <f>SUM(D13:G13)</f>
        <v>0</v>
      </c>
      <c r="D13" s="557"/>
      <c r="E13" s="555"/>
      <c r="F13" s="555"/>
      <c r="G13" s="555"/>
      <c r="H13" s="556">
        <f>SUM(I13:K13)</f>
        <v>68.075576842105264</v>
      </c>
      <c r="I13" s="557">
        <v>68.075576842105264</v>
      </c>
      <c r="J13" s="558"/>
      <c r="K13" s="559"/>
      <c r="L13" s="556">
        <f>SUM(M13:Y13)</f>
        <v>0</v>
      </c>
      <c r="M13" s="559"/>
      <c r="N13" s="559"/>
      <c r="O13" s="559"/>
      <c r="P13" s="559"/>
      <c r="Q13" s="559"/>
      <c r="R13" s="559"/>
      <c r="S13" s="559"/>
      <c r="T13" s="559"/>
      <c r="U13" s="559"/>
      <c r="V13" s="555"/>
      <c r="W13" s="555"/>
      <c r="X13" s="555"/>
      <c r="Y13" s="559"/>
      <c r="Z13" s="556"/>
      <c r="AA13" s="560">
        <f>SUM(AB13:AI13)</f>
        <v>0</v>
      </c>
      <c r="AB13" s="561"/>
      <c r="AC13" s="559"/>
      <c r="AD13" s="559"/>
      <c r="AE13" s="559"/>
      <c r="AF13" s="559"/>
      <c r="AG13" s="559"/>
      <c r="AH13" s="557"/>
      <c r="AI13" s="555"/>
      <c r="AJ13" s="562"/>
      <c r="AK13" s="562"/>
      <c r="AL13" s="560"/>
      <c r="AM13" s="563">
        <f t="shared" si="0"/>
        <v>68.075576842105264</v>
      </c>
      <c r="AO13" s="6"/>
    </row>
    <row r="14" spans="1:41" s="5" customFormat="1" ht="12.75" customHeight="1">
      <c r="A14" s="614" t="s">
        <v>50</v>
      </c>
      <c r="B14" s="615"/>
      <c r="C14" s="616">
        <f>SUM(D14:G14)</f>
        <v>0</v>
      </c>
      <c r="D14" s="617"/>
      <c r="E14" s="618"/>
      <c r="F14" s="619"/>
      <c r="G14" s="619"/>
      <c r="H14" s="620">
        <f>SUM(I14:K14)</f>
        <v>0</v>
      </c>
      <c r="I14" s="617"/>
      <c r="J14" s="621"/>
      <c r="K14" s="618"/>
      <c r="L14" s="620">
        <f>SUM(M14:Y14)</f>
        <v>3092.2052611591994</v>
      </c>
      <c r="M14" s="618">
        <v>3092.2052611591994</v>
      </c>
      <c r="N14" s="618"/>
      <c r="O14" s="618"/>
      <c r="P14" s="618"/>
      <c r="Q14" s="618"/>
      <c r="R14" s="618"/>
      <c r="S14" s="618"/>
      <c r="T14" s="618"/>
      <c r="U14" s="618"/>
      <c r="V14" s="619"/>
      <c r="W14" s="619"/>
      <c r="X14" s="619"/>
      <c r="Y14" s="618"/>
      <c r="Z14" s="620">
        <v>40.734584907594211</v>
      </c>
      <c r="AA14" s="622">
        <f>SUM(AB14:AI14)</f>
        <v>0</v>
      </c>
      <c r="AB14" s="623"/>
      <c r="AC14" s="618"/>
      <c r="AD14" s="618"/>
      <c r="AE14" s="618"/>
      <c r="AF14" s="618"/>
      <c r="AG14" s="618"/>
      <c r="AH14" s="617"/>
      <c r="AI14" s="619"/>
      <c r="AJ14" s="624"/>
      <c r="AK14" s="624">
        <v>11.127884</v>
      </c>
      <c r="AL14" s="622"/>
      <c r="AM14" s="625">
        <f t="shared" si="0"/>
        <v>3144.0677300667935</v>
      </c>
      <c r="AO14" s="6"/>
    </row>
    <row r="15" spans="1:41" s="8" customFormat="1" ht="12.75" customHeight="1">
      <c r="A15" s="626" t="s">
        <v>51</v>
      </c>
      <c r="B15" s="627"/>
      <c r="C15" s="628">
        <f t="shared" ref="C15:AL15" si="4">SUM(C16:C21)</f>
        <v>0</v>
      </c>
      <c r="D15" s="629">
        <f t="shared" si="4"/>
        <v>0</v>
      </c>
      <c r="E15" s="630">
        <f t="shared" si="4"/>
        <v>0</v>
      </c>
      <c r="F15" s="631">
        <f t="shared" si="4"/>
        <v>0</v>
      </c>
      <c r="G15" s="631">
        <f t="shared" si="4"/>
        <v>0</v>
      </c>
      <c r="H15" s="632">
        <f t="shared" si="4"/>
        <v>64.671797999999995</v>
      </c>
      <c r="I15" s="629">
        <f t="shared" si="4"/>
        <v>0</v>
      </c>
      <c r="J15" s="633">
        <f t="shared" si="4"/>
        <v>0</v>
      </c>
      <c r="K15" s="630">
        <f t="shared" si="4"/>
        <v>64.671797999999995</v>
      </c>
      <c r="L15" s="632">
        <f t="shared" si="4"/>
        <v>3166.7368998172387</v>
      </c>
      <c r="M15" s="630">
        <f t="shared" si="4"/>
        <v>0</v>
      </c>
      <c r="N15" s="630">
        <f t="shared" si="4"/>
        <v>89.969014531910801</v>
      </c>
      <c r="O15" s="630">
        <f t="shared" si="4"/>
        <v>640.53679657777786</v>
      </c>
      <c r="P15" s="630">
        <f t="shared" si="4"/>
        <v>226.77459106847999</v>
      </c>
      <c r="Q15" s="630">
        <f t="shared" si="4"/>
        <v>0</v>
      </c>
      <c r="R15" s="630">
        <f t="shared" si="4"/>
        <v>960.95017928079096</v>
      </c>
      <c r="S15" s="630">
        <f t="shared" si="4"/>
        <v>64.797462901984332</v>
      </c>
      <c r="T15" s="630">
        <f t="shared" si="4"/>
        <v>1146.9502117491124</v>
      </c>
      <c r="U15" s="630">
        <f t="shared" si="4"/>
        <v>0</v>
      </c>
      <c r="V15" s="631">
        <f t="shared" si="4"/>
        <v>36.758643707182323</v>
      </c>
      <c r="W15" s="631">
        <f t="shared" si="4"/>
        <v>0</v>
      </c>
      <c r="X15" s="631">
        <f t="shared" si="4"/>
        <v>0</v>
      </c>
      <c r="Y15" s="630">
        <f t="shared" si="4"/>
        <v>0</v>
      </c>
      <c r="Z15" s="632">
        <f t="shared" si="4"/>
        <v>0</v>
      </c>
      <c r="AA15" s="634">
        <f t="shared" si="4"/>
        <v>70.406409383935852</v>
      </c>
      <c r="AB15" s="635">
        <f t="shared" si="4"/>
        <v>0</v>
      </c>
      <c r="AC15" s="630">
        <f t="shared" si="4"/>
        <v>0</v>
      </c>
      <c r="AD15" s="630">
        <f t="shared" si="4"/>
        <v>54.776406842584706</v>
      </c>
      <c r="AE15" s="636">
        <f t="shared" si="4"/>
        <v>11.967173135751148</v>
      </c>
      <c r="AF15" s="636">
        <f t="shared" si="4"/>
        <v>3.6628294055999997</v>
      </c>
      <c r="AG15" s="636">
        <f t="shared" si="4"/>
        <v>0</v>
      </c>
      <c r="AH15" s="629">
        <f t="shared" si="4"/>
        <v>0</v>
      </c>
      <c r="AI15" s="631">
        <f t="shared" si="4"/>
        <v>0</v>
      </c>
      <c r="AJ15" s="632">
        <f t="shared" si="4"/>
        <v>24.127289822325451</v>
      </c>
      <c r="AK15" s="632">
        <f t="shared" si="4"/>
        <v>1869.3696002087718</v>
      </c>
      <c r="AL15" s="634">
        <f t="shared" si="4"/>
        <v>0</v>
      </c>
      <c r="AM15" s="637">
        <f t="shared" si="0"/>
        <v>5195.3119972322711</v>
      </c>
      <c r="AN15" s="5"/>
      <c r="AO15" s="7"/>
    </row>
    <row r="16" spans="1:41" s="10" customFormat="1" ht="12.75" customHeight="1">
      <c r="A16" s="601" t="s">
        <v>46</v>
      </c>
      <c r="B16" s="602"/>
      <c r="C16" s="603">
        <f>SUM(D16:G16)</f>
        <v>0</v>
      </c>
      <c r="D16" s="604"/>
      <c r="E16" s="605"/>
      <c r="F16" s="606"/>
      <c r="G16" s="606"/>
      <c r="H16" s="607">
        <f>SUM(I16:K16)</f>
        <v>0</v>
      </c>
      <c r="I16" s="604"/>
      <c r="J16" s="608"/>
      <c r="K16" s="605"/>
      <c r="L16" s="607">
        <f>SUM(M16:Y16)</f>
        <v>0</v>
      </c>
      <c r="M16" s="605"/>
      <c r="N16" s="605"/>
      <c r="O16" s="605"/>
      <c r="P16" s="605"/>
      <c r="Q16" s="605"/>
      <c r="R16" s="605"/>
      <c r="S16" s="605"/>
      <c r="T16" s="605"/>
      <c r="U16" s="605"/>
      <c r="V16" s="606"/>
      <c r="W16" s="606"/>
      <c r="X16" s="606"/>
      <c r="Y16" s="605"/>
      <c r="Z16" s="607"/>
      <c r="AA16" s="609">
        <f>SUM(AB16:AI16)</f>
        <v>65.648541978335857</v>
      </c>
      <c r="AB16" s="610"/>
      <c r="AC16" s="605"/>
      <c r="AD16" s="605">
        <v>53.681368842584703</v>
      </c>
      <c r="AE16" s="613">
        <v>11.967173135751148</v>
      </c>
      <c r="AF16" s="613"/>
      <c r="AG16" s="613"/>
      <c r="AH16" s="604"/>
      <c r="AI16" s="606"/>
      <c r="AJ16" s="611">
        <v>24.127289822325451</v>
      </c>
      <c r="AK16" s="611">
        <v>1663.9966121740963</v>
      </c>
      <c r="AL16" s="609"/>
      <c r="AM16" s="638">
        <f>C16+H16+L16+Z16+AK16+AL16</f>
        <v>1663.9966121740963</v>
      </c>
      <c r="AN16" s="5"/>
      <c r="AO16" s="9"/>
    </row>
    <row r="17" spans="1:41" s="10" customFormat="1" ht="12.75" customHeight="1">
      <c r="A17" s="550" t="s">
        <v>52</v>
      </c>
      <c r="B17" s="551"/>
      <c r="C17" s="552">
        <f>SUM(D17:G17)</f>
        <v>0</v>
      </c>
      <c r="D17" s="557"/>
      <c r="E17" s="559"/>
      <c r="F17" s="555"/>
      <c r="G17" s="555"/>
      <c r="H17" s="556">
        <f>SUM(I17:K17)</f>
        <v>0</v>
      </c>
      <c r="I17" s="557"/>
      <c r="J17" s="558"/>
      <c r="K17" s="559"/>
      <c r="L17" s="556">
        <f>SUM(M17:Y17)</f>
        <v>0</v>
      </c>
      <c r="M17" s="559"/>
      <c r="N17" s="559"/>
      <c r="O17" s="559"/>
      <c r="P17" s="559"/>
      <c r="Q17" s="559"/>
      <c r="R17" s="559"/>
      <c r="S17" s="559"/>
      <c r="T17" s="559"/>
      <c r="U17" s="559"/>
      <c r="V17" s="555"/>
      <c r="W17" s="555"/>
      <c r="X17" s="555"/>
      <c r="Y17" s="559"/>
      <c r="Z17" s="556"/>
      <c r="AA17" s="560">
        <f>SUM(AB17:AI17)</f>
        <v>4.7578674055999999</v>
      </c>
      <c r="AB17" s="561"/>
      <c r="AC17" s="559"/>
      <c r="AD17" s="559">
        <v>1.095038</v>
      </c>
      <c r="AE17" s="559"/>
      <c r="AF17" s="559">
        <v>3.6628294055999997</v>
      </c>
      <c r="AG17" s="559"/>
      <c r="AH17" s="557"/>
      <c r="AI17" s="555"/>
      <c r="AJ17" s="562"/>
      <c r="AK17" s="639">
        <v>184.94204862424348</v>
      </c>
      <c r="AL17" s="560"/>
      <c r="AM17" s="563">
        <f>C17+H17+L17+Z17+AK17+AL17</f>
        <v>184.94204862424348</v>
      </c>
      <c r="AN17" s="5"/>
      <c r="AO17" s="9"/>
    </row>
    <row r="18" spans="1:41" s="10" customFormat="1" ht="12.75" customHeight="1">
      <c r="A18" s="550" t="s">
        <v>53</v>
      </c>
      <c r="B18" s="551"/>
      <c r="C18" s="552"/>
      <c r="D18" s="557"/>
      <c r="E18" s="559"/>
      <c r="F18" s="555"/>
      <c r="G18" s="555"/>
      <c r="H18" s="556"/>
      <c r="I18" s="557"/>
      <c r="J18" s="558"/>
      <c r="K18" s="559"/>
      <c r="L18" s="556"/>
      <c r="M18" s="559"/>
      <c r="N18" s="559"/>
      <c r="O18" s="559"/>
      <c r="P18" s="559"/>
      <c r="Q18" s="559"/>
      <c r="R18" s="559"/>
      <c r="S18" s="559"/>
      <c r="T18" s="559"/>
      <c r="U18" s="559"/>
      <c r="V18" s="555"/>
      <c r="W18" s="555"/>
      <c r="X18" s="555"/>
      <c r="Y18" s="559"/>
      <c r="Z18" s="556"/>
      <c r="AA18" s="560">
        <f>SUM(AB18:AI18)</f>
        <v>0</v>
      </c>
      <c r="AB18" s="561"/>
      <c r="AC18" s="559"/>
      <c r="AD18" s="559"/>
      <c r="AE18" s="559"/>
      <c r="AF18" s="559"/>
      <c r="AG18" s="559"/>
      <c r="AH18" s="557"/>
      <c r="AI18" s="555"/>
      <c r="AJ18" s="562"/>
      <c r="AK18" s="562"/>
      <c r="AL18" s="560"/>
      <c r="AM18" s="563">
        <f t="shared" si="0"/>
        <v>0</v>
      </c>
      <c r="AN18" s="5"/>
      <c r="AO18" s="9"/>
    </row>
    <row r="19" spans="1:41" s="10" customFormat="1" ht="12.75" customHeight="1">
      <c r="A19" s="550" t="s">
        <v>54</v>
      </c>
      <c r="B19" s="551"/>
      <c r="C19" s="552"/>
      <c r="D19" s="557"/>
      <c r="E19" s="559"/>
      <c r="F19" s="555"/>
      <c r="G19" s="555"/>
      <c r="H19" s="556"/>
      <c r="I19" s="557"/>
      <c r="J19" s="558"/>
      <c r="K19" s="559"/>
      <c r="L19" s="556"/>
      <c r="M19" s="559"/>
      <c r="N19" s="559"/>
      <c r="O19" s="559"/>
      <c r="P19" s="559"/>
      <c r="Q19" s="559"/>
      <c r="R19" s="559"/>
      <c r="S19" s="559"/>
      <c r="T19" s="559"/>
      <c r="U19" s="559"/>
      <c r="V19" s="555"/>
      <c r="W19" s="555"/>
      <c r="X19" s="555"/>
      <c r="Y19" s="559"/>
      <c r="Z19" s="556"/>
      <c r="AA19" s="560"/>
      <c r="AB19" s="561"/>
      <c r="AC19" s="559"/>
      <c r="AD19" s="559"/>
      <c r="AE19" s="559"/>
      <c r="AF19" s="559"/>
      <c r="AG19" s="559"/>
      <c r="AH19" s="557"/>
      <c r="AI19" s="555"/>
      <c r="AJ19" s="562"/>
      <c r="AK19" s="562">
        <v>20.430939410432</v>
      </c>
      <c r="AL19" s="560"/>
      <c r="AM19" s="563">
        <f t="shared" si="0"/>
        <v>20.430939410432</v>
      </c>
      <c r="AN19" s="5"/>
      <c r="AO19" s="9"/>
    </row>
    <row r="20" spans="1:41" s="10" customFormat="1" ht="12.75" customHeight="1">
      <c r="A20" s="550" t="s">
        <v>49</v>
      </c>
      <c r="B20" s="551"/>
      <c r="C20" s="552"/>
      <c r="D20" s="640"/>
      <c r="E20" s="559"/>
      <c r="F20" s="555"/>
      <c r="G20" s="555"/>
      <c r="H20" s="556">
        <f>SUM(I20:K20)</f>
        <v>64.671797999999995</v>
      </c>
      <c r="I20" s="557"/>
      <c r="J20" s="558"/>
      <c r="K20" s="559">
        <v>64.671797999999995</v>
      </c>
      <c r="L20" s="556">
        <f>SUM(M20:Y20)</f>
        <v>0</v>
      </c>
      <c r="M20" s="559"/>
      <c r="N20" s="559"/>
      <c r="O20" s="559"/>
      <c r="P20" s="559"/>
      <c r="Q20" s="559"/>
      <c r="R20" s="559"/>
      <c r="S20" s="559"/>
      <c r="T20" s="559"/>
      <c r="U20" s="559"/>
      <c r="V20" s="555"/>
      <c r="W20" s="555"/>
      <c r="X20" s="555"/>
      <c r="Y20" s="559"/>
      <c r="Z20" s="556"/>
      <c r="AA20" s="560">
        <f>SUM(AB20:AI20)</f>
        <v>0</v>
      </c>
      <c r="AB20" s="561"/>
      <c r="AC20" s="559"/>
      <c r="AD20" s="559"/>
      <c r="AE20" s="559"/>
      <c r="AF20" s="559"/>
      <c r="AG20" s="559"/>
      <c r="AH20" s="557"/>
      <c r="AI20" s="555"/>
      <c r="AJ20" s="562"/>
      <c r="AK20" s="562"/>
      <c r="AL20" s="560"/>
      <c r="AM20" s="563">
        <f t="shared" si="0"/>
        <v>64.671797999999995</v>
      </c>
      <c r="AN20" s="5"/>
      <c r="AO20" s="9"/>
    </row>
    <row r="21" spans="1:41" s="10" customFormat="1" ht="12.75" customHeight="1">
      <c r="A21" s="614" t="s">
        <v>55</v>
      </c>
      <c r="B21" s="615"/>
      <c r="C21" s="616"/>
      <c r="D21" s="617"/>
      <c r="E21" s="618"/>
      <c r="F21" s="619"/>
      <c r="G21" s="619"/>
      <c r="H21" s="620">
        <f>SUM(I21:K21)</f>
        <v>0</v>
      </c>
      <c r="I21" s="617"/>
      <c r="J21" s="621"/>
      <c r="K21" s="618"/>
      <c r="L21" s="620">
        <f>SUM(M21:Y21)</f>
        <v>3166.7368998172387</v>
      </c>
      <c r="M21" s="618"/>
      <c r="N21" s="618">
        <v>89.969014531910801</v>
      </c>
      <c r="O21" s="618">
        <v>640.53679657777786</v>
      </c>
      <c r="P21" s="618">
        <v>226.77459106847999</v>
      </c>
      <c r="Q21" s="618">
        <v>0</v>
      </c>
      <c r="R21" s="618">
        <v>960.95017928079096</v>
      </c>
      <c r="S21" s="618">
        <v>64.797462901984332</v>
      </c>
      <c r="T21" s="618">
        <v>1146.9502117491124</v>
      </c>
      <c r="U21" s="618"/>
      <c r="V21" s="619">
        <v>36.758643707182323</v>
      </c>
      <c r="W21" s="619"/>
      <c r="X21" s="619"/>
      <c r="Y21" s="618"/>
      <c r="Z21" s="620"/>
      <c r="AA21" s="622">
        <f>SUM(AB21:AI21)</f>
        <v>0</v>
      </c>
      <c r="AB21" s="623"/>
      <c r="AC21" s="618"/>
      <c r="AD21" s="618"/>
      <c r="AE21" s="618"/>
      <c r="AF21" s="618"/>
      <c r="AG21" s="618"/>
      <c r="AH21" s="617"/>
      <c r="AI21" s="619"/>
      <c r="AJ21" s="624"/>
      <c r="AK21" s="624"/>
      <c r="AL21" s="622"/>
      <c r="AM21" s="625">
        <f t="shared" si="0"/>
        <v>3166.7368998172387</v>
      </c>
      <c r="AN21" s="5"/>
      <c r="AO21" s="9"/>
    </row>
    <row r="22" spans="1:41" s="10" customFormat="1" ht="12.75" customHeight="1">
      <c r="A22" s="641" t="s">
        <v>56</v>
      </c>
      <c r="B22" s="642"/>
      <c r="C22" s="643">
        <f>SUM(C23:C25)</f>
        <v>21.675620234332229</v>
      </c>
      <c r="D22" s="644">
        <f>SUM(D23:D25)</f>
        <v>-17.141361188350004</v>
      </c>
      <c r="E22" s="645">
        <f>SUM(E23:E25)</f>
        <v>38.816981422682233</v>
      </c>
      <c r="F22" s="646">
        <f>SUM(F23:F25)</f>
        <v>0</v>
      </c>
      <c r="G22" s="646">
        <f>SUM(G23:G25)</f>
        <v>0</v>
      </c>
      <c r="H22" s="647">
        <f>SUM(I22:K22)</f>
        <v>0</v>
      </c>
      <c r="I22" s="644">
        <f>SUM(I23:I25)</f>
        <v>0</v>
      </c>
      <c r="J22" s="648">
        <f>SUM(J23:J25)</f>
        <v>0</v>
      </c>
      <c r="K22" s="645">
        <f>SUM(K23:K25)</f>
        <v>0</v>
      </c>
      <c r="L22" s="647">
        <f>SUM(M22:Y22)</f>
        <v>-24.071643477187674</v>
      </c>
      <c r="M22" s="645">
        <f t="shared" ref="M22:AM22" si="5">SUM(M23:M25)</f>
        <v>0</v>
      </c>
      <c r="N22" s="645">
        <f t="shared" si="5"/>
        <v>0</v>
      </c>
      <c r="O22" s="645">
        <f t="shared" si="5"/>
        <v>0.11733854444431926</v>
      </c>
      <c r="P22" s="645">
        <f t="shared" si="5"/>
        <v>374.46366644960005</v>
      </c>
      <c r="Q22" s="645">
        <f t="shared" si="5"/>
        <v>-373.64776418279996</v>
      </c>
      <c r="R22" s="645">
        <f t="shared" si="5"/>
        <v>0</v>
      </c>
      <c r="S22" s="645">
        <f t="shared" si="5"/>
        <v>0</v>
      </c>
      <c r="T22" s="645">
        <f t="shared" si="5"/>
        <v>-3.3292640540998377</v>
      </c>
      <c r="U22" s="645">
        <f t="shared" si="5"/>
        <v>-21.675620234332225</v>
      </c>
      <c r="V22" s="646">
        <f t="shared" si="5"/>
        <v>0</v>
      </c>
      <c r="W22" s="646">
        <f t="shared" si="5"/>
        <v>0</v>
      </c>
      <c r="X22" s="646">
        <f t="shared" si="5"/>
        <v>0</v>
      </c>
      <c r="Y22" s="645">
        <f t="shared" si="5"/>
        <v>0</v>
      </c>
      <c r="Z22" s="647">
        <f t="shared" si="5"/>
        <v>0</v>
      </c>
      <c r="AA22" s="649">
        <f t="shared" si="5"/>
        <v>-788.25144236760048</v>
      </c>
      <c r="AB22" s="650">
        <f t="shared" si="5"/>
        <v>-59.691708987970003</v>
      </c>
      <c r="AC22" s="645">
        <f t="shared" si="5"/>
        <v>-727.12733781532609</v>
      </c>
      <c r="AD22" s="645">
        <f t="shared" si="5"/>
        <v>0</v>
      </c>
      <c r="AE22" s="651">
        <f t="shared" si="5"/>
        <v>0</v>
      </c>
      <c r="AF22" s="651">
        <f t="shared" si="5"/>
        <v>0</v>
      </c>
      <c r="AG22" s="651">
        <f t="shared" si="5"/>
        <v>0</v>
      </c>
      <c r="AH22" s="644">
        <f t="shared" si="5"/>
        <v>-1.4323955643044282</v>
      </c>
      <c r="AI22" s="646">
        <f t="shared" si="5"/>
        <v>0</v>
      </c>
      <c r="AJ22" s="652">
        <f t="shared" si="5"/>
        <v>0</v>
      </c>
      <c r="AK22" s="647">
        <f t="shared" si="5"/>
        <v>788.25144236760048</v>
      </c>
      <c r="AL22" s="649">
        <f t="shared" si="5"/>
        <v>0</v>
      </c>
      <c r="AM22" s="653">
        <f t="shared" si="5"/>
        <v>-2.3960232428554455</v>
      </c>
      <c r="AN22" s="5"/>
      <c r="AO22" s="9"/>
    </row>
    <row r="23" spans="1:41" s="10" customFormat="1" ht="12.75" customHeight="1">
      <c r="A23" s="601" t="s">
        <v>57</v>
      </c>
      <c r="B23" s="602"/>
      <c r="C23" s="654"/>
      <c r="D23" s="655"/>
      <c r="E23" s="656"/>
      <c r="F23" s="606"/>
      <c r="G23" s="606"/>
      <c r="H23" s="607"/>
      <c r="I23" s="657"/>
      <c r="J23" s="608"/>
      <c r="K23" s="605"/>
      <c r="L23" s="607"/>
      <c r="M23" s="605"/>
      <c r="N23" s="605"/>
      <c r="O23" s="605"/>
      <c r="P23" s="605"/>
      <c r="Q23" s="605"/>
      <c r="R23" s="605"/>
      <c r="S23" s="605"/>
      <c r="T23" s="605"/>
      <c r="U23" s="605"/>
      <c r="V23" s="606"/>
      <c r="W23" s="606"/>
      <c r="X23" s="606"/>
      <c r="Y23" s="605"/>
      <c r="Z23" s="607"/>
      <c r="AA23" s="609">
        <f>SUM(AB23:AI23)</f>
        <v>-788.25144236760048</v>
      </c>
      <c r="AB23" s="610">
        <f>-AB2</f>
        <v>-59.691708987970003</v>
      </c>
      <c r="AC23" s="605">
        <f>-AC2</f>
        <v>-727.12733781532609</v>
      </c>
      <c r="AD23" s="605"/>
      <c r="AE23" s="613"/>
      <c r="AF23" s="613"/>
      <c r="AG23" s="613"/>
      <c r="AH23" s="604">
        <v>-1.4323955643044282</v>
      </c>
      <c r="AI23" s="606"/>
      <c r="AJ23" s="611"/>
      <c r="AK23" s="607">
        <f>-(C23+H23+L23+Z23+AA23)</f>
        <v>788.25144236760048</v>
      </c>
      <c r="AL23" s="609"/>
      <c r="AM23" s="638">
        <f>C23+H23+L23+Z23+AA23+AJ23+AK23+AL23</f>
        <v>0</v>
      </c>
      <c r="AN23" s="5"/>
      <c r="AO23" s="9"/>
    </row>
    <row r="24" spans="1:41" s="10" customFormat="1" ht="12.75" customHeight="1">
      <c r="A24" s="658" t="s">
        <v>58</v>
      </c>
      <c r="B24" s="627"/>
      <c r="C24" s="659"/>
      <c r="D24" s="660"/>
      <c r="E24" s="630"/>
      <c r="F24" s="661"/>
      <c r="G24" s="661"/>
      <c r="H24" s="632"/>
      <c r="I24" s="662"/>
      <c r="J24" s="663"/>
      <c r="K24" s="664"/>
      <c r="L24" s="632"/>
      <c r="M24" s="664"/>
      <c r="N24" s="664"/>
      <c r="O24" s="664"/>
      <c r="P24" s="664"/>
      <c r="Q24" s="664"/>
      <c r="R24" s="664"/>
      <c r="S24" s="664"/>
      <c r="T24" s="664"/>
      <c r="U24" s="664"/>
      <c r="V24" s="661"/>
      <c r="W24" s="661"/>
      <c r="X24" s="661"/>
      <c r="Y24" s="664"/>
      <c r="Z24" s="632"/>
      <c r="AA24" s="634"/>
      <c r="AB24" s="665"/>
      <c r="AC24" s="664"/>
      <c r="AD24" s="664"/>
      <c r="AE24" s="664"/>
      <c r="AF24" s="664"/>
      <c r="AG24" s="664"/>
      <c r="AH24" s="666"/>
      <c r="AI24" s="661"/>
      <c r="AJ24" s="667"/>
      <c r="AK24" s="632"/>
      <c r="AL24" s="634"/>
      <c r="AM24" s="668">
        <f>C24+H24+L24+Z24+AA24+AJ24+AK24+AL24</f>
        <v>0</v>
      </c>
      <c r="AN24" s="5"/>
      <c r="AO24" s="9"/>
    </row>
    <row r="25" spans="1:41" s="10" customFormat="1" ht="12.75" customHeight="1" thickBot="1">
      <c r="A25" s="565" t="s">
        <v>59</v>
      </c>
      <c r="B25" s="566"/>
      <c r="C25" s="669">
        <f>SUM(D25:G25)</f>
        <v>21.675620234332229</v>
      </c>
      <c r="D25" s="670">
        <v>-17.141361188350004</v>
      </c>
      <c r="E25" s="574">
        <f>-D25-U25</f>
        <v>38.816981422682233</v>
      </c>
      <c r="F25" s="568"/>
      <c r="G25" s="568"/>
      <c r="H25" s="569"/>
      <c r="I25" s="671"/>
      <c r="J25" s="672"/>
      <c r="K25" s="574"/>
      <c r="L25" s="569">
        <f>SUM(N25:Y25)</f>
        <v>-24.071643477187674</v>
      </c>
      <c r="M25" s="574"/>
      <c r="N25" s="574"/>
      <c r="O25" s="574">
        <v>0.11733854444431926</v>
      </c>
      <c r="P25" s="574">
        <v>374.46366644960005</v>
      </c>
      <c r="Q25" s="574">
        <v>-373.64776418279996</v>
      </c>
      <c r="R25" s="574">
        <v>0</v>
      </c>
      <c r="S25" s="574"/>
      <c r="T25" s="574">
        <v>-3.3292640540998377</v>
      </c>
      <c r="U25" s="568">
        <v>-21.675620234332225</v>
      </c>
      <c r="V25" s="568"/>
      <c r="W25" s="568"/>
      <c r="X25" s="568"/>
      <c r="Y25" s="574"/>
      <c r="Z25" s="569"/>
      <c r="AA25" s="569">
        <f>SUM(AB25:AI25)</f>
        <v>0</v>
      </c>
      <c r="AB25" s="573"/>
      <c r="AC25" s="574"/>
      <c r="AD25" s="574"/>
      <c r="AE25" s="574"/>
      <c r="AF25" s="574"/>
      <c r="AG25" s="574"/>
      <c r="AH25" s="570"/>
      <c r="AI25" s="568"/>
      <c r="AJ25" s="575"/>
      <c r="AK25" s="569"/>
      <c r="AL25" s="572"/>
      <c r="AM25" s="576">
        <f>C25+H25+L25+Z25+AA25+AJ25+AK25+AL25</f>
        <v>-2.3960232428554455</v>
      </c>
      <c r="AN25" s="5"/>
      <c r="AO25" s="9"/>
    </row>
    <row r="26" spans="1:41" s="10" customFormat="1" ht="12.75" customHeight="1" thickBot="1">
      <c r="A26" s="626" t="s">
        <v>60</v>
      </c>
      <c r="B26" s="627"/>
      <c r="C26" s="628">
        <f>SUM(D26:G26)</f>
        <v>0</v>
      </c>
      <c r="D26" s="629"/>
      <c r="E26" s="630"/>
      <c r="F26" s="661"/>
      <c r="G26" s="661"/>
      <c r="H26" s="632">
        <f>SUM(I26:K26)</f>
        <v>11.368440725877685</v>
      </c>
      <c r="I26" s="661">
        <v>11.368440725877685</v>
      </c>
      <c r="J26" s="663"/>
      <c r="K26" s="664"/>
      <c r="L26" s="632">
        <f>SUM(N26:Y26)</f>
        <v>92.978980127232518</v>
      </c>
      <c r="M26" s="664"/>
      <c r="N26" s="664">
        <v>89.969014531910801</v>
      </c>
      <c r="O26" s="664"/>
      <c r="P26" s="664"/>
      <c r="Q26" s="664"/>
      <c r="R26" s="664">
        <v>0</v>
      </c>
      <c r="S26" s="664">
        <v>4.1693256233877908E-3</v>
      </c>
      <c r="T26" s="664">
        <v>3.0057962696983291</v>
      </c>
      <c r="U26" s="664"/>
      <c r="V26" s="661"/>
      <c r="W26" s="661"/>
      <c r="X26" s="661"/>
      <c r="Y26" s="664"/>
      <c r="Z26" s="632">
        <v>57.528599543766255</v>
      </c>
      <c r="AA26" s="634">
        <f>SUM(AB26:AG26)</f>
        <v>0</v>
      </c>
      <c r="AB26" s="635"/>
      <c r="AC26" s="664"/>
      <c r="AD26" s="664"/>
      <c r="AE26" s="664"/>
      <c r="AF26" s="664"/>
      <c r="AG26" s="664"/>
      <c r="AH26" s="666"/>
      <c r="AI26" s="661"/>
      <c r="AJ26" s="667"/>
      <c r="AK26" s="632">
        <v>257.5554058341836</v>
      </c>
      <c r="AL26" s="634"/>
      <c r="AM26" s="668">
        <f>C26+H26+L26+Z26+AA26+AJ26+AK26+AL26</f>
        <v>419.43142623106007</v>
      </c>
      <c r="AN26" s="5"/>
      <c r="AO26" s="9"/>
    </row>
    <row r="27" spans="1:41" s="8" customFormat="1" ht="12.75" customHeight="1" thickBot="1">
      <c r="A27" s="673" t="s">
        <v>61</v>
      </c>
      <c r="B27" s="674"/>
      <c r="C27" s="675">
        <f t="shared" ref="C27:AL27" si="6">C7-C9+C15+C22-C26</f>
        <v>257.65437785433085</v>
      </c>
      <c r="D27" s="676">
        <f t="shared" si="6"/>
        <v>183.13519529469272</v>
      </c>
      <c r="E27" s="677">
        <f t="shared" si="6"/>
        <v>66.118821612900035</v>
      </c>
      <c r="F27" s="677">
        <f t="shared" si="6"/>
        <v>0</v>
      </c>
      <c r="G27" s="677">
        <f t="shared" si="6"/>
        <v>8.4003609467381786</v>
      </c>
      <c r="H27" s="678">
        <f t="shared" si="6"/>
        <v>199.31419506885075</v>
      </c>
      <c r="I27" s="676">
        <f t="shared" si="6"/>
        <v>0.37225106885080628</v>
      </c>
      <c r="J27" s="679">
        <f t="shared" si="6"/>
        <v>127.70399999999999</v>
      </c>
      <c r="K27" s="677">
        <f t="shared" si="6"/>
        <v>71.237943999999999</v>
      </c>
      <c r="L27" s="678">
        <f t="shared" si="6"/>
        <v>7302.736484101757</v>
      </c>
      <c r="M27" s="677">
        <f t="shared" si="6"/>
        <v>0</v>
      </c>
      <c r="N27" s="677">
        <f t="shared" si="6"/>
        <v>0</v>
      </c>
      <c r="O27" s="677">
        <f t="shared" si="6"/>
        <v>830.66219249999983</v>
      </c>
      <c r="P27" s="677">
        <f t="shared" si="6"/>
        <v>962.00436969728003</v>
      </c>
      <c r="Q27" s="677">
        <f t="shared" si="6"/>
        <v>1095.3569190907197</v>
      </c>
      <c r="R27" s="677">
        <f t="shared" si="6"/>
        <v>15.469962346277839</v>
      </c>
      <c r="S27" s="677">
        <f t="shared" si="6"/>
        <v>187.88084937540125</v>
      </c>
      <c r="T27" s="677">
        <f t="shared" si="6"/>
        <v>3833.6812396704358</v>
      </c>
      <c r="U27" s="677">
        <f t="shared" si="6"/>
        <v>145.4444052742318</v>
      </c>
      <c r="V27" s="677">
        <f t="shared" si="6"/>
        <v>-5.5141208563533439E-2</v>
      </c>
      <c r="W27" s="677">
        <f t="shared" si="6"/>
        <v>195.56026412750296</v>
      </c>
      <c r="X27" s="677">
        <f t="shared" si="6"/>
        <v>1.2218380210726456</v>
      </c>
      <c r="Y27" s="677">
        <f t="shared" si="6"/>
        <v>35.509585207400512</v>
      </c>
      <c r="Z27" s="678">
        <f t="shared" si="6"/>
        <v>1921.4292269183238</v>
      </c>
      <c r="AA27" s="680">
        <f t="shared" ref="AA27:AJ27" si="7">AA7-AA9+AA22-AA26</f>
        <v>453.90773416750153</v>
      </c>
      <c r="AB27" s="599">
        <f t="shared" si="7"/>
        <v>0</v>
      </c>
      <c r="AC27" s="581">
        <f t="shared" si="7"/>
        <v>0</v>
      </c>
      <c r="AD27" s="581">
        <f t="shared" si="7"/>
        <v>237.04871700223623</v>
      </c>
      <c r="AE27" s="581">
        <f t="shared" si="7"/>
        <v>0</v>
      </c>
      <c r="AF27" s="581">
        <f t="shared" si="7"/>
        <v>9.7770611234061491</v>
      </c>
      <c r="AG27" s="581">
        <f t="shared" si="7"/>
        <v>149.27283699801595</v>
      </c>
      <c r="AH27" s="584">
        <f t="shared" si="7"/>
        <v>13.54608560366562</v>
      </c>
      <c r="AI27" s="681">
        <f t="shared" si="7"/>
        <v>44.263033440177487</v>
      </c>
      <c r="AJ27" s="678">
        <f t="shared" si="7"/>
        <v>54.722939604974087</v>
      </c>
      <c r="AK27" s="678">
        <f t="shared" si="6"/>
        <v>2343.6109186821886</v>
      </c>
      <c r="AL27" s="680">
        <f t="shared" si="6"/>
        <v>0</v>
      </c>
      <c r="AM27" s="682">
        <f>C27+H27+L27+Z27+AA27+AJ27+AK27+AL27</f>
        <v>12533.375876397926</v>
      </c>
      <c r="AN27" s="5"/>
      <c r="AO27" s="7"/>
    </row>
    <row r="28" spans="1:41" s="8" customFormat="1" ht="12.75" customHeight="1">
      <c r="A28" s="577" t="s">
        <v>62</v>
      </c>
      <c r="B28" s="578"/>
      <c r="C28" s="579">
        <f t="shared" ref="C28:U28" si="8">C29</f>
        <v>0</v>
      </c>
      <c r="D28" s="584">
        <f t="shared" si="8"/>
        <v>0</v>
      </c>
      <c r="E28" s="581">
        <f t="shared" si="8"/>
        <v>0</v>
      </c>
      <c r="F28" s="598">
        <f t="shared" si="8"/>
        <v>0</v>
      </c>
      <c r="G28" s="598">
        <f t="shared" si="8"/>
        <v>0</v>
      </c>
      <c r="H28" s="582">
        <f t="shared" si="8"/>
        <v>0</v>
      </c>
      <c r="I28" s="584">
        <f t="shared" si="8"/>
        <v>0</v>
      </c>
      <c r="J28" s="583">
        <f t="shared" si="8"/>
        <v>0</v>
      </c>
      <c r="K28" s="581">
        <f t="shared" si="8"/>
        <v>0</v>
      </c>
      <c r="L28" s="582">
        <f t="shared" si="8"/>
        <v>232.29168735597611</v>
      </c>
      <c r="M28" s="581">
        <f t="shared" si="8"/>
        <v>0</v>
      </c>
      <c r="N28" s="581">
        <f t="shared" si="8"/>
        <v>0</v>
      </c>
      <c r="O28" s="581">
        <f t="shared" si="8"/>
        <v>0</v>
      </c>
      <c r="P28" s="581">
        <f t="shared" si="8"/>
        <v>0</v>
      </c>
      <c r="Q28" s="581">
        <f t="shared" si="8"/>
        <v>0</v>
      </c>
      <c r="R28" s="581">
        <f t="shared" si="8"/>
        <v>0</v>
      </c>
      <c r="S28" s="581">
        <f t="shared" si="8"/>
        <v>0</v>
      </c>
      <c r="T28" s="581">
        <f t="shared" si="8"/>
        <v>0</v>
      </c>
      <c r="U28" s="581">
        <f t="shared" si="8"/>
        <v>0</v>
      </c>
      <c r="V28" s="598"/>
      <c r="W28" s="598">
        <f t="shared" ref="W28:AM28" si="9">W29</f>
        <v>195.56026412750296</v>
      </c>
      <c r="X28" s="598">
        <f t="shared" si="9"/>
        <v>1.2218380210726456</v>
      </c>
      <c r="Y28" s="581">
        <f t="shared" si="9"/>
        <v>35.509585207400512</v>
      </c>
      <c r="Z28" s="582">
        <f t="shared" si="9"/>
        <v>0</v>
      </c>
      <c r="AA28" s="580">
        <f t="shared" si="9"/>
        <v>0</v>
      </c>
      <c r="AB28" s="599">
        <f t="shared" si="9"/>
        <v>0</v>
      </c>
      <c r="AC28" s="581">
        <f t="shared" si="9"/>
        <v>0</v>
      </c>
      <c r="AD28" s="581">
        <f t="shared" si="9"/>
        <v>0</v>
      </c>
      <c r="AE28" s="581">
        <f t="shared" si="9"/>
        <v>0</v>
      </c>
      <c r="AF28" s="581">
        <f t="shared" si="9"/>
        <v>0</v>
      </c>
      <c r="AG28" s="581">
        <f t="shared" si="9"/>
        <v>0</v>
      </c>
      <c r="AH28" s="584">
        <f t="shared" si="9"/>
        <v>0</v>
      </c>
      <c r="AI28" s="598">
        <f t="shared" si="9"/>
        <v>0</v>
      </c>
      <c r="AJ28" s="582">
        <f t="shared" si="9"/>
        <v>0</v>
      </c>
      <c r="AK28" s="582">
        <f t="shared" si="9"/>
        <v>0</v>
      </c>
      <c r="AL28" s="580">
        <f t="shared" si="9"/>
        <v>0</v>
      </c>
      <c r="AM28" s="586">
        <f t="shared" si="9"/>
        <v>232.29168735597611</v>
      </c>
      <c r="AN28" s="5"/>
      <c r="AO28" s="7"/>
    </row>
    <row r="29" spans="1:41" s="5" customFormat="1" ht="12.75" customHeight="1" thickBot="1">
      <c r="A29" s="683" t="s">
        <v>63</v>
      </c>
      <c r="B29" s="684"/>
      <c r="C29" s="685">
        <f>SUM(D29:G29)</f>
        <v>0</v>
      </c>
      <c r="D29" s="644"/>
      <c r="E29" s="645"/>
      <c r="F29" s="646"/>
      <c r="G29" s="646"/>
      <c r="H29" s="652">
        <f>SUM(I29:K29)</f>
        <v>0</v>
      </c>
      <c r="I29" s="644"/>
      <c r="J29" s="648"/>
      <c r="K29" s="645"/>
      <c r="L29" s="652">
        <f>SUM(M29:Y29)</f>
        <v>232.29168735597611</v>
      </c>
      <c r="M29" s="645"/>
      <c r="N29" s="645"/>
      <c r="O29" s="645"/>
      <c r="P29" s="645"/>
      <c r="Q29" s="645"/>
      <c r="R29" s="645"/>
      <c r="S29" s="645"/>
      <c r="T29" s="645"/>
      <c r="U29" s="645"/>
      <c r="V29" s="646"/>
      <c r="W29" s="646">
        <f>W27</f>
        <v>195.56026412750296</v>
      </c>
      <c r="X29" s="646">
        <f>X27</f>
        <v>1.2218380210726456</v>
      </c>
      <c r="Y29" s="645">
        <f>Y27</f>
        <v>35.509585207400512</v>
      </c>
      <c r="Z29" s="652">
        <v>0</v>
      </c>
      <c r="AA29" s="686">
        <f>SUM(AB29:AG29)</f>
        <v>0</v>
      </c>
      <c r="AB29" s="650"/>
      <c r="AC29" s="645"/>
      <c r="AD29" s="645"/>
      <c r="AE29" s="645"/>
      <c r="AF29" s="645"/>
      <c r="AG29" s="645"/>
      <c r="AH29" s="644"/>
      <c r="AI29" s="646"/>
      <c r="AJ29" s="652"/>
      <c r="AK29" s="652"/>
      <c r="AL29" s="686"/>
      <c r="AM29" s="653">
        <f t="shared" ref="AM29:AM62" si="10">C29+H29+L29+Z29+AA29+AJ29+AK29+AL29</f>
        <v>232.29168735597611</v>
      </c>
      <c r="AO29" s="6"/>
    </row>
    <row r="30" spans="1:41" s="8" customFormat="1" ht="12.75" customHeight="1" thickBot="1">
      <c r="A30" s="577" t="s">
        <v>64</v>
      </c>
      <c r="B30" s="578"/>
      <c r="C30" s="579">
        <f>C31+C45+C56+C57+C60+C61</f>
        <v>260.60987477319378</v>
      </c>
      <c r="D30" s="584">
        <f t="shared" ref="D30:AL30" si="11">D31+D45+D56+D57+D60+D61</f>
        <v>182.95234745162335</v>
      </c>
      <c r="E30" s="581">
        <f t="shared" si="11"/>
        <v>70.131951348544106</v>
      </c>
      <c r="F30" s="598">
        <f t="shared" si="11"/>
        <v>0</v>
      </c>
      <c r="G30" s="598">
        <f t="shared" si="11"/>
        <v>7.5255759730262914</v>
      </c>
      <c r="H30" s="582">
        <f t="shared" si="11"/>
        <v>197.36847005356</v>
      </c>
      <c r="I30" s="584">
        <f t="shared" si="11"/>
        <v>0.82966372355999995</v>
      </c>
      <c r="J30" s="687">
        <f t="shared" si="11"/>
        <v>127.70399999999999</v>
      </c>
      <c r="K30" s="584">
        <f t="shared" si="11"/>
        <v>68.834806329999992</v>
      </c>
      <c r="L30" s="582">
        <f t="shared" si="11"/>
        <v>7064.8482904861212</v>
      </c>
      <c r="M30" s="581">
        <f t="shared" si="11"/>
        <v>0</v>
      </c>
      <c r="N30" s="581">
        <f t="shared" si="11"/>
        <v>0</v>
      </c>
      <c r="O30" s="581">
        <f t="shared" si="11"/>
        <v>821.48002832197108</v>
      </c>
      <c r="P30" s="581">
        <f t="shared" si="11"/>
        <v>946.63395628256001</v>
      </c>
      <c r="Q30" s="581">
        <f t="shared" si="11"/>
        <v>1102.0673096951998</v>
      </c>
      <c r="R30" s="581">
        <f t="shared" si="11"/>
        <v>30.568237653241653</v>
      </c>
      <c r="S30" s="581">
        <f t="shared" si="11"/>
        <v>181.32381570558749</v>
      </c>
      <c r="T30" s="581">
        <f t="shared" si="11"/>
        <v>3838.1558666328419</v>
      </c>
      <c r="U30" s="581">
        <f t="shared" si="11"/>
        <v>144.61907619471961</v>
      </c>
      <c r="V30" s="598">
        <f t="shared" si="11"/>
        <v>0</v>
      </c>
      <c r="W30" s="598">
        <f t="shared" si="11"/>
        <v>0</v>
      </c>
      <c r="X30" s="598">
        <f t="shared" si="11"/>
        <v>0</v>
      </c>
      <c r="Y30" s="584">
        <f t="shared" si="11"/>
        <v>0</v>
      </c>
      <c r="Z30" s="678">
        <f t="shared" si="11"/>
        <v>1948.4940140158224</v>
      </c>
      <c r="AA30" s="580">
        <f t="shared" si="11"/>
        <v>463.87782848328834</v>
      </c>
      <c r="AB30" s="599">
        <f t="shared" si="11"/>
        <v>0</v>
      </c>
      <c r="AC30" s="581">
        <f t="shared" si="11"/>
        <v>0</v>
      </c>
      <c r="AD30" s="581">
        <f t="shared" si="11"/>
        <v>242.05204627234301</v>
      </c>
      <c r="AE30" s="581">
        <f t="shared" si="11"/>
        <v>0</v>
      </c>
      <c r="AF30" s="581">
        <f t="shared" si="11"/>
        <v>9.7770611234061491</v>
      </c>
      <c r="AG30" s="581">
        <f t="shared" si="11"/>
        <v>154.23960204369604</v>
      </c>
      <c r="AH30" s="580">
        <f t="shared" si="11"/>
        <v>13.546085603665619</v>
      </c>
      <c r="AI30" s="580">
        <f t="shared" si="11"/>
        <v>44.263033440177495</v>
      </c>
      <c r="AJ30" s="580">
        <f t="shared" si="11"/>
        <v>54.722939604974094</v>
      </c>
      <c r="AK30" s="582">
        <f t="shared" si="11"/>
        <v>2334.0556267002485</v>
      </c>
      <c r="AL30" s="580">
        <f t="shared" si="11"/>
        <v>0</v>
      </c>
      <c r="AM30" s="682">
        <f t="shared" si="10"/>
        <v>12323.977044117206</v>
      </c>
      <c r="AN30" s="5"/>
      <c r="AO30" s="7"/>
    </row>
    <row r="31" spans="1:41" s="12" customFormat="1" ht="12.75" customHeight="1">
      <c r="A31" s="688" t="s">
        <v>65</v>
      </c>
      <c r="B31" s="689"/>
      <c r="C31" s="690">
        <f>SUM(C32:C44)</f>
        <v>105.42454930000001</v>
      </c>
      <c r="D31" s="691">
        <v>105.4245493</v>
      </c>
      <c r="E31" s="691">
        <v>0</v>
      </c>
      <c r="F31" s="692"/>
      <c r="G31" s="692"/>
      <c r="H31" s="693">
        <f t="shared" ref="H31:N31" si="12">SUM(H32:H44)</f>
        <v>0.82966372355999995</v>
      </c>
      <c r="I31" s="694">
        <f t="shared" si="12"/>
        <v>0.82966372355999995</v>
      </c>
      <c r="J31" s="695">
        <f t="shared" si="12"/>
        <v>0</v>
      </c>
      <c r="K31" s="691">
        <f t="shared" si="12"/>
        <v>0</v>
      </c>
      <c r="L31" s="693">
        <f t="shared" si="12"/>
        <v>515.57312076608696</v>
      </c>
      <c r="M31" s="691">
        <f t="shared" si="12"/>
        <v>0</v>
      </c>
      <c r="N31" s="691">
        <f t="shared" si="12"/>
        <v>0</v>
      </c>
      <c r="O31" s="691">
        <v>0</v>
      </c>
      <c r="P31" s="691">
        <v>94.663395628256012</v>
      </c>
      <c r="Q31" s="691">
        <f>SUM(Q32:Q44)</f>
        <v>0</v>
      </c>
      <c r="R31" s="691">
        <v>29.321232722679056</v>
      </c>
      <c r="S31" s="691">
        <v>126.43007128347482</v>
      </c>
      <c r="T31" s="691">
        <v>124.05002195842548</v>
      </c>
      <c r="U31" s="691">
        <v>141.10839917325163</v>
      </c>
      <c r="V31" s="692">
        <f>SUM(V32:V44)</f>
        <v>0</v>
      </c>
      <c r="W31" s="692">
        <f>SUM(W32:W44)</f>
        <v>0</v>
      </c>
      <c r="X31" s="692">
        <f>SUM(X32:X44)</f>
        <v>0</v>
      </c>
      <c r="Y31" s="691">
        <f>SUM(Y32:Y44)</f>
        <v>0</v>
      </c>
      <c r="Z31" s="693">
        <v>789.72423233353879</v>
      </c>
      <c r="AA31" s="696">
        <f>SUM(AA32:AA44)</f>
        <v>198.35341364492615</v>
      </c>
      <c r="AB31" s="697">
        <f>SUM(AB32:AB44)</f>
        <v>0</v>
      </c>
      <c r="AC31" s="691">
        <f>SUM(AC32:AC44)</f>
        <v>0</v>
      </c>
      <c r="AD31" s="691">
        <f>SUM(AD32:AD44)</f>
        <v>196.11790789019597</v>
      </c>
      <c r="AE31" s="691"/>
      <c r="AF31" s="691">
        <f>SUM(AF32:AF44)</f>
        <v>2.2355057547301662</v>
      </c>
      <c r="AG31" s="691">
        <f>SUM(AG32:AG44)</f>
        <v>0</v>
      </c>
      <c r="AH31" s="696">
        <f>SUM(AH32:AH44)</f>
        <v>0</v>
      </c>
      <c r="AI31" s="691">
        <f>SUM(AI32:AI44)</f>
        <v>0</v>
      </c>
      <c r="AJ31" s="693">
        <f>SUM(AJ32:AJ44)</f>
        <v>54.722939604974094</v>
      </c>
      <c r="AK31" s="693">
        <v>936.28275789094528</v>
      </c>
      <c r="AL31" s="696">
        <f>SUM(AL32:AL44)</f>
        <v>0</v>
      </c>
      <c r="AM31" s="600">
        <f t="shared" si="10"/>
        <v>2600.9106772640312</v>
      </c>
      <c r="AN31" s="5"/>
      <c r="AO31" s="11"/>
    </row>
    <row r="32" spans="1:41" ht="12.75" customHeight="1">
      <c r="A32" s="698" t="s">
        <v>66</v>
      </c>
      <c r="B32" s="699" t="s">
        <v>67</v>
      </c>
      <c r="C32" s="700">
        <f t="shared" ref="C32:C44" si="13">SUM(D32:G32)</f>
        <v>0</v>
      </c>
      <c r="D32" s="613">
        <v>0</v>
      </c>
      <c r="E32" s="613"/>
      <c r="F32" s="701"/>
      <c r="G32" s="701"/>
      <c r="H32" s="702">
        <f t="shared" ref="H32:H44" si="14">SUM(I32:K32)</f>
        <v>0</v>
      </c>
      <c r="I32" s="703"/>
      <c r="J32" s="704"/>
      <c r="K32" s="613"/>
      <c r="L32" s="705">
        <f t="shared" ref="L32:L44" si="15">SUM(M32:Y32)</f>
        <v>33.639134861596197</v>
      </c>
      <c r="M32" s="613"/>
      <c r="N32" s="613"/>
      <c r="O32" s="613"/>
      <c r="P32" s="613">
        <v>2.9872785510101791</v>
      </c>
      <c r="Q32" s="613"/>
      <c r="R32" s="613">
        <v>0.89247079050168787</v>
      </c>
      <c r="S32" s="613">
        <v>0.21512334429923258</v>
      </c>
      <c r="T32" s="613">
        <v>29.544262175785097</v>
      </c>
      <c r="U32" s="613">
        <v>0</v>
      </c>
      <c r="V32" s="701"/>
      <c r="W32" s="701"/>
      <c r="X32" s="701"/>
      <c r="Y32" s="613"/>
      <c r="Z32" s="706">
        <v>12.651334090576015</v>
      </c>
      <c r="AA32" s="707">
        <f t="shared" ref="AA32:AA44" si="16">SUM(AB32:AI32)</f>
        <v>0</v>
      </c>
      <c r="AB32" s="708"/>
      <c r="AC32" s="613"/>
      <c r="AD32" s="613"/>
      <c r="AE32" s="613"/>
      <c r="AF32" s="613"/>
      <c r="AG32" s="613"/>
      <c r="AH32" s="657"/>
      <c r="AI32" s="613"/>
      <c r="AJ32" s="611"/>
      <c r="AK32" s="706">
        <v>67.441767724292603</v>
      </c>
      <c r="AL32" s="707"/>
      <c r="AM32" s="612">
        <f t="shared" si="10"/>
        <v>113.73223667646482</v>
      </c>
    </row>
    <row r="33" spans="1:41" ht="12.75" customHeight="1">
      <c r="A33" s="709" t="s">
        <v>68</v>
      </c>
      <c r="B33" s="710" t="s">
        <v>69</v>
      </c>
      <c r="C33" s="552">
        <f t="shared" si="13"/>
        <v>18.505496800000003</v>
      </c>
      <c r="D33" s="613">
        <v>18.505496800000003</v>
      </c>
      <c r="E33" s="559"/>
      <c r="F33" s="555"/>
      <c r="G33" s="555"/>
      <c r="H33" s="556">
        <f t="shared" si="14"/>
        <v>0.82966372355999995</v>
      </c>
      <c r="I33" s="557">
        <v>0.82966372355999995</v>
      </c>
      <c r="J33" s="558"/>
      <c r="K33" s="559"/>
      <c r="L33" s="711">
        <f t="shared" si="15"/>
        <v>136.37317803157953</v>
      </c>
      <c r="M33" s="559"/>
      <c r="N33" s="559"/>
      <c r="O33" s="613"/>
      <c r="P33" s="613">
        <v>55.612421136590243</v>
      </c>
      <c r="Q33" s="559"/>
      <c r="R33" s="613">
        <v>16.614607779613237</v>
      </c>
      <c r="S33" s="613">
        <v>36.050508826919781</v>
      </c>
      <c r="T33" s="613">
        <v>28.095640288456277</v>
      </c>
      <c r="U33" s="613">
        <v>0</v>
      </c>
      <c r="V33" s="555"/>
      <c r="W33" s="555"/>
      <c r="X33" s="555"/>
      <c r="Y33" s="559"/>
      <c r="Z33" s="712">
        <v>111.23553213326231</v>
      </c>
      <c r="AA33" s="560">
        <f t="shared" si="16"/>
        <v>26.063524749810167</v>
      </c>
      <c r="AB33" s="561"/>
      <c r="AC33" s="559"/>
      <c r="AD33" s="559">
        <v>23.828018995080001</v>
      </c>
      <c r="AE33" s="613"/>
      <c r="AF33" s="613">
        <v>2.2355057547301662</v>
      </c>
      <c r="AG33" s="613"/>
      <c r="AH33" s="713"/>
      <c r="AI33" s="559"/>
      <c r="AJ33" s="562"/>
      <c r="AK33" s="712">
        <v>200.4888239822395</v>
      </c>
      <c r="AL33" s="560"/>
      <c r="AM33" s="563">
        <f t="shared" si="10"/>
        <v>493.49621942045144</v>
      </c>
    </row>
    <row r="34" spans="1:41" ht="12.75" customHeight="1">
      <c r="A34" s="714" t="s">
        <v>70</v>
      </c>
      <c r="B34" s="715" t="s">
        <v>71</v>
      </c>
      <c r="C34" s="552">
        <f t="shared" si="13"/>
        <v>0</v>
      </c>
      <c r="D34" s="613">
        <v>0</v>
      </c>
      <c r="E34" s="559"/>
      <c r="F34" s="555"/>
      <c r="G34" s="555"/>
      <c r="H34" s="556">
        <f t="shared" si="14"/>
        <v>0</v>
      </c>
      <c r="I34" s="557"/>
      <c r="J34" s="558"/>
      <c r="K34" s="559"/>
      <c r="L34" s="711">
        <f t="shared" si="15"/>
        <v>2.5106544550385581</v>
      </c>
      <c r="M34" s="559"/>
      <c r="N34" s="559"/>
      <c r="O34" s="613"/>
      <c r="P34" s="613">
        <v>1.2308100467681424</v>
      </c>
      <c r="Q34" s="559"/>
      <c r="R34" s="613">
        <v>0.36771328707365675</v>
      </c>
      <c r="S34" s="613">
        <v>5.551570175464067E-2</v>
      </c>
      <c r="T34" s="613">
        <v>0.85661541944211816</v>
      </c>
      <c r="U34" s="613">
        <v>0</v>
      </c>
      <c r="V34" s="555"/>
      <c r="W34" s="555"/>
      <c r="X34" s="555"/>
      <c r="Y34" s="559"/>
      <c r="Z34" s="712">
        <v>1.212219083963938</v>
      </c>
      <c r="AA34" s="560">
        <f t="shared" si="16"/>
        <v>0</v>
      </c>
      <c r="AB34" s="561"/>
      <c r="AC34" s="559"/>
      <c r="AD34" s="559"/>
      <c r="AE34" s="613"/>
      <c r="AF34" s="613"/>
      <c r="AG34" s="613"/>
      <c r="AH34" s="713"/>
      <c r="AI34" s="559"/>
      <c r="AJ34" s="562"/>
      <c r="AK34" s="712">
        <v>11.998516778957701</v>
      </c>
      <c r="AL34" s="560"/>
      <c r="AM34" s="563">
        <f t="shared" si="10"/>
        <v>15.721390317960196</v>
      </c>
    </row>
    <row r="35" spans="1:41" ht="12.75" customHeight="1">
      <c r="A35" s="714" t="s">
        <v>72</v>
      </c>
      <c r="B35" s="715" t="s">
        <v>73</v>
      </c>
      <c r="C35" s="552">
        <f t="shared" si="13"/>
        <v>0</v>
      </c>
      <c r="D35" s="613">
        <v>0</v>
      </c>
      <c r="E35" s="559"/>
      <c r="F35" s="555"/>
      <c r="G35" s="555"/>
      <c r="H35" s="556">
        <f t="shared" si="14"/>
        <v>0</v>
      </c>
      <c r="I35" s="557"/>
      <c r="J35" s="558"/>
      <c r="K35" s="559"/>
      <c r="L35" s="711">
        <f t="shared" si="15"/>
        <v>2.6786305315985559</v>
      </c>
      <c r="M35" s="559"/>
      <c r="N35" s="559"/>
      <c r="O35" s="613"/>
      <c r="P35" s="613">
        <v>0.43430927431532101</v>
      </c>
      <c r="Q35" s="559"/>
      <c r="R35" s="613">
        <v>0.12975299582937627</v>
      </c>
      <c r="S35" s="613">
        <v>0.29145743421186349</v>
      </c>
      <c r="T35" s="613">
        <v>1.8231108272419951</v>
      </c>
      <c r="U35" s="613">
        <v>0</v>
      </c>
      <c r="V35" s="555"/>
      <c r="W35" s="555"/>
      <c r="X35" s="555"/>
      <c r="Y35" s="559"/>
      <c r="Z35" s="712">
        <v>2.1627527783737563</v>
      </c>
      <c r="AA35" s="560">
        <f t="shared" si="16"/>
        <v>129.37121058215999</v>
      </c>
      <c r="AB35" s="561"/>
      <c r="AC35" s="559"/>
      <c r="AD35" s="559">
        <v>129.37121058215999</v>
      </c>
      <c r="AE35" s="613"/>
      <c r="AF35" s="613"/>
      <c r="AG35" s="613"/>
      <c r="AH35" s="713"/>
      <c r="AI35" s="559"/>
      <c r="AJ35" s="562"/>
      <c r="AK35" s="712">
        <v>40.3299761469967</v>
      </c>
      <c r="AL35" s="560"/>
      <c r="AM35" s="563">
        <f t="shared" si="10"/>
        <v>174.542570039129</v>
      </c>
    </row>
    <row r="36" spans="1:41" ht="12.75" customHeight="1">
      <c r="A36" s="714" t="s">
        <v>74</v>
      </c>
      <c r="B36" s="715" t="s">
        <v>75</v>
      </c>
      <c r="C36" s="552">
        <f t="shared" si="13"/>
        <v>0</v>
      </c>
      <c r="D36" s="613">
        <v>0</v>
      </c>
      <c r="E36" s="559"/>
      <c r="F36" s="555"/>
      <c r="G36" s="555"/>
      <c r="H36" s="556">
        <f t="shared" si="14"/>
        <v>0</v>
      </c>
      <c r="I36" s="557"/>
      <c r="J36" s="558"/>
      <c r="K36" s="559"/>
      <c r="L36" s="711">
        <f t="shared" si="15"/>
        <v>2.916718912628498</v>
      </c>
      <c r="M36" s="559"/>
      <c r="N36" s="559"/>
      <c r="O36" s="613"/>
      <c r="P36" s="613">
        <v>1.0064436319926997</v>
      </c>
      <c r="Q36" s="559"/>
      <c r="R36" s="613">
        <v>0.30068221911752141</v>
      </c>
      <c r="S36" s="613">
        <v>0.27757850877320334</v>
      </c>
      <c r="T36" s="613">
        <v>1.3320145527450737</v>
      </c>
      <c r="U36" s="613">
        <v>0</v>
      </c>
      <c r="V36" s="555"/>
      <c r="W36" s="555"/>
      <c r="X36" s="555"/>
      <c r="Y36" s="559"/>
      <c r="Z36" s="712">
        <v>3.5770083763316833</v>
      </c>
      <c r="AA36" s="560">
        <f t="shared" si="16"/>
        <v>0</v>
      </c>
      <c r="AB36" s="561"/>
      <c r="AC36" s="559"/>
      <c r="AD36" s="559"/>
      <c r="AE36" s="613"/>
      <c r="AF36" s="613"/>
      <c r="AG36" s="613"/>
      <c r="AH36" s="713"/>
      <c r="AI36" s="559"/>
      <c r="AJ36" s="562"/>
      <c r="AK36" s="712">
        <v>22.01123577046986</v>
      </c>
      <c r="AL36" s="560"/>
      <c r="AM36" s="563">
        <f t="shared" si="10"/>
        <v>28.50496305943004</v>
      </c>
    </row>
    <row r="37" spans="1:41" ht="12.75" customHeight="1">
      <c r="A37" s="714" t="s">
        <v>76</v>
      </c>
      <c r="B37" s="715" t="s">
        <v>77</v>
      </c>
      <c r="C37" s="552">
        <f t="shared" si="13"/>
        <v>0</v>
      </c>
      <c r="D37" s="613">
        <v>0</v>
      </c>
      <c r="E37" s="559"/>
      <c r="F37" s="555"/>
      <c r="G37" s="555"/>
      <c r="H37" s="556">
        <f t="shared" si="14"/>
        <v>0</v>
      </c>
      <c r="I37" s="557"/>
      <c r="J37" s="558"/>
      <c r="K37" s="559"/>
      <c r="L37" s="711">
        <f t="shared" si="15"/>
        <v>28.334981145867548</v>
      </c>
      <c r="M37" s="559"/>
      <c r="N37" s="559"/>
      <c r="O37" s="613"/>
      <c r="P37" s="613">
        <v>13.229605385509133</v>
      </c>
      <c r="Q37" s="559"/>
      <c r="R37" s="613">
        <v>3.9524390426992668</v>
      </c>
      <c r="S37" s="613">
        <v>3.2684869408044692</v>
      </c>
      <c r="T37" s="613">
        <v>7.8844497768546802</v>
      </c>
      <c r="U37" s="613">
        <v>0</v>
      </c>
      <c r="V37" s="555"/>
      <c r="W37" s="555"/>
      <c r="X37" s="555"/>
      <c r="Y37" s="559"/>
      <c r="Z37" s="716">
        <v>68.682793971575805</v>
      </c>
      <c r="AA37" s="560">
        <f t="shared" si="16"/>
        <v>0</v>
      </c>
      <c r="AB37" s="561"/>
      <c r="AC37" s="559"/>
      <c r="AD37" s="559">
        <v>0</v>
      </c>
      <c r="AE37" s="613"/>
      <c r="AF37" s="613"/>
      <c r="AG37" s="613"/>
      <c r="AH37" s="717"/>
      <c r="AI37" s="559"/>
      <c r="AJ37" s="718"/>
      <c r="AK37" s="716">
        <v>170.83024325379245</v>
      </c>
      <c r="AL37" s="560"/>
      <c r="AM37" s="563">
        <f t="shared" si="10"/>
        <v>267.84801837123581</v>
      </c>
    </row>
    <row r="38" spans="1:41" ht="12.75" customHeight="1">
      <c r="A38" s="714" t="s">
        <v>78</v>
      </c>
      <c r="B38" s="715" t="s">
        <v>79</v>
      </c>
      <c r="C38" s="552">
        <f t="shared" si="13"/>
        <v>0</v>
      </c>
      <c r="D38" s="613">
        <v>0</v>
      </c>
      <c r="E38" s="559"/>
      <c r="F38" s="555"/>
      <c r="G38" s="555"/>
      <c r="H38" s="556">
        <f t="shared" si="14"/>
        <v>0</v>
      </c>
      <c r="I38" s="557"/>
      <c r="J38" s="558"/>
      <c r="K38" s="559"/>
      <c r="L38" s="711">
        <f t="shared" si="15"/>
        <v>10.093508126388487</v>
      </c>
      <c r="M38" s="559"/>
      <c r="N38" s="559"/>
      <c r="O38" s="613"/>
      <c r="P38" s="613">
        <v>8.4938714164988993E-2</v>
      </c>
      <c r="Q38" s="559"/>
      <c r="R38" s="613">
        <v>2.5376047154822671E-2</v>
      </c>
      <c r="S38" s="613">
        <v>6.5230949561702776</v>
      </c>
      <c r="T38" s="613">
        <v>3.4600984088983981</v>
      </c>
      <c r="U38" s="613">
        <v>0</v>
      </c>
      <c r="V38" s="555"/>
      <c r="W38" s="555"/>
      <c r="X38" s="555"/>
      <c r="Y38" s="559"/>
      <c r="Z38" s="712">
        <v>4.7507443147729562</v>
      </c>
      <c r="AA38" s="560">
        <f t="shared" si="16"/>
        <v>0</v>
      </c>
      <c r="AB38" s="561"/>
      <c r="AC38" s="559"/>
      <c r="AD38" s="559"/>
      <c r="AE38" s="613"/>
      <c r="AF38" s="613"/>
      <c r="AG38" s="613"/>
      <c r="AH38" s="713"/>
      <c r="AI38" s="559"/>
      <c r="AJ38" s="562"/>
      <c r="AK38" s="712">
        <v>41.304035778505472</v>
      </c>
      <c r="AL38" s="560"/>
      <c r="AM38" s="563">
        <f t="shared" si="10"/>
        <v>56.148288219666917</v>
      </c>
    </row>
    <row r="39" spans="1:41" ht="12.75" customHeight="1">
      <c r="A39" s="714" t="s">
        <v>80</v>
      </c>
      <c r="B39" s="715" t="s">
        <v>81</v>
      </c>
      <c r="C39" s="552">
        <f t="shared" si="13"/>
        <v>86.919052500000006</v>
      </c>
      <c r="D39" s="557">
        <v>86.919052500000006</v>
      </c>
      <c r="E39" s="559"/>
      <c r="F39" s="555"/>
      <c r="G39" s="555"/>
      <c r="H39" s="556">
        <f t="shared" si="14"/>
        <v>0</v>
      </c>
      <c r="I39" s="557"/>
      <c r="J39" s="558"/>
      <c r="K39" s="559"/>
      <c r="L39" s="711">
        <f t="shared" si="15"/>
        <v>193.30293553297051</v>
      </c>
      <c r="M39" s="559"/>
      <c r="N39" s="559"/>
      <c r="O39" s="613"/>
      <c r="P39" s="557">
        <v>8.9570278012853475</v>
      </c>
      <c r="Q39" s="559"/>
      <c r="R39" s="557">
        <v>2.6759759914774315</v>
      </c>
      <c r="S39" s="557">
        <v>1.4711660964979776</v>
      </c>
      <c r="T39" s="557">
        <v>39.090366470458122</v>
      </c>
      <c r="U39" s="557">
        <v>141.10839917325163</v>
      </c>
      <c r="V39" s="555"/>
      <c r="W39" s="555"/>
      <c r="X39" s="555"/>
      <c r="Y39" s="559"/>
      <c r="Z39" s="712">
        <v>17.906207611695887</v>
      </c>
      <c r="AA39" s="560">
        <f t="shared" si="16"/>
        <v>42.918678312955997</v>
      </c>
      <c r="AB39" s="561"/>
      <c r="AC39" s="559"/>
      <c r="AD39" s="559">
        <v>42.918678312955997</v>
      </c>
      <c r="AE39" s="613"/>
      <c r="AF39" s="613"/>
      <c r="AG39" s="613"/>
      <c r="AH39" s="713"/>
      <c r="AI39" s="559"/>
      <c r="AJ39" s="562">
        <v>54.722939604974094</v>
      </c>
      <c r="AK39" s="712">
        <v>59.811168777172263</v>
      </c>
      <c r="AL39" s="560"/>
      <c r="AM39" s="563">
        <f t="shared" si="10"/>
        <v>455.58098233976875</v>
      </c>
    </row>
    <row r="40" spans="1:41" ht="12.75" customHeight="1">
      <c r="A40" s="714" t="s">
        <v>82</v>
      </c>
      <c r="B40" s="715" t="s">
        <v>83</v>
      </c>
      <c r="C40" s="552">
        <f t="shared" si="13"/>
        <v>0</v>
      </c>
      <c r="D40" s="613">
        <v>0</v>
      </c>
      <c r="E40" s="559"/>
      <c r="F40" s="555"/>
      <c r="G40" s="555"/>
      <c r="H40" s="556">
        <f t="shared" si="14"/>
        <v>0</v>
      </c>
      <c r="I40" s="557"/>
      <c r="J40" s="558"/>
      <c r="K40" s="559"/>
      <c r="L40" s="711">
        <f t="shared" si="15"/>
        <v>9.5454998465741827</v>
      </c>
      <c r="M40" s="559"/>
      <c r="N40" s="559"/>
      <c r="O40" s="613"/>
      <c r="P40" s="613">
        <v>0</v>
      </c>
      <c r="Q40" s="559"/>
      <c r="R40" s="613">
        <v>1.0398675653004681</v>
      </c>
      <c r="S40" s="613">
        <v>6.0165141776591833</v>
      </c>
      <c r="T40" s="613">
        <v>2.4891181036145316</v>
      </c>
      <c r="U40" s="613">
        <v>0</v>
      </c>
      <c r="V40" s="555"/>
      <c r="W40" s="555"/>
      <c r="X40" s="555"/>
      <c r="Y40" s="559"/>
      <c r="Z40" s="712">
        <v>422.29485551224087</v>
      </c>
      <c r="AA40" s="560">
        <f t="shared" si="16"/>
        <v>0</v>
      </c>
      <c r="AB40" s="561"/>
      <c r="AC40" s="559"/>
      <c r="AD40" s="559"/>
      <c r="AE40" s="613"/>
      <c r="AF40" s="613"/>
      <c r="AG40" s="613"/>
      <c r="AH40" s="713"/>
      <c r="AI40" s="559"/>
      <c r="AJ40" s="562"/>
      <c r="AK40" s="712">
        <v>70.833566297205223</v>
      </c>
      <c r="AL40" s="560"/>
      <c r="AM40" s="563">
        <f t="shared" si="10"/>
        <v>502.67392165602024</v>
      </c>
    </row>
    <row r="41" spans="1:41" ht="12.75" customHeight="1">
      <c r="A41" s="714" t="s">
        <v>84</v>
      </c>
      <c r="B41" s="715" t="s">
        <v>85</v>
      </c>
      <c r="C41" s="552">
        <f t="shared" si="13"/>
        <v>0</v>
      </c>
      <c r="D41" s="613">
        <v>0</v>
      </c>
      <c r="E41" s="559"/>
      <c r="F41" s="555"/>
      <c r="G41" s="555"/>
      <c r="H41" s="556">
        <f t="shared" si="14"/>
        <v>0</v>
      </c>
      <c r="I41" s="557"/>
      <c r="J41" s="558"/>
      <c r="K41" s="559"/>
      <c r="L41" s="711">
        <f t="shared" si="15"/>
        <v>5.708883992955986</v>
      </c>
      <c r="M41" s="559"/>
      <c r="N41" s="559"/>
      <c r="O41" s="613"/>
      <c r="P41" s="613">
        <v>0.46315638478644938</v>
      </c>
      <c r="Q41" s="559"/>
      <c r="R41" s="613">
        <v>0.13837127599516511</v>
      </c>
      <c r="S41" s="613">
        <v>2.46350926536218</v>
      </c>
      <c r="T41" s="613">
        <v>2.6438470668121914</v>
      </c>
      <c r="U41" s="613">
        <v>0</v>
      </c>
      <c r="V41" s="555"/>
      <c r="W41" s="555"/>
      <c r="X41" s="555"/>
      <c r="Y41" s="559"/>
      <c r="Z41" s="712">
        <v>5.8051825020939676</v>
      </c>
      <c r="AA41" s="560">
        <f t="shared" si="16"/>
        <v>0</v>
      </c>
      <c r="AB41" s="561"/>
      <c r="AC41" s="559"/>
      <c r="AD41" s="559"/>
      <c r="AE41" s="613"/>
      <c r="AF41" s="613"/>
      <c r="AG41" s="613"/>
      <c r="AH41" s="713"/>
      <c r="AI41" s="559"/>
      <c r="AJ41" s="562"/>
      <c r="AK41" s="712">
        <v>23.962146035296893</v>
      </c>
      <c r="AL41" s="560"/>
      <c r="AM41" s="563">
        <f t="shared" si="10"/>
        <v>35.476212530346842</v>
      </c>
    </row>
    <row r="42" spans="1:41" ht="12.75" customHeight="1">
      <c r="A42" s="714" t="s">
        <v>86</v>
      </c>
      <c r="B42" s="715" t="s">
        <v>87</v>
      </c>
      <c r="C42" s="552">
        <f t="shared" si="13"/>
        <v>0</v>
      </c>
      <c r="D42" s="613">
        <v>0</v>
      </c>
      <c r="E42" s="559"/>
      <c r="F42" s="555"/>
      <c r="G42" s="555"/>
      <c r="H42" s="556">
        <f t="shared" si="14"/>
        <v>0</v>
      </c>
      <c r="I42" s="557"/>
      <c r="J42" s="558"/>
      <c r="K42" s="559"/>
      <c r="L42" s="711">
        <f t="shared" si="15"/>
        <v>45.56990540482289</v>
      </c>
      <c r="M42" s="559"/>
      <c r="N42" s="559"/>
      <c r="O42" s="613"/>
      <c r="P42" s="613">
        <v>0.38302552236664844</v>
      </c>
      <c r="Q42" s="559"/>
      <c r="R42" s="613">
        <v>0.11443160886797392</v>
      </c>
      <c r="S42" s="613">
        <v>43.552068026515606</v>
      </c>
      <c r="T42" s="613">
        <v>1.5203802470726597</v>
      </c>
      <c r="U42" s="613">
        <v>0</v>
      </c>
      <c r="V42" s="555"/>
      <c r="W42" s="555"/>
      <c r="X42" s="555"/>
      <c r="Y42" s="559"/>
      <c r="Z42" s="716">
        <v>130.62718916213302</v>
      </c>
      <c r="AA42" s="560">
        <f t="shared" si="16"/>
        <v>0</v>
      </c>
      <c r="AB42" s="561"/>
      <c r="AC42" s="559"/>
      <c r="AD42" s="559"/>
      <c r="AE42" s="613"/>
      <c r="AF42" s="613"/>
      <c r="AG42" s="613"/>
      <c r="AH42" s="717"/>
      <c r="AI42" s="559"/>
      <c r="AJ42" s="718"/>
      <c r="AK42" s="716">
        <v>116.09451126716088</v>
      </c>
      <c r="AL42" s="560"/>
      <c r="AM42" s="563">
        <f t="shared" si="10"/>
        <v>292.29160583411681</v>
      </c>
    </row>
    <row r="43" spans="1:41" ht="12.75" customHeight="1">
      <c r="A43" s="714" t="s">
        <v>88</v>
      </c>
      <c r="B43" s="715" t="s">
        <v>89</v>
      </c>
      <c r="C43" s="552">
        <f t="shared" si="13"/>
        <v>0</v>
      </c>
      <c r="D43" s="613">
        <v>0</v>
      </c>
      <c r="E43" s="559"/>
      <c r="F43" s="555"/>
      <c r="G43" s="555"/>
      <c r="H43" s="556">
        <f t="shared" si="14"/>
        <v>0</v>
      </c>
      <c r="I43" s="557"/>
      <c r="J43" s="558"/>
      <c r="K43" s="559"/>
      <c r="L43" s="711">
        <f t="shared" si="15"/>
        <v>5.0143612384070462</v>
      </c>
      <c r="M43" s="559"/>
      <c r="N43" s="559"/>
      <c r="O43" s="613"/>
      <c r="P43" s="613">
        <v>0.2996894254500555</v>
      </c>
      <c r="Q43" s="559"/>
      <c r="R43" s="613">
        <v>8.9534355055695083E-2</v>
      </c>
      <c r="S43" s="613">
        <v>3.9277358991408273</v>
      </c>
      <c r="T43" s="613">
        <v>0.69740155876046783</v>
      </c>
      <c r="U43" s="613">
        <v>0</v>
      </c>
      <c r="V43" s="555"/>
      <c r="W43" s="555"/>
      <c r="X43" s="555"/>
      <c r="Y43" s="559"/>
      <c r="Z43" s="719">
        <v>1.9741853653126986</v>
      </c>
      <c r="AA43" s="560">
        <f t="shared" si="16"/>
        <v>0</v>
      </c>
      <c r="AB43" s="561"/>
      <c r="AC43" s="559"/>
      <c r="AD43" s="559"/>
      <c r="AE43" s="613"/>
      <c r="AF43" s="613"/>
      <c r="AG43" s="613"/>
      <c r="AH43" s="662"/>
      <c r="AI43" s="559"/>
      <c r="AJ43" s="667"/>
      <c r="AK43" s="719">
        <v>19.85937337536021</v>
      </c>
      <c r="AL43" s="560"/>
      <c r="AM43" s="563">
        <f t="shared" si="10"/>
        <v>26.847919979079954</v>
      </c>
    </row>
    <row r="44" spans="1:41" ht="12.75" customHeight="1">
      <c r="A44" s="720" t="s">
        <v>90</v>
      </c>
      <c r="B44" s="721" t="s">
        <v>91</v>
      </c>
      <c r="C44" s="722">
        <f t="shared" si="13"/>
        <v>0</v>
      </c>
      <c r="D44" s="723">
        <v>0</v>
      </c>
      <c r="E44" s="723"/>
      <c r="F44" s="724"/>
      <c r="G44" s="724"/>
      <c r="H44" s="725">
        <f t="shared" si="14"/>
        <v>0</v>
      </c>
      <c r="I44" s="726"/>
      <c r="J44" s="727"/>
      <c r="K44" s="723">
        <v>0</v>
      </c>
      <c r="L44" s="728">
        <f t="shared" si="15"/>
        <v>39.884728685658985</v>
      </c>
      <c r="M44" s="723"/>
      <c r="N44" s="723"/>
      <c r="O44" s="613"/>
      <c r="P44" s="723">
        <v>9.9746897540168185</v>
      </c>
      <c r="Q44" s="723"/>
      <c r="R44" s="723">
        <v>2.9800097639927601</v>
      </c>
      <c r="S44" s="723">
        <v>22.317312105365545</v>
      </c>
      <c r="T44" s="723">
        <v>4.612717062283866</v>
      </c>
      <c r="U44" s="723">
        <v>0</v>
      </c>
      <c r="V44" s="724"/>
      <c r="W44" s="724"/>
      <c r="X44" s="724"/>
      <c r="Y44" s="723"/>
      <c r="Z44" s="729">
        <v>6.8442274312059155</v>
      </c>
      <c r="AA44" s="730">
        <f t="shared" si="16"/>
        <v>0</v>
      </c>
      <c r="AB44" s="731"/>
      <c r="AC44" s="723"/>
      <c r="AD44" s="723"/>
      <c r="AE44" s="664"/>
      <c r="AF44" s="664"/>
      <c r="AG44" s="664"/>
      <c r="AH44" s="732"/>
      <c r="AI44" s="723"/>
      <c r="AJ44" s="624"/>
      <c r="AK44" s="729">
        <v>91.317392703495614</v>
      </c>
      <c r="AL44" s="730"/>
      <c r="AM44" s="733">
        <f t="shared" si="10"/>
        <v>138.04634882036052</v>
      </c>
    </row>
    <row r="45" spans="1:41" s="8" customFormat="1" ht="12.75" customHeight="1">
      <c r="A45" s="626" t="s">
        <v>92</v>
      </c>
      <c r="B45" s="627"/>
      <c r="C45" s="734">
        <f t="shared" ref="C45:AL45" si="17">SUM(C46:C55)</f>
        <v>0</v>
      </c>
      <c r="D45" s="636">
        <f t="shared" si="17"/>
        <v>0</v>
      </c>
      <c r="E45" s="636">
        <f t="shared" si="17"/>
        <v>0</v>
      </c>
      <c r="F45" s="735">
        <f t="shared" si="17"/>
        <v>0</v>
      </c>
      <c r="G45" s="735">
        <f t="shared" si="17"/>
        <v>0</v>
      </c>
      <c r="H45" s="736">
        <f t="shared" si="17"/>
        <v>0</v>
      </c>
      <c r="I45" s="737">
        <f t="shared" si="17"/>
        <v>0</v>
      </c>
      <c r="J45" s="738">
        <f t="shared" si="17"/>
        <v>0</v>
      </c>
      <c r="K45" s="636">
        <f t="shared" si="17"/>
        <v>0</v>
      </c>
      <c r="L45" s="736">
        <f t="shared" si="17"/>
        <v>5019.924775938709</v>
      </c>
      <c r="M45" s="636">
        <f t="shared" si="17"/>
        <v>0</v>
      </c>
      <c r="N45" s="636">
        <f t="shared" si="17"/>
        <v>0</v>
      </c>
      <c r="O45" s="636">
        <f t="shared" si="17"/>
        <v>821.48002832197108</v>
      </c>
      <c r="P45" s="636">
        <f t="shared" si="17"/>
        <v>0</v>
      </c>
      <c r="Q45" s="636">
        <f t="shared" si="17"/>
        <v>1102.0673096951998</v>
      </c>
      <c r="R45" s="636">
        <f t="shared" si="17"/>
        <v>0</v>
      </c>
      <c r="S45" s="636">
        <f t="shared" si="17"/>
        <v>1.8520724281984335</v>
      </c>
      <c r="T45" s="636">
        <f>SUM(T46:T55)</f>
        <v>3094.5253654933399</v>
      </c>
      <c r="U45" s="636">
        <f t="shared" si="17"/>
        <v>0</v>
      </c>
      <c r="V45" s="735">
        <f t="shared" si="17"/>
        <v>0</v>
      </c>
      <c r="W45" s="735">
        <f t="shared" si="17"/>
        <v>0</v>
      </c>
      <c r="X45" s="735">
        <f t="shared" si="17"/>
        <v>0</v>
      </c>
      <c r="Y45" s="636">
        <f t="shared" si="17"/>
        <v>0</v>
      </c>
      <c r="Z45" s="736">
        <f t="shared" si="17"/>
        <v>22.560835415583806</v>
      </c>
      <c r="AA45" s="739">
        <f t="shared" si="17"/>
        <v>154.23960204369604</v>
      </c>
      <c r="AB45" s="740">
        <f t="shared" si="17"/>
        <v>0</v>
      </c>
      <c r="AC45" s="636">
        <f t="shared" si="17"/>
        <v>0</v>
      </c>
      <c r="AD45" s="636">
        <f t="shared" si="17"/>
        <v>0</v>
      </c>
      <c r="AE45" s="636">
        <f t="shared" si="17"/>
        <v>0</v>
      </c>
      <c r="AF45" s="636">
        <f t="shared" si="17"/>
        <v>0</v>
      </c>
      <c r="AG45" s="636">
        <f t="shared" si="17"/>
        <v>154.23960204369604</v>
      </c>
      <c r="AH45" s="739">
        <f t="shared" si="17"/>
        <v>0</v>
      </c>
      <c r="AI45" s="636">
        <f t="shared" si="17"/>
        <v>0</v>
      </c>
      <c r="AJ45" s="736">
        <f t="shared" si="17"/>
        <v>0</v>
      </c>
      <c r="AK45" s="736">
        <f t="shared" si="17"/>
        <v>5.1986846762489369</v>
      </c>
      <c r="AL45" s="739">
        <f t="shared" si="17"/>
        <v>0</v>
      </c>
      <c r="AM45" s="741">
        <f t="shared" si="10"/>
        <v>5201.9238980742384</v>
      </c>
      <c r="AN45" s="5"/>
      <c r="AO45" s="7"/>
    </row>
    <row r="46" spans="1:41" s="5" customFormat="1" ht="12.75" customHeight="1">
      <c r="A46" s="742" t="s">
        <v>93</v>
      </c>
      <c r="B46" s="602"/>
      <c r="C46" s="603">
        <f t="shared" ref="C46:C56" si="18">SUM(D46:G46)</f>
        <v>0</v>
      </c>
      <c r="D46" s="743"/>
      <c r="E46" s="656"/>
      <c r="F46" s="606"/>
      <c r="G46" s="606"/>
      <c r="H46" s="607">
        <f t="shared" ref="H46:H56" si="19">SUM(I46:K46)</f>
        <v>0</v>
      </c>
      <c r="I46" s="604"/>
      <c r="J46" s="608"/>
      <c r="K46" s="605"/>
      <c r="L46" s="607">
        <f t="shared" ref="L46:L56" si="20">SUM(M46:Y46)</f>
        <v>696.81086860411278</v>
      </c>
      <c r="M46" s="605"/>
      <c r="N46" s="605"/>
      <c r="O46" s="605"/>
      <c r="P46" s="605"/>
      <c r="Q46" s="605"/>
      <c r="R46" s="605"/>
      <c r="S46" s="605"/>
      <c r="T46" s="605">
        <v>696.81086860411278</v>
      </c>
      <c r="U46" s="605"/>
      <c r="V46" s="606"/>
      <c r="W46" s="606"/>
      <c r="X46" s="606"/>
      <c r="Y46" s="605"/>
      <c r="Z46" s="611"/>
      <c r="AA46" s="609">
        <f t="shared" ref="AA46:AA56" si="21">SUM(AB46:AI46)</f>
        <v>29.763125082569886</v>
      </c>
      <c r="AB46" s="610"/>
      <c r="AC46" s="605"/>
      <c r="AD46" s="605"/>
      <c r="AE46" s="605"/>
      <c r="AF46" s="605"/>
      <c r="AG46" s="605">
        <v>29.763125082569886</v>
      </c>
      <c r="AH46" s="657"/>
      <c r="AI46" s="605"/>
      <c r="AJ46" s="607"/>
      <c r="AK46" s="611"/>
      <c r="AL46" s="609"/>
      <c r="AM46" s="638">
        <f t="shared" si="10"/>
        <v>726.57399368668268</v>
      </c>
      <c r="AO46" s="6"/>
    </row>
    <row r="47" spans="1:41" s="5" customFormat="1" ht="12.75" customHeight="1">
      <c r="A47" s="698" t="s">
        <v>94</v>
      </c>
      <c r="B47" s="744"/>
      <c r="C47" s="700"/>
      <c r="D47" s="745"/>
      <c r="E47" s="746"/>
      <c r="F47" s="701"/>
      <c r="G47" s="701"/>
      <c r="H47" s="702"/>
      <c r="I47" s="703"/>
      <c r="J47" s="704"/>
      <c r="K47" s="613"/>
      <c r="L47" s="702">
        <f t="shared" si="20"/>
        <v>318.14346273201534</v>
      </c>
      <c r="M47" s="613"/>
      <c r="N47" s="613"/>
      <c r="O47" s="613"/>
      <c r="P47" s="613"/>
      <c r="Q47" s="613"/>
      <c r="R47" s="613"/>
      <c r="S47" s="613"/>
      <c r="T47" s="613">
        <v>318.14346273201534</v>
      </c>
      <c r="U47" s="613"/>
      <c r="V47" s="701"/>
      <c r="W47" s="701"/>
      <c r="X47" s="701"/>
      <c r="Y47" s="613"/>
      <c r="Z47" s="718">
        <v>2.9723185667999998E-2</v>
      </c>
      <c r="AA47" s="707">
        <f t="shared" si="21"/>
        <v>13.588972420111009</v>
      </c>
      <c r="AB47" s="708"/>
      <c r="AC47" s="613"/>
      <c r="AD47" s="613"/>
      <c r="AE47" s="613"/>
      <c r="AF47" s="613"/>
      <c r="AG47" s="613">
        <v>13.588972420111009</v>
      </c>
      <c r="AH47" s="717"/>
      <c r="AI47" s="613"/>
      <c r="AJ47" s="702"/>
      <c r="AK47" s="718"/>
      <c r="AL47" s="707"/>
      <c r="AM47" s="612">
        <f t="shared" si="10"/>
        <v>331.76215833779435</v>
      </c>
      <c r="AO47" s="6"/>
    </row>
    <row r="48" spans="1:41" s="5" customFormat="1" ht="12.75" customHeight="1">
      <c r="A48" s="714" t="s">
        <v>95</v>
      </c>
      <c r="B48" s="551"/>
      <c r="C48" s="552">
        <f t="shared" si="18"/>
        <v>0</v>
      </c>
      <c r="D48" s="553"/>
      <c r="E48" s="564"/>
      <c r="F48" s="555"/>
      <c r="G48" s="555"/>
      <c r="H48" s="556">
        <f t="shared" si="19"/>
        <v>0</v>
      </c>
      <c r="I48" s="557"/>
      <c r="J48" s="558"/>
      <c r="K48" s="559"/>
      <c r="L48" s="556">
        <f t="shared" si="20"/>
        <v>1979.3195171155053</v>
      </c>
      <c r="M48" s="559"/>
      <c r="N48" s="559"/>
      <c r="O48" s="559">
        <v>665.22585458348442</v>
      </c>
      <c r="P48" s="559"/>
      <c r="Q48" s="559"/>
      <c r="R48" s="559"/>
      <c r="S48" s="559">
        <v>1.8520724281984335</v>
      </c>
      <c r="T48" s="559">
        <v>1312.2415901038223</v>
      </c>
      <c r="U48" s="559"/>
      <c r="V48" s="555"/>
      <c r="W48" s="555"/>
      <c r="X48" s="555"/>
      <c r="Y48" s="559"/>
      <c r="Z48" s="562"/>
      <c r="AA48" s="560">
        <f t="shared" si="21"/>
        <v>78.152181932232637</v>
      </c>
      <c r="AB48" s="561"/>
      <c r="AC48" s="559"/>
      <c r="AD48" s="559"/>
      <c r="AE48" s="559"/>
      <c r="AF48" s="559"/>
      <c r="AG48" s="559">
        <v>78.152181932232637</v>
      </c>
      <c r="AH48" s="713"/>
      <c r="AI48" s="559"/>
      <c r="AJ48" s="556"/>
      <c r="AK48" s="562">
        <v>1.012968700248938</v>
      </c>
      <c r="AL48" s="560"/>
      <c r="AM48" s="563">
        <f t="shared" si="10"/>
        <v>2058.4846677479868</v>
      </c>
      <c r="AO48" s="6"/>
    </row>
    <row r="49" spans="1:41" s="5" customFormat="1" ht="12.75" customHeight="1">
      <c r="A49" s="714" t="s">
        <v>96</v>
      </c>
      <c r="B49" s="551"/>
      <c r="C49" s="552">
        <f t="shared" si="18"/>
        <v>0</v>
      </c>
      <c r="D49" s="553"/>
      <c r="E49" s="564"/>
      <c r="F49" s="555"/>
      <c r="G49" s="555"/>
      <c r="H49" s="556">
        <f t="shared" si="19"/>
        <v>0</v>
      </c>
      <c r="I49" s="557"/>
      <c r="J49" s="558"/>
      <c r="K49" s="559"/>
      <c r="L49" s="556">
        <f t="shared" si="20"/>
        <v>133.353235953808</v>
      </c>
      <c r="M49" s="559"/>
      <c r="N49" s="559"/>
      <c r="O49" s="559">
        <v>6.5648739648342556</v>
      </c>
      <c r="P49" s="559"/>
      <c r="Q49" s="559"/>
      <c r="R49" s="559"/>
      <c r="S49" s="559"/>
      <c r="T49" s="559">
        <v>126.78836198897375</v>
      </c>
      <c r="U49" s="559"/>
      <c r="V49" s="555"/>
      <c r="W49" s="555"/>
      <c r="X49" s="555"/>
      <c r="Y49" s="559"/>
      <c r="Z49" s="562"/>
      <c r="AA49" s="560">
        <f t="shared" si="21"/>
        <v>5.6336715948500125</v>
      </c>
      <c r="AB49" s="561"/>
      <c r="AC49" s="559"/>
      <c r="AD49" s="559"/>
      <c r="AE49" s="559"/>
      <c r="AF49" s="559"/>
      <c r="AG49" s="559">
        <v>5.6336715948500125</v>
      </c>
      <c r="AH49" s="713"/>
      <c r="AI49" s="559"/>
      <c r="AJ49" s="556"/>
      <c r="AK49" s="562"/>
      <c r="AL49" s="560"/>
      <c r="AM49" s="563">
        <f t="shared" si="10"/>
        <v>138.986907548658</v>
      </c>
      <c r="AO49" s="6"/>
    </row>
    <row r="50" spans="1:41" s="5" customFormat="1" ht="12.75" customHeight="1">
      <c r="A50" s="714" t="s">
        <v>97</v>
      </c>
      <c r="B50" s="551"/>
      <c r="C50" s="552">
        <f t="shared" si="18"/>
        <v>0</v>
      </c>
      <c r="D50" s="553"/>
      <c r="E50" s="564"/>
      <c r="F50" s="555"/>
      <c r="G50" s="555"/>
      <c r="H50" s="556">
        <f t="shared" si="19"/>
        <v>0</v>
      </c>
      <c r="I50" s="557"/>
      <c r="J50" s="558"/>
      <c r="K50" s="559"/>
      <c r="L50" s="556">
        <f t="shared" si="20"/>
        <v>38.043221783939138</v>
      </c>
      <c r="M50" s="559"/>
      <c r="N50" s="559"/>
      <c r="O50" s="559"/>
      <c r="P50" s="559"/>
      <c r="Q50" s="723"/>
      <c r="R50" s="559"/>
      <c r="S50" s="559"/>
      <c r="T50" s="559">
        <v>38.043221783939138</v>
      </c>
      <c r="U50" s="559"/>
      <c r="V50" s="555"/>
      <c r="W50" s="555"/>
      <c r="X50" s="555"/>
      <c r="Y50" s="559"/>
      <c r="Z50" s="562"/>
      <c r="AA50" s="560">
        <f t="shared" si="21"/>
        <v>0</v>
      </c>
      <c r="AB50" s="561"/>
      <c r="AC50" s="559"/>
      <c r="AD50" s="559"/>
      <c r="AE50" s="559"/>
      <c r="AF50" s="559"/>
      <c r="AG50" s="559">
        <v>0</v>
      </c>
      <c r="AH50" s="713"/>
      <c r="AI50" s="559"/>
      <c r="AJ50" s="556"/>
      <c r="AK50" s="562">
        <v>4.1857159759999991</v>
      </c>
      <c r="AL50" s="560"/>
      <c r="AM50" s="563">
        <f t="shared" si="10"/>
        <v>42.228937759939136</v>
      </c>
      <c r="AO50" s="6"/>
    </row>
    <row r="51" spans="1:41" s="5" customFormat="1" ht="12.75" customHeight="1">
      <c r="A51" s="714" t="s">
        <v>98</v>
      </c>
      <c r="B51" s="551"/>
      <c r="C51" s="552">
        <f t="shared" si="18"/>
        <v>0</v>
      </c>
      <c r="D51" s="553"/>
      <c r="E51" s="564"/>
      <c r="F51" s="555"/>
      <c r="G51" s="555"/>
      <c r="H51" s="556">
        <f t="shared" si="19"/>
        <v>0</v>
      </c>
      <c r="I51" s="557"/>
      <c r="J51" s="558"/>
      <c r="K51" s="559"/>
      <c r="L51" s="556">
        <f t="shared" si="20"/>
        <v>5.5768892778871404</v>
      </c>
      <c r="M51" s="559"/>
      <c r="N51" s="559"/>
      <c r="O51" s="559">
        <v>0.66818888888888883</v>
      </c>
      <c r="P51" s="559"/>
      <c r="Q51" s="559">
        <v>4.9087003889982519</v>
      </c>
      <c r="R51" s="559"/>
      <c r="S51" s="559"/>
      <c r="T51" s="559"/>
      <c r="U51" s="559"/>
      <c r="V51" s="555"/>
      <c r="W51" s="555"/>
      <c r="X51" s="555"/>
      <c r="Y51" s="559"/>
      <c r="Z51" s="562"/>
      <c r="AA51" s="560">
        <f t="shared" si="21"/>
        <v>0</v>
      </c>
      <c r="AB51" s="561"/>
      <c r="AC51" s="559"/>
      <c r="AD51" s="559"/>
      <c r="AE51" s="559"/>
      <c r="AF51" s="559"/>
      <c r="AG51" s="559"/>
      <c r="AH51" s="713"/>
      <c r="AI51" s="559"/>
      <c r="AJ51" s="556"/>
      <c r="AK51" s="562"/>
      <c r="AL51" s="560"/>
      <c r="AM51" s="563">
        <f t="shared" si="10"/>
        <v>5.5768892778871404</v>
      </c>
      <c r="AO51" s="6"/>
    </row>
    <row r="52" spans="1:41" s="5" customFormat="1" ht="12.75" customHeight="1">
      <c r="A52" s="714" t="s">
        <v>99</v>
      </c>
      <c r="B52" s="715"/>
      <c r="C52" s="722">
        <f t="shared" si="18"/>
        <v>0</v>
      </c>
      <c r="D52" s="723"/>
      <c r="E52" s="723"/>
      <c r="F52" s="724"/>
      <c r="G52" s="724"/>
      <c r="H52" s="725">
        <f t="shared" si="19"/>
        <v>0</v>
      </c>
      <c r="I52" s="726"/>
      <c r="J52" s="727"/>
      <c r="K52" s="723"/>
      <c r="L52" s="725">
        <f t="shared" si="20"/>
        <v>1097.1586093062015</v>
      </c>
      <c r="M52" s="723"/>
      <c r="N52" s="723"/>
      <c r="O52" s="613"/>
      <c r="P52" s="723"/>
      <c r="Q52" s="723">
        <v>1097.1586093062015</v>
      </c>
      <c r="R52" s="723"/>
      <c r="S52" s="723"/>
      <c r="T52" s="723"/>
      <c r="U52" s="723"/>
      <c r="V52" s="724"/>
      <c r="W52" s="724"/>
      <c r="X52" s="724"/>
      <c r="Y52" s="723"/>
      <c r="Z52" s="718"/>
      <c r="AA52" s="730">
        <f t="shared" si="21"/>
        <v>0</v>
      </c>
      <c r="AB52" s="731"/>
      <c r="AC52" s="723"/>
      <c r="AD52" s="723"/>
      <c r="AE52" s="723"/>
      <c r="AF52" s="723"/>
      <c r="AG52" s="723"/>
      <c r="AH52" s="717"/>
      <c r="AI52" s="723"/>
      <c r="AJ52" s="718"/>
      <c r="AK52" s="718"/>
      <c r="AL52" s="730"/>
      <c r="AM52" s="733">
        <f t="shared" si="10"/>
        <v>1097.1586093062015</v>
      </c>
      <c r="AO52" s="6"/>
    </row>
    <row r="53" spans="1:41" s="5" customFormat="1" ht="12.75" customHeight="1">
      <c r="A53" s="714" t="s">
        <v>100</v>
      </c>
      <c r="B53" s="715"/>
      <c r="C53" s="722">
        <f t="shared" si="18"/>
        <v>0</v>
      </c>
      <c r="D53" s="726"/>
      <c r="E53" s="723"/>
      <c r="F53" s="724"/>
      <c r="G53" s="724"/>
      <c r="H53" s="725">
        <f t="shared" si="19"/>
        <v>0</v>
      </c>
      <c r="I53" s="726"/>
      <c r="J53" s="727"/>
      <c r="K53" s="723"/>
      <c r="L53" s="725">
        <f t="shared" si="20"/>
        <v>176.94052908505745</v>
      </c>
      <c r="M53" s="723"/>
      <c r="N53" s="723"/>
      <c r="O53" s="723">
        <v>0</v>
      </c>
      <c r="P53" s="723"/>
      <c r="Q53" s="723"/>
      <c r="R53" s="723"/>
      <c r="S53" s="723"/>
      <c r="T53" s="723">
        <v>176.94052908505745</v>
      </c>
      <c r="U53" s="723"/>
      <c r="V53" s="724"/>
      <c r="W53" s="724"/>
      <c r="X53" s="724"/>
      <c r="Y53" s="723"/>
      <c r="Z53" s="718"/>
      <c r="AA53" s="730">
        <f t="shared" si="21"/>
        <v>7.5577223843887342</v>
      </c>
      <c r="AB53" s="731"/>
      <c r="AC53" s="723"/>
      <c r="AD53" s="723"/>
      <c r="AE53" s="723"/>
      <c r="AF53" s="723"/>
      <c r="AG53" s="559">
        <v>7.5577223843887342</v>
      </c>
      <c r="AH53" s="723"/>
      <c r="AI53" s="723"/>
      <c r="AJ53" s="718"/>
      <c r="AK53" s="562"/>
      <c r="AL53" s="730"/>
      <c r="AM53" s="733">
        <f t="shared" si="10"/>
        <v>184.49825146944619</v>
      </c>
      <c r="AO53" s="6"/>
    </row>
    <row r="54" spans="1:41" s="5" customFormat="1" ht="12.75" customHeight="1">
      <c r="A54" s="550" t="s">
        <v>101</v>
      </c>
      <c r="B54" s="551"/>
      <c r="C54" s="722">
        <f t="shared" si="18"/>
        <v>0</v>
      </c>
      <c r="D54" s="726"/>
      <c r="E54" s="723"/>
      <c r="F54" s="724"/>
      <c r="G54" s="724"/>
      <c r="H54" s="725">
        <f t="shared" si="19"/>
        <v>0</v>
      </c>
      <c r="I54" s="726"/>
      <c r="J54" s="727"/>
      <c r="K54" s="723"/>
      <c r="L54" s="725">
        <f t="shared" si="20"/>
        <v>83.913724293678101</v>
      </c>
      <c r="M54" s="723"/>
      <c r="N54" s="723"/>
      <c r="O54" s="723"/>
      <c r="P54" s="723"/>
      <c r="Q54" s="723"/>
      <c r="R54" s="723"/>
      <c r="S54" s="723"/>
      <c r="T54" s="723">
        <v>83.913724293678101</v>
      </c>
      <c r="U54" s="723"/>
      <c r="V54" s="724"/>
      <c r="W54" s="724"/>
      <c r="X54" s="724"/>
      <c r="Y54" s="723"/>
      <c r="Z54" s="667"/>
      <c r="AA54" s="730">
        <f t="shared" si="21"/>
        <v>0</v>
      </c>
      <c r="AB54" s="731"/>
      <c r="AC54" s="723"/>
      <c r="AD54" s="723"/>
      <c r="AE54" s="723"/>
      <c r="AF54" s="723"/>
      <c r="AG54" s="723"/>
      <c r="AH54" s="723"/>
      <c r="AI54" s="723"/>
      <c r="AJ54" s="667"/>
      <c r="AK54" s="718"/>
      <c r="AL54" s="730"/>
      <c r="AM54" s="733">
        <f t="shared" si="10"/>
        <v>83.913724293678101</v>
      </c>
      <c r="AO54" s="6"/>
    </row>
    <row r="55" spans="1:41" s="5" customFormat="1" ht="12.75" customHeight="1">
      <c r="A55" s="614" t="s">
        <v>102</v>
      </c>
      <c r="B55" s="615"/>
      <c r="C55" s="616">
        <f t="shared" si="18"/>
        <v>0</v>
      </c>
      <c r="D55" s="747"/>
      <c r="E55" s="748"/>
      <c r="F55" s="619"/>
      <c r="G55" s="619"/>
      <c r="H55" s="620">
        <f t="shared" si="19"/>
        <v>0</v>
      </c>
      <c r="I55" s="617"/>
      <c r="J55" s="621"/>
      <c r="K55" s="618"/>
      <c r="L55" s="620">
        <f t="shared" si="20"/>
        <v>490.66471778650487</v>
      </c>
      <c r="M55" s="618"/>
      <c r="N55" s="618"/>
      <c r="O55" s="618">
        <v>149.02111088476352</v>
      </c>
      <c r="P55" s="618"/>
      <c r="Q55" s="618"/>
      <c r="R55" s="618">
        <v>0</v>
      </c>
      <c r="S55" s="618"/>
      <c r="T55" s="618">
        <v>341.64360690174135</v>
      </c>
      <c r="U55" s="618"/>
      <c r="V55" s="619"/>
      <c r="W55" s="619"/>
      <c r="X55" s="619"/>
      <c r="Y55" s="618"/>
      <c r="Z55" s="624">
        <v>22.531112229915806</v>
      </c>
      <c r="AA55" s="622">
        <f t="shared" si="21"/>
        <v>19.543928629543746</v>
      </c>
      <c r="AB55" s="623"/>
      <c r="AC55" s="618"/>
      <c r="AD55" s="618"/>
      <c r="AE55" s="618"/>
      <c r="AF55" s="618"/>
      <c r="AG55" s="618">
        <v>19.543928629543746</v>
      </c>
      <c r="AH55" s="732"/>
      <c r="AI55" s="618"/>
      <c r="AJ55" s="620"/>
      <c r="AK55" s="624"/>
      <c r="AL55" s="622"/>
      <c r="AM55" s="625">
        <f t="shared" si="10"/>
        <v>532.73975864596446</v>
      </c>
      <c r="AO55" s="6"/>
    </row>
    <row r="56" spans="1:41" s="8" customFormat="1" ht="12.75" customHeight="1">
      <c r="A56" s="749" t="s">
        <v>103</v>
      </c>
      <c r="B56" s="750"/>
      <c r="C56" s="734">
        <f t="shared" si="18"/>
        <v>155.18532547319376</v>
      </c>
      <c r="D56" s="737">
        <v>77.527798151623358</v>
      </c>
      <c r="E56" s="554">
        <v>70.131951348544106</v>
      </c>
      <c r="F56" s="735"/>
      <c r="G56" s="735">
        <v>7.5255759730262914</v>
      </c>
      <c r="H56" s="736">
        <f t="shared" si="19"/>
        <v>196.53880633</v>
      </c>
      <c r="I56" s="737"/>
      <c r="J56" s="738">
        <v>127.70399999999999</v>
      </c>
      <c r="K56" s="636">
        <v>68.834806329999992</v>
      </c>
      <c r="L56" s="736">
        <f t="shared" si="20"/>
        <v>1059.0610846185803</v>
      </c>
      <c r="M56" s="636"/>
      <c r="N56" s="636"/>
      <c r="O56" s="636">
        <v>0</v>
      </c>
      <c r="P56" s="636">
        <v>851.97056065430399</v>
      </c>
      <c r="Q56" s="636"/>
      <c r="R56" s="636">
        <v>0</v>
      </c>
      <c r="S56" s="636">
        <v>43.620998386839176</v>
      </c>
      <c r="T56" s="636">
        <v>159.95923884112759</v>
      </c>
      <c r="U56" s="636">
        <v>3.5102867363093639</v>
      </c>
      <c r="V56" s="735"/>
      <c r="W56" s="735"/>
      <c r="X56" s="735"/>
      <c r="Y56" s="636"/>
      <c r="Z56" s="736">
        <v>604.09375845912712</v>
      </c>
      <c r="AA56" s="739">
        <f t="shared" si="21"/>
        <v>68.387102733754332</v>
      </c>
      <c r="AB56" s="740"/>
      <c r="AC56" s="636"/>
      <c r="AD56" s="636">
        <v>27.857660562107053</v>
      </c>
      <c r="AE56" s="636"/>
      <c r="AF56" s="636"/>
      <c r="AG56" s="636"/>
      <c r="AH56" s="739">
        <v>13.379590942008413</v>
      </c>
      <c r="AI56" s="636">
        <v>27.149851229638866</v>
      </c>
      <c r="AJ56" s="736"/>
      <c r="AK56" s="736">
        <v>702.9445639999999</v>
      </c>
      <c r="AL56" s="739"/>
      <c r="AM56" s="637">
        <f t="shared" si="10"/>
        <v>2786.2106416146557</v>
      </c>
      <c r="AN56" s="5"/>
      <c r="AO56" s="14"/>
    </row>
    <row r="57" spans="1:41" s="8" customFormat="1" ht="12.75" customHeight="1">
      <c r="A57" s="751" t="s">
        <v>104</v>
      </c>
      <c r="B57" s="752"/>
      <c r="C57" s="734">
        <f t="shared" ref="C57:N57" si="22">SUM(C58:C59)</f>
        <v>0</v>
      </c>
      <c r="D57" s="636">
        <f t="shared" si="22"/>
        <v>0</v>
      </c>
      <c r="E57" s="636">
        <f t="shared" si="22"/>
        <v>0</v>
      </c>
      <c r="F57" s="735">
        <f t="shared" si="22"/>
        <v>0</v>
      </c>
      <c r="G57" s="735">
        <f t="shared" si="22"/>
        <v>0</v>
      </c>
      <c r="H57" s="736">
        <f t="shared" si="22"/>
        <v>0</v>
      </c>
      <c r="I57" s="737">
        <f t="shared" si="22"/>
        <v>0</v>
      </c>
      <c r="J57" s="753">
        <f t="shared" si="22"/>
        <v>0</v>
      </c>
      <c r="K57" s="737">
        <f t="shared" si="22"/>
        <v>0</v>
      </c>
      <c r="L57" s="736">
        <f t="shared" si="22"/>
        <v>267.57395184315021</v>
      </c>
      <c r="M57" s="636">
        <f t="shared" si="22"/>
        <v>0</v>
      </c>
      <c r="N57" s="636">
        <f t="shared" si="22"/>
        <v>0</v>
      </c>
      <c r="O57" s="636">
        <v>0</v>
      </c>
      <c r="P57" s="636">
        <f>SUM(P58:P59)</f>
        <v>0</v>
      </c>
      <c r="Q57" s="636">
        <f>SUM(Q58:Q59)</f>
        <v>0</v>
      </c>
      <c r="R57" s="636">
        <v>1.247004930562597</v>
      </c>
      <c r="S57" s="636">
        <v>9.4206736070750594</v>
      </c>
      <c r="T57" s="636">
        <v>256.90588302035394</v>
      </c>
      <c r="U57" s="636">
        <f>SUM(U58:U59)</f>
        <v>3.9028515863367719E-4</v>
      </c>
      <c r="V57" s="735">
        <f>SUM(V58:V59)</f>
        <v>0</v>
      </c>
      <c r="W57" s="735">
        <f>SUM(W58:W59)</f>
        <v>0</v>
      </c>
      <c r="X57" s="735">
        <f>SUM(X58:X59)</f>
        <v>0</v>
      </c>
      <c r="Y57" s="737">
        <f>SUM(Y58:Y59)</f>
        <v>0</v>
      </c>
      <c r="Z57" s="736">
        <v>532.11518780757262</v>
      </c>
      <c r="AA57" s="739">
        <f>SUM(AA58:AA59)</f>
        <v>42.897710060911812</v>
      </c>
      <c r="AB57" s="740">
        <f>SUM(AB58:AB59)</f>
        <v>0</v>
      </c>
      <c r="AC57" s="636">
        <f>SUM(AC58:AC59)</f>
        <v>0</v>
      </c>
      <c r="AD57" s="636">
        <f>SUM(AD58:AD59)</f>
        <v>18.076477820039997</v>
      </c>
      <c r="AE57" s="636">
        <f>SUM(AE58:AE59)</f>
        <v>0</v>
      </c>
      <c r="AF57" s="636">
        <f>SUM(AF59:AF59)</f>
        <v>7.541555368675982</v>
      </c>
      <c r="AG57" s="636">
        <f>SUM(AG58:AG59)</f>
        <v>0</v>
      </c>
      <c r="AH57" s="636">
        <f>SUM(AH58:AH59)</f>
        <v>0.16649466165720572</v>
      </c>
      <c r="AI57" s="737">
        <f>SUM(AI58:AI59)</f>
        <v>17.113182210538625</v>
      </c>
      <c r="AJ57" s="736">
        <f>SUM(AJ58:AJ59)</f>
        <v>0</v>
      </c>
      <c r="AK57" s="736">
        <v>641.64162013305452</v>
      </c>
      <c r="AL57" s="739">
        <f>SUM(AL58:AL59)</f>
        <v>0</v>
      </c>
      <c r="AM57" s="754">
        <f t="shared" si="10"/>
        <v>1484.2284698446892</v>
      </c>
      <c r="AN57" s="5"/>
      <c r="AO57" s="14"/>
    </row>
    <row r="58" spans="1:41" s="5" customFormat="1" ht="12.75" customHeight="1">
      <c r="A58" s="755" t="s">
        <v>105</v>
      </c>
      <c r="B58" s="756"/>
      <c r="C58" s="603">
        <f>SUM(D58:G58)</f>
        <v>0</v>
      </c>
      <c r="D58" s="604">
        <v>0</v>
      </c>
      <c r="E58" s="605">
        <v>0</v>
      </c>
      <c r="F58" s="606"/>
      <c r="G58" s="606">
        <v>0</v>
      </c>
      <c r="H58" s="607">
        <f>SUM(I58:K58)</f>
        <v>0</v>
      </c>
      <c r="I58" s="604"/>
      <c r="J58" s="608"/>
      <c r="K58" s="605"/>
      <c r="L58" s="607">
        <f>SUM(M58:Y58)</f>
        <v>176.73204143195045</v>
      </c>
      <c r="M58" s="605"/>
      <c r="N58" s="605"/>
      <c r="O58" s="605"/>
      <c r="P58" s="605">
        <v>0</v>
      </c>
      <c r="Q58" s="605"/>
      <c r="R58" s="605"/>
      <c r="S58" s="605">
        <f>S57*7.63/10.25</f>
        <v>7.0126575240958742</v>
      </c>
      <c r="T58" s="605">
        <f>T57*319.4/483.48</f>
        <v>169.71899362269593</v>
      </c>
      <c r="U58" s="605">
        <v>3.9028515863367719E-4</v>
      </c>
      <c r="V58" s="606"/>
      <c r="W58" s="606"/>
      <c r="X58" s="606"/>
      <c r="Y58" s="605"/>
      <c r="Z58" s="607">
        <f>Z57*37.95/86.6</f>
        <v>233.18442698957719</v>
      </c>
      <c r="AA58" s="609">
        <f>SUM(AB58:AI58)</f>
        <v>35.356154692235833</v>
      </c>
      <c r="AB58" s="610"/>
      <c r="AC58" s="605"/>
      <c r="AD58" s="605">
        <v>18.076477820039997</v>
      </c>
      <c r="AE58" s="613"/>
      <c r="AF58" s="613"/>
      <c r="AG58" s="613"/>
      <c r="AH58" s="657">
        <v>0.16649466165720572</v>
      </c>
      <c r="AI58" s="605">
        <v>17.113182210538625</v>
      </c>
      <c r="AJ58" s="607"/>
      <c r="AK58" s="611">
        <f>AK57*172.28/240.31</f>
        <v>459.99757944539402</v>
      </c>
      <c r="AL58" s="609"/>
      <c r="AM58" s="757">
        <f t="shared" si="10"/>
        <v>905.2702025591575</v>
      </c>
      <c r="AO58" s="15"/>
    </row>
    <row r="59" spans="1:41" s="5" customFormat="1" ht="12.75" customHeight="1">
      <c r="A59" s="758" t="s">
        <v>106</v>
      </c>
      <c r="B59" s="759"/>
      <c r="C59" s="616">
        <f>SUM(D59:G59)</f>
        <v>0</v>
      </c>
      <c r="D59" s="617"/>
      <c r="E59" s="618"/>
      <c r="F59" s="619"/>
      <c r="G59" s="619"/>
      <c r="H59" s="620">
        <f>SUM(I59:K59)</f>
        <v>0</v>
      </c>
      <c r="I59" s="617"/>
      <c r="J59" s="621">
        <v>0</v>
      </c>
      <c r="K59" s="618">
        <v>0</v>
      </c>
      <c r="L59" s="620">
        <f>SUM(M59:Y59)</f>
        <v>90.841910411199763</v>
      </c>
      <c r="M59" s="618"/>
      <c r="N59" s="618"/>
      <c r="O59" s="618"/>
      <c r="P59" s="618"/>
      <c r="Q59" s="618"/>
      <c r="R59" s="618">
        <f>R57</f>
        <v>1.247004930562597</v>
      </c>
      <c r="S59" s="618">
        <f>S57*2.62/10.25</f>
        <v>2.4080160829791861</v>
      </c>
      <c r="T59" s="618">
        <f>T57*164.08/483.48</f>
        <v>87.186889397657978</v>
      </c>
      <c r="U59" s="618"/>
      <c r="V59" s="619"/>
      <c r="W59" s="619"/>
      <c r="X59" s="619"/>
      <c r="Y59" s="618"/>
      <c r="Z59" s="620">
        <f>Z57*48.65/86.6</f>
        <v>298.93076081799552</v>
      </c>
      <c r="AA59" s="622">
        <f>SUM(AB59:AI59)</f>
        <v>7.541555368675982</v>
      </c>
      <c r="AB59" s="623"/>
      <c r="AC59" s="618"/>
      <c r="AD59" s="618"/>
      <c r="AE59" s="618"/>
      <c r="AF59" s="618">
        <v>7.541555368675982</v>
      </c>
      <c r="AG59" s="618"/>
      <c r="AH59" s="732"/>
      <c r="AI59" s="618"/>
      <c r="AJ59" s="620"/>
      <c r="AK59" s="624">
        <f>AK57*68.03/240.31</f>
        <v>181.64404068766049</v>
      </c>
      <c r="AL59" s="622"/>
      <c r="AM59" s="760">
        <f t="shared" si="10"/>
        <v>578.95826728553175</v>
      </c>
      <c r="AO59" s="15"/>
    </row>
    <row r="60" spans="1:41" s="8" customFormat="1" ht="12.75" customHeight="1">
      <c r="A60" s="641" t="s">
        <v>107</v>
      </c>
      <c r="B60" s="642"/>
      <c r="C60" s="643">
        <f>SUM(D60:G60)</f>
        <v>0</v>
      </c>
      <c r="D60" s="761">
        <v>0</v>
      </c>
      <c r="E60" s="762"/>
      <c r="F60" s="763"/>
      <c r="G60" s="763"/>
      <c r="H60" s="647">
        <f>SUM(I60:K60)</f>
        <v>0</v>
      </c>
      <c r="I60" s="761"/>
      <c r="J60" s="764"/>
      <c r="K60" s="762"/>
      <c r="L60" s="647">
        <f>SUM(M60:Y60)</f>
        <v>175.46549158593075</v>
      </c>
      <c r="M60" s="762"/>
      <c r="N60" s="762"/>
      <c r="O60" s="762">
        <v>0</v>
      </c>
      <c r="P60" s="762">
        <v>0</v>
      </c>
      <c r="Q60" s="762"/>
      <c r="R60" s="762"/>
      <c r="S60" s="762">
        <v>0</v>
      </c>
      <c r="T60" s="762">
        <v>175.46549158593075</v>
      </c>
      <c r="U60" s="605"/>
      <c r="V60" s="763"/>
      <c r="W60" s="763"/>
      <c r="X60" s="763"/>
      <c r="Y60" s="762"/>
      <c r="Z60" s="647">
        <v>0</v>
      </c>
      <c r="AA60" s="649">
        <f>SUM(AB60:AI60)</f>
        <v>0</v>
      </c>
      <c r="AB60" s="765"/>
      <c r="AC60" s="762"/>
      <c r="AD60" s="762"/>
      <c r="AE60" s="762"/>
      <c r="AF60" s="762"/>
      <c r="AG60" s="762"/>
      <c r="AH60" s="649"/>
      <c r="AI60" s="762"/>
      <c r="AJ60" s="647"/>
      <c r="AK60" s="647">
        <v>47.988</v>
      </c>
      <c r="AL60" s="649"/>
      <c r="AM60" s="637">
        <f t="shared" si="10"/>
        <v>223.45349158593075</v>
      </c>
      <c r="AN60" s="5"/>
      <c r="AO60" s="7"/>
    </row>
    <row r="61" spans="1:41" s="8" customFormat="1" ht="12.75" customHeight="1" thickBot="1">
      <c r="A61" s="766" t="s">
        <v>108</v>
      </c>
      <c r="B61" s="615"/>
      <c r="C61" s="616">
        <f>SUM(D61:G61)</f>
        <v>0</v>
      </c>
      <c r="D61" s="617"/>
      <c r="E61" s="618"/>
      <c r="F61" s="619"/>
      <c r="G61" s="619"/>
      <c r="H61" s="620">
        <f>SUM(I61:K61)</f>
        <v>0</v>
      </c>
      <c r="I61" s="617"/>
      <c r="J61" s="621"/>
      <c r="K61" s="618"/>
      <c r="L61" s="620">
        <f>SUM(M61:Y61)</f>
        <v>27.249865733664667</v>
      </c>
      <c r="M61" s="618"/>
      <c r="N61" s="618"/>
      <c r="O61" s="618"/>
      <c r="P61" s="618"/>
      <c r="Q61" s="618"/>
      <c r="R61" s="618"/>
      <c r="S61" s="618"/>
      <c r="T61" s="748">
        <v>27.249865733664667</v>
      </c>
      <c r="U61" s="618"/>
      <c r="V61" s="619"/>
      <c r="W61" s="619"/>
      <c r="X61" s="619"/>
      <c r="Y61" s="618"/>
      <c r="Z61" s="620"/>
      <c r="AA61" s="622">
        <f>SUM(AB61:AI61)</f>
        <v>0</v>
      </c>
      <c r="AB61" s="623"/>
      <c r="AC61" s="618"/>
      <c r="AD61" s="618"/>
      <c r="AE61" s="618"/>
      <c r="AF61" s="618"/>
      <c r="AG61" s="618"/>
      <c r="AH61" s="732"/>
      <c r="AI61" s="618"/>
      <c r="AJ61" s="620"/>
      <c r="AK61" s="624"/>
      <c r="AL61" s="622"/>
      <c r="AM61" s="767">
        <f t="shared" si="10"/>
        <v>27.249865733664667</v>
      </c>
      <c r="AN61" s="5"/>
      <c r="AO61" s="7"/>
    </row>
    <row r="62" spans="1:41" s="8" customFormat="1" ht="12.75" customHeight="1" thickBot="1">
      <c r="A62" s="673" t="s">
        <v>109</v>
      </c>
      <c r="B62" s="674"/>
      <c r="C62" s="675">
        <f t="shared" ref="C62:AL62" si="23">C27-C28-C30</f>
        <v>-2.9554969188629343</v>
      </c>
      <c r="D62" s="676">
        <f t="shared" si="23"/>
        <v>0.18284784306936785</v>
      </c>
      <c r="E62" s="677">
        <f t="shared" si="23"/>
        <v>-4.0131297356440712</v>
      </c>
      <c r="F62" s="681">
        <f t="shared" si="23"/>
        <v>0</v>
      </c>
      <c r="G62" s="681">
        <f t="shared" si="23"/>
        <v>0.87478497371188713</v>
      </c>
      <c r="H62" s="678">
        <f t="shared" si="23"/>
        <v>1.9457250152907477</v>
      </c>
      <c r="I62" s="676">
        <f t="shared" si="23"/>
        <v>-0.45741265470919368</v>
      </c>
      <c r="J62" s="677">
        <f t="shared" si="23"/>
        <v>0</v>
      </c>
      <c r="K62" s="677">
        <f t="shared" si="23"/>
        <v>2.4031376700000067</v>
      </c>
      <c r="L62" s="678">
        <f t="shared" si="23"/>
        <v>5.5965062596596908</v>
      </c>
      <c r="M62" s="677">
        <f t="shared" si="23"/>
        <v>0</v>
      </c>
      <c r="N62" s="677">
        <f t="shared" si="23"/>
        <v>0</v>
      </c>
      <c r="O62" s="677">
        <f t="shared" si="23"/>
        <v>9.1821641780287564</v>
      </c>
      <c r="P62" s="677">
        <f t="shared" si="23"/>
        <v>15.370413414720019</v>
      </c>
      <c r="Q62" s="677">
        <f t="shared" si="23"/>
        <v>-6.7103906044801533</v>
      </c>
      <c r="R62" s="677">
        <f t="shared" si="23"/>
        <v>-15.098275306963814</v>
      </c>
      <c r="S62" s="677">
        <f t="shared" si="23"/>
        <v>6.5570336698137623</v>
      </c>
      <c r="T62" s="677">
        <f t="shared" si="23"/>
        <v>-4.4746269624060915</v>
      </c>
      <c r="U62" s="677">
        <f t="shared" si="23"/>
        <v>0.82532907951218704</v>
      </c>
      <c r="V62" s="681">
        <f t="shared" si="23"/>
        <v>-5.5141208563533439E-2</v>
      </c>
      <c r="W62" s="681">
        <f t="shared" si="23"/>
        <v>0</v>
      </c>
      <c r="X62" s="681">
        <f t="shared" si="23"/>
        <v>0</v>
      </c>
      <c r="Y62" s="677">
        <f t="shared" si="23"/>
        <v>0</v>
      </c>
      <c r="Z62" s="678">
        <f t="shared" si="23"/>
        <v>-27.064787097498538</v>
      </c>
      <c r="AA62" s="680">
        <f t="shared" si="23"/>
        <v>-9.9700943157868096</v>
      </c>
      <c r="AB62" s="768">
        <f t="shared" si="23"/>
        <v>0</v>
      </c>
      <c r="AC62" s="677">
        <f t="shared" si="23"/>
        <v>0</v>
      </c>
      <c r="AD62" s="677">
        <f t="shared" si="23"/>
        <v>-5.0033292701067751</v>
      </c>
      <c r="AE62" s="677">
        <f t="shared" si="23"/>
        <v>0</v>
      </c>
      <c r="AF62" s="677">
        <f t="shared" si="23"/>
        <v>0</v>
      </c>
      <c r="AG62" s="677">
        <f t="shared" si="23"/>
        <v>-4.9667650456800914</v>
      </c>
      <c r="AH62" s="680">
        <f t="shared" si="23"/>
        <v>0</v>
      </c>
      <c r="AI62" s="677">
        <f t="shared" si="23"/>
        <v>0</v>
      </c>
      <c r="AJ62" s="678">
        <f t="shared" si="23"/>
        <v>0</v>
      </c>
      <c r="AK62" s="678">
        <f t="shared" si="23"/>
        <v>9.5552919819401723</v>
      </c>
      <c r="AL62" s="680">
        <f t="shared" si="23"/>
        <v>0</v>
      </c>
      <c r="AM62" s="682">
        <f t="shared" si="10"/>
        <v>-22.892855075257671</v>
      </c>
      <c r="AN62" s="5"/>
      <c r="AO62" s="7"/>
    </row>
    <row r="63" spans="1:41" ht="12.75" customHeight="1">
      <c r="A63" s="769"/>
      <c r="B63" s="769"/>
      <c r="C63" s="769"/>
      <c r="D63" s="769"/>
      <c r="E63" s="769"/>
      <c r="F63" s="769"/>
      <c r="G63" s="769"/>
      <c r="H63" s="769"/>
      <c r="I63" s="769"/>
      <c r="J63" s="769"/>
      <c r="K63" s="769"/>
      <c r="L63" s="769"/>
      <c r="M63" s="769"/>
      <c r="N63" s="769"/>
      <c r="O63" s="769"/>
      <c r="P63" s="769"/>
      <c r="Q63" s="769"/>
      <c r="R63" s="769"/>
      <c r="S63" s="769"/>
      <c r="T63" s="769"/>
      <c r="U63" s="769"/>
      <c r="V63" s="769"/>
      <c r="W63" s="769"/>
      <c r="X63" s="769"/>
      <c r="Y63" s="769"/>
      <c r="Z63" s="769"/>
      <c r="AA63" s="769"/>
      <c r="AB63" s="769"/>
      <c r="AC63" s="769"/>
      <c r="AD63" s="769"/>
      <c r="AE63" s="769"/>
      <c r="AF63" s="769"/>
      <c r="AG63" s="769"/>
      <c r="AH63" s="769"/>
      <c r="AI63" s="769"/>
      <c r="AJ63" s="769"/>
      <c r="AK63" s="769"/>
      <c r="AL63" s="769"/>
      <c r="AM63" s="769"/>
    </row>
    <row r="64" spans="1:41" s="16" customFormat="1" ht="15" customHeight="1">
      <c r="A64" s="658" t="s">
        <v>110</v>
      </c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770"/>
      <c r="M64" s="634"/>
      <c r="N64" s="771"/>
      <c r="O64" s="771"/>
      <c r="P64" s="634"/>
      <c r="Q64" s="634"/>
      <c r="R64" s="634"/>
      <c r="S64" s="634"/>
      <c r="T64" s="634"/>
      <c r="U64" s="634"/>
      <c r="V64" s="626"/>
      <c r="W64" s="771"/>
      <c r="X64" s="634"/>
      <c r="Y64" s="634"/>
      <c r="Z64" s="634"/>
      <c r="AA64" s="634"/>
      <c r="AB64" s="634"/>
      <c r="AC64" s="634"/>
      <c r="AD64" s="634"/>
      <c r="AE64" s="634"/>
      <c r="AF64" s="634"/>
      <c r="AG64" s="634"/>
      <c r="AH64" s="634"/>
      <c r="AI64" s="634"/>
      <c r="AJ64" s="634"/>
      <c r="AK64" s="634"/>
      <c r="AL64" s="634"/>
      <c r="AM64" s="634"/>
      <c r="AO64" s="7"/>
    </row>
    <row r="65" spans="1:39" ht="12.75" customHeight="1">
      <c r="A65" s="772" t="s">
        <v>1192</v>
      </c>
      <c r="B65" s="769"/>
      <c r="C65" s="769"/>
      <c r="D65" s="769"/>
      <c r="E65" s="769"/>
      <c r="F65" s="769"/>
      <c r="G65" s="769"/>
      <c r="H65" s="769"/>
      <c r="I65" s="769"/>
      <c r="J65" s="769"/>
      <c r="K65" s="769"/>
      <c r="L65" s="769"/>
      <c r="M65" s="769"/>
      <c r="N65" s="769"/>
      <c r="O65" s="769"/>
      <c r="P65" s="769"/>
      <c r="Q65" s="769"/>
      <c r="R65" s="769"/>
      <c r="S65" s="769"/>
      <c r="T65" s="769"/>
      <c r="U65" s="769"/>
      <c r="V65" s="769"/>
      <c r="W65" s="769"/>
      <c r="X65" s="769"/>
      <c r="Y65" s="769"/>
      <c r="Z65" s="769"/>
      <c r="AA65" s="769"/>
      <c r="AB65" s="769"/>
      <c r="AC65" s="769"/>
      <c r="AD65" s="769"/>
      <c r="AE65" s="769"/>
      <c r="AF65" s="769"/>
      <c r="AG65" s="769"/>
      <c r="AH65" s="769"/>
      <c r="AI65" s="769"/>
      <c r="AJ65" s="769"/>
      <c r="AK65" s="769"/>
      <c r="AL65" s="769"/>
      <c r="AM65" s="769"/>
    </row>
    <row r="66" spans="1:39" ht="12.75" customHeight="1">
      <c r="A66" s="773" t="s">
        <v>1193</v>
      </c>
      <c r="B66" s="774"/>
      <c r="C66" s="769"/>
      <c r="D66" s="769"/>
      <c r="E66" s="769"/>
      <c r="F66" s="769"/>
      <c r="G66" s="769"/>
      <c r="H66" s="769"/>
      <c r="I66" s="769"/>
      <c r="J66" s="769"/>
      <c r="K66" s="769"/>
      <c r="L66" s="769"/>
      <c r="M66" s="769"/>
      <c r="N66" s="769"/>
      <c r="O66" s="769"/>
      <c r="P66" s="769"/>
      <c r="Q66" s="769"/>
      <c r="R66" s="769"/>
      <c r="S66" s="769"/>
      <c r="T66" s="769"/>
      <c r="U66" s="769"/>
      <c r="V66" s="769"/>
      <c r="W66" s="769"/>
      <c r="X66" s="769"/>
      <c r="Y66" s="769"/>
      <c r="Z66" s="769"/>
      <c r="AA66" s="769"/>
      <c r="AB66" s="769"/>
      <c r="AC66" s="769"/>
      <c r="AD66" s="769"/>
      <c r="AE66" s="769"/>
      <c r="AF66" s="775"/>
      <c r="AG66" s="769"/>
      <c r="AH66" s="769"/>
      <c r="AI66" s="769"/>
      <c r="AJ66" s="769"/>
      <c r="AK66" s="769"/>
      <c r="AL66" s="769"/>
      <c r="AM66" s="769"/>
    </row>
    <row r="67" spans="1:39" ht="12.75" customHeight="1">
      <c r="A67" s="776" t="s">
        <v>1194</v>
      </c>
      <c r="B67" s="772"/>
      <c r="C67" s="769"/>
      <c r="D67" s="769"/>
      <c r="E67" s="769"/>
      <c r="F67" s="769"/>
      <c r="G67" s="769"/>
      <c r="H67" s="769"/>
      <c r="I67" s="769"/>
      <c r="J67" s="769"/>
      <c r="K67" s="769"/>
      <c r="L67" s="769"/>
      <c r="M67" s="769"/>
      <c r="N67" s="769"/>
      <c r="O67" s="769"/>
      <c r="P67" s="769"/>
      <c r="Q67" s="769"/>
      <c r="R67" s="769"/>
      <c r="S67" s="769"/>
      <c r="T67" s="769"/>
      <c r="U67" s="769"/>
      <c r="V67" s="769"/>
      <c r="W67" s="769"/>
      <c r="X67" s="769"/>
      <c r="Y67" s="769"/>
      <c r="Z67" s="769"/>
      <c r="AA67" s="769"/>
      <c r="AB67" s="769"/>
      <c r="AC67" s="769"/>
      <c r="AD67" s="769"/>
      <c r="AE67" s="769"/>
      <c r="AF67" s="769"/>
      <c r="AG67" s="769"/>
      <c r="AH67" s="769"/>
      <c r="AI67" s="769"/>
      <c r="AJ67" s="769"/>
      <c r="AK67" s="769"/>
      <c r="AL67" s="769"/>
      <c r="AM67" s="769"/>
    </row>
    <row r="68" spans="1:39" ht="12.75" customHeight="1">
      <c r="A68" s="777" t="s">
        <v>1195</v>
      </c>
      <c r="B68" s="772"/>
      <c r="C68" s="769"/>
      <c r="D68" s="769"/>
      <c r="E68" s="769"/>
      <c r="F68" s="769"/>
      <c r="G68" s="769"/>
      <c r="H68" s="769"/>
      <c r="I68" s="769"/>
      <c r="J68" s="769"/>
      <c r="K68" s="769"/>
      <c r="L68" s="769"/>
      <c r="M68" s="769"/>
      <c r="N68" s="769"/>
      <c r="O68" s="769"/>
      <c r="P68" s="769"/>
      <c r="Q68" s="769"/>
      <c r="R68" s="769"/>
      <c r="S68" s="769"/>
      <c r="T68" s="769"/>
      <c r="U68" s="769"/>
      <c r="V68" s="769"/>
      <c r="W68" s="769"/>
      <c r="X68" s="769"/>
      <c r="Y68" s="769"/>
      <c r="Z68" s="769"/>
      <c r="AA68" s="769"/>
      <c r="AB68" s="769"/>
      <c r="AC68" s="769"/>
      <c r="AD68" s="769"/>
      <c r="AE68" s="769"/>
      <c r="AF68" s="769"/>
      <c r="AG68" s="769"/>
      <c r="AH68" s="769"/>
      <c r="AI68" s="769"/>
      <c r="AJ68" s="769"/>
      <c r="AK68" s="769"/>
      <c r="AL68" s="769"/>
      <c r="AM68" s="769"/>
    </row>
    <row r="69" spans="1:39" ht="12.75" customHeight="1">
      <c r="A69" s="778" t="s">
        <v>111</v>
      </c>
      <c r="B69" s="779"/>
      <c r="C69" s="779"/>
      <c r="D69" s="779"/>
      <c r="E69" s="17"/>
      <c r="F69" s="780"/>
      <c r="G69" s="780"/>
      <c r="H69" s="781"/>
      <c r="I69" s="780"/>
      <c r="J69" s="780"/>
      <c r="K69" s="780"/>
      <c r="L69" s="781"/>
      <c r="M69" s="780"/>
      <c r="N69" s="780"/>
      <c r="O69" s="780"/>
      <c r="P69" s="780"/>
      <c r="Q69" s="780"/>
      <c r="R69" s="782"/>
      <c r="S69" s="513"/>
      <c r="T69" s="782"/>
      <c r="U69" s="782"/>
      <c r="V69" s="780"/>
      <c r="W69" s="780"/>
      <c r="X69" s="780"/>
      <c r="Y69" s="780"/>
      <c r="Z69" s="781"/>
      <c r="AA69" s="783"/>
      <c r="AB69" s="780"/>
      <c r="AC69" s="780"/>
      <c r="AD69" s="780"/>
      <c r="AE69" s="780"/>
      <c r="AF69" s="780"/>
      <c r="AG69" s="780"/>
      <c r="AH69" s="780"/>
      <c r="AI69" s="780"/>
      <c r="AJ69" s="780"/>
      <c r="AK69" s="781"/>
      <c r="AL69" s="783"/>
      <c r="AM69" s="780"/>
    </row>
    <row r="70" spans="1:39" ht="12.75" customHeight="1">
      <c r="A70" s="778" t="s">
        <v>112</v>
      </c>
      <c r="B70" s="779"/>
      <c r="C70" s="779"/>
      <c r="D70" s="779"/>
      <c r="E70" s="17"/>
      <c r="F70" s="780"/>
      <c r="G70" s="780"/>
      <c r="H70" s="781"/>
      <c r="I70" s="780"/>
      <c r="J70" s="780"/>
      <c r="K70" s="780"/>
      <c r="L70" s="781"/>
      <c r="M70" s="780"/>
      <c r="N70" s="780"/>
      <c r="O70" s="780"/>
      <c r="P70" s="780"/>
      <c r="Q70" s="780"/>
      <c r="R70" s="782"/>
      <c r="S70" s="513"/>
      <c r="T70" s="782"/>
      <c r="U70" s="782"/>
      <c r="V70" s="780"/>
      <c r="W70" s="780"/>
      <c r="X70" s="780"/>
      <c r="Y70" s="780"/>
      <c r="Z70" s="781"/>
      <c r="AA70" s="783"/>
      <c r="AB70" s="780"/>
      <c r="AC70" s="780"/>
      <c r="AD70" s="780"/>
      <c r="AE70" s="780"/>
      <c r="AF70" s="780"/>
      <c r="AG70" s="780"/>
      <c r="AH70" s="780"/>
      <c r="AI70" s="780"/>
      <c r="AJ70" s="780"/>
      <c r="AK70" s="781"/>
      <c r="AL70" s="783"/>
      <c r="AM70" s="780"/>
    </row>
  </sheetData>
  <pageMargins left="0.19685039370078741" right="0.19685039370078741" top="0.59055118110236227" bottom="0.78740157480314965" header="0.31496062992125984" footer="0.19685039370078741"/>
  <pageSetup paperSize="9" scale="45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T86"/>
  <sheetViews>
    <sheetView zoomScaleNormal="100" workbookViewId="0">
      <selection activeCell="K46" sqref="K46"/>
    </sheetView>
  </sheetViews>
  <sheetFormatPr defaultColWidth="9.140625" defaultRowHeight="12.75"/>
  <cols>
    <col min="1" max="1" width="17" style="25" customWidth="1"/>
    <col min="2" max="2" width="9.140625" style="25"/>
    <col min="3" max="3" width="33.42578125" style="25" bestFit="1" customWidth="1"/>
    <col min="4" max="4" width="24.85546875" style="25" bestFit="1" customWidth="1"/>
    <col min="5" max="11" width="9.140625" style="25"/>
    <col min="12" max="12" width="12.140625" style="25" customWidth="1"/>
    <col min="13" max="13" width="9.140625" style="25"/>
    <col min="14" max="14" width="24.5703125" style="25" bestFit="1" customWidth="1"/>
    <col min="15" max="15" width="9.140625" style="25"/>
    <col min="16" max="16" width="11.5703125" style="25" customWidth="1"/>
    <col min="17" max="16384" width="9.140625" style="25"/>
  </cols>
  <sheetData>
    <row r="1" spans="1:20" ht="18.75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IND_Bal!$B$116</f>
        <v>IPH</v>
      </c>
      <c r="B4" s="158">
        <v>0.2</v>
      </c>
      <c r="C4" s="49" t="str">
        <f>IND_Bal!$A$116</f>
        <v>High Quality Paper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IND_Bal!$B$117</f>
        <v>IPL</v>
      </c>
      <c r="B5" s="158"/>
      <c r="C5" s="49" t="str">
        <f>IND_Bal!$A$117</f>
        <v>Low Quality Paper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" si="0">SUM(D5:S5)</f>
        <v>0</v>
      </c>
    </row>
    <row r="6" spans="1:20">
      <c r="A6" s="86" t="s">
        <v>673</v>
      </c>
      <c r="B6" s="158"/>
      <c r="C6" s="49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ref="T6" si="1">SUM(D6:S6)</f>
        <v>0</v>
      </c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70"/>
      <c r="R8" s="470"/>
      <c r="S8" s="470"/>
      <c r="T8" s="470"/>
    </row>
    <row r="9" spans="1:20">
      <c r="A9" s="26"/>
      <c r="B9" s="26"/>
      <c r="C9" s="26"/>
      <c r="D9" s="26"/>
      <c r="E9" s="26"/>
      <c r="F9" s="159" t="s">
        <v>1100</v>
      </c>
      <c r="G9" s="159"/>
      <c r="H9" s="159"/>
      <c r="I9" s="26"/>
      <c r="J9" s="160" t="s">
        <v>1101</v>
      </c>
      <c r="K9" s="161"/>
      <c r="L9" s="161"/>
      <c r="M9" s="26"/>
      <c r="N9" s="26"/>
      <c r="O9" s="26"/>
      <c r="P9" s="26"/>
      <c r="Q9" s="470"/>
      <c r="R9" s="470"/>
      <c r="S9" s="470"/>
      <c r="T9" s="470"/>
    </row>
    <row r="10" spans="1:20" ht="18.75">
      <c r="A10" s="103" t="s">
        <v>1144</v>
      </c>
      <c r="B10" s="43"/>
      <c r="C10" s="43"/>
      <c r="D10" s="26"/>
      <c r="E10" s="26"/>
      <c r="F10" s="103" t="s">
        <v>1103</v>
      </c>
      <c r="G10" s="69"/>
      <c r="H10" s="69"/>
      <c r="I10" s="26"/>
      <c r="J10" s="103" t="s">
        <v>1103</v>
      </c>
      <c r="K10" s="69"/>
      <c r="L10" s="69"/>
      <c r="M10" s="26"/>
      <c r="N10" s="103" t="s">
        <v>1104</v>
      </c>
      <c r="O10" s="69"/>
      <c r="P10" s="69"/>
      <c r="Q10" s="470"/>
      <c r="R10" s="470"/>
      <c r="S10" s="470"/>
      <c r="T10" s="470"/>
    </row>
    <row r="11" spans="1:20" ht="13.5" thickBot="1">
      <c r="A11" s="86"/>
      <c r="B11" s="98"/>
      <c r="C11" s="49" t="str">
        <f>C57</f>
        <v>IPP.Mechanical Pulp Production.00.</v>
      </c>
      <c r="D11" s="167"/>
      <c r="E11" s="26"/>
      <c r="F11" s="163"/>
      <c r="G11" s="84" t="s">
        <v>1106</v>
      </c>
      <c r="H11" s="84" t="s">
        <v>1107</v>
      </c>
      <c r="I11" s="26"/>
      <c r="J11" s="163"/>
      <c r="K11" s="84" t="s">
        <v>1106</v>
      </c>
      <c r="L11" s="84" t="s">
        <v>1107</v>
      </c>
      <c r="M11" s="26"/>
      <c r="N11" s="163"/>
      <c r="O11" s="84" t="s">
        <v>1106</v>
      </c>
      <c r="P11" s="84" t="s">
        <v>1107</v>
      </c>
      <c r="Q11" s="470"/>
      <c r="R11" s="470"/>
      <c r="S11" s="470"/>
      <c r="T11" s="470"/>
    </row>
    <row r="12" spans="1:20">
      <c r="A12" s="49"/>
      <c r="B12" s="98"/>
      <c r="C12" s="49" t="str">
        <f>C64</f>
        <v>IPP.Chemical Pulp Production.00.</v>
      </c>
      <c r="D12" s="167"/>
      <c r="E12" s="26"/>
      <c r="F12" s="96" t="str">
        <f>IND_Commodities!$C$5</f>
        <v>INDCOA</v>
      </c>
      <c r="G12" s="97">
        <f>IND_Bal!C$41</f>
        <v>0</v>
      </c>
      <c r="H12" s="168"/>
      <c r="I12" s="26"/>
      <c r="J12" s="96" t="str">
        <f>IND_Commodities!$C$5</f>
        <v>INDCOA</v>
      </c>
      <c r="K12" s="97"/>
      <c r="L12" s="168"/>
      <c r="M12" s="64">
        <f>G12-K12</f>
        <v>0</v>
      </c>
      <c r="N12" s="96" t="str">
        <f>IND_Commodities!$C$65</f>
        <v>MPPWOO</v>
      </c>
      <c r="O12" s="97">
        <f>(F57*H57)+(F64*H64)</f>
        <v>0</v>
      </c>
      <c r="P12" s="97"/>
      <c r="Q12" s="470"/>
      <c r="R12" s="470"/>
      <c r="S12" s="470"/>
      <c r="T12" s="470"/>
    </row>
    <row r="13" spans="1:20">
      <c r="A13" s="49"/>
      <c r="B13" s="98"/>
      <c r="C13" s="49" t="str">
        <f>C74</f>
        <v>IPP.Recycling Pulp Production.00.</v>
      </c>
      <c r="D13" s="162">
        <v>1</v>
      </c>
      <c r="E13" s="26"/>
      <c r="F13" s="96" t="str">
        <f>IND_Commodities!$C$6</f>
        <v>INDPEA</v>
      </c>
      <c r="G13" s="97">
        <f>IND_Bal!D$41</f>
        <v>0</v>
      </c>
      <c r="H13" s="168"/>
      <c r="I13" s="26"/>
      <c r="J13" s="96" t="str">
        <f>IND_Commodities!$C$6</f>
        <v>INDPEA</v>
      </c>
      <c r="K13" s="97"/>
      <c r="L13" s="168"/>
      <c r="M13" s="64">
        <f t="shared" ref="M13:M18" si="2">G13-K13</f>
        <v>0</v>
      </c>
      <c r="N13" s="96" t="str">
        <f>IND_Commodities!$C$66</f>
        <v>MPPRYC</v>
      </c>
      <c r="O13" s="97">
        <f>(F74*H74)+(F42*H41)</f>
        <v>0.2346</v>
      </c>
      <c r="P13" s="97"/>
      <c r="Q13" s="470"/>
      <c r="R13" s="470"/>
      <c r="S13" s="470"/>
      <c r="T13" s="470"/>
    </row>
    <row r="14" spans="1:20">
      <c r="A14" s="170"/>
      <c r="B14" s="49"/>
      <c r="C14" s="49"/>
      <c r="D14" s="200">
        <f>IF(SUM(D11:D13)&lt;&gt;1,"ERR: " &amp; SUM(D11:D13),SUM(D11:D13))</f>
        <v>1</v>
      </c>
      <c r="E14" s="26"/>
      <c r="F14" s="96" t="str">
        <f>IND_Commodities!$C$7</f>
        <v>INDCOH</v>
      </c>
      <c r="G14" s="97">
        <f>IND_Bal!E$41</f>
        <v>0</v>
      </c>
      <c r="H14" s="168"/>
      <c r="I14" s="26"/>
      <c r="J14" s="96" t="str">
        <f>IND_Commodities!$C$7</f>
        <v>INDCOH</v>
      </c>
      <c r="K14" s="97"/>
      <c r="L14" s="168"/>
      <c r="M14" s="64">
        <f t="shared" si="2"/>
        <v>0</v>
      </c>
      <c r="N14" s="96" t="str">
        <f>IND_Commodities!$C$67</f>
        <v>MPPNOH</v>
      </c>
      <c r="O14" s="97">
        <f>(F65*H64)</f>
        <v>0</v>
      </c>
      <c r="P14" s="97"/>
      <c r="Q14" s="470"/>
      <c r="R14" s="470"/>
      <c r="S14" s="470"/>
      <c r="T14" s="470"/>
    </row>
    <row r="15" spans="1:20">
      <c r="A15" s="26"/>
      <c r="B15" s="26"/>
      <c r="C15" s="26"/>
      <c r="D15" s="26"/>
      <c r="E15" s="26"/>
      <c r="F15" s="96" t="str">
        <f>IND_Commodities!$C$10</f>
        <v>INDLPG</v>
      </c>
      <c r="G15" s="97">
        <f>IND_Bal!H$41</f>
        <v>1.1621657005316479E-2</v>
      </c>
      <c r="H15" s="168"/>
      <c r="I15" s="26"/>
      <c r="J15" s="96" t="str">
        <f>IND_Commodities!$C$10</f>
        <v>INDLPG</v>
      </c>
      <c r="K15" s="97">
        <f>F46*H41</f>
        <v>0</v>
      </c>
      <c r="L15" s="97"/>
      <c r="M15" s="64">
        <f t="shared" si="2"/>
        <v>1.1621657005316479E-2</v>
      </c>
      <c r="N15" s="96" t="str">
        <f>IND_Commodities!$C$68</f>
        <v>MPPOXY</v>
      </c>
      <c r="O15" s="97">
        <f>(F66*H64)</f>
        <v>0</v>
      </c>
      <c r="P15" s="97"/>
      <c r="Q15" s="470"/>
      <c r="R15" s="470"/>
      <c r="S15" s="470"/>
      <c r="T15" s="470"/>
    </row>
    <row r="16" spans="1:20" ht="18.75">
      <c r="A16" s="103" t="s">
        <v>1145</v>
      </c>
      <c r="B16" s="43"/>
      <c r="C16" s="43"/>
      <c r="D16" s="26"/>
      <c r="E16" s="26"/>
      <c r="F16" s="96" t="str">
        <f>IND_Commodities!$C$11</f>
        <v>INDLFO</v>
      </c>
      <c r="G16" s="97">
        <f>IND_Bal!I$41</f>
        <v>9.79065672786011E-2</v>
      </c>
      <c r="H16" s="168"/>
      <c r="I16" s="26"/>
      <c r="J16" s="96" t="str">
        <f>IND_Commodities!$C$11</f>
        <v>INDLFO</v>
      </c>
      <c r="K16" s="97"/>
      <c r="L16" s="97"/>
      <c r="M16" s="64">
        <f t="shared" si="2"/>
        <v>9.79065672786011E-2</v>
      </c>
      <c r="N16" s="96" t="str">
        <f>IND_Commodities!$C$69</f>
        <v>MPPPUP</v>
      </c>
      <c r="O16" s="97">
        <f>(F30*H30)+(F41*H41)</f>
        <v>0.20400000000000001</v>
      </c>
      <c r="P16" s="97">
        <f>(G60*H57)+(G70*H64)+(G77*H74)</f>
        <v>0.20400000000000001</v>
      </c>
      <c r="Q16" s="470"/>
      <c r="R16" s="470"/>
      <c r="S16" s="470"/>
      <c r="T16" s="470"/>
    </row>
    <row r="17" spans="1:16">
      <c r="A17" s="86"/>
      <c r="B17" s="98"/>
      <c r="C17" s="49" t="str">
        <f>C84</f>
        <v>IPP.Generic fuel kiln.HFO</v>
      </c>
      <c r="D17" s="204">
        <v>0</v>
      </c>
      <c r="E17" s="26"/>
      <c r="F17" s="96" t="str">
        <f>IND_Commodities!$C$13</f>
        <v>INDHFO</v>
      </c>
      <c r="G17" s="97">
        <f>IND_Bal!K$41</f>
        <v>1.2588963150012388E-2</v>
      </c>
      <c r="H17" s="168"/>
      <c r="I17" s="26"/>
      <c r="J17" s="96" t="str">
        <f>IND_Commodities!$C$13</f>
        <v>INDHFO</v>
      </c>
      <c r="K17" s="97">
        <f>H84*I84/F84</f>
        <v>0</v>
      </c>
      <c r="L17" s="97"/>
      <c r="M17" s="64">
        <f t="shared" si="2"/>
        <v>1.2588963150012388E-2</v>
      </c>
      <c r="N17" s="96" t="str">
        <f>IND_Commodities!$C$70</f>
        <v>INDBLQ</v>
      </c>
      <c r="O17" s="97"/>
      <c r="P17" s="97">
        <f>(G71*H64)</f>
        <v>0</v>
      </c>
    </row>
    <row r="18" spans="1:16">
      <c r="A18" s="49"/>
      <c r="B18" s="98"/>
      <c r="C18" s="49" t="str">
        <f>C85</f>
        <v>IPP.Generic fuel kiln.GAS</v>
      </c>
      <c r="D18" s="204">
        <v>0</v>
      </c>
      <c r="E18" s="26"/>
      <c r="F18" s="96" t="str">
        <f>IND_Commodities!$C$15</f>
        <v>INDGAS</v>
      </c>
      <c r="G18" s="97">
        <f>IND_Bal!M$41</f>
        <v>0.14976218670025493</v>
      </c>
      <c r="H18" s="168"/>
      <c r="I18" s="26"/>
      <c r="J18" s="96" t="str">
        <f>IND_Commodities!$C$15</f>
        <v>INDGAS</v>
      </c>
      <c r="K18" s="97">
        <f>(F58*H57)+F45*H41+H85*I85/F85</f>
        <v>0</v>
      </c>
      <c r="L18" s="97"/>
      <c r="M18" s="64">
        <f t="shared" si="2"/>
        <v>0.14976218670025493</v>
      </c>
      <c r="N18" s="96" t="str">
        <f>IND_Commodities!$C$71</f>
        <v>MPPKAO</v>
      </c>
      <c r="O18" s="97">
        <f>(F43*H41)</f>
        <v>0</v>
      </c>
      <c r="P18" s="97"/>
    </row>
    <row r="19" spans="1:16">
      <c r="A19" s="49"/>
      <c r="B19" s="98"/>
      <c r="C19" s="49" t="str">
        <f>C86</f>
        <v>IPP.Generic fuel kiln.BIO</v>
      </c>
      <c r="D19" s="204">
        <v>0</v>
      </c>
      <c r="E19" s="26"/>
      <c r="F19" s="96" t="str">
        <f>IND_Commodities!$C$20</f>
        <v>INDBIO</v>
      </c>
      <c r="G19" s="97">
        <f>IND_Bal!R$41</f>
        <v>0</v>
      </c>
      <c r="H19" s="168"/>
      <c r="I19" s="26"/>
      <c r="J19" s="96" t="str">
        <f>IND_Commodities!$C$20</f>
        <v>INDBIO</v>
      </c>
      <c r="K19" s="97">
        <f>H86*I86/F86</f>
        <v>0</v>
      </c>
      <c r="L19" s="97">
        <f>(G61*H57)+(G72*H64)</f>
        <v>0</v>
      </c>
      <c r="M19" s="64">
        <f>G19-K19+L19</f>
        <v>0</v>
      </c>
      <c r="N19" s="96" t="str">
        <f>IND_Commodities!$C$72</f>
        <v>MPPGYP</v>
      </c>
      <c r="O19" s="97">
        <f>(F44*H41)</f>
        <v>0</v>
      </c>
      <c r="P19" s="97"/>
    </row>
    <row r="20" spans="1:16">
      <c r="A20" s="113"/>
      <c r="B20" s="26"/>
      <c r="C20" s="470"/>
      <c r="D20" s="200" t="str">
        <f>IF(SUM(D17:D19)&lt;&gt;1,"ERR: " &amp; SUM(D17:D19),SUM(D17:D19))</f>
        <v>ERR: 0</v>
      </c>
      <c r="E20" s="26"/>
      <c r="F20" s="96" t="str">
        <f>IND_Commodities!$C$25</f>
        <v>INDELC</v>
      </c>
      <c r="G20" s="97">
        <f>IND_Bal!U$41</f>
        <v>0.92156641923803218</v>
      </c>
      <c r="H20" s="168"/>
      <c r="I20" s="26"/>
      <c r="J20" s="96" t="str">
        <f>IND_Commodities!$C$25</f>
        <v>INDELC</v>
      </c>
      <c r="K20" s="97">
        <f>(F31*H30)+(F47*H41)+(F59*H57)+(F68*H64)+(F75*H74)</f>
        <v>0.76680000000000004</v>
      </c>
      <c r="L20" s="97"/>
      <c r="M20" s="64">
        <f>G20-K20</f>
        <v>0.15476641923803214</v>
      </c>
      <c r="N20" s="86" t="str">
        <f>IND_Commodities!$C$96</f>
        <v>IPH</v>
      </c>
      <c r="O20" s="97"/>
      <c r="P20" s="97">
        <f>(G49*H41)</f>
        <v>0</v>
      </c>
    </row>
    <row r="21" spans="1:16">
      <c r="A21" s="26"/>
      <c r="B21" s="26"/>
      <c r="C21" s="26"/>
      <c r="D21" s="470"/>
      <c r="E21" s="26"/>
      <c r="F21" s="96" t="s">
        <v>1126</v>
      </c>
      <c r="G21" s="97">
        <f>IND_Bal!V$41</f>
        <v>0</v>
      </c>
      <c r="H21" s="169"/>
      <c r="I21" s="26"/>
      <c r="J21" s="96" t="s">
        <v>1126</v>
      </c>
      <c r="K21" s="97">
        <f>(F32*H30)+(F48*H41)+(F69*H64)+(F76*H74)</f>
        <v>0</v>
      </c>
      <c r="L21" s="97">
        <f>(G62*H57)</f>
        <v>0</v>
      </c>
      <c r="M21" s="64">
        <f>G21-K21+CHP!F48+CHP!F60+L21</f>
        <v>0.2446914367207664</v>
      </c>
      <c r="N21" s="86" t="str">
        <f>IND_Commodities!$C$97</f>
        <v>IPL</v>
      </c>
      <c r="O21" s="97"/>
      <c r="P21" s="97">
        <f>(G33*H30)</f>
        <v>0.2</v>
      </c>
    </row>
    <row r="22" spans="1:16">
      <c r="A22" s="26"/>
      <c r="B22" s="26"/>
      <c r="C22" s="26"/>
      <c r="D22" s="26"/>
      <c r="E22" s="26"/>
      <c r="F22" s="26"/>
      <c r="G22" s="173">
        <f>SUM(G12:G21)</f>
        <v>1.1934457933722171</v>
      </c>
      <c r="H22" s="173">
        <f>SUM(H12:H21)</f>
        <v>0</v>
      </c>
      <c r="I22" s="26"/>
      <c r="J22" s="26"/>
      <c r="K22" s="173">
        <f>SUM(K12:K21)</f>
        <v>0.76680000000000004</v>
      </c>
      <c r="L22" s="173">
        <f>SUM(L12:L21)</f>
        <v>0</v>
      </c>
      <c r="M22" s="26"/>
      <c r="N22" s="26"/>
      <c r="O22" s="173">
        <f>SUM(O12:O21)</f>
        <v>0.43859999999999999</v>
      </c>
      <c r="P22" s="173">
        <f>SUM(P12:P21)</f>
        <v>0.40400000000000003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73"/>
      <c r="P23" s="173"/>
    </row>
    <row r="24" spans="1:16">
      <c r="A24" s="26"/>
      <c r="B24" s="26"/>
      <c r="C24" s="26"/>
      <c r="D24" s="26"/>
      <c r="E24" s="26"/>
      <c r="F24" s="26"/>
      <c r="G24" s="205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26"/>
      <c r="E25" s="40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ht="18.75">
      <c r="A27" s="27" t="s">
        <v>1146</v>
      </c>
      <c r="B27" s="43"/>
      <c r="C27" s="43"/>
      <c r="D27" s="43"/>
      <c r="E27" s="40" t="str">
        <f>IF($B$4+$B$5="","DeAct","~FI_T")</f>
        <v>~FI_T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>
      <c r="A28" s="89" t="s">
        <v>1110</v>
      </c>
      <c r="B28" s="89" t="s">
        <v>318</v>
      </c>
      <c r="C28" s="89" t="s">
        <v>327</v>
      </c>
      <c r="D28" s="89" t="s">
        <v>718</v>
      </c>
      <c r="E28" s="89" t="s">
        <v>719</v>
      </c>
      <c r="F28" s="90" t="s">
        <v>1111</v>
      </c>
      <c r="G28" s="90" t="s">
        <v>1112</v>
      </c>
      <c r="H28" s="90" t="s">
        <v>801</v>
      </c>
      <c r="I28" s="90" t="s">
        <v>727</v>
      </c>
      <c r="J28" s="90" t="s">
        <v>725</v>
      </c>
      <c r="K28" s="90" t="s">
        <v>724</v>
      </c>
      <c r="L28" s="26"/>
      <c r="M28" s="26"/>
      <c r="N28" s="26"/>
      <c r="O28" s="26"/>
      <c r="P28" s="26"/>
    </row>
    <row r="29" spans="1:16" ht="13.5" thickBot="1">
      <c r="A29" s="177" t="s">
        <v>1113</v>
      </c>
      <c r="B29" s="75"/>
      <c r="C29" s="75"/>
      <c r="D29" s="75"/>
      <c r="E29" s="75"/>
      <c r="F29" s="75"/>
      <c r="G29" s="75"/>
      <c r="H29" s="164" t="s">
        <v>339</v>
      </c>
      <c r="I29" s="178" t="s">
        <v>1055</v>
      </c>
      <c r="J29" s="179" t="s">
        <v>1114</v>
      </c>
      <c r="K29" s="179"/>
      <c r="L29" s="26"/>
      <c r="M29" s="26" t="s">
        <v>1147</v>
      </c>
      <c r="N29" s="26"/>
      <c r="O29" s="26"/>
      <c r="P29" s="26"/>
    </row>
    <row r="30" spans="1:16">
      <c r="A30" s="49" t="s">
        <v>1148</v>
      </c>
      <c r="B30" s="206" t="s">
        <v>661</v>
      </c>
      <c r="C30" s="190" t="s">
        <v>662</v>
      </c>
      <c r="D30" s="96" t="str">
        <f>IND_Commodities!$C$69</f>
        <v>MPPPUP</v>
      </c>
      <c r="E30" s="96"/>
      <c r="F30" s="111">
        <v>1.02</v>
      </c>
      <c r="G30" s="49"/>
      <c r="H30" s="207">
        <f>B4</f>
        <v>0.2</v>
      </c>
      <c r="I30" s="51">
        <v>30</v>
      </c>
      <c r="J30" s="51"/>
      <c r="K30" s="51"/>
      <c r="L30" s="26"/>
      <c r="M30" s="197">
        <v>1.02</v>
      </c>
      <c r="N30" s="26"/>
      <c r="O30" s="26"/>
      <c r="P30" s="26"/>
    </row>
    <row r="31" spans="1:16">
      <c r="A31" s="49"/>
      <c r="B31" s="49"/>
      <c r="C31" s="49"/>
      <c r="D31" s="96" t="str">
        <f>IND_Commodities!$C$25</f>
        <v>INDELC</v>
      </c>
      <c r="E31" s="49"/>
      <c r="F31" s="208">
        <v>2.1</v>
      </c>
      <c r="G31" s="49"/>
      <c r="H31" s="49"/>
      <c r="I31" s="49"/>
      <c r="J31" s="49"/>
      <c r="K31" s="49"/>
      <c r="L31" s="26"/>
      <c r="M31" s="197">
        <v>2.8</v>
      </c>
      <c r="N31" s="26"/>
      <c r="O31" s="26"/>
      <c r="P31" s="26"/>
    </row>
    <row r="32" spans="1:16">
      <c r="A32" s="49"/>
      <c r="B32" s="49"/>
      <c r="C32" s="49"/>
      <c r="D32" s="96" t="str">
        <f>IND_Commodities!$C$40</f>
        <v>IPPHTH</v>
      </c>
      <c r="E32" s="49"/>
      <c r="F32" s="208"/>
      <c r="G32" s="49"/>
      <c r="H32" s="49"/>
      <c r="I32" s="49"/>
      <c r="J32" s="49"/>
      <c r="K32" s="49"/>
      <c r="L32" s="26"/>
      <c r="M32" s="197">
        <v>3.1</v>
      </c>
      <c r="N32" s="26"/>
      <c r="O32" s="26"/>
      <c r="P32" s="26"/>
    </row>
    <row r="33" spans="1:16">
      <c r="A33" s="49"/>
      <c r="B33" s="49"/>
      <c r="C33" s="49"/>
      <c r="D33" s="96"/>
      <c r="E33" s="209" t="s">
        <v>975</v>
      </c>
      <c r="F33" s="49"/>
      <c r="G33" s="49">
        <v>1</v>
      </c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170" t="s">
        <v>202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8.75">
      <c r="A38" s="103" t="s">
        <v>1149</v>
      </c>
      <c r="B38" s="43"/>
      <c r="C38" s="43"/>
      <c r="D38" s="43"/>
      <c r="E38" s="40" t="str">
        <f>IF($B$4+$B$5="","DeAct","~FI_T")</f>
        <v>~FI_T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>
      <c r="A39" s="89" t="s">
        <v>1110</v>
      </c>
      <c r="B39" s="89" t="s">
        <v>318</v>
      </c>
      <c r="C39" s="89" t="s">
        <v>327</v>
      </c>
      <c r="D39" s="89" t="s">
        <v>718</v>
      </c>
      <c r="E39" s="89" t="s">
        <v>719</v>
      </c>
      <c r="F39" s="90" t="s">
        <v>1111</v>
      </c>
      <c r="G39" s="90" t="s">
        <v>1112</v>
      </c>
      <c r="H39" s="90" t="s">
        <v>801</v>
      </c>
      <c r="I39" s="90" t="s">
        <v>727</v>
      </c>
      <c r="J39" s="90" t="s">
        <v>725</v>
      </c>
      <c r="K39" s="90" t="s">
        <v>724</v>
      </c>
      <c r="L39" s="26"/>
      <c r="M39" s="26"/>
      <c r="N39" s="26"/>
      <c r="O39" s="26"/>
      <c r="P39" s="26"/>
    </row>
    <row r="40" spans="1:16" ht="13.5" thickBot="1">
      <c r="A40" s="177" t="s">
        <v>1113</v>
      </c>
      <c r="B40" s="75"/>
      <c r="C40" s="75"/>
      <c r="D40" s="75"/>
      <c r="E40" s="75"/>
      <c r="F40" s="75"/>
      <c r="G40" s="75"/>
      <c r="H40" s="164" t="s">
        <v>339</v>
      </c>
      <c r="I40" s="178" t="s">
        <v>1055</v>
      </c>
      <c r="J40" s="179" t="s">
        <v>1114</v>
      </c>
      <c r="K40" s="179"/>
      <c r="L40" s="26"/>
      <c r="M40" s="26"/>
      <c r="N40" s="26"/>
      <c r="O40" s="26"/>
      <c r="P40" s="26"/>
    </row>
    <row r="41" spans="1:16">
      <c r="A41" s="49" t="s">
        <v>1148</v>
      </c>
      <c r="B41" s="206" t="s">
        <v>669</v>
      </c>
      <c r="C41" s="190" t="s">
        <v>670</v>
      </c>
      <c r="D41" s="96" t="str">
        <f>IND_Commodities!$C$69</f>
        <v>MPPPUP</v>
      </c>
      <c r="E41" s="96"/>
      <c r="F41" s="51">
        <v>0.68</v>
      </c>
      <c r="G41" s="49"/>
      <c r="H41" s="207">
        <f>B5</f>
        <v>0</v>
      </c>
      <c r="I41" s="51">
        <v>30</v>
      </c>
      <c r="J41" s="51"/>
      <c r="K41" s="51"/>
      <c r="L41" s="26"/>
      <c r="M41" s="26"/>
      <c r="N41" s="26"/>
      <c r="O41" s="26"/>
      <c r="P41" s="26"/>
    </row>
    <row r="42" spans="1:16">
      <c r="A42" s="49"/>
      <c r="B42" s="49"/>
      <c r="C42" s="49"/>
      <c r="D42" s="96" t="str">
        <f>IND_Commodities!$C$66</f>
        <v>MPPRYC</v>
      </c>
      <c r="E42" s="96"/>
      <c r="F42" s="51">
        <v>0.09</v>
      </c>
      <c r="G42" s="49"/>
      <c r="H42" s="183"/>
      <c r="I42" s="49"/>
      <c r="J42" s="49"/>
      <c r="K42" s="49"/>
      <c r="L42" s="26"/>
      <c r="M42" s="26"/>
      <c r="N42" s="26"/>
      <c r="O42" s="26"/>
      <c r="P42" s="26"/>
    </row>
    <row r="43" spans="1:16">
      <c r="A43" s="49"/>
      <c r="B43" s="49"/>
      <c r="C43" s="49"/>
      <c r="D43" s="96" t="str">
        <f>IND_Commodities!$C$71</f>
        <v>MPPKAO</v>
      </c>
      <c r="E43" s="96"/>
      <c r="F43" s="51">
        <v>0.05</v>
      </c>
      <c r="G43" s="49"/>
      <c r="H43" s="183"/>
      <c r="I43" s="49"/>
      <c r="J43" s="49"/>
      <c r="K43" s="49"/>
      <c r="L43" s="26"/>
      <c r="M43" s="26"/>
      <c r="N43" s="26"/>
      <c r="O43" s="26"/>
      <c r="P43" s="26"/>
    </row>
    <row r="44" spans="1:16">
      <c r="A44" s="49"/>
      <c r="B44" s="49"/>
      <c r="C44" s="49"/>
      <c r="D44" s="96" t="str">
        <f>IND_Commodities!$C$72</f>
        <v>MPPGYP</v>
      </c>
      <c r="E44" s="96"/>
      <c r="F44" s="51">
        <v>0.22</v>
      </c>
      <c r="G44" s="49"/>
      <c r="H44" s="183"/>
      <c r="I44" s="49"/>
      <c r="J44" s="49"/>
      <c r="K44" s="49"/>
      <c r="L44" s="26"/>
      <c r="M44" s="26"/>
      <c r="N44" s="26"/>
      <c r="O44" s="26"/>
      <c r="P44" s="26"/>
    </row>
    <row r="45" spans="1:16">
      <c r="A45" s="49"/>
      <c r="B45" s="49"/>
      <c r="C45" s="49"/>
      <c r="D45" s="96" t="str">
        <f>IND_Commodities!$C$15</f>
        <v>INDGAS</v>
      </c>
      <c r="E45" s="96"/>
      <c r="F45" s="51">
        <v>0.28999999999999998</v>
      </c>
      <c r="G45" s="49"/>
      <c r="H45" s="183"/>
      <c r="I45" s="49"/>
      <c r="J45" s="49"/>
      <c r="K45" s="49"/>
      <c r="L45" s="26"/>
      <c r="M45" s="26"/>
      <c r="N45" s="26"/>
      <c r="O45" s="26"/>
      <c r="P45" s="26"/>
    </row>
    <row r="46" spans="1:16">
      <c r="A46" s="49"/>
      <c r="B46" s="49"/>
      <c r="C46" s="49"/>
      <c r="D46" s="96" t="str">
        <f>IND_Commodities!$C$10</f>
        <v>INDLPG</v>
      </c>
      <c r="E46" s="96"/>
      <c r="F46" s="210">
        <v>0.14799999999999999</v>
      </c>
      <c r="G46" s="49"/>
      <c r="H46" s="183"/>
      <c r="I46" s="49"/>
      <c r="J46" s="49"/>
      <c r="K46" s="49"/>
      <c r="L46" s="26"/>
      <c r="M46" s="26"/>
      <c r="N46" s="26"/>
      <c r="O46" s="26"/>
      <c r="P46" s="26"/>
    </row>
    <row r="47" spans="1:16">
      <c r="A47" s="49"/>
      <c r="B47" s="49"/>
      <c r="C47" s="49"/>
      <c r="D47" s="96" t="str">
        <f>IND_Commodities!$C$25</f>
        <v>INDELC</v>
      </c>
      <c r="E47" s="49"/>
      <c r="F47" s="210">
        <v>2</v>
      </c>
      <c r="G47" s="49"/>
      <c r="H47" s="49"/>
      <c r="I47" s="49"/>
      <c r="J47" s="49"/>
      <c r="K47" s="49"/>
      <c r="L47" s="26"/>
      <c r="M47" s="26"/>
      <c r="N47" s="26"/>
      <c r="O47" s="26"/>
      <c r="P47" s="26"/>
    </row>
    <row r="48" spans="1:16">
      <c r="A48" s="49"/>
      <c r="B48" s="49"/>
      <c r="C48" s="49"/>
      <c r="D48" s="96" t="str">
        <f>IND_Commodities!$C$40</f>
        <v>IPPHTH</v>
      </c>
      <c r="E48" s="49"/>
      <c r="F48" s="210">
        <v>7</v>
      </c>
      <c r="G48" s="49"/>
      <c r="H48" s="49"/>
      <c r="I48" s="49"/>
      <c r="J48" s="49"/>
      <c r="K48" s="49"/>
      <c r="L48" s="26"/>
      <c r="M48" s="26"/>
      <c r="N48" s="26"/>
      <c r="O48" s="26"/>
      <c r="P48" s="26"/>
    </row>
    <row r="49" spans="1:16">
      <c r="A49" s="49"/>
      <c r="B49" s="49"/>
      <c r="C49" s="49"/>
      <c r="D49" s="96"/>
      <c r="E49" s="209" t="s">
        <v>977</v>
      </c>
      <c r="F49" s="49"/>
      <c r="G49" s="49">
        <v>1</v>
      </c>
      <c r="H49" s="49"/>
      <c r="I49" s="49"/>
      <c r="J49" s="49"/>
      <c r="K49" s="49"/>
      <c r="L49" s="26"/>
      <c r="M49" s="26"/>
      <c r="N49" s="26"/>
      <c r="O49" s="26"/>
      <c r="P49" s="26"/>
    </row>
    <row r="50" spans="1:16">
      <c r="A50" s="170" t="s">
        <v>202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>
      <c r="A53" s="26"/>
      <c r="B53" s="26"/>
      <c r="C53" s="26"/>
      <c r="D53" s="26"/>
      <c r="E53" s="40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ht="18.75">
      <c r="A54" s="103" t="s">
        <v>1150</v>
      </c>
      <c r="B54" s="43"/>
      <c r="C54" s="43"/>
      <c r="D54" s="43"/>
      <c r="E54" s="40" t="str">
        <f>IF($B$4+$B$5="","DeAct","~FI_T")</f>
        <v>~FI_T</v>
      </c>
      <c r="F54" s="40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>
      <c r="A55" s="89" t="s">
        <v>1110</v>
      </c>
      <c r="B55" s="89" t="s">
        <v>318</v>
      </c>
      <c r="C55" s="89" t="s">
        <v>327</v>
      </c>
      <c r="D55" s="89" t="s">
        <v>718</v>
      </c>
      <c r="E55" s="89" t="s">
        <v>719</v>
      </c>
      <c r="F55" s="90" t="s">
        <v>1111</v>
      </c>
      <c r="G55" s="90" t="s">
        <v>1112</v>
      </c>
      <c r="H55" s="90" t="s">
        <v>801</v>
      </c>
      <c r="I55" s="90" t="s">
        <v>727</v>
      </c>
      <c r="J55" s="90" t="s">
        <v>725</v>
      </c>
      <c r="K55" s="90" t="s">
        <v>724</v>
      </c>
      <c r="L55" s="26"/>
      <c r="M55" s="26"/>
      <c r="N55" s="26"/>
      <c r="O55" s="26"/>
      <c r="P55" s="26"/>
    </row>
    <row r="56" spans="1:16" ht="13.5" thickBot="1">
      <c r="A56" s="177" t="s">
        <v>1113</v>
      </c>
      <c r="B56" s="75"/>
      <c r="C56" s="75"/>
      <c r="D56" s="75"/>
      <c r="E56" s="75"/>
      <c r="F56" s="75"/>
      <c r="G56" s="75"/>
      <c r="H56" s="164" t="s">
        <v>339</v>
      </c>
      <c r="I56" s="178" t="s">
        <v>1055</v>
      </c>
      <c r="J56" s="179" t="s">
        <v>1114</v>
      </c>
      <c r="K56" s="179"/>
      <c r="L56" s="26"/>
      <c r="M56" s="26"/>
      <c r="N56" s="26"/>
      <c r="O56" s="26"/>
      <c r="P56" s="26"/>
    </row>
    <row r="57" spans="1:16">
      <c r="A57" s="49" t="s">
        <v>1148</v>
      </c>
      <c r="B57" s="180" t="s">
        <v>674</v>
      </c>
      <c r="C57" s="76" t="s">
        <v>675</v>
      </c>
      <c r="D57" s="96" t="str">
        <f>IND_Commodities!$C$65</f>
        <v>MPPWOO</v>
      </c>
      <c r="E57" s="96"/>
      <c r="F57" s="51">
        <v>1.1000000000000001</v>
      </c>
      <c r="G57" s="49"/>
      <c r="H57" s="211">
        <f>D11*(($F$30*$H$30)+($F$41*$H$41))</f>
        <v>0</v>
      </c>
      <c r="I57" s="51">
        <v>30</v>
      </c>
      <c r="J57" s="51"/>
      <c r="K57" s="51"/>
      <c r="L57" s="26"/>
      <c r="M57" s="26"/>
      <c r="N57" s="26"/>
      <c r="O57" s="26"/>
      <c r="P57" s="26"/>
    </row>
    <row r="58" spans="1:16">
      <c r="A58" s="49"/>
      <c r="B58" s="49"/>
      <c r="C58" s="49"/>
      <c r="D58" s="96" t="str">
        <f>IND_Commodities!$C$15</f>
        <v>INDGAS</v>
      </c>
      <c r="E58" s="98"/>
      <c r="F58" s="51">
        <v>10.8</v>
      </c>
      <c r="G58" s="49"/>
      <c r="H58" s="183"/>
      <c r="I58" s="49"/>
      <c r="J58" s="49"/>
      <c r="K58" s="49"/>
      <c r="L58" s="26"/>
      <c r="M58" s="26"/>
      <c r="N58" s="26"/>
      <c r="O58" s="26"/>
      <c r="P58" s="26"/>
    </row>
    <row r="59" spans="1:16">
      <c r="A59" s="49"/>
      <c r="B59" s="186"/>
      <c r="C59" s="49"/>
      <c r="D59" s="96" t="str">
        <f>IND_Commodities!$C$25</f>
        <v>INDELC</v>
      </c>
      <c r="E59" s="49"/>
      <c r="F59" s="51">
        <v>7</v>
      </c>
      <c r="G59" s="49"/>
      <c r="H59" s="49"/>
      <c r="I59" s="49"/>
      <c r="J59" s="49"/>
      <c r="K59" s="49"/>
      <c r="L59" s="26"/>
      <c r="M59" s="26"/>
      <c r="N59" s="26"/>
      <c r="O59" s="26"/>
      <c r="P59" s="26"/>
    </row>
    <row r="60" spans="1:16">
      <c r="A60" s="170"/>
      <c r="B60" s="49"/>
      <c r="C60" s="49"/>
      <c r="D60" s="49"/>
      <c r="E60" s="96" t="str">
        <f>IND_Commodities!$C$69</f>
        <v>MPPPUP</v>
      </c>
      <c r="F60" s="49"/>
      <c r="G60" s="49">
        <v>1</v>
      </c>
      <c r="H60" s="49"/>
      <c r="I60" s="49"/>
      <c r="J60" s="49"/>
      <c r="K60" s="49"/>
      <c r="L60" s="26"/>
      <c r="M60" s="26"/>
      <c r="N60" s="26"/>
      <c r="O60" s="26"/>
      <c r="P60" s="26"/>
    </row>
    <row r="61" spans="1:16">
      <c r="A61" s="170"/>
      <c r="B61" s="49"/>
      <c r="C61" s="49"/>
      <c r="D61" s="49"/>
      <c r="E61" s="96" t="str">
        <f>IND_Commodities!$C$20</f>
        <v>INDBIO</v>
      </c>
      <c r="F61" s="49"/>
      <c r="G61" s="51">
        <v>2.1</v>
      </c>
      <c r="H61" s="49"/>
      <c r="I61" s="49"/>
      <c r="J61" s="49"/>
      <c r="K61" s="49"/>
      <c r="L61" s="26"/>
      <c r="M61" s="26"/>
      <c r="N61" s="26"/>
      <c r="O61" s="26"/>
      <c r="P61" s="26"/>
    </row>
    <row r="62" spans="1:16">
      <c r="A62" s="170"/>
      <c r="B62" s="49"/>
      <c r="C62" s="49"/>
      <c r="D62" s="49"/>
      <c r="E62" s="96" t="str">
        <f>IND_Commodities!$C$40</f>
        <v>IPPHTH</v>
      </c>
      <c r="F62" s="49"/>
      <c r="G62" s="51">
        <v>2.5299999999999998</v>
      </c>
      <c r="H62" s="49"/>
      <c r="I62" s="49"/>
      <c r="J62" s="49"/>
      <c r="K62" s="49"/>
      <c r="L62" s="26"/>
      <c r="M62" s="26"/>
      <c r="N62" s="26"/>
      <c r="O62" s="26"/>
      <c r="P62" s="26"/>
    </row>
    <row r="63" spans="1:16">
      <c r="A63" s="170" t="s">
        <v>202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26"/>
      <c r="M63" s="26"/>
      <c r="N63" s="26"/>
      <c r="O63" s="26"/>
      <c r="P63" s="26"/>
    </row>
    <row r="64" spans="1:16">
      <c r="A64" s="49" t="s">
        <v>1148</v>
      </c>
      <c r="B64" s="180" t="s">
        <v>671</v>
      </c>
      <c r="C64" s="76" t="s">
        <v>672</v>
      </c>
      <c r="D64" s="96" t="str">
        <f>IND_Commodities!$C$65</f>
        <v>MPPWOO</v>
      </c>
      <c r="E64" s="96"/>
      <c r="F64" s="51">
        <v>2.2999999999999998</v>
      </c>
      <c r="G64" s="49"/>
      <c r="H64" s="211">
        <f>D12*(($F$30*$H$30)+($F$41*$H$41))</f>
        <v>0</v>
      </c>
      <c r="I64" s="51">
        <v>30</v>
      </c>
      <c r="J64" s="51"/>
      <c r="K64" s="51"/>
      <c r="L64" s="26"/>
      <c r="M64" s="26"/>
      <c r="N64" s="26"/>
      <c r="O64" s="26"/>
      <c r="P64" s="26"/>
    </row>
    <row r="65" spans="1:16">
      <c r="A65" s="49"/>
      <c r="B65" s="49"/>
      <c r="C65" s="49"/>
      <c r="D65" s="96" t="str">
        <f>IND_Commodities!$C$67</f>
        <v>MPPNOH</v>
      </c>
      <c r="E65" s="96"/>
      <c r="F65" s="51">
        <v>3.5000000000000003E-2</v>
      </c>
      <c r="G65" s="49"/>
      <c r="H65" s="183"/>
      <c r="I65" s="49"/>
      <c r="J65" s="49"/>
      <c r="K65" s="49"/>
      <c r="L65" s="26"/>
      <c r="M65" s="26"/>
      <c r="N65" s="26"/>
      <c r="O65" s="26"/>
      <c r="P65" s="26"/>
    </row>
    <row r="66" spans="1:16">
      <c r="A66" s="49"/>
      <c r="B66" s="49"/>
      <c r="C66" s="49"/>
      <c r="D66" s="96" t="str">
        <f>IND_Commodities!$C$68</f>
        <v>MPPOXY</v>
      </c>
      <c r="E66" s="96"/>
      <c r="F66" s="51">
        <v>0.02</v>
      </c>
      <c r="G66" s="49"/>
      <c r="H66" s="183"/>
      <c r="I66" s="49"/>
      <c r="J66" s="49"/>
      <c r="K66" s="49"/>
      <c r="L66" s="26"/>
      <c r="M66" s="26"/>
      <c r="N66" s="26"/>
      <c r="O66" s="26"/>
      <c r="P66" s="26"/>
    </row>
    <row r="67" spans="1:16">
      <c r="A67" s="49"/>
      <c r="B67" s="49"/>
      <c r="C67" s="49"/>
      <c r="D67" s="96" t="str">
        <f>IND_Commodities!C41</f>
        <v>IPPPRC</v>
      </c>
      <c r="E67" s="96"/>
      <c r="F67" s="60">
        <v>1.8069999999999999</v>
      </c>
      <c r="G67" s="49"/>
      <c r="H67" s="183"/>
      <c r="I67" s="49"/>
      <c r="J67" s="49"/>
      <c r="K67" s="49"/>
      <c r="L67" s="26"/>
      <c r="M67" s="26"/>
      <c r="N67" s="26"/>
      <c r="O67" s="26"/>
      <c r="P67" s="26"/>
    </row>
    <row r="68" spans="1:16">
      <c r="A68" s="49"/>
      <c r="B68" s="186"/>
      <c r="C68" s="49"/>
      <c r="D68" s="96" t="str">
        <f>IND_Commodities!$C$25</f>
        <v>INDELC</v>
      </c>
      <c r="E68" s="49"/>
      <c r="F68" s="51">
        <v>2.2999999999999998</v>
      </c>
      <c r="G68" s="49"/>
      <c r="H68" s="49"/>
      <c r="I68" s="49"/>
      <c r="J68" s="49"/>
      <c r="K68" s="49"/>
      <c r="L68" s="26"/>
      <c r="M68" s="26"/>
      <c r="N68" s="26"/>
      <c r="O68" s="26"/>
      <c r="P68" s="26"/>
    </row>
    <row r="69" spans="1:16">
      <c r="A69" s="49"/>
      <c r="B69" s="49"/>
      <c r="C69" s="49"/>
      <c r="D69" s="96" t="str">
        <f>IND_Commodities!$C$40</f>
        <v>IPPHTH</v>
      </c>
      <c r="E69" s="49"/>
      <c r="F69" s="51">
        <v>7.8</v>
      </c>
      <c r="G69" s="49"/>
      <c r="H69" s="49"/>
      <c r="I69" s="49"/>
      <c r="J69" s="49"/>
      <c r="K69" s="49"/>
      <c r="L69" s="26"/>
      <c r="M69" s="26"/>
      <c r="N69" s="26"/>
      <c r="O69" s="26"/>
      <c r="P69" s="26"/>
    </row>
    <row r="70" spans="1:16">
      <c r="A70" s="170"/>
      <c r="B70" s="49"/>
      <c r="C70" s="212"/>
      <c r="D70" s="86"/>
      <c r="E70" s="96" t="str">
        <f>IND_Commodities!$C$69</f>
        <v>MPPPUP</v>
      </c>
      <c r="F70" s="49"/>
      <c r="G70" s="49">
        <v>1</v>
      </c>
      <c r="H70" s="49"/>
      <c r="I70" s="49"/>
      <c r="J70" s="49"/>
      <c r="K70" s="49"/>
      <c r="L70" s="26"/>
      <c r="M70" s="26"/>
      <c r="N70" s="26"/>
      <c r="O70" s="26"/>
      <c r="P70" s="26"/>
    </row>
    <row r="71" spans="1:16">
      <c r="A71" s="170"/>
      <c r="B71" s="49"/>
      <c r="C71" s="49"/>
      <c r="D71" s="49"/>
      <c r="E71" s="96" t="str">
        <f>IND_Commodities!$C$70</f>
        <v>INDBLQ</v>
      </c>
      <c r="F71" s="49"/>
      <c r="G71" s="51">
        <v>18</v>
      </c>
      <c r="H71" s="49"/>
      <c r="I71" s="49"/>
      <c r="J71" s="49"/>
      <c r="K71" s="49"/>
      <c r="L71" s="26"/>
      <c r="M71" s="26"/>
      <c r="N71" s="26"/>
      <c r="O71" s="26"/>
      <c r="P71" s="26"/>
    </row>
    <row r="72" spans="1:16">
      <c r="A72" s="170"/>
      <c r="B72" s="49"/>
      <c r="C72" s="49"/>
      <c r="D72" s="49"/>
      <c r="E72" s="96" t="str">
        <f>IND_Commodities!$C$20</f>
        <v>INDBIO</v>
      </c>
      <c r="F72" s="49"/>
      <c r="G72" s="51">
        <v>4.7</v>
      </c>
      <c r="H72" s="49"/>
      <c r="I72" s="49"/>
      <c r="J72" s="49"/>
      <c r="K72" s="49"/>
      <c r="L72" s="26"/>
      <c r="M72" s="26"/>
      <c r="N72" s="26"/>
      <c r="O72" s="26"/>
      <c r="P72" s="26"/>
    </row>
    <row r="73" spans="1:16">
      <c r="A73" s="170" t="s">
        <v>202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26"/>
      <c r="M73" s="26"/>
      <c r="N73" s="26"/>
      <c r="O73" s="26"/>
      <c r="P73" s="26"/>
    </row>
    <row r="74" spans="1:16">
      <c r="A74" s="49" t="s">
        <v>1148</v>
      </c>
      <c r="B74" s="180" t="s">
        <v>676</v>
      </c>
      <c r="C74" s="76" t="s">
        <v>677</v>
      </c>
      <c r="D74" s="96" t="str">
        <f>IND_Commodities!$C$66</f>
        <v>MPPRYC</v>
      </c>
      <c r="E74" s="96"/>
      <c r="F74" s="51">
        <v>1.1499999999999999</v>
      </c>
      <c r="G74" s="49"/>
      <c r="H74" s="211">
        <f>D13*(($F$30*$H$30)+($F$41*$H$41))</f>
        <v>0.20400000000000001</v>
      </c>
      <c r="I74" s="51">
        <v>30</v>
      </c>
      <c r="J74" s="51"/>
      <c r="K74" s="51"/>
      <c r="L74" s="26"/>
      <c r="M74" s="26"/>
      <c r="N74" s="470"/>
      <c r="O74" s="26"/>
      <c r="P74" s="26"/>
    </row>
    <row r="75" spans="1:16">
      <c r="A75" s="49"/>
      <c r="B75" s="186"/>
      <c r="C75" s="49"/>
      <c r="D75" s="96" t="str">
        <f>IND_Commodities!$C$25</f>
        <v>INDELC</v>
      </c>
      <c r="E75" s="49"/>
      <c r="F75" s="51">
        <v>1.7</v>
      </c>
      <c r="G75" s="49"/>
      <c r="H75" s="49"/>
      <c r="I75" s="49"/>
      <c r="J75" s="49"/>
      <c r="K75" s="49"/>
      <c r="L75" s="26"/>
      <c r="M75" s="26" t="s">
        <v>1147</v>
      </c>
      <c r="N75" s="26"/>
      <c r="O75" s="26"/>
      <c r="P75" s="26"/>
    </row>
    <row r="76" spans="1:16">
      <c r="A76" s="49"/>
      <c r="B76" s="49"/>
      <c r="C76" s="49"/>
      <c r="D76" s="184" t="str">
        <f>IND_Commodities!$C$40</f>
        <v>IPPHTH</v>
      </c>
      <c r="E76" s="49"/>
      <c r="F76" s="197"/>
      <c r="G76" s="49"/>
      <c r="H76" s="49"/>
      <c r="I76" s="49"/>
      <c r="J76" s="49"/>
      <c r="K76" s="49"/>
      <c r="L76" s="26"/>
      <c r="M76" s="197">
        <v>1</v>
      </c>
      <c r="N76" s="26"/>
      <c r="O76" s="26"/>
      <c r="P76" s="26"/>
    </row>
    <row r="77" spans="1:16">
      <c r="A77" s="170"/>
      <c r="B77" s="49"/>
      <c r="C77" s="49"/>
      <c r="D77" s="49"/>
      <c r="E77" s="96" t="str">
        <f>IND_Commodities!$C$69</f>
        <v>MPPPUP</v>
      </c>
      <c r="F77" s="49"/>
      <c r="G77" s="49">
        <v>1</v>
      </c>
      <c r="H77" s="49"/>
      <c r="I77" s="49"/>
      <c r="J77" s="49"/>
      <c r="K77" s="49"/>
      <c r="L77" s="26"/>
      <c r="M77" s="26"/>
      <c r="N77" s="26"/>
      <c r="O77" s="26"/>
      <c r="P77" s="26"/>
    </row>
    <row r="78" spans="1:16">
      <c r="A78" s="170" t="s">
        <v>202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26"/>
      <c r="M78" s="26"/>
      <c r="N78" s="26"/>
      <c r="O78" s="26"/>
      <c r="P78" s="26"/>
    </row>
    <row r="79" spans="1:1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>
      <c r="A81" s="26"/>
      <c r="B81" s="62"/>
      <c r="C81" s="26"/>
      <c r="D81" s="26"/>
      <c r="E81" s="40"/>
      <c r="F81" s="63"/>
      <c r="G81" s="63"/>
      <c r="H81" s="64"/>
      <c r="I81" s="65"/>
      <c r="J81" s="26"/>
      <c r="K81" s="26"/>
      <c r="L81" s="26"/>
      <c r="M81" s="26"/>
      <c r="N81" s="26"/>
      <c r="O81" s="26"/>
      <c r="P81" s="26"/>
    </row>
    <row r="82" spans="1:16" ht="18.75">
      <c r="A82" s="43" t="s">
        <v>1151</v>
      </c>
      <c r="B82" s="69"/>
      <c r="C82" s="69"/>
      <c r="D82" s="26"/>
      <c r="E82" s="40" t="str">
        <f>IF($B$4+$B$5="","DeAct","~FI_T")</f>
        <v>~FI_T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ht="26.25" thickBot="1">
      <c r="A83" s="89" t="s">
        <v>1110</v>
      </c>
      <c r="B83" s="73" t="s">
        <v>318</v>
      </c>
      <c r="C83" s="73" t="s">
        <v>327</v>
      </c>
      <c r="D83" s="73" t="s">
        <v>718</v>
      </c>
      <c r="E83" s="73" t="s">
        <v>719</v>
      </c>
      <c r="F83" s="48" t="s">
        <v>1130</v>
      </c>
      <c r="G83" s="48" t="s">
        <v>727</v>
      </c>
      <c r="H83" s="48" t="s">
        <v>801</v>
      </c>
      <c r="I83" s="48" t="s">
        <v>1152</v>
      </c>
      <c r="J83" s="48" t="s">
        <v>724</v>
      </c>
      <c r="K83" s="48" t="s">
        <v>725</v>
      </c>
      <c r="L83" s="26"/>
      <c r="M83" s="26"/>
      <c r="N83" s="26"/>
      <c r="O83" s="26"/>
      <c r="P83" s="26"/>
    </row>
    <row r="84" spans="1:16">
      <c r="A84" s="49"/>
      <c r="B84" s="76" t="s">
        <v>667</v>
      </c>
      <c r="C84" s="191" t="s">
        <v>668</v>
      </c>
      <c r="D84" s="49" t="str">
        <f>IND_Bal!$K$44</f>
        <v>INDHFO</v>
      </c>
      <c r="E84" s="49" t="str">
        <f>IND_Commodities!$C$41</f>
        <v>IPPPRC</v>
      </c>
      <c r="F84" s="71">
        <v>0.95</v>
      </c>
      <c r="G84" s="51">
        <v>30</v>
      </c>
      <c r="H84" s="182">
        <f>F$67*H$64/I84*D17</f>
        <v>0</v>
      </c>
      <c r="I84" s="51">
        <v>1</v>
      </c>
      <c r="J84" s="51"/>
      <c r="K84" s="51"/>
      <c r="L84" s="26"/>
      <c r="M84" s="26"/>
      <c r="N84" s="26"/>
      <c r="O84" s="26"/>
      <c r="P84" s="26"/>
    </row>
    <row r="85" spans="1:16">
      <c r="A85" s="49"/>
      <c r="B85" s="76" t="s">
        <v>665</v>
      </c>
      <c r="C85" s="76" t="s">
        <v>666</v>
      </c>
      <c r="D85" s="96" t="str">
        <f>IND_Bal!$M$44</f>
        <v>INDGAS</v>
      </c>
      <c r="E85" s="49" t="str">
        <f>IND_Commodities!$C$41</f>
        <v>IPPPRC</v>
      </c>
      <c r="F85" s="71">
        <v>0.9</v>
      </c>
      <c r="G85" s="51">
        <v>30</v>
      </c>
      <c r="H85" s="182">
        <f>F$67*H$64/I85*D18</f>
        <v>0</v>
      </c>
      <c r="I85" s="51">
        <v>1</v>
      </c>
      <c r="J85" s="51"/>
      <c r="K85" s="51"/>
      <c r="L85" s="26"/>
      <c r="M85" s="26"/>
      <c r="N85" s="26"/>
      <c r="O85" s="26"/>
      <c r="P85" s="26"/>
    </row>
    <row r="86" spans="1:16">
      <c r="A86" s="49"/>
      <c r="B86" s="76" t="s">
        <v>663</v>
      </c>
      <c r="C86" s="76" t="s">
        <v>664</v>
      </c>
      <c r="D86" s="184" t="s">
        <v>284</v>
      </c>
      <c r="E86" s="125" t="s">
        <v>863</v>
      </c>
      <c r="F86" s="71">
        <v>0.9</v>
      </c>
      <c r="G86" s="51">
        <v>30</v>
      </c>
      <c r="H86" s="182">
        <f>F$67*H$64/I86*D19</f>
        <v>0</v>
      </c>
      <c r="I86" s="51">
        <v>1</v>
      </c>
      <c r="J86" s="51"/>
      <c r="K86" s="51"/>
      <c r="L86" s="26"/>
      <c r="M86" s="26"/>
      <c r="N86" s="26"/>
      <c r="O86" s="26"/>
      <c r="P86" s="26"/>
    </row>
  </sheetData>
  <phoneticPr fontId="0" type="noConversion"/>
  <conditionalFormatting sqref="M12:M2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T99"/>
  <sheetViews>
    <sheetView zoomScale="75" zoomScaleNormal="75" workbookViewId="0">
      <selection activeCell="C85" sqref="C85"/>
    </sheetView>
  </sheetViews>
  <sheetFormatPr defaultColWidth="9.140625" defaultRowHeight="12.75"/>
  <cols>
    <col min="1" max="1" width="9.140625" style="25"/>
    <col min="2" max="2" width="13.85546875" style="25" bestFit="1" customWidth="1"/>
    <col min="3" max="3" width="28.140625" style="25" customWidth="1"/>
    <col min="4" max="4" width="12" style="25" bestFit="1" customWidth="1"/>
    <col min="5" max="16384" width="9.140625" style="25"/>
  </cols>
  <sheetData>
    <row r="1" spans="1:20" ht="18.75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IND_Bal!$B$105</f>
        <v>IAL</v>
      </c>
      <c r="B4" s="158"/>
      <c r="C4" s="49" t="str">
        <f>IND_Bal!$A$105</f>
        <v>Aluminium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IND_Bal!$B$106</f>
        <v>ICU</v>
      </c>
      <c r="B5" s="158"/>
      <c r="C5" s="49" t="str">
        <f>IND_Bal!$A$106</f>
        <v>Copper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" si="0">SUM(D5:S5)</f>
        <v>0</v>
      </c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470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470"/>
      <c r="S7" s="470"/>
      <c r="T7" s="470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470"/>
      <c r="S8" s="470"/>
      <c r="T8" s="470"/>
    </row>
    <row r="9" spans="1:20">
      <c r="A9" s="26"/>
      <c r="B9" s="26"/>
      <c r="C9" s="26"/>
      <c r="D9" s="26"/>
      <c r="E9" s="26"/>
      <c r="F9" s="159" t="s">
        <v>1100</v>
      </c>
      <c r="G9" s="159"/>
      <c r="H9" s="159"/>
      <c r="I9" s="26"/>
      <c r="J9" s="160" t="s">
        <v>1101</v>
      </c>
      <c r="K9" s="161"/>
      <c r="L9" s="161"/>
      <c r="M9" s="161"/>
      <c r="N9" s="26"/>
      <c r="O9" s="26"/>
      <c r="P9" s="26"/>
      <c r="Q9" s="26"/>
      <c r="R9" s="470"/>
      <c r="S9" s="470"/>
      <c r="T9" s="470"/>
    </row>
    <row r="10" spans="1:20" ht="18.75">
      <c r="A10" s="103" t="s">
        <v>1153</v>
      </c>
      <c r="B10" s="43"/>
      <c r="C10" s="43"/>
      <c r="D10" s="26"/>
      <c r="E10" s="26"/>
      <c r="F10" s="103" t="s">
        <v>1103</v>
      </c>
      <c r="G10" s="69"/>
      <c r="H10" s="69"/>
      <c r="I10" s="26"/>
      <c r="J10" s="103" t="s">
        <v>1103</v>
      </c>
      <c r="K10" s="69"/>
      <c r="L10" s="69"/>
      <c r="M10" s="69"/>
      <c r="N10" s="26"/>
      <c r="O10" s="103" t="s">
        <v>1104</v>
      </c>
      <c r="P10" s="69"/>
      <c r="Q10" s="69"/>
      <c r="R10" s="470"/>
      <c r="S10" s="470"/>
      <c r="T10" s="470"/>
    </row>
    <row r="11" spans="1:20" ht="13.5" thickBot="1">
      <c r="A11" s="86"/>
      <c r="B11" s="98"/>
      <c r="C11" s="49" t="str">
        <f>C43</f>
        <v>IAL.Hall Heroult.Regular.00.</v>
      </c>
      <c r="D11" s="162"/>
      <c r="E11" s="26"/>
      <c r="F11" s="163"/>
      <c r="G11" s="164" t="s">
        <v>1106</v>
      </c>
      <c r="H11" s="164" t="s">
        <v>1107</v>
      </c>
      <c r="I11" s="26"/>
      <c r="J11" s="163"/>
      <c r="K11" s="164" t="s">
        <v>1154</v>
      </c>
      <c r="L11" s="164" t="s">
        <v>957</v>
      </c>
      <c r="M11" s="164" t="s">
        <v>1107</v>
      </c>
      <c r="N11" s="26"/>
      <c r="O11" s="163"/>
      <c r="P11" s="84" t="s">
        <v>1106</v>
      </c>
      <c r="Q11" s="84" t="s">
        <v>1107</v>
      </c>
      <c r="R11" s="470"/>
      <c r="S11" s="470"/>
      <c r="T11" s="470"/>
    </row>
    <row r="12" spans="1:20">
      <c r="A12" s="49"/>
      <c r="B12" s="98"/>
      <c r="C12" s="49" t="str">
        <f>C49</f>
        <v>IAL.Hall Heroult.Point Feeders.00.</v>
      </c>
      <c r="D12" s="162"/>
      <c r="E12" s="26"/>
      <c r="F12" s="96" t="str">
        <f>IND_Commodities!$C$5</f>
        <v>INDCOA</v>
      </c>
      <c r="G12" s="169">
        <f>IND_Bal!C$38</f>
        <v>0</v>
      </c>
      <c r="H12" s="168"/>
      <c r="I12" s="26"/>
      <c r="J12" s="96" t="str">
        <f>IND_Commodities!$C$5</f>
        <v>INDCOA</v>
      </c>
      <c r="K12" s="169">
        <f>(F97*H92)</f>
        <v>0</v>
      </c>
      <c r="L12" s="169">
        <f>INF!F25+INF!F40+INF!F54+INF!F75</f>
        <v>0</v>
      </c>
      <c r="M12" s="168"/>
      <c r="N12" s="26"/>
      <c r="O12" s="96" t="str">
        <f>IND_Commodities!$C$56</f>
        <v>MALBAU</v>
      </c>
      <c r="P12" s="169">
        <f>(F43*H43)+(F49*H49)+(F55*H55)+(F60*H60)</f>
        <v>0</v>
      </c>
      <c r="Q12" s="169"/>
      <c r="R12" s="470"/>
      <c r="S12" s="470"/>
      <c r="T12" s="470"/>
    </row>
    <row r="13" spans="1:20">
      <c r="A13" s="49"/>
      <c r="B13" s="98"/>
      <c r="C13" s="49" t="str">
        <f>C55</f>
        <v>IAL.Inert Anodes.00.</v>
      </c>
      <c r="D13" s="162"/>
      <c r="E13" s="26"/>
      <c r="F13" s="96" t="str">
        <f>IND_Commodities!$C$6</f>
        <v>INDPEA</v>
      </c>
      <c r="G13" s="169">
        <f>IND_Bal!D$38</f>
        <v>0</v>
      </c>
      <c r="H13" s="168"/>
      <c r="I13" s="26"/>
      <c r="J13" s="96" t="str">
        <f>IND_Commodities!$C$6</f>
        <v>INDPEA</v>
      </c>
      <c r="K13" s="169"/>
      <c r="L13" s="169">
        <f>INF!F76</f>
        <v>0</v>
      </c>
      <c r="M13" s="168"/>
      <c r="N13" s="26"/>
      <c r="O13" s="96" t="str">
        <f>IND_Commodities!$C$57</f>
        <v>MALSCR</v>
      </c>
      <c r="P13" s="169">
        <f>(F61*H60)</f>
        <v>0</v>
      </c>
      <c r="Q13" s="169"/>
      <c r="R13" s="470"/>
      <c r="S13" s="470"/>
      <c r="T13" s="470"/>
    </row>
    <row r="14" spans="1:20">
      <c r="A14" s="49"/>
      <c r="B14" s="98"/>
      <c r="C14" s="49" t="str">
        <f>C60</f>
        <v>IAL.Recycled Production.00.</v>
      </c>
      <c r="D14" s="162"/>
      <c r="E14" s="26"/>
      <c r="F14" s="96" t="str">
        <f>IND_Commodities!$C$7</f>
        <v>INDCOH</v>
      </c>
      <c r="G14" s="169">
        <f>IND_Bal!E$38</f>
        <v>0</v>
      </c>
      <c r="H14" s="168"/>
      <c r="I14" s="26"/>
      <c r="J14" s="96" t="str">
        <f>IND_Commodities!$C$7</f>
        <v>INDCOH</v>
      </c>
      <c r="K14" s="169"/>
      <c r="L14" s="169">
        <f>INF!F77</f>
        <v>0</v>
      </c>
      <c r="M14" s="168"/>
      <c r="N14" s="26"/>
      <c r="O14" s="96" t="str">
        <f>IND_Commodities!$C$58</f>
        <v>MALCAL</v>
      </c>
      <c r="P14" s="169">
        <f>(F31*H31)</f>
        <v>0</v>
      </c>
      <c r="Q14" s="169">
        <f>(G47*H43)+(G53*H49)+(G58*H55)+(G64*H60)</f>
        <v>0</v>
      </c>
      <c r="R14" s="470"/>
      <c r="S14" s="470"/>
      <c r="T14" s="470"/>
    </row>
    <row r="15" spans="1:20">
      <c r="A15" s="170"/>
      <c r="B15" s="49"/>
      <c r="C15" s="49"/>
      <c r="D15" s="200">
        <v>0</v>
      </c>
      <c r="E15" s="26"/>
      <c r="F15" s="96" t="str">
        <f>IND_Commodities!$C$8</f>
        <v>INDCOK</v>
      </c>
      <c r="G15" s="169">
        <f>IND_Bal!F$38</f>
        <v>0</v>
      </c>
      <c r="H15" s="168"/>
      <c r="I15" s="26"/>
      <c r="J15" s="96" t="str">
        <f>IND_Commodities!$C$8</f>
        <v>INDCOK</v>
      </c>
      <c r="K15" s="169">
        <f>F88*H83</f>
        <v>0</v>
      </c>
      <c r="L15" s="169">
        <f>INF!F26+INF!F41+INF!F55+INF!F78</f>
        <v>0</v>
      </c>
      <c r="M15" s="168"/>
      <c r="N15" s="26"/>
      <c r="O15" s="86" t="str">
        <f>IND_Commodities!$C$85</f>
        <v>IAL</v>
      </c>
      <c r="P15" s="169"/>
      <c r="Q15" s="169">
        <f>(G36*H31)</f>
        <v>0</v>
      </c>
      <c r="R15" s="470"/>
      <c r="S15" s="470"/>
      <c r="T15" s="470"/>
    </row>
    <row r="16" spans="1:20">
      <c r="A16" s="26"/>
      <c r="B16" s="26"/>
      <c r="C16" s="26"/>
      <c r="D16" s="26"/>
      <c r="E16" s="26"/>
      <c r="F16" s="96" t="str">
        <f>IND_Commodities!$C$10</f>
        <v>INDLPG</v>
      </c>
      <c r="G16" s="169">
        <f>IND_Bal!H$38</f>
        <v>0.25189941559023471</v>
      </c>
      <c r="H16" s="168"/>
      <c r="I16" s="26"/>
      <c r="J16" s="96" t="str">
        <f>IND_Commodities!$C$10</f>
        <v>INDLPG</v>
      </c>
      <c r="K16" s="169">
        <f>+(F73*H71)</f>
        <v>0</v>
      </c>
      <c r="L16" s="169">
        <f>INF!F27+INF!F42+INF!F56+INF!F79</f>
        <v>0.25189941559023471</v>
      </c>
      <c r="M16" s="168"/>
      <c r="N16" s="26"/>
      <c r="O16" s="49"/>
      <c r="P16" s="101">
        <f>SUM(P12:P15)</f>
        <v>0</v>
      </c>
      <c r="Q16" s="101">
        <f>SUM(Q12:Q15)</f>
        <v>0</v>
      </c>
      <c r="R16" s="470"/>
      <c r="S16" s="470"/>
      <c r="T16" s="470"/>
    </row>
    <row r="17" spans="1:17" ht="18.75">
      <c r="A17" s="103" t="s">
        <v>1155</v>
      </c>
      <c r="B17" s="43"/>
      <c r="C17" s="43"/>
      <c r="D17" s="26"/>
      <c r="E17" s="26"/>
      <c r="F17" s="96" t="str">
        <f>IND_Commodities!$C$11</f>
        <v>INDLFO</v>
      </c>
      <c r="G17" s="169">
        <f>IND_Bal!I$38</f>
        <v>0.10421439676213322</v>
      </c>
      <c r="H17" s="168"/>
      <c r="I17" s="26"/>
      <c r="J17" s="96" t="str">
        <f>IND_Commodities!$C$11</f>
        <v>INDLFO</v>
      </c>
      <c r="K17" s="169">
        <f>(F32*H31)+(F46*H43)+(F52*H49)+F89*H83</f>
        <v>0</v>
      </c>
      <c r="L17" s="169">
        <f>INF!F28+INF!F43+INF!F57+INF!F80</f>
        <v>0.10421439676213322</v>
      </c>
      <c r="M17" s="168"/>
      <c r="N17" s="26"/>
      <c r="O17" s="49"/>
      <c r="P17" s="49"/>
      <c r="Q17" s="49"/>
    </row>
    <row r="18" spans="1:17">
      <c r="A18" s="86"/>
      <c r="B18" s="98"/>
      <c r="C18" s="49" t="str">
        <f>'IAL  ICU'!C83</f>
        <v>ICU.Copper Production.00.</v>
      </c>
      <c r="D18" s="162"/>
      <c r="E18" s="26"/>
      <c r="F18" s="96" t="str">
        <f>IND_Commodities!$C$13</f>
        <v>INDHFO</v>
      </c>
      <c r="G18" s="169">
        <f>IND_Bal!K$38</f>
        <v>4.3537175224000003E-2</v>
      </c>
      <c r="H18" s="168"/>
      <c r="I18" s="26"/>
      <c r="J18" s="96" t="str">
        <f>IND_Commodities!$C$13</f>
        <v>INDHFO</v>
      </c>
      <c r="K18" s="169">
        <f>(F72*H71)+(F86*H83)+(F95*H92)</f>
        <v>0</v>
      </c>
      <c r="L18" s="201">
        <f>INF!F29+INF!F44+INF!F58+INF!F81</f>
        <v>4.3537175224000003E-2</v>
      </c>
      <c r="M18" s="168"/>
      <c r="N18" s="26"/>
      <c r="O18" s="96" t="str">
        <f>IND_Commodities!$C$59</f>
        <v>MCUORE</v>
      </c>
      <c r="P18" s="169">
        <f>('IAL  ICU'!F83*'IAL  ICU'!H83)</f>
        <v>0</v>
      </c>
      <c r="Q18" s="169"/>
    </row>
    <row r="19" spans="1:17">
      <c r="A19" s="49"/>
      <c r="B19" s="98"/>
      <c r="C19" s="49" t="str">
        <f>'IAL  ICU'!C92</f>
        <v>ICU.Copper Recycling.00.</v>
      </c>
      <c r="D19" s="162"/>
      <c r="E19" s="26"/>
      <c r="F19" s="96" t="str">
        <f>IND_Commodities!$C$15</f>
        <v>INDGAS</v>
      </c>
      <c r="G19" s="169">
        <f>IND_Bal!M$38</f>
        <v>17.680641010586502</v>
      </c>
      <c r="H19" s="168"/>
      <c r="I19" s="26"/>
      <c r="J19" s="96" t="str">
        <f>IND_Commodities!$C$15</f>
        <v>INDGAS</v>
      </c>
      <c r="K19" s="169">
        <f>(F33*H31)+(F45*H43)+(F51*H49)+(F57*H55)+(F63*H60)+(F87*H83)+(F96*H92)</f>
        <v>0</v>
      </c>
      <c r="L19" s="169">
        <f>INF!F30+INF!F45+INF!F59+INF!F82</f>
        <v>17.680641010586502</v>
      </c>
      <c r="M19" s="168"/>
      <c r="N19" s="26"/>
      <c r="O19" s="96" t="str">
        <f>IND_Commodities!$C$60</f>
        <v>MCUSCR</v>
      </c>
      <c r="P19" s="169">
        <f>('IAL  ICU'!F92*'IAL  ICU'!H92)</f>
        <v>0</v>
      </c>
      <c r="Q19" s="169">
        <f>('IAL  ICU'!G76*'IAL  ICU'!H71)</f>
        <v>0</v>
      </c>
    </row>
    <row r="20" spans="1:17">
      <c r="A20" s="170"/>
      <c r="B20" s="49"/>
      <c r="C20" s="49"/>
      <c r="D20" s="200">
        <v>0</v>
      </c>
      <c r="E20" s="26"/>
      <c r="F20" s="96" t="str">
        <f>IND_Commodities!$C$20</f>
        <v>INDBIO</v>
      </c>
      <c r="G20" s="169">
        <f>IND_Bal!S38</f>
        <v>0</v>
      </c>
      <c r="H20" s="168"/>
      <c r="I20" s="26"/>
      <c r="J20" s="96" t="str">
        <f>IND_Commodities!$C$20</f>
        <v>INDBIO</v>
      </c>
      <c r="K20" s="169"/>
      <c r="L20" s="169">
        <f>INF!F31+INF!F46+INF!F60+INF!F83</f>
        <v>0</v>
      </c>
      <c r="M20" s="168"/>
      <c r="N20" s="26"/>
      <c r="O20" s="96" t="str">
        <f>IND_Commodities!$C$61</f>
        <v>MCUSCU</v>
      </c>
      <c r="P20" s="169">
        <f>('IAL  ICU'!F71*'IAL  ICU'!H71)</f>
        <v>0</v>
      </c>
      <c r="Q20" s="169">
        <f>('IAL  ICU'!G90*'IAL  ICU'!H83)+('IAL  ICU'!G98*'IAL  ICU'!H92)</f>
        <v>0</v>
      </c>
    </row>
    <row r="21" spans="1:17">
      <c r="A21" s="26"/>
      <c r="B21" s="26"/>
      <c r="C21" s="26"/>
      <c r="D21" s="26"/>
      <c r="E21" s="26"/>
      <c r="F21" s="96" t="str">
        <f>IND_Commodities!$C$22</f>
        <v>INDWASL</v>
      </c>
      <c r="G21" s="169">
        <f>IND_Bal!T$38</f>
        <v>0</v>
      </c>
      <c r="H21" s="168"/>
      <c r="I21" s="26"/>
      <c r="J21" s="96" t="str">
        <f>IND_Commodities!$C$22</f>
        <v>INDWASL</v>
      </c>
      <c r="K21" s="169"/>
      <c r="L21" s="169">
        <f>INF!F84</f>
        <v>0</v>
      </c>
      <c r="M21" s="168"/>
      <c r="N21" s="26"/>
      <c r="O21" s="86" t="str">
        <f>IND_Commodities!$C$86</f>
        <v>ICU</v>
      </c>
      <c r="P21" s="169"/>
      <c r="Q21" s="169">
        <f>('IAL  ICU'!G75*'IAL  ICU'!H71)</f>
        <v>0</v>
      </c>
    </row>
    <row r="22" spans="1:17">
      <c r="A22" s="26"/>
      <c r="B22" s="26"/>
      <c r="C22" s="26"/>
      <c r="D22" s="26"/>
      <c r="E22" s="26"/>
      <c r="F22" s="96" t="str">
        <f>IND_Commodities!$C$25</f>
        <v>INDELC</v>
      </c>
      <c r="G22" s="169">
        <f>IND_Bal!U$38</f>
        <v>2.9656597537313885</v>
      </c>
      <c r="H22" s="168"/>
      <c r="I22" s="26"/>
      <c r="J22" s="96" t="str">
        <f>IND_Commodities!$C$25</f>
        <v>INDELC</v>
      </c>
      <c r="K22" s="169">
        <f>(F34*H31)+(F44*H43)+(F50*H49)+(F56*H55)+(F62*H60)+(F74*H71)+(F84*H83)+(F93*H92)</f>
        <v>0</v>
      </c>
      <c r="L22" s="169">
        <f>INF!F32+INF!F47+INF!F61+INF!F68+INF!F85</f>
        <v>2.9656597537313885</v>
      </c>
      <c r="M22" s="168"/>
      <c r="N22" s="26"/>
      <c r="O22" s="49"/>
      <c r="P22" s="101">
        <f>SUM(P18:P21)</f>
        <v>0</v>
      </c>
      <c r="Q22" s="101">
        <f>SUM(Q18:Q21)</f>
        <v>0</v>
      </c>
    </row>
    <row r="23" spans="1:17">
      <c r="A23" s="26"/>
      <c r="B23" s="26"/>
      <c r="C23" s="26"/>
      <c r="D23" s="26"/>
      <c r="E23" s="26"/>
      <c r="F23" s="96" t="s">
        <v>1126</v>
      </c>
      <c r="G23" s="169">
        <f>IND_Bal!V$38</f>
        <v>0</v>
      </c>
      <c r="H23" s="169"/>
      <c r="I23" s="26"/>
      <c r="J23" s="96" t="s">
        <v>1126</v>
      </c>
      <c r="K23" s="169">
        <f>(F35*H31)+(F85*H83)+(F94*H92)</f>
        <v>0</v>
      </c>
      <c r="L23" s="169">
        <f>INF!F33</f>
        <v>0</v>
      </c>
      <c r="M23" s="168"/>
      <c r="N23" s="26"/>
      <c r="O23" s="26"/>
      <c r="P23" s="26"/>
      <c r="Q23" s="26"/>
    </row>
    <row r="24" spans="1:17">
      <c r="A24" s="26"/>
      <c r="B24" s="26"/>
      <c r="C24" s="26"/>
      <c r="D24" s="26"/>
      <c r="E24" s="26"/>
      <c r="F24" s="26"/>
      <c r="G24" s="173">
        <f>SUM(G12:G23)</f>
        <v>21.045951751894258</v>
      </c>
      <c r="H24" s="173">
        <f>SUM(H12:H23)</f>
        <v>0</v>
      </c>
      <c r="I24" s="26"/>
      <c r="J24" s="26"/>
      <c r="K24" s="173">
        <f>SUM(K12:K23)</f>
        <v>0</v>
      </c>
      <c r="L24" s="173">
        <f>SUM(L12:L23)</f>
        <v>21.045951751894258</v>
      </c>
      <c r="M24" s="173">
        <f>SUM(M12:M23)</f>
        <v>0</v>
      </c>
      <c r="N24" s="26"/>
      <c r="O24" s="26"/>
      <c r="P24" s="26"/>
      <c r="Q24" s="26"/>
    </row>
    <row r="25" spans="1:17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>
      <c r="A26" s="26"/>
      <c r="B26" s="26"/>
      <c r="C26" s="26"/>
      <c r="D26" s="26"/>
      <c r="E26" s="40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>
      <c r="A27" s="26"/>
      <c r="B27" s="26"/>
      <c r="C27" s="26"/>
      <c r="D27" s="26"/>
      <c r="E27" s="40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8.75">
      <c r="A28" s="103" t="s">
        <v>1156</v>
      </c>
      <c r="B28" s="43"/>
      <c r="C28" s="43"/>
      <c r="D28" s="43"/>
      <c r="E28" s="40" t="str">
        <f>IF($B$4=0,"DeAct","~FI_T")</f>
        <v>DeAct</v>
      </c>
      <c r="F28" s="40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>
      <c r="A29" s="89" t="s">
        <v>1110</v>
      </c>
      <c r="B29" s="89" t="s">
        <v>318</v>
      </c>
      <c r="C29" s="89" t="s">
        <v>327</v>
      </c>
      <c r="D29" s="89" t="s">
        <v>718</v>
      </c>
      <c r="E29" s="89" t="s">
        <v>719</v>
      </c>
      <c r="F29" s="90" t="s">
        <v>1111</v>
      </c>
      <c r="G29" s="90" t="s">
        <v>1112</v>
      </c>
      <c r="H29" s="90" t="s">
        <v>801</v>
      </c>
      <c r="I29" s="90" t="s">
        <v>727</v>
      </c>
      <c r="J29" s="90" t="s">
        <v>725</v>
      </c>
      <c r="K29" s="90" t="s">
        <v>724</v>
      </c>
      <c r="L29" s="26"/>
      <c r="M29" s="26"/>
      <c r="N29" s="26"/>
      <c r="O29" s="26"/>
      <c r="P29" s="26"/>
      <c r="Q29" s="26"/>
    </row>
    <row r="30" spans="1:17" ht="13.5" thickBot="1">
      <c r="A30" s="177" t="s">
        <v>1113</v>
      </c>
      <c r="B30" s="75"/>
      <c r="C30" s="75"/>
      <c r="D30" s="75"/>
      <c r="E30" s="75"/>
      <c r="F30" s="75"/>
      <c r="G30" s="75"/>
      <c r="H30" s="164" t="s">
        <v>339</v>
      </c>
      <c r="I30" s="178" t="s">
        <v>1055</v>
      </c>
      <c r="J30" s="179" t="s">
        <v>1114</v>
      </c>
      <c r="K30" s="179"/>
      <c r="L30" s="26"/>
      <c r="M30" s="26"/>
      <c r="N30" s="26"/>
      <c r="O30" s="26"/>
      <c r="P30" s="26"/>
      <c r="Q30" s="26"/>
    </row>
    <row r="31" spans="1:17">
      <c r="A31" s="49" t="str">
        <f>IND_Bal!$B$105</f>
        <v>IAL</v>
      </c>
      <c r="B31" s="180" t="s">
        <v>337</v>
      </c>
      <c r="C31" s="76" t="s">
        <v>338</v>
      </c>
      <c r="D31" s="96" t="str">
        <f>IND_Commodities!$C$58</f>
        <v>MALCAL</v>
      </c>
      <c r="E31" s="96"/>
      <c r="F31" s="49">
        <v>1</v>
      </c>
      <c r="G31" s="49"/>
      <c r="H31" s="183">
        <f>B4</f>
        <v>0</v>
      </c>
      <c r="I31" s="51">
        <v>30</v>
      </c>
      <c r="J31" s="51"/>
      <c r="K31" s="51"/>
      <c r="L31" s="26"/>
      <c r="M31" s="26"/>
      <c r="N31" s="26"/>
      <c r="O31" s="26"/>
      <c r="P31" s="26"/>
      <c r="Q31" s="26"/>
    </row>
    <row r="32" spans="1:17">
      <c r="A32" s="49"/>
      <c r="B32" s="49"/>
      <c r="C32" s="49"/>
      <c r="D32" s="184" t="str">
        <f>IF(F32&gt;0,"INDLFO","\I:")</f>
        <v>\I:</v>
      </c>
      <c r="E32" s="49"/>
      <c r="F32" s="202"/>
      <c r="G32" s="49"/>
      <c r="H32" s="49"/>
      <c r="I32" s="49"/>
      <c r="J32" s="49"/>
      <c r="K32" s="49"/>
      <c r="L32" s="26"/>
      <c r="M32" s="26"/>
      <c r="N32" s="26"/>
      <c r="O32" s="26"/>
      <c r="P32" s="26"/>
      <c r="Q32" s="26"/>
    </row>
    <row r="33" spans="1:17">
      <c r="A33" s="49"/>
      <c r="B33" s="49"/>
      <c r="C33" s="49"/>
      <c r="D33" s="184" t="str">
        <f>IF(F33&gt;0,"INDGAS","\I:")</f>
        <v>\I:</v>
      </c>
      <c r="E33" s="49"/>
      <c r="F33" s="202"/>
      <c r="G33" s="49"/>
      <c r="H33" s="49"/>
      <c r="I33" s="49"/>
      <c r="J33" s="49"/>
      <c r="K33" s="49"/>
      <c r="L33" s="26"/>
      <c r="M33" s="26"/>
      <c r="N33" s="26"/>
      <c r="O33" s="26"/>
      <c r="P33" s="26"/>
      <c r="Q33" s="26"/>
    </row>
    <row r="34" spans="1:17">
      <c r="A34" s="49"/>
      <c r="B34" s="49"/>
      <c r="C34" s="49"/>
      <c r="D34" s="184" t="str">
        <f>IF(F34&gt;0,"INDELC","\I:")</f>
        <v>\I:</v>
      </c>
      <c r="E34" s="49"/>
      <c r="F34" s="202"/>
      <c r="G34" s="49"/>
      <c r="H34" s="49"/>
      <c r="I34" s="49"/>
      <c r="J34" s="49"/>
      <c r="K34" s="49"/>
      <c r="L34" s="26"/>
      <c r="M34" s="26"/>
      <c r="N34" s="26"/>
      <c r="O34" s="26"/>
      <c r="P34" s="26"/>
      <c r="Q34" s="26"/>
    </row>
    <row r="35" spans="1:17">
      <c r="A35" s="49"/>
      <c r="B35" s="49"/>
      <c r="C35" s="49"/>
      <c r="D35" s="184" t="str">
        <f>IF(F35&gt;0,"IALHTH","\I:")</f>
        <v>\I:</v>
      </c>
      <c r="E35" s="49"/>
      <c r="F35" s="202"/>
      <c r="G35" s="49"/>
      <c r="H35" s="49"/>
      <c r="I35" s="49"/>
      <c r="J35" s="49"/>
      <c r="K35" s="49"/>
      <c r="L35" s="26"/>
      <c r="M35" s="26"/>
      <c r="N35" s="26"/>
      <c r="O35" s="26"/>
      <c r="P35" s="26"/>
      <c r="Q35" s="26"/>
    </row>
    <row r="36" spans="1:17">
      <c r="A36" s="49"/>
      <c r="B36" s="49"/>
      <c r="C36" s="49"/>
      <c r="D36" s="96"/>
      <c r="E36" s="86" t="str">
        <f>IND_Commodities!$C$85</f>
        <v>IAL</v>
      </c>
      <c r="F36" s="49"/>
      <c r="G36" s="49">
        <v>1</v>
      </c>
      <c r="H36" s="49"/>
      <c r="I36" s="49"/>
      <c r="J36" s="49"/>
      <c r="K36" s="49"/>
      <c r="L36" s="26"/>
      <c r="M36" s="26"/>
      <c r="N36" s="26"/>
      <c r="O36" s="26"/>
      <c r="P36" s="26"/>
      <c r="Q36" s="26"/>
    </row>
    <row r="37" spans="1:17">
      <c r="A37" s="170" t="s">
        <v>202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26"/>
      <c r="M37" s="26"/>
      <c r="N37" s="26"/>
      <c r="O37" s="26"/>
      <c r="P37" s="26"/>
      <c r="Q37" s="26"/>
    </row>
    <row r="38" spans="1:1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17">
      <c r="A39" s="26"/>
      <c r="B39" s="26"/>
      <c r="C39" s="26"/>
      <c r="D39" s="26"/>
      <c r="E39" s="40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</row>
    <row r="40" spans="1:17" ht="18.75">
      <c r="A40" s="103" t="s">
        <v>1157</v>
      </c>
      <c r="B40" s="43"/>
      <c r="C40" s="43"/>
      <c r="D40" s="43"/>
      <c r="E40" s="40" t="str">
        <f>IF($B$4=0,"DeAct","~FI_T")</f>
        <v>DeAct</v>
      </c>
      <c r="F40" s="40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</row>
    <row r="41" spans="1:17">
      <c r="A41" s="89" t="s">
        <v>1110</v>
      </c>
      <c r="B41" s="89" t="s">
        <v>318</v>
      </c>
      <c r="C41" s="89" t="s">
        <v>327</v>
      </c>
      <c r="D41" s="89" t="s">
        <v>718</v>
      </c>
      <c r="E41" s="89" t="s">
        <v>719</v>
      </c>
      <c r="F41" s="90" t="s">
        <v>1111</v>
      </c>
      <c r="G41" s="90" t="s">
        <v>1112</v>
      </c>
      <c r="H41" s="90" t="s">
        <v>801</v>
      </c>
      <c r="I41" s="90" t="s">
        <v>727</v>
      </c>
      <c r="J41" s="90" t="s">
        <v>725</v>
      </c>
      <c r="K41" s="90" t="s">
        <v>724</v>
      </c>
      <c r="L41" s="26"/>
      <c r="M41" s="26"/>
      <c r="N41" s="26"/>
      <c r="O41" s="26"/>
      <c r="P41" s="26"/>
      <c r="Q41" s="26"/>
    </row>
    <row r="42" spans="1:17" ht="13.5" thickBot="1">
      <c r="A42" s="177" t="s">
        <v>1113</v>
      </c>
      <c r="B42" s="75"/>
      <c r="C42" s="75"/>
      <c r="D42" s="75"/>
      <c r="E42" s="75"/>
      <c r="F42" s="75"/>
      <c r="G42" s="75"/>
      <c r="H42" s="164" t="s">
        <v>339</v>
      </c>
      <c r="I42" s="178" t="s">
        <v>1055</v>
      </c>
      <c r="J42" s="179" t="s">
        <v>1114</v>
      </c>
      <c r="K42" s="179"/>
      <c r="L42" s="26"/>
      <c r="M42" s="26"/>
      <c r="N42" s="26"/>
      <c r="O42" s="26"/>
      <c r="P42" s="26"/>
      <c r="Q42" s="26"/>
    </row>
    <row r="43" spans="1:17">
      <c r="A43" s="49" t="str">
        <f>IND_Bal!$B$105</f>
        <v>IAL</v>
      </c>
      <c r="B43" s="180" t="s">
        <v>345</v>
      </c>
      <c r="C43" s="76" t="s">
        <v>346</v>
      </c>
      <c r="D43" s="96" t="str">
        <f>IND_Commodities!$C$56</f>
        <v>MALBAU</v>
      </c>
      <c r="E43" s="96"/>
      <c r="F43" s="51">
        <v>2</v>
      </c>
      <c r="G43" s="49"/>
      <c r="H43" s="183">
        <f>$H$31*D11</f>
        <v>0</v>
      </c>
      <c r="I43" s="51">
        <v>30</v>
      </c>
      <c r="J43" s="51"/>
      <c r="K43" s="51"/>
      <c r="L43" s="26"/>
      <c r="M43" s="26"/>
      <c r="N43" s="26"/>
      <c r="O43" s="26"/>
      <c r="P43" s="26"/>
      <c r="Q43" s="26"/>
    </row>
    <row r="44" spans="1:17">
      <c r="A44" s="49"/>
      <c r="B44" s="49"/>
      <c r="C44" s="49"/>
      <c r="D44" s="96" t="str">
        <f>IND_Commodities!$C$25</f>
        <v>INDELC</v>
      </c>
      <c r="E44" s="98"/>
      <c r="F44" s="51">
        <v>49.8</v>
      </c>
      <c r="G44" s="49"/>
      <c r="H44" s="183"/>
      <c r="I44" s="49"/>
      <c r="J44" s="49"/>
      <c r="K44" s="49"/>
      <c r="L44" s="26"/>
      <c r="M44" s="26"/>
      <c r="N44" s="26"/>
      <c r="O44" s="26"/>
      <c r="P44" s="26"/>
      <c r="Q44" s="26"/>
    </row>
    <row r="45" spans="1:17">
      <c r="A45" s="49"/>
      <c r="B45" s="49"/>
      <c r="C45" s="49"/>
      <c r="D45" s="96" t="str">
        <f>IND_Commodities!$C$15</f>
        <v>INDGAS</v>
      </c>
      <c r="E45" s="49"/>
      <c r="F45" s="51">
        <v>4.2</v>
      </c>
      <c r="G45" s="49"/>
      <c r="H45" s="183"/>
      <c r="I45" s="49"/>
      <c r="J45" s="49"/>
      <c r="K45" s="49"/>
      <c r="L45" s="26"/>
      <c r="M45" s="26"/>
      <c r="N45" s="26"/>
      <c r="O45" s="26"/>
      <c r="P45" s="26"/>
      <c r="Q45" s="26"/>
    </row>
    <row r="46" spans="1:17">
      <c r="A46" s="49"/>
      <c r="B46" s="186"/>
      <c r="C46" s="49"/>
      <c r="D46" s="96" t="str">
        <f>IND_Commodities!$C$11</f>
        <v>INDLFO</v>
      </c>
      <c r="E46" s="49"/>
      <c r="F46" s="189">
        <v>12.9</v>
      </c>
      <c r="G46" s="49"/>
      <c r="H46" s="49"/>
      <c r="I46" s="49"/>
      <c r="J46" s="49"/>
      <c r="K46" s="49"/>
      <c r="L46" s="26"/>
      <c r="M46" s="26"/>
      <c r="N46" s="26"/>
      <c r="O46" s="26"/>
      <c r="P46" s="26"/>
      <c r="Q46" s="26"/>
    </row>
    <row r="47" spans="1:17">
      <c r="A47" s="49"/>
      <c r="B47" s="49"/>
      <c r="C47" s="49"/>
      <c r="D47" s="96"/>
      <c r="E47" s="96" t="str">
        <f>IND_Commodities!$C$58</f>
        <v>MALCAL</v>
      </c>
      <c r="F47" s="49"/>
      <c r="G47" s="49">
        <v>1</v>
      </c>
      <c r="H47" s="49"/>
      <c r="I47" s="49"/>
      <c r="J47" s="49"/>
      <c r="K47" s="49"/>
      <c r="L47" s="26"/>
      <c r="M47" s="26"/>
      <c r="N47" s="26"/>
      <c r="O47" s="26"/>
      <c r="P47" s="26"/>
      <c r="Q47" s="26"/>
    </row>
    <row r="48" spans="1:17">
      <c r="A48" s="170" t="s">
        <v>202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26"/>
      <c r="M48" s="26"/>
      <c r="N48" s="26"/>
      <c r="O48" s="26"/>
      <c r="P48" s="26"/>
      <c r="Q48" s="26"/>
    </row>
    <row r="49" spans="1:17">
      <c r="A49" s="49" t="str">
        <f>IND_Bal!$B$105</f>
        <v>IAL</v>
      </c>
      <c r="B49" s="180" t="s">
        <v>343</v>
      </c>
      <c r="C49" s="76" t="s">
        <v>344</v>
      </c>
      <c r="D49" s="96" t="str">
        <f>IND_Commodities!$C$56</f>
        <v>MALBAU</v>
      </c>
      <c r="E49" s="96"/>
      <c r="F49" s="51">
        <v>2</v>
      </c>
      <c r="G49" s="49"/>
      <c r="H49" s="183">
        <f>$H$31*D12</f>
        <v>0</v>
      </c>
      <c r="I49" s="51">
        <v>30</v>
      </c>
      <c r="J49" s="51"/>
      <c r="K49" s="51"/>
      <c r="L49" s="26"/>
      <c r="M49" s="26"/>
      <c r="N49" s="26"/>
      <c r="O49" s="26"/>
      <c r="P49" s="26"/>
      <c r="Q49" s="26"/>
    </row>
    <row r="50" spans="1:17">
      <c r="A50" s="49"/>
      <c r="B50" s="98"/>
      <c r="C50" s="98"/>
      <c r="D50" s="96" t="str">
        <f>IND_Commodities!$C$25</f>
        <v>INDELC</v>
      </c>
      <c r="E50" s="98"/>
      <c r="F50" s="51">
        <v>44</v>
      </c>
      <c r="G50" s="49"/>
      <c r="H50" s="183"/>
      <c r="I50" s="49"/>
      <c r="J50" s="49"/>
      <c r="K50" s="49"/>
      <c r="L50" s="26"/>
      <c r="M50" s="26"/>
      <c r="N50" s="26"/>
      <c r="O50" s="26"/>
      <c r="P50" s="26"/>
      <c r="Q50" s="26"/>
    </row>
    <row r="51" spans="1:17">
      <c r="A51" s="49"/>
      <c r="B51" s="49"/>
      <c r="C51" s="49"/>
      <c r="D51" s="96" t="str">
        <f>IND_Commodities!$C$15</f>
        <v>INDGAS</v>
      </c>
      <c r="E51" s="49"/>
      <c r="F51" s="51">
        <v>4.2</v>
      </c>
      <c r="G51" s="49"/>
      <c r="H51" s="183"/>
      <c r="I51" s="49"/>
      <c r="J51" s="49"/>
      <c r="K51" s="49"/>
      <c r="L51" s="26"/>
      <c r="M51" s="26"/>
      <c r="N51" s="26"/>
      <c r="O51" s="26"/>
      <c r="P51" s="26"/>
      <c r="Q51" s="26"/>
    </row>
    <row r="52" spans="1:17">
      <c r="A52" s="49"/>
      <c r="B52" s="49"/>
      <c r="C52" s="49"/>
      <c r="D52" s="96" t="str">
        <f>IND_Commodities!$C$11</f>
        <v>INDLFO</v>
      </c>
      <c r="E52" s="49"/>
      <c r="F52" s="189">
        <v>10</v>
      </c>
      <c r="G52" s="49"/>
      <c r="H52" s="49"/>
      <c r="I52" s="49"/>
      <c r="J52" s="49"/>
      <c r="K52" s="49"/>
      <c r="L52" s="26"/>
      <c r="M52" s="26"/>
      <c r="N52" s="26"/>
      <c r="O52" s="26"/>
      <c r="P52" s="26"/>
      <c r="Q52" s="26"/>
    </row>
    <row r="53" spans="1:17">
      <c r="A53" s="49"/>
      <c r="B53" s="49"/>
      <c r="C53" s="49"/>
      <c r="D53" s="96"/>
      <c r="E53" s="96" t="str">
        <f>IND_Commodities!$C$58</f>
        <v>MALCAL</v>
      </c>
      <c r="F53" s="49"/>
      <c r="G53" s="49">
        <v>1</v>
      </c>
      <c r="H53" s="49"/>
      <c r="I53" s="49"/>
      <c r="J53" s="49"/>
      <c r="K53" s="49"/>
      <c r="L53" s="26"/>
      <c r="M53" s="26"/>
      <c r="N53" s="26"/>
      <c r="O53" s="26"/>
      <c r="P53" s="26"/>
      <c r="Q53" s="26"/>
    </row>
    <row r="54" spans="1:17">
      <c r="A54" s="170" t="s">
        <v>202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26"/>
      <c r="M54" s="26"/>
      <c r="N54" s="26"/>
      <c r="O54" s="26"/>
      <c r="P54" s="26"/>
      <c r="Q54" s="26"/>
    </row>
    <row r="55" spans="1:17">
      <c r="A55" s="49" t="str">
        <f>IND_Bal!$B$105</f>
        <v>IAL</v>
      </c>
      <c r="B55" s="180" t="s">
        <v>347</v>
      </c>
      <c r="C55" s="76" t="s">
        <v>348</v>
      </c>
      <c r="D55" s="96" t="str">
        <f>IND_Commodities!$C$56</f>
        <v>MALBAU</v>
      </c>
      <c r="E55" s="96"/>
      <c r="F55" s="51">
        <v>2</v>
      </c>
      <c r="G55" s="49"/>
      <c r="H55" s="183">
        <f>$H$31*D13</f>
        <v>0</v>
      </c>
      <c r="I55" s="51">
        <v>30</v>
      </c>
      <c r="J55" s="51"/>
      <c r="K55" s="51"/>
      <c r="L55" s="26"/>
      <c r="M55" s="26"/>
      <c r="N55" s="26"/>
      <c r="O55" s="26"/>
      <c r="P55" s="26"/>
      <c r="Q55" s="26"/>
    </row>
    <row r="56" spans="1:17">
      <c r="A56" s="49"/>
      <c r="B56" s="49"/>
      <c r="C56" s="49"/>
      <c r="D56" s="96" t="str">
        <f>IND_Commodities!$C$25</f>
        <v>INDELC</v>
      </c>
      <c r="E56" s="49"/>
      <c r="F56" s="189">
        <v>40</v>
      </c>
      <c r="G56" s="49"/>
      <c r="H56" s="49"/>
      <c r="I56" s="49"/>
      <c r="J56" s="49"/>
      <c r="K56" s="49"/>
      <c r="L56" s="26"/>
      <c r="M56" s="26"/>
      <c r="N56" s="26"/>
      <c r="O56" s="26"/>
      <c r="P56" s="26"/>
      <c r="Q56" s="26"/>
    </row>
    <row r="57" spans="1:17">
      <c r="A57" s="49"/>
      <c r="B57" s="49"/>
      <c r="C57" s="49"/>
      <c r="D57" s="96" t="str">
        <f>IND_Commodities!$C$15</f>
        <v>INDGAS</v>
      </c>
      <c r="E57" s="49"/>
      <c r="F57" s="51">
        <v>1.5</v>
      </c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</row>
    <row r="58" spans="1:17">
      <c r="A58" s="49"/>
      <c r="B58" s="49"/>
      <c r="C58" s="49"/>
      <c r="D58" s="96"/>
      <c r="E58" s="96" t="str">
        <f>IND_Commodities!$C$58</f>
        <v>MALCAL</v>
      </c>
      <c r="F58" s="49"/>
      <c r="G58" s="49">
        <v>1</v>
      </c>
      <c r="H58" s="49"/>
      <c r="I58" s="49"/>
      <c r="J58" s="49"/>
      <c r="K58" s="49"/>
      <c r="L58" s="26"/>
      <c r="M58" s="26"/>
      <c r="N58" s="26"/>
      <c r="O58" s="26"/>
      <c r="P58" s="26"/>
      <c r="Q58" s="26"/>
    </row>
    <row r="59" spans="1:17">
      <c r="A59" s="170" t="s">
        <v>202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26"/>
      <c r="M59" s="26"/>
      <c r="N59" s="26"/>
      <c r="O59" s="26"/>
      <c r="P59" s="26"/>
      <c r="Q59" s="26"/>
    </row>
    <row r="60" spans="1:17">
      <c r="A60" s="49" t="str">
        <f>IND_Bal!$B$105</f>
        <v>IAL</v>
      </c>
      <c r="B60" s="180" t="s">
        <v>349</v>
      </c>
      <c r="C60" s="76" t="s">
        <v>350</v>
      </c>
      <c r="D60" s="96" t="str">
        <f>IND_Commodities!$C$56</f>
        <v>MALBAU</v>
      </c>
      <c r="E60" s="96"/>
      <c r="F60" s="51">
        <v>2</v>
      </c>
      <c r="G60" s="49"/>
      <c r="H60" s="183">
        <f>$H$31*D14</f>
        <v>0</v>
      </c>
      <c r="I60" s="51">
        <v>30</v>
      </c>
      <c r="J60" s="51"/>
      <c r="K60" s="51"/>
      <c r="L60" s="26"/>
      <c r="M60" s="26"/>
      <c r="N60" s="26"/>
      <c r="O60" s="26"/>
      <c r="P60" s="26"/>
      <c r="Q60" s="26"/>
    </row>
    <row r="61" spans="1:17">
      <c r="A61" s="49"/>
      <c r="B61" s="49"/>
      <c r="C61" s="49"/>
      <c r="D61" s="96" t="str">
        <f>IND_Commodities!$C$57</f>
        <v>MALSCR</v>
      </c>
      <c r="E61" s="49"/>
      <c r="F61" s="189">
        <v>1.05</v>
      </c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</row>
    <row r="62" spans="1:17">
      <c r="A62" s="49"/>
      <c r="B62" s="49"/>
      <c r="C62" s="49"/>
      <c r="D62" s="96" t="str">
        <f>IND_Commodities!$C$25</f>
        <v>INDELC</v>
      </c>
      <c r="E62" s="49"/>
      <c r="F62" s="189">
        <v>1.8</v>
      </c>
      <c r="G62" s="49"/>
      <c r="H62" s="49"/>
      <c r="I62" s="49"/>
      <c r="J62" s="49"/>
      <c r="K62" s="49"/>
      <c r="L62" s="26"/>
      <c r="M62" s="26"/>
      <c r="N62" s="26"/>
      <c r="O62" s="26"/>
      <c r="P62" s="26"/>
      <c r="Q62" s="26"/>
    </row>
    <row r="63" spans="1:17">
      <c r="A63" s="49"/>
      <c r="B63" s="49"/>
      <c r="C63" s="49"/>
      <c r="D63" s="96" t="str">
        <f>IND_Commodities!$C$15</f>
        <v>INDGAS</v>
      </c>
      <c r="E63" s="49"/>
      <c r="F63" s="51">
        <v>8.5</v>
      </c>
      <c r="G63" s="49"/>
      <c r="H63" s="49"/>
      <c r="I63" s="49"/>
      <c r="J63" s="49"/>
      <c r="K63" s="49"/>
      <c r="L63" s="26"/>
      <c r="M63" s="26"/>
      <c r="N63" s="26"/>
      <c r="O63" s="26"/>
      <c r="P63" s="26"/>
      <c r="Q63" s="26"/>
    </row>
    <row r="64" spans="1:17">
      <c r="A64" s="49"/>
      <c r="B64" s="49"/>
      <c r="C64" s="49"/>
      <c r="D64" s="96"/>
      <c r="E64" s="96" t="str">
        <f>IND_Commodities!$C$58</f>
        <v>MALCAL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</row>
    <row r="65" spans="1:17">
      <c r="A65" s="170" t="s">
        <v>202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26"/>
      <c r="M65" s="26"/>
      <c r="N65" s="26"/>
      <c r="O65" s="26"/>
      <c r="P65" s="26"/>
      <c r="Q65" s="26"/>
    </row>
    <row r="66" spans="1:1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>
      <c r="A67" s="26"/>
      <c r="B67" s="26"/>
      <c r="C67" s="26"/>
      <c r="D67" s="26"/>
      <c r="E67" s="40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ht="18.75">
      <c r="A68" s="103" t="s">
        <v>1158</v>
      </c>
      <c r="B68" s="43"/>
      <c r="C68" s="43"/>
      <c r="D68" s="43"/>
      <c r="E68" s="40" t="str">
        <f>IF($B$5=0,"DeAct","~FI_T")</f>
        <v>DeAct</v>
      </c>
      <c r="F68" s="40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>
      <c r="A69" s="89" t="s">
        <v>1110</v>
      </c>
      <c r="B69" s="89" t="s">
        <v>318</v>
      </c>
      <c r="C69" s="89" t="s">
        <v>327</v>
      </c>
      <c r="D69" s="89" t="s">
        <v>718</v>
      </c>
      <c r="E69" s="89" t="s">
        <v>719</v>
      </c>
      <c r="F69" s="90" t="s">
        <v>1111</v>
      </c>
      <c r="G69" s="90" t="s">
        <v>1112</v>
      </c>
      <c r="H69" s="90" t="s">
        <v>801</v>
      </c>
      <c r="I69" s="90" t="s">
        <v>727</v>
      </c>
      <c r="J69" s="90" t="s">
        <v>725</v>
      </c>
      <c r="K69" s="90" t="s">
        <v>724</v>
      </c>
      <c r="L69" s="26"/>
      <c r="M69" s="26"/>
      <c r="N69" s="26"/>
      <c r="O69" s="26"/>
      <c r="P69" s="26"/>
      <c r="Q69" s="26"/>
    </row>
    <row r="70" spans="1:17" ht="13.5" thickBot="1">
      <c r="A70" s="177" t="s">
        <v>1113</v>
      </c>
      <c r="B70" s="75"/>
      <c r="C70" s="75"/>
      <c r="D70" s="75"/>
      <c r="E70" s="75"/>
      <c r="F70" s="75"/>
      <c r="G70" s="75"/>
      <c r="H70" s="164" t="s">
        <v>339</v>
      </c>
      <c r="I70" s="178" t="s">
        <v>1055</v>
      </c>
      <c r="J70" s="179" t="s">
        <v>1114</v>
      </c>
      <c r="K70" s="179"/>
      <c r="L70" s="26"/>
      <c r="M70" s="26"/>
      <c r="N70" s="26"/>
      <c r="O70" s="26"/>
      <c r="P70" s="26"/>
      <c r="Q70" s="26"/>
    </row>
    <row r="71" spans="1:17">
      <c r="A71" s="49" t="str">
        <f>IND_Bal!$B$106</f>
        <v>ICU</v>
      </c>
      <c r="B71" s="180" t="s">
        <v>439</v>
      </c>
      <c r="C71" s="76" t="s">
        <v>440</v>
      </c>
      <c r="D71" s="96" t="str">
        <f>IND_Commodities!$C$61</f>
        <v>MCUSCU</v>
      </c>
      <c r="E71" s="96"/>
      <c r="F71" s="51">
        <v>1.04</v>
      </c>
      <c r="G71" s="49"/>
      <c r="H71" s="183">
        <f>'IAL  ICU'!B5</f>
        <v>0</v>
      </c>
      <c r="I71" s="51">
        <v>30</v>
      </c>
      <c r="J71" s="51"/>
      <c r="K71" s="51"/>
      <c r="L71" s="26"/>
      <c r="M71" s="26"/>
      <c r="N71" s="26"/>
      <c r="O71" s="26"/>
      <c r="P71" s="26"/>
      <c r="Q71" s="26"/>
    </row>
    <row r="72" spans="1:17">
      <c r="A72" s="49"/>
      <c r="B72" s="49"/>
      <c r="C72" s="49"/>
      <c r="D72" s="96" t="str">
        <f>IND_Commodities!$C$13</f>
        <v>INDHFO</v>
      </c>
      <c r="E72" s="49"/>
      <c r="F72" s="189">
        <v>3.5</v>
      </c>
      <c r="G72" s="49"/>
      <c r="H72" s="49"/>
      <c r="I72" s="49"/>
      <c r="J72" s="49"/>
      <c r="K72" s="49"/>
      <c r="L72" s="26"/>
      <c r="M72" s="26"/>
      <c r="N72" s="26"/>
      <c r="O72" s="26"/>
      <c r="P72" s="26"/>
      <c r="Q72" s="26"/>
    </row>
    <row r="73" spans="1:17">
      <c r="A73" s="49"/>
      <c r="B73" s="49"/>
      <c r="C73" s="49"/>
      <c r="D73" s="96" t="str">
        <f>IND_Bal!$H$44</f>
        <v>INDLPG</v>
      </c>
      <c r="E73" s="49"/>
      <c r="F73" s="189">
        <v>3.5</v>
      </c>
      <c r="G73" s="49"/>
      <c r="H73" s="49"/>
      <c r="I73" s="49"/>
      <c r="J73" s="49"/>
      <c r="K73" s="49"/>
      <c r="L73" s="26"/>
      <c r="M73" s="26"/>
      <c r="N73" s="26"/>
      <c r="O73" s="26"/>
      <c r="P73" s="26"/>
      <c r="Q73" s="26"/>
    </row>
    <row r="74" spans="1:17">
      <c r="A74" s="49"/>
      <c r="B74" s="49"/>
      <c r="C74" s="49"/>
      <c r="D74" s="96" t="str">
        <f>IND_Commodities!$C$25</f>
        <v>INDELC</v>
      </c>
      <c r="E74" s="49"/>
      <c r="F74" s="189">
        <v>2</v>
      </c>
      <c r="G74" s="49"/>
      <c r="H74" s="49"/>
      <c r="I74" s="49"/>
      <c r="J74" s="49"/>
      <c r="K74" s="49"/>
      <c r="L74" s="26"/>
      <c r="M74" s="26"/>
      <c r="N74" s="26"/>
      <c r="O74" s="26"/>
      <c r="P74" s="26"/>
      <c r="Q74" s="26"/>
    </row>
    <row r="75" spans="1:17">
      <c r="A75" s="49"/>
      <c r="B75" s="49"/>
      <c r="C75" s="49"/>
      <c r="D75" s="96"/>
      <c r="E75" s="86" t="str">
        <f>IND_Commodities!$C$86</f>
        <v>ICU</v>
      </c>
      <c r="F75" s="49"/>
      <c r="G75" s="49">
        <v>1</v>
      </c>
      <c r="H75" s="49"/>
      <c r="I75" s="49"/>
      <c r="J75" s="49"/>
      <c r="K75" s="49"/>
      <c r="L75" s="26"/>
      <c r="M75" s="26"/>
      <c r="N75" s="26"/>
      <c r="O75" s="26"/>
      <c r="P75" s="26"/>
      <c r="Q75" s="26"/>
    </row>
    <row r="76" spans="1:17">
      <c r="A76" s="49"/>
      <c r="B76" s="49"/>
      <c r="C76" s="49"/>
      <c r="D76" s="96"/>
      <c r="E76" s="96" t="str">
        <f>IND_Commodities!$C$60</f>
        <v>MCUSCR</v>
      </c>
      <c r="F76" s="49"/>
      <c r="G76" s="49">
        <v>0.04</v>
      </c>
      <c r="H76" s="49"/>
      <c r="I76" s="49"/>
      <c r="J76" s="49"/>
      <c r="K76" s="49"/>
      <c r="L76" s="26"/>
      <c r="M76" s="26"/>
      <c r="N76" s="26"/>
      <c r="O76" s="26"/>
      <c r="P76" s="26"/>
      <c r="Q76" s="26"/>
    </row>
    <row r="77" spans="1:17">
      <c r="A77" s="170" t="s">
        <v>202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</row>
    <row r="78" spans="1:1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>
      <c r="A79" s="26"/>
      <c r="B79" s="26"/>
      <c r="C79" s="26"/>
      <c r="D79" s="26"/>
      <c r="E79" s="40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ht="18.75">
      <c r="A80" s="103" t="s">
        <v>1159</v>
      </c>
      <c r="B80" s="43"/>
      <c r="C80" s="43"/>
      <c r="D80" s="43"/>
      <c r="E80" s="40" t="str">
        <f>IF($B$5=0,"DeAct","~FI_T")</f>
        <v>DeAct</v>
      </c>
      <c r="F80" s="40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>
      <c r="A81" s="89" t="s">
        <v>1110</v>
      </c>
      <c r="B81" s="89" t="s">
        <v>318</v>
      </c>
      <c r="C81" s="89" t="s">
        <v>327</v>
      </c>
      <c r="D81" s="89" t="s">
        <v>718</v>
      </c>
      <c r="E81" s="89" t="s">
        <v>719</v>
      </c>
      <c r="F81" s="90" t="s">
        <v>1111</v>
      </c>
      <c r="G81" s="90" t="s">
        <v>1112</v>
      </c>
      <c r="H81" s="90" t="s">
        <v>801</v>
      </c>
      <c r="I81" s="90" t="s">
        <v>727</v>
      </c>
      <c r="J81" s="90" t="s">
        <v>725</v>
      </c>
      <c r="K81" s="90" t="s">
        <v>724</v>
      </c>
      <c r="L81" s="26"/>
      <c r="M81" s="26"/>
      <c r="N81" s="26"/>
      <c r="O81" s="26"/>
      <c r="P81" s="26"/>
      <c r="Q81" s="26"/>
    </row>
    <row r="82" spans="1:17" ht="13.5" thickBot="1">
      <c r="A82" s="177" t="s">
        <v>1113</v>
      </c>
      <c r="B82" s="75"/>
      <c r="C82" s="75"/>
      <c r="D82" s="75"/>
      <c r="E82" s="75"/>
      <c r="F82" s="75"/>
      <c r="G82" s="75"/>
      <c r="H82" s="164" t="s">
        <v>339</v>
      </c>
      <c r="I82" s="178" t="s">
        <v>1055</v>
      </c>
      <c r="J82" s="179" t="s">
        <v>1114</v>
      </c>
      <c r="K82" s="179"/>
      <c r="L82" s="26"/>
      <c r="M82" s="26"/>
      <c r="N82" s="26"/>
      <c r="O82" s="26"/>
      <c r="P82" s="26"/>
      <c r="Q82" s="26"/>
    </row>
    <row r="83" spans="1:17">
      <c r="A83" s="49" t="str">
        <f>IND_Bal!$B$106</f>
        <v>ICU</v>
      </c>
      <c r="B83" s="180" t="s">
        <v>441</v>
      </c>
      <c r="C83" s="76" t="s">
        <v>442</v>
      </c>
      <c r="D83" s="96" t="str">
        <f>IND_Commodities!$C$59</f>
        <v>MCUORE</v>
      </c>
      <c r="E83" s="96"/>
      <c r="F83" s="51">
        <v>3.3</v>
      </c>
      <c r="G83" s="49"/>
      <c r="H83" s="203">
        <f>$H$71*$F$71*D18</f>
        <v>0</v>
      </c>
      <c r="I83" s="51">
        <v>30</v>
      </c>
      <c r="J83" s="51"/>
      <c r="K83" s="51"/>
      <c r="L83" s="26"/>
      <c r="M83" s="26"/>
      <c r="N83" s="26"/>
      <c r="O83" s="26"/>
      <c r="P83" s="26"/>
      <c r="Q83" s="26"/>
    </row>
    <row r="84" spans="1:17">
      <c r="A84" s="49"/>
      <c r="B84" s="49"/>
      <c r="C84" s="49"/>
      <c r="D84" s="96" t="str">
        <f>IND_Commodities!$C$25</f>
        <v>INDELC</v>
      </c>
      <c r="E84" s="98"/>
      <c r="F84" s="189">
        <v>10</v>
      </c>
      <c r="G84" s="49"/>
      <c r="H84" s="183"/>
      <c r="I84" s="49"/>
      <c r="J84" s="49"/>
      <c r="K84" s="49"/>
      <c r="L84" s="26"/>
      <c r="M84" s="26"/>
      <c r="N84" s="26"/>
      <c r="O84" s="26"/>
      <c r="P84" s="26"/>
      <c r="Q84" s="26"/>
    </row>
    <row r="85" spans="1:17">
      <c r="A85" s="49"/>
      <c r="B85" s="49"/>
      <c r="C85" s="49"/>
      <c r="D85" s="96" t="str">
        <f>IND_Commodities!$C$30</f>
        <v>ICUHTH</v>
      </c>
      <c r="E85" s="49"/>
      <c r="F85" s="51">
        <v>1</v>
      </c>
      <c r="G85" s="49"/>
      <c r="H85" s="183"/>
      <c r="I85" s="49"/>
      <c r="J85" s="49"/>
      <c r="K85" s="49"/>
      <c r="L85" s="26"/>
      <c r="M85" s="26"/>
      <c r="N85" s="26"/>
      <c r="O85" s="26"/>
      <c r="P85" s="26"/>
      <c r="Q85" s="26"/>
    </row>
    <row r="86" spans="1:17">
      <c r="A86" s="49"/>
      <c r="B86" s="49"/>
      <c r="C86" s="49"/>
      <c r="D86" s="96" t="str">
        <f>IND_Commodities!$C$13</f>
        <v>INDHFO</v>
      </c>
      <c r="E86" s="49"/>
      <c r="F86" s="51">
        <v>10</v>
      </c>
      <c r="G86" s="49"/>
      <c r="H86" s="183"/>
      <c r="I86" s="49"/>
      <c r="J86" s="49"/>
      <c r="K86" s="49"/>
      <c r="L86" s="26"/>
      <c r="M86" s="26"/>
      <c r="N86" s="26"/>
      <c r="O86" s="26"/>
      <c r="P86" s="26"/>
      <c r="Q86" s="26"/>
    </row>
    <row r="87" spans="1:17">
      <c r="A87" s="49"/>
      <c r="B87" s="49"/>
      <c r="C87" s="49"/>
      <c r="D87" s="96" t="str">
        <f>IND_Commodities!$C$15</f>
        <v>INDGAS</v>
      </c>
      <c r="E87" s="49"/>
      <c r="F87" s="51">
        <v>3.2</v>
      </c>
      <c r="G87" s="49"/>
      <c r="H87" s="183"/>
      <c r="I87" s="49"/>
      <c r="J87" s="49"/>
      <c r="K87" s="49"/>
      <c r="L87" s="26"/>
      <c r="M87" s="26"/>
      <c r="N87" s="26"/>
      <c r="O87" s="26"/>
      <c r="P87" s="26"/>
      <c r="Q87" s="26"/>
    </row>
    <row r="88" spans="1:17">
      <c r="A88" s="49"/>
      <c r="B88" s="49"/>
      <c r="C88" s="49"/>
      <c r="D88" s="96" t="str">
        <f>IND_Bal!$F$44</f>
        <v>INDCOK</v>
      </c>
      <c r="E88" s="49"/>
      <c r="F88" s="51">
        <v>1.9</v>
      </c>
      <c r="G88" s="49"/>
      <c r="H88" s="183"/>
      <c r="I88" s="49"/>
      <c r="J88" s="49"/>
      <c r="K88" s="49"/>
      <c r="L88" s="26"/>
      <c r="M88" s="26"/>
      <c r="N88" s="26"/>
      <c r="O88" s="26"/>
      <c r="P88" s="26"/>
      <c r="Q88" s="26"/>
    </row>
    <row r="89" spans="1:17">
      <c r="A89" s="49"/>
      <c r="B89" s="49"/>
      <c r="C89" s="49"/>
      <c r="D89" s="96" t="str">
        <f>IND_Bal!$I$44</f>
        <v>INDLFO</v>
      </c>
      <c r="E89" s="49"/>
      <c r="F89" s="51">
        <v>1</v>
      </c>
      <c r="G89" s="49"/>
      <c r="H89" s="183"/>
      <c r="I89" s="49"/>
      <c r="J89" s="49"/>
      <c r="K89" s="49"/>
      <c r="L89" s="26"/>
      <c r="M89" s="26"/>
      <c r="N89" s="26"/>
      <c r="O89" s="26"/>
      <c r="P89" s="26"/>
      <c r="Q89" s="26"/>
    </row>
    <row r="90" spans="1:17">
      <c r="A90" s="49"/>
      <c r="B90" s="49"/>
      <c r="C90" s="49"/>
      <c r="D90" s="96"/>
      <c r="E90" s="96" t="str">
        <f>IND_Commodities!$C$61</f>
        <v>MCUSCU</v>
      </c>
      <c r="F90" s="49"/>
      <c r="G90" s="49">
        <v>1</v>
      </c>
      <c r="H90" s="49"/>
      <c r="I90" s="49"/>
      <c r="J90" s="49"/>
      <c r="K90" s="49"/>
      <c r="L90" s="26"/>
      <c r="M90" s="26"/>
      <c r="N90" s="26"/>
      <c r="O90" s="26"/>
      <c r="P90" s="26"/>
      <c r="Q90" s="26"/>
    </row>
    <row r="91" spans="1:17">
      <c r="A91" s="170" t="s">
        <v>202</v>
      </c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26"/>
      <c r="M91" s="26"/>
      <c r="N91" s="26"/>
      <c r="O91" s="26"/>
      <c r="P91" s="26"/>
      <c r="Q91" s="26"/>
    </row>
    <row r="92" spans="1:17">
      <c r="A92" s="49" t="str">
        <f>IND_Bal!$B$106</f>
        <v>ICU</v>
      </c>
      <c r="B92" s="180" t="s">
        <v>443</v>
      </c>
      <c r="C92" s="76" t="s">
        <v>444</v>
      </c>
      <c r="D92" s="96" t="str">
        <f>IND_Commodities!$C$60</f>
        <v>MCUSCR</v>
      </c>
      <c r="E92" s="96"/>
      <c r="F92" s="189">
        <v>1.04</v>
      </c>
      <c r="G92" s="49"/>
      <c r="H92" s="195">
        <f>$H$71*$F$71*D19</f>
        <v>0</v>
      </c>
      <c r="I92" s="51">
        <v>30</v>
      </c>
      <c r="J92" s="51"/>
      <c r="K92" s="51"/>
      <c r="L92" s="26"/>
      <c r="M92" s="26"/>
      <c r="N92" s="26"/>
      <c r="O92" s="26"/>
      <c r="P92" s="26"/>
      <c r="Q92" s="26"/>
    </row>
    <row r="93" spans="1:17">
      <c r="A93" s="49"/>
      <c r="B93" s="49"/>
      <c r="C93" s="49"/>
      <c r="D93" s="96" t="str">
        <f>IND_Commodities!$C$25</f>
        <v>INDELC</v>
      </c>
      <c r="E93" s="98"/>
      <c r="F93" s="189">
        <v>1.35</v>
      </c>
      <c r="G93" s="49"/>
      <c r="H93" s="183"/>
      <c r="I93" s="49"/>
      <c r="J93" s="49"/>
      <c r="K93" s="49"/>
      <c r="L93" s="26"/>
      <c r="M93" s="26"/>
      <c r="N93" s="26"/>
      <c r="O93" s="26"/>
      <c r="P93" s="26"/>
      <c r="Q93" s="26"/>
    </row>
    <row r="94" spans="1:17">
      <c r="A94" s="49"/>
      <c r="B94" s="49"/>
      <c r="C94" s="49"/>
      <c r="D94" s="96" t="str">
        <f>IND_Commodities!$C$30</f>
        <v>ICUHTH</v>
      </c>
      <c r="E94" s="49"/>
      <c r="F94" s="51">
        <v>1</v>
      </c>
      <c r="G94" s="49"/>
      <c r="H94" s="183"/>
      <c r="I94" s="49"/>
      <c r="J94" s="49"/>
      <c r="K94" s="49"/>
      <c r="L94" s="26"/>
      <c r="M94" s="26"/>
      <c r="N94" s="26"/>
      <c r="O94" s="26"/>
      <c r="P94" s="26"/>
      <c r="Q94" s="26"/>
    </row>
    <row r="95" spans="1:17">
      <c r="A95" s="49"/>
      <c r="B95" s="49"/>
      <c r="C95" s="49"/>
      <c r="D95" s="96" t="str">
        <f>IND_Commodities!$C$13</f>
        <v>INDHFO</v>
      </c>
      <c r="E95" s="49"/>
      <c r="F95" s="51">
        <v>3.5</v>
      </c>
      <c r="G95" s="49"/>
      <c r="H95" s="183"/>
      <c r="I95" s="49"/>
      <c r="J95" s="49"/>
      <c r="K95" s="49"/>
      <c r="L95" s="26"/>
      <c r="M95" s="26"/>
      <c r="N95" s="26"/>
      <c r="O95" s="26"/>
      <c r="P95" s="26"/>
      <c r="Q95" s="26"/>
    </row>
    <row r="96" spans="1:17">
      <c r="A96" s="49"/>
      <c r="B96" s="49"/>
      <c r="C96" s="49"/>
      <c r="D96" s="96" t="str">
        <f>IND_Commodities!$C$15</f>
        <v>INDGAS</v>
      </c>
      <c r="E96" s="49"/>
      <c r="F96" s="51">
        <v>1.8</v>
      </c>
      <c r="G96" s="49"/>
      <c r="H96" s="183"/>
      <c r="I96" s="49"/>
      <c r="J96" s="49"/>
      <c r="K96" s="49"/>
      <c r="L96" s="26"/>
      <c r="M96" s="26"/>
      <c r="N96" s="26"/>
      <c r="O96" s="26"/>
      <c r="P96" s="26"/>
      <c r="Q96" s="26"/>
    </row>
    <row r="97" spans="1:17">
      <c r="A97" s="49"/>
      <c r="B97" s="49"/>
      <c r="C97" s="49"/>
      <c r="D97" s="96" t="str">
        <f>IND_Commodities!$C$5</f>
        <v>INDCOA</v>
      </c>
      <c r="E97" s="49"/>
      <c r="F97" s="51">
        <v>1.6</v>
      </c>
      <c r="G97" s="49"/>
      <c r="H97" s="183"/>
      <c r="I97" s="49"/>
      <c r="J97" s="49"/>
      <c r="K97" s="49"/>
      <c r="L97" s="26"/>
      <c r="M97" s="26"/>
      <c r="N97" s="26"/>
      <c r="O97" s="26"/>
      <c r="P97" s="26"/>
      <c r="Q97" s="26"/>
    </row>
    <row r="98" spans="1:17">
      <c r="A98" s="49"/>
      <c r="B98" s="49"/>
      <c r="C98" s="49"/>
      <c r="D98" s="96"/>
      <c r="E98" s="96" t="str">
        <f>IND_Commodities!$C$61</f>
        <v>MCUSCU</v>
      </c>
      <c r="F98" s="49"/>
      <c r="G98" s="49">
        <v>1</v>
      </c>
      <c r="H98" s="183"/>
      <c r="I98" s="49"/>
      <c r="J98" s="49"/>
      <c r="K98" s="49"/>
      <c r="L98" s="26"/>
      <c r="M98" s="26"/>
      <c r="N98" s="26"/>
      <c r="O98" s="26"/>
      <c r="P98" s="26"/>
      <c r="Q98" s="26"/>
    </row>
    <row r="99" spans="1:17">
      <c r="A99" s="170" t="s">
        <v>202</v>
      </c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26"/>
      <c r="M99" s="26"/>
      <c r="N99" s="26"/>
      <c r="O99" s="26"/>
      <c r="P99" s="26"/>
      <c r="Q99" s="26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T86"/>
  <sheetViews>
    <sheetView zoomScale="75" zoomScaleNormal="75" workbookViewId="0">
      <selection activeCell="E52" sqref="E52"/>
    </sheetView>
  </sheetViews>
  <sheetFormatPr defaultColWidth="9.140625" defaultRowHeight="12.75"/>
  <cols>
    <col min="1" max="1" width="9.140625" style="25"/>
    <col min="2" max="2" width="65.5703125" style="25" bestFit="1" customWidth="1"/>
    <col min="3" max="3" width="30.5703125" style="25" bestFit="1" customWidth="1"/>
    <col min="4" max="16384" width="9.140625" style="25"/>
  </cols>
  <sheetData>
    <row r="1" spans="1:20" ht="18.75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IND_Commodities!C87</f>
        <v>INF</v>
      </c>
      <c r="B4" s="104">
        <f>F18</f>
        <v>17.133327376888545</v>
      </c>
      <c r="C4" s="49" t="str">
        <f>IND_Commodities!D87</f>
        <v>Other Non Ferrous Metals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987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8" si="0">SUM(D5:S5)</f>
        <v>0</v>
      </c>
    </row>
    <row r="6" spans="1:20">
      <c r="A6" s="86" t="s">
        <v>989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991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86" t="s">
        <v>993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0"/>
        <v>0</v>
      </c>
    </row>
    <row r="9" spans="1:20" ht="18.75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.75">
      <c r="A10" s="26"/>
      <c r="B10" s="27" t="s">
        <v>1160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26"/>
      <c r="M11" s="26"/>
      <c r="N11" s="26"/>
      <c r="O11" s="26"/>
      <c r="P11" s="470"/>
      <c r="Q11" s="470"/>
      <c r="R11" s="470"/>
      <c r="S11" s="470"/>
      <c r="T11" s="470"/>
    </row>
    <row r="12" spans="1:20">
      <c r="A12" s="26"/>
      <c r="B12" s="94" t="s">
        <v>493</v>
      </c>
      <c r="C12" s="95" t="s">
        <v>494</v>
      </c>
      <c r="D12" s="109" t="s">
        <v>1161</v>
      </c>
      <c r="E12" s="72"/>
      <c r="F12" s="38">
        <f>G34</f>
        <v>14.464233598530296</v>
      </c>
      <c r="G12" s="38">
        <f>IF($F$18=0,0,IF(F12/$B$4=0,"",F12/$B$4))</f>
        <v>0.84421626227964119</v>
      </c>
      <c r="H12" s="110"/>
      <c r="I12" s="197"/>
      <c r="J12" s="26"/>
      <c r="K12" s="26"/>
      <c r="L12" s="26"/>
      <c r="M12" s="26"/>
      <c r="N12" s="26"/>
      <c r="O12" s="26"/>
      <c r="P12" s="470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IND_Commodities!C102</f>
        <v>INFPRC</v>
      </c>
      <c r="E13" s="72"/>
      <c r="F13" s="38">
        <f>G48</f>
        <v>0</v>
      </c>
      <c r="G13" s="38" t="str">
        <f>IF($F$18=0,0,IF(F13/$B$4=0,"",F13/$B$4))</f>
        <v/>
      </c>
      <c r="H13" s="110"/>
      <c r="I13" s="60"/>
      <c r="J13" s="26"/>
      <c r="K13" s="26"/>
      <c r="L13" s="26"/>
      <c r="M13" s="26"/>
      <c r="N13" s="26"/>
      <c r="O13" s="26"/>
      <c r="P13" s="470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IND_Commodities!C103</f>
        <v>INFMCH</v>
      </c>
      <c r="E14" s="72"/>
      <c r="F14" s="38">
        <f>G62</f>
        <v>2.6690937783582496</v>
      </c>
      <c r="G14" s="38">
        <f t="shared" ref="G14:G16" si="1">IF($F$18=0,0,IF(F14/$B$4=0,"",F14/$B$4))</f>
        <v>0.15578373772035889</v>
      </c>
      <c r="H14" s="110"/>
      <c r="I14" s="60"/>
      <c r="J14" s="26"/>
      <c r="K14" s="26"/>
      <c r="L14" s="26"/>
      <c r="M14" s="26"/>
      <c r="N14" s="26"/>
      <c r="O14" s="26"/>
      <c r="P14" s="470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IND_Commodities!C104</f>
        <v>INFELE</v>
      </c>
      <c r="E15" s="72"/>
      <c r="F15" s="38">
        <f>G69</f>
        <v>0</v>
      </c>
      <c r="G15" s="38" t="str">
        <f t="shared" si="1"/>
        <v/>
      </c>
      <c r="H15" s="110"/>
      <c r="I15" s="60"/>
      <c r="J15" s="26"/>
      <c r="K15" s="26"/>
      <c r="L15" s="26"/>
      <c r="M15" s="26"/>
      <c r="N15" s="26"/>
      <c r="O15" s="26"/>
      <c r="P15" s="470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IND_Commodities!C105</f>
        <v>INFOTH</v>
      </c>
      <c r="E16" s="72"/>
      <c r="F16" s="38">
        <f>G86</f>
        <v>0</v>
      </c>
      <c r="G16" s="38" t="str">
        <f t="shared" si="1"/>
        <v/>
      </c>
      <c r="H16" s="110"/>
      <c r="I16" s="60"/>
      <c r="J16" s="26"/>
      <c r="K16" s="26"/>
      <c r="L16" s="26"/>
      <c r="M16" s="26"/>
      <c r="N16" s="26"/>
      <c r="O16" s="26"/>
      <c r="P16" s="470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INF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470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17.133327376888545</v>
      </c>
      <c r="G18" s="115"/>
      <c r="H18" s="84"/>
      <c r="I18" s="84"/>
      <c r="J18" s="26"/>
      <c r="K18" s="26"/>
      <c r="L18" s="26"/>
      <c r="M18" s="26"/>
      <c r="N18" s="26"/>
      <c r="O18" s="26"/>
      <c r="P18" s="470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IF($B$4="","DeAct","~FI_T")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25" thickBot="1">
      <c r="A24" s="470"/>
      <c r="B24" s="198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118" t="s">
        <v>791</v>
      </c>
      <c r="P24" s="118" t="s">
        <v>803</v>
      </c>
    </row>
    <row r="25" spans="1:16" ht="25.5">
      <c r="A25" s="470"/>
      <c r="B25" s="109" t="str">
        <f t="shared" ref="B25:B33" si="2">"INFSTM"&amp;RIGHT(D25,3)&amp;"00"</f>
        <v>INFSTMCOA00</v>
      </c>
      <c r="C25" s="50" t="s">
        <v>534</v>
      </c>
      <c r="D25" s="49" t="str">
        <f>IND_Bal!$C$44</f>
        <v>INDCOA</v>
      </c>
      <c r="E25" s="49" t="str">
        <f t="shared" ref="E25:E33" si="3">$D$12</f>
        <v>INFHTH</v>
      </c>
      <c r="F25" s="119">
        <f>IND_Bal!$C$119</f>
        <v>0</v>
      </c>
      <c r="G25" s="38">
        <f t="shared" ref="G25:G33" si="4">I25*F25/H25</f>
        <v>0</v>
      </c>
      <c r="H25" s="120">
        <f t="shared" ref="H25:H31" si="5">1/0.8</f>
        <v>1.25</v>
      </c>
      <c r="I25" s="58">
        <v>1</v>
      </c>
      <c r="J25" s="121">
        <f t="shared" ref="J25:J33" si="6">G25/P25/O25</f>
        <v>0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 ht="25.5">
      <c r="A26" s="470"/>
      <c r="B26" s="109" t="str">
        <f t="shared" si="2"/>
        <v>INFSTMCOK00</v>
      </c>
      <c r="C26" s="50" t="s">
        <v>536</v>
      </c>
      <c r="D26" s="49" t="str">
        <f>IND_Bal!$F$44</f>
        <v>INDCOK</v>
      </c>
      <c r="E26" s="49" t="str">
        <f t="shared" si="3"/>
        <v>INFHTH</v>
      </c>
      <c r="F26" s="119">
        <f>IND_Bal!$F$119</f>
        <v>0</v>
      </c>
      <c r="G26" s="38">
        <f t="shared" si="4"/>
        <v>0</v>
      </c>
      <c r="H26" s="124">
        <f t="shared" si="5"/>
        <v>1.25</v>
      </c>
      <c r="I26" s="58">
        <v>1</v>
      </c>
      <c r="J26" s="38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 ht="25.5">
      <c r="A27" s="470"/>
      <c r="B27" s="109" t="str">
        <f t="shared" si="2"/>
        <v>INFSTMLPG00</v>
      </c>
      <c r="C27" s="50" t="s">
        <v>548</v>
      </c>
      <c r="D27" s="49" t="str">
        <f>IND_Bal!$H$44</f>
        <v>INDLPG</v>
      </c>
      <c r="E27" s="49" t="str">
        <f t="shared" si="3"/>
        <v>INFHTH</v>
      </c>
      <c r="F27" s="119">
        <f>IND_Bal!$H$119</f>
        <v>0.25189941559023471</v>
      </c>
      <c r="G27" s="38">
        <f t="shared" si="4"/>
        <v>0.20151953247218776</v>
      </c>
      <c r="H27" s="124">
        <f t="shared" si="5"/>
        <v>1.25</v>
      </c>
      <c r="I27" s="58">
        <v>1</v>
      </c>
      <c r="J27" s="38">
        <f t="shared" si="6"/>
        <v>9.8309883928593342E-3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 ht="25.5">
      <c r="A28" s="470"/>
      <c r="B28" s="109" t="str">
        <f t="shared" si="2"/>
        <v>INFSTMLFO00</v>
      </c>
      <c r="C28" s="50" t="s">
        <v>546</v>
      </c>
      <c r="D28" s="49" t="str">
        <f>IND_Bal!$I$44</f>
        <v>INDLFO</v>
      </c>
      <c r="E28" s="49" t="str">
        <f t="shared" si="3"/>
        <v>INFHTH</v>
      </c>
      <c r="F28" s="119">
        <f>IND_Bal!$I$119</f>
        <v>0.10421439676213322</v>
      </c>
      <c r="G28" s="38">
        <f t="shared" si="4"/>
        <v>8.337151740970658E-2</v>
      </c>
      <c r="H28" s="124">
        <f t="shared" si="5"/>
        <v>1.25</v>
      </c>
      <c r="I28" s="58">
        <v>1</v>
      </c>
      <c r="J28" s="38">
        <f t="shared" si="6"/>
        <v>4.0672207298963125E-3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 ht="25.5">
      <c r="A29" s="470"/>
      <c r="B29" s="109" t="str">
        <f t="shared" si="2"/>
        <v>INFSTMHFO00</v>
      </c>
      <c r="C29" s="50" t="s">
        <v>542</v>
      </c>
      <c r="D29" s="49" t="str">
        <f>IND_Bal!$K$44</f>
        <v>INDHFO</v>
      </c>
      <c r="E29" s="49" t="str">
        <f t="shared" si="3"/>
        <v>INFHTH</v>
      </c>
      <c r="F29" s="119">
        <f>IND_Bal!$K$119</f>
        <v>4.3537175224000003E-2</v>
      </c>
      <c r="G29" s="38">
        <f t="shared" si="4"/>
        <v>3.48297401792E-2</v>
      </c>
      <c r="H29" s="124">
        <f t="shared" si="5"/>
        <v>1.25</v>
      </c>
      <c r="I29" s="58">
        <v>1</v>
      </c>
      <c r="J29" s="38">
        <f t="shared" si="6"/>
        <v>1.6991443322015374E-3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 ht="25.5">
      <c r="A30" s="470"/>
      <c r="B30" s="109" t="str">
        <f t="shared" si="2"/>
        <v>INFSTMGAS00</v>
      </c>
      <c r="C30" s="50" t="s">
        <v>540</v>
      </c>
      <c r="D30" s="49" t="str">
        <f>IND_Bal!$M$44</f>
        <v>INDGAS</v>
      </c>
      <c r="E30" s="49" t="str">
        <f t="shared" si="3"/>
        <v>INFHTH</v>
      </c>
      <c r="F30" s="119">
        <f>IND_Bal!$M$119</f>
        <v>17.680641010586502</v>
      </c>
      <c r="G30" s="38">
        <f t="shared" si="4"/>
        <v>14.144512808469202</v>
      </c>
      <c r="H30" s="124">
        <f t="shared" si="5"/>
        <v>1.25</v>
      </c>
      <c r="I30" s="58">
        <v>1</v>
      </c>
      <c r="J30" s="38">
        <f t="shared" si="6"/>
        <v>0.69003009056654174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 ht="25.5">
      <c r="A31" s="470"/>
      <c r="B31" s="109" t="str">
        <f t="shared" si="2"/>
        <v>INFSTMBIO00</v>
      </c>
      <c r="C31" s="50" t="s">
        <v>532</v>
      </c>
      <c r="D31" s="49" t="str">
        <f>IND_Bal!$R$44</f>
        <v>INDBIO</v>
      </c>
      <c r="E31" s="49" t="str">
        <f t="shared" si="3"/>
        <v>INFHTH</v>
      </c>
      <c r="F31" s="119">
        <f>IND_Bal!$R$119</f>
        <v>0</v>
      </c>
      <c r="G31" s="38">
        <f t="shared" si="4"/>
        <v>0</v>
      </c>
      <c r="H31" s="124">
        <f t="shared" si="5"/>
        <v>1.25</v>
      </c>
      <c r="I31" s="58">
        <v>1</v>
      </c>
      <c r="J31" s="38">
        <f t="shared" si="6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 ht="25.5">
      <c r="A32" s="470"/>
      <c r="B32" s="109" t="str">
        <f t="shared" si="2"/>
        <v>INFSTMELC00</v>
      </c>
      <c r="C32" s="50" t="s">
        <v>538</v>
      </c>
      <c r="D32" s="49" t="str">
        <f>IND_Bal!$U$44</f>
        <v>INDELC</v>
      </c>
      <c r="E32" s="49" t="str">
        <f t="shared" si="3"/>
        <v>INFHTH</v>
      </c>
      <c r="F32" s="119">
        <f>IND_Bal!$U$119</f>
        <v>0</v>
      </c>
      <c r="G32" s="38">
        <f t="shared" si="4"/>
        <v>0</v>
      </c>
      <c r="H32" s="124">
        <v>1</v>
      </c>
      <c r="I32" s="58">
        <v>1</v>
      </c>
      <c r="J32" s="38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 ht="25.5">
      <c r="A33" s="470"/>
      <c r="B33" s="109" t="str">
        <f t="shared" si="2"/>
        <v>INFSTMHTH00</v>
      </c>
      <c r="C33" s="61" t="s">
        <v>544</v>
      </c>
      <c r="D33" s="125" t="s">
        <v>288</v>
      </c>
      <c r="E33" s="49" t="str">
        <f t="shared" si="3"/>
        <v>INFHTH</v>
      </c>
      <c r="F33" s="119">
        <f>IND_Bal!$V$119</f>
        <v>0</v>
      </c>
      <c r="G33" s="38">
        <f t="shared" si="4"/>
        <v>0</v>
      </c>
      <c r="H33" s="126">
        <v>1</v>
      </c>
      <c r="I33" s="58">
        <v>1</v>
      </c>
      <c r="J33" s="57">
        <f t="shared" si="6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99" t="s">
        <v>1136</v>
      </c>
      <c r="C34" s="84"/>
      <c r="D34" s="84"/>
      <c r="E34" s="84"/>
      <c r="F34" s="115">
        <f>SUM(F25:F33)</f>
        <v>18.08029199816287</v>
      </c>
      <c r="G34" s="115">
        <f>SUM(G25:G33)</f>
        <v>14.464233598530296</v>
      </c>
      <c r="H34" s="128"/>
      <c r="I34" s="128"/>
      <c r="J34" s="115">
        <f>SUM(J25:J33)</f>
        <v>0.70562744402149891</v>
      </c>
      <c r="K34" s="84"/>
      <c r="L34" s="84"/>
      <c r="M34" s="84"/>
      <c r="N34" s="84"/>
      <c r="O34" s="84"/>
      <c r="P34" s="84"/>
    </row>
    <row r="35" spans="1:16">
      <c r="A35" s="26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30" t="str">
        <f>IF(F48=0,"","~FI_T")</f>
        <v/>
      </c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 ht="25.5">
      <c r="A40" s="26"/>
      <c r="B40" s="49" t="str">
        <f t="shared" ref="B40:B47" si="7">LEFT(E40,6)&amp;RIGHT(D40,3)&amp;"00"</f>
        <v>INFPRCCOA00</v>
      </c>
      <c r="C40" s="50" t="s">
        <v>518</v>
      </c>
      <c r="D40" s="49" t="str">
        <f>IND_Bal!$C$44</f>
        <v>INDCOA</v>
      </c>
      <c r="E40" s="49" t="str">
        <f t="shared" ref="E40:E47" si="8">$D$13</f>
        <v>INFPRC</v>
      </c>
      <c r="F40" s="119">
        <f>IND_Bal!$C$120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 ht="25.5">
      <c r="A41" s="26"/>
      <c r="B41" s="49" t="str">
        <f t="shared" si="7"/>
        <v>INFPRCCOK00</v>
      </c>
      <c r="C41" s="50" t="s">
        <v>520</v>
      </c>
      <c r="D41" s="49" t="str">
        <f>IND_Bal!$F$44</f>
        <v>INDCOK</v>
      </c>
      <c r="E41" s="49" t="str">
        <f t="shared" si="8"/>
        <v>INFPRC</v>
      </c>
      <c r="F41" s="119">
        <f>IND_Bal!$F$120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 ht="25.5">
      <c r="A42" s="26"/>
      <c r="B42" s="49" t="str">
        <f t="shared" si="7"/>
        <v>INFPRCLPG00</v>
      </c>
      <c r="C42" s="50" t="s">
        <v>530</v>
      </c>
      <c r="D42" s="49" t="str">
        <f>IND_Bal!$H$44</f>
        <v>INDLPG</v>
      </c>
      <c r="E42" s="49" t="str">
        <f t="shared" si="8"/>
        <v>INFPRC</v>
      </c>
      <c r="F42" s="119">
        <f>IND_Bal!$H$120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 ht="25.5">
      <c r="A43" s="26"/>
      <c r="B43" s="49" t="str">
        <f t="shared" si="7"/>
        <v>INFPRCLFO00</v>
      </c>
      <c r="C43" s="50" t="s">
        <v>528</v>
      </c>
      <c r="D43" s="49" t="str">
        <f>IND_Bal!$I$44</f>
        <v>INDLFO</v>
      </c>
      <c r="E43" s="49" t="str">
        <f t="shared" si="8"/>
        <v>INFPRC</v>
      </c>
      <c r="F43" s="119">
        <f>IND_Bal!$I$120</f>
        <v>0</v>
      </c>
      <c r="G43" s="38">
        <f t="shared" si="9"/>
        <v>0</v>
      </c>
      <c r="H43" s="124">
        <f t="shared" si="10"/>
        <v>1.25</v>
      </c>
      <c r="I43" s="58">
        <v>1</v>
      </c>
      <c r="J43" s="38">
        <f t="shared" si="11"/>
        <v>0</v>
      </c>
      <c r="K43" s="51">
        <v>30</v>
      </c>
      <c r="L43" s="51"/>
      <c r="M43" s="51"/>
      <c r="N43" s="26"/>
      <c r="O43" s="26"/>
      <c r="P43" s="26"/>
    </row>
    <row r="44" spans="1:16" ht="25.5">
      <c r="A44" s="26"/>
      <c r="B44" s="49" t="str">
        <f t="shared" si="7"/>
        <v>INFPRCHFO00</v>
      </c>
      <c r="C44" s="50" t="s">
        <v>526</v>
      </c>
      <c r="D44" s="49" t="str">
        <f>IND_Bal!$K$44</f>
        <v>INDHFO</v>
      </c>
      <c r="E44" s="49" t="str">
        <f t="shared" si="8"/>
        <v>INFPRC</v>
      </c>
      <c r="F44" s="119">
        <f>IND_Bal!$K$120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 ht="25.5">
      <c r="A45" s="26"/>
      <c r="B45" s="49" t="str">
        <f t="shared" si="7"/>
        <v>INFPRCGAS00</v>
      </c>
      <c r="C45" s="50" t="s">
        <v>524</v>
      </c>
      <c r="D45" s="49" t="str">
        <f>IND_Bal!$M$44</f>
        <v>INDGAS</v>
      </c>
      <c r="E45" s="49" t="str">
        <f t="shared" si="8"/>
        <v>INFPRC</v>
      </c>
      <c r="F45" s="119">
        <f>IND_Bal!$M$120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 ht="25.5">
      <c r="A46" s="26"/>
      <c r="B46" s="49" t="str">
        <f t="shared" si="7"/>
        <v>INFPRCBIO00</v>
      </c>
      <c r="C46" s="50" t="s">
        <v>516</v>
      </c>
      <c r="D46" s="49" t="str">
        <f>IND_Bal!$R$44</f>
        <v>INDBIO</v>
      </c>
      <c r="E46" s="49" t="str">
        <f t="shared" si="8"/>
        <v>INFPRC</v>
      </c>
      <c r="F46" s="119">
        <f>IND_Bal!$R$120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 ht="25.5">
      <c r="A47" s="26"/>
      <c r="B47" s="49" t="str">
        <f t="shared" si="7"/>
        <v>INFPRCELC00</v>
      </c>
      <c r="C47" s="50" t="s">
        <v>522</v>
      </c>
      <c r="D47" s="49" t="str">
        <f>IND_Bal!$U$44</f>
        <v>INDELC</v>
      </c>
      <c r="E47" s="49" t="str">
        <f t="shared" si="8"/>
        <v>INFPRC</v>
      </c>
      <c r="F47" s="119">
        <f>IND_Bal!$U$120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IF($B$4="","DeAct","~FI_T")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 ht="25.5">
      <c r="A54" s="26"/>
      <c r="B54" s="49" t="str">
        <f t="shared" ref="B54:B61" si="12">LEFT(E54,6)&amp;RIGHT(D54,3)&amp;"00"</f>
        <v>INFMCHCOA00</v>
      </c>
      <c r="C54" s="50" t="s">
        <v>500</v>
      </c>
      <c r="D54" s="49" t="str">
        <f>IND_Bal!$C$44</f>
        <v>INDCOA</v>
      </c>
      <c r="E54" s="49" t="str">
        <f t="shared" ref="E54:E61" si="13">$D$14</f>
        <v>INFMCH</v>
      </c>
      <c r="F54" s="119">
        <f>IND_Bal!$C$121</f>
        <v>0</v>
      </c>
      <c r="G54" s="38">
        <f t="shared" ref="G54:G61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 ht="25.5">
      <c r="A55" s="26"/>
      <c r="B55" s="49" t="str">
        <f t="shared" si="12"/>
        <v>INFMCHCOK00</v>
      </c>
      <c r="C55" s="50" t="s">
        <v>502</v>
      </c>
      <c r="D55" s="49" t="str">
        <f>IND_Bal!$F$44</f>
        <v>INDCOK</v>
      </c>
      <c r="E55" s="49" t="str">
        <f t="shared" si="13"/>
        <v>INFMCH</v>
      </c>
      <c r="F55" s="119">
        <f>IND_Bal!$F$121</f>
        <v>0</v>
      </c>
      <c r="G55" s="38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 ht="25.5">
      <c r="A56" s="26"/>
      <c r="B56" s="49" t="str">
        <f t="shared" si="12"/>
        <v>INFMCHLPG00</v>
      </c>
      <c r="C56" s="50" t="s">
        <v>512</v>
      </c>
      <c r="D56" s="49" t="str">
        <f>IND_Bal!$H$44</f>
        <v>INDLPG</v>
      </c>
      <c r="E56" s="49" t="str">
        <f t="shared" si="13"/>
        <v>INFMCH</v>
      </c>
      <c r="F56" s="119">
        <f>IND_Bal!$H$121</f>
        <v>0</v>
      </c>
      <c r="G56" s="38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 ht="25.5">
      <c r="A57" s="26"/>
      <c r="B57" s="49" t="str">
        <f t="shared" si="12"/>
        <v>INFMCHLFO00</v>
      </c>
      <c r="C57" s="50" t="s">
        <v>510</v>
      </c>
      <c r="D57" s="49" t="str">
        <f>IND_Bal!$I$44</f>
        <v>INDLFO</v>
      </c>
      <c r="E57" s="49" t="str">
        <f t="shared" si="13"/>
        <v>INFMCH</v>
      </c>
      <c r="F57" s="119">
        <f>IND_Bal!$I$121</f>
        <v>0</v>
      </c>
      <c r="G57" s="38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 ht="25.5">
      <c r="A58" s="26"/>
      <c r="B58" s="49" t="str">
        <f t="shared" si="12"/>
        <v>INFMCHHFO00</v>
      </c>
      <c r="C58" s="50" t="s">
        <v>508</v>
      </c>
      <c r="D58" s="49" t="str">
        <f>IND_Bal!$K$44</f>
        <v>INDHFO</v>
      </c>
      <c r="E58" s="49" t="str">
        <f t="shared" si="13"/>
        <v>INFMCH</v>
      </c>
      <c r="F58" s="119">
        <f>IND_Bal!$K$121</f>
        <v>0</v>
      </c>
      <c r="G58" s="38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 ht="25.5">
      <c r="A59" s="26"/>
      <c r="B59" s="49" t="str">
        <f t="shared" si="12"/>
        <v>INFMCHGAS00</v>
      </c>
      <c r="C59" s="50" t="s">
        <v>506</v>
      </c>
      <c r="D59" s="49" t="str">
        <f>IND_Bal!$M$44</f>
        <v>INDGAS</v>
      </c>
      <c r="E59" s="49" t="str">
        <f t="shared" si="13"/>
        <v>INFMCH</v>
      </c>
      <c r="F59" s="119">
        <f>IND_Bal!$M$121</f>
        <v>0</v>
      </c>
      <c r="G59" s="38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 ht="25.5">
      <c r="A60" s="26"/>
      <c r="B60" s="49" t="str">
        <f t="shared" si="12"/>
        <v>INFMCHBIO00</v>
      </c>
      <c r="C60" s="50" t="s">
        <v>498</v>
      </c>
      <c r="D60" s="49" t="str">
        <f>IND_Bal!$R$44</f>
        <v>INDBIO</v>
      </c>
      <c r="E60" s="49" t="str">
        <f t="shared" si="13"/>
        <v>INFMCH</v>
      </c>
      <c r="F60" s="119">
        <f>IND_Bal!$R$121</f>
        <v>0</v>
      </c>
      <c r="G60" s="38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 ht="25.5">
      <c r="A61" s="26"/>
      <c r="B61" s="49" t="str">
        <f t="shared" si="12"/>
        <v>INFMCHELC00</v>
      </c>
      <c r="C61" s="50" t="s">
        <v>504</v>
      </c>
      <c r="D61" s="49" t="str">
        <f>IND_Bal!$U$44</f>
        <v>INDELC</v>
      </c>
      <c r="E61" s="49" t="str">
        <f t="shared" si="13"/>
        <v>INFMCH</v>
      </c>
      <c r="F61" s="119">
        <f>IND_Bal!$U$121</f>
        <v>2.9656597537313885</v>
      </c>
      <c r="G61" s="38">
        <f t="shared" si="14"/>
        <v>2.6690937783582496</v>
      </c>
      <c r="H61" s="126">
        <f>1/0.9</f>
        <v>1.1111111111111112</v>
      </c>
      <c r="I61" s="58">
        <v>1</v>
      </c>
      <c r="J61" s="38">
        <f t="shared" si="16"/>
        <v>2.6690937783582496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2.9656597537313885</v>
      </c>
      <c r="G62" s="115">
        <f>SUM(G54:G61)</f>
        <v>2.6690937783582496</v>
      </c>
      <c r="H62" s="128"/>
      <c r="I62" s="128"/>
      <c r="J62" s="115">
        <f>SUM(J54:J61)</f>
        <v>2.6690937783582496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38.25">
      <c r="A68" s="26"/>
      <c r="B68" s="49" t="str">
        <f>LEFT(E68,6)&amp;RIGHT(D68,3)&amp;"00"</f>
        <v>INFELEELC00</v>
      </c>
      <c r="C68" s="50" t="s">
        <v>496</v>
      </c>
      <c r="D68" s="49" t="str">
        <f>IND_Bal!$U$44</f>
        <v>INDELC</v>
      </c>
      <c r="E68" s="49" t="str">
        <f>$D$15</f>
        <v>INFELE</v>
      </c>
      <c r="F68" s="119">
        <f>IND_Bal!$U$122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5">
      <c r="A73" s="26"/>
      <c r="B73" s="26"/>
      <c r="C73" s="26"/>
      <c r="D73" s="26"/>
      <c r="E73" s="130" t="str">
        <f>IF(F86=0,"","~FI_T")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1138</v>
      </c>
      <c r="G74" s="134" t="s">
        <v>1139</v>
      </c>
      <c r="H74" s="134" t="s">
        <v>1162</v>
      </c>
      <c r="I74" s="134" t="s">
        <v>799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513</v>
      </c>
      <c r="C75" s="135" t="s">
        <v>514</v>
      </c>
      <c r="D75" s="125" t="str">
        <f>IF(F75&gt;0,IND_Bal!$C$44,"")</f>
        <v/>
      </c>
      <c r="E75" s="49" t="str">
        <f>$D$16</f>
        <v>INFOTH</v>
      </c>
      <c r="F75" s="119">
        <f>IND_Bal!$C$123</f>
        <v>0</v>
      </c>
      <c r="G75" s="39"/>
      <c r="H75" s="39" t="str">
        <f>IF($F$86*F75&gt;0,F75/$F$86,"")</f>
        <v/>
      </c>
      <c r="I75" s="137"/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5" si="17">IF(F76=0,"*","")</f>
        <v>*</v>
      </c>
      <c r="D76" s="49" t="str">
        <f>IND_Bal!$D$44</f>
        <v>INDPEA</v>
      </c>
      <c r="E76" s="109"/>
      <c r="F76" s="119">
        <f>IND_Bal!$D$123</f>
        <v>0</v>
      </c>
      <c r="G76" s="39"/>
      <c r="H76" s="470"/>
      <c r="I76" s="39" t="str">
        <f>IF($F$86*F76&gt;0,F76/$F$86,"")</f>
        <v/>
      </c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7"/>
        <v>*</v>
      </c>
      <c r="D77" s="49" t="str">
        <f>IND_Bal!$E$44</f>
        <v>INDCOH</v>
      </c>
      <c r="E77" s="109"/>
      <c r="F77" s="119">
        <f>IND_Bal!$E$123</f>
        <v>0</v>
      </c>
      <c r="G77" s="39"/>
      <c r="H77" s="470"/>
      <c r="I77" s="39" t="str">
        <f>IF($F$86*F77&gt;0,F77/$F$86,"")</f>
        <v/>
      </c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7"/>
        <v>*</v>
      </c>
      <c r="D78" s="49" t="str">
        <f>IND_Bal!$F$44</f>
        <v>INDCOK</v>
      </c>
      <c r="E78" s="109"/>
      <c r="F78" s="119">
        <f>IND_Bal!$F$123</f>
        <v>0</v>
      </c>
      <c r="G78" s="39"/>
      <c r="H78" s="470"/>
      <c r="I78" s="39" t="str">
        <f>IF($F$86*F78&gt;0,F78/$F$86,"")</f>
        <v/>
      </c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7"/>
        <v>*</v>
      </c>
      <c r="D79" s="49" t="str">
        <f>IND_Bal!$H$44</f>
        <v>INDLPG</v>
      </c>
      <c r="E79" s="109"/>
      <c r="F79" s="119">
        <f>IND_Bal!$H$123</f>
        <v>0</v>
      </c>
      <c r="G79" s="39"/>
      <c r="H79" s="39" t="str">
        <f>IF($F$86*F79&gt;0,F79/$F$86,"")</f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7"/>
        <v>*</v>
      </c>
      <c r="D80" s="49" t="str">
        <f>IND_Bal!$I$44</f>
        <v>INDLFO</v>
      </c>
      <c r="E80" s="109"/>
      <c r="F80" s="119">
        <f>IND_Bal!$I$123</f>
        <v>0</v>
      </c>
      <c r="G80" s="39"/>
      <c r="H80" s="39" t="str">
        <f>IF($F$86*F80&gt;0,F80/$F$86,"")</f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09"/>
      <c r="C81" s="135" t="str">
        <f t="shared" si="17"/>
        <v>*</v>
      </c>
      <c r="D81" s="49" t="str">
        <f>IND_Bal!$K$44</f>
        <v>INDHFO</v>
      </c>
      <c r="E81" s="109"/>
      <c r="F81" s="119">
        <f>IND_Bal!$K$123</f>
        <v>0</v>
      </c>
      <c r="G81" s="39"/>
      <c r="H81" s="39" t="str">
        <f>IF($F$86*F81&gt;0,F81/$F$86,"")</f>
        <v/>
      </c>
      <c r="I81" s="137"/>
      <c r="J81" s="136"/>
      <c r="K81" s="42"/>
      <c r="L81" s="42"/>
      <c r="M81" s="470"/>
      <c r="N81" s="26"/>
      <c r="O81" s="26"/>
      <c r="P81" s="26"/>
    </row>
    <row r="82" spans="1:16">
      <c r="A82" s="26"/>
      <c r="B82" s="109"/>
      <c r="C82" s="135" t="str">
        <f t="shared" si="17"/>
        <v>*</v>
      </c>
      <c r="D82" s="49" t="str">
        <f>IND_Bal!$M$44</f>
        <v>INDGAS</v>
      </c>
      <c r="E82" s="109"/>
      <c r="F82" s="119">
        <f>IND_Bal!$M$123</f>
        <v>0</v>
      </c>
      <c r="G82" s="39"/>
      <c r="H82" s="39" t="str">
        <f>IF($F$86*F82&gt;0,F82/$F$86,"")</f>
        <v/>
      </c>
      <c r="I82" s="138"/>
      <c r="J82" s="136"/>
      <c r="K82" s="42"/>
      <c r="L82" s="139"/>
      <c r="M82" s="470"/>
      <c r="N82" s="26"/>
      <c r="O82" s="26"/>
      <c r="P82" s="26"/>
    </row>
    <row r="83" spans="1:16">
      <c r="A83" s="26"/>
      <c r="B83" s="109"/>
      <c r="C83" s="135" t="str">
        <f t="shared" si="17"/>
        <v>*</v>
      </c>
      <c r="D83" s="49" t="str">
        <f>IND_Bal!$R$44</f>
        <v>INDBIO</v>
      </c>
      <c r="E83" s="109"/>
      <c r="F83" s="119">
        <f>IND_Bal!$R$123</f>
        <v>0</v>
      </c>
      <c r="G83" s="39"/>
      <c r="H83" s="39" t="str">
        <f>IF($F$86*F83&gt;0,F83/$F$86,"")</f>
        <v/>
      </c>
      <c r="I83" s="138"/>
      <c r="J83" s="136"/>
      <c r="K83" s="42"/>
      <c r="L83" s="139"/>
      <c r="M83" s="470"/>
      <c r="N83" s="26"/>
      <c r="O83" s="26"/>
      <c r="P83" s="26"/>
    </row>
    <row r="84" spans="1:16">
      <c r="A84" s="26"/>
      <c r="B84" s="109"/>
      <c r="C84" s="135" t="str">
        <f t="shared" si="17"/>
        <v>*</v>
      </c>
      <c r="D84" s="49" t="str">
        <f>IND_Bal!$T$44</f>
        <v>INDWASL</v>
      </c>
      <c r="E84" s="109"/>
      <c r="F84" s="119">
        <f>IND_Bal!$T$123</f>
        <v>0</v>
      </c>
      <c r="G84" s="39"/>
      <c r="H84" s="470"/>
      <c r="I84" s="39" t="str">
        <f>IF($F$86*F84&gt;0,F84/$F$86,"")</f>
        <v/>
      </c>
      <c r="J84" s="136"/>
      <c r="K84" s="42"/>
      <c r="L84" s="139"/>
      <c r="M84" s="470"/>
      <c r="N84" s="26"/>
      <c r="O84" s="26"/>
      <c r="P84" s="26"/>
    </row>
    <row r="85" spans="1:16">
      <c r="A85" s="26"/>
      <c r="B85" s="109"/>
      <c r="C85" s="135" t="str">
        <f t="shared" si="17"/>
        <v>*</v>
      </c>
      <c r="D85" s="49" t="str">
        <f>IND_Bal!$U$44</f>
        <v>INDELC</v>
      </c>
      <c r="E85" s="109"/>
      <c r="F85" s="119">
        <f>IND_Bal!$U$123</f>
        <v>0</v>
      </c>
      <c r="G85" s="39"/>
      <c r="H85" s="39" t="str">
        <f>IF($F$86*F85&gt;0,F85/$F$86,"")</f>
        <v/>
      </c>
      <c r="I85" s="138"/>
      <c r="J85" s="136"/>
      <c r="K85" s="42"/>
      <c r="L85" s="139"/>
      <c r="M85" s="470"/>
      <c r="N85" s="26"/>
      <c r="O85" s="26"/>
      <c r="P85" s="26"/>
    </row>
    <row r="86" spans="1:16" ht="13.5" thickBot="1">
      <c r="A86" s="26"/>
      <c r="B86" s="114" t="s">
        <v>1136</v>
      </c>
      <c r="C86" s="84"/>
      <c r="D86" s="84"/>
      <c r="E86" s="84"/>
      <c r="F86" s="115">
        <f>SUM(F75:F85)</f>
        <v>0</v>
      </c>
      <c r="G86" s="140">
        <f>F86</f>
        <v>0</v>
      </c>
      <c r="H86" s="141"/>
      <c r="I86" s="141"/>
      <c r="J86" s="140"/>
      <c r="K86" s="142"/>
      <c r="L86" s="142"/>
      <c r="M86" s="470"/>
      <c r="N86" s="26"/>
      <c r="O86" s="26"/>
      <c r="P86" s="26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T100"/>
  <sheetViews>
    <sheetView topLeftCell="A3" zoomScaleNormal="100" workbookViewId="0">
      <selection activeCell="R25" sqref="R25"/>
    </sheetView>
  </sheetViews>
  <sheetFormatPr defaultColWidth="9.140625" defaultRowHeight="12.75"/>
  <cols>
    <col min="1" max="1" width="9.140625" style="25"/>
    <col min="2" max="2" width="14.85546875" style="25" bestFit="1" customWidth="1"/>
    <col min="3" max="3" width="28.85546875" style="25" bestFit="1" customWidth="1"/>
    <col min="4" max="5" width="9.140625" style="25"/>
    <col min="6" max="6" width="9.7109375" style="25" bestFit="1" customWidth="1"/>
    <col min="7" max="7" width="9.140625" style="25"/>
    <col min="8" max="8" width="9.7109375" style="25" bestFit="1" customWidth="1"/>
    <col min="9" max="14" width="9.140625" style="25"/>
    <col min="15" max="15" width="24.5703125" style="25" bestFit="1" customWidth="1"/>
    <col min="16" max="16384" width="9.140625" style="25"/>
  </cols>
  <sheetData>
    <row r="1" spans="1:20" ht="18.75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IND_Bal!$B$111</f>
        <v>ICM</v>
      </c>
      <c r="B4" s="158">
        <v>4</v>
      </c>
      <c r="C4" s="49" t="str">
        <f>IND_Bal!$A$111</f>
        <v>Cement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IND_Bal!$B$112</f>
        <v>ILM</v>
      </c>
      <c r="B5" s="158">
        <v>0.3</v>
      </c>
      <c r="C5" s="49" t="str">
        <f>IND_Bal!$A$112</f>
        <v>Lime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7" si="0">SUM(D5:S5)</f>
        <v>0</v>
      </c>
    </row>
    <row r="6" spans="1:20">
      <c r="A6" s="86" t="str">
        <f>IND_Bal!$B$113</f>
        <v>IGH</v>
      </c>
      <c r="B6" s="158">
        <v>0</v>
      </c>
      <c r="C6" s="49" t="str">
        <f>IND_Bal!$A$113</f>
        <v>Glass Hollow Demand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tr">
        <f>IND_Bal!$B$114</f>
        <v>IGF</v>
      </c>
      <c r="B7" s="158">
        <v>0</v>
      </c>
      <c r="C7" s="49" t="str">
        <f>IND_Bal!$A$114</f>
        <v>Glass Flat Demand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70"/>
      <c r="T8" s="470"/>
    </row>
    <row r="9" spans="1:20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470"/>
      <c r="T9" s="470"/>
    </row>
    <row r="10" spans="1:2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470"/>
      <c r="T10" s="470"/>
    </row>
    <row r="11" spans="1:20">
      <c r="A11" s="26"/>
      <c r="B11" s="26"/>
      <c r="C11" s="26"/>
      <c r="D11" s="26"/>
      <c r="E11" s="26"/>
      <c r="F11" s="159" t="s">
        <v>1100</v>
      </c>
      <c r="G11" s="159"/>
      <c r="H11" s="159"/>
      <c r="I11" s="26"/>
      <c r="J11" s="160" t="s">
        <v>1101</v>
      </c>
      <c r="K11" s="161"/>
      <c r="L11" s="161"/>
      <c r="M11" s="161"/>
      <c r="N11" s="26"/>
      <c r="O11" s="26"/>
      <c r="P11" s="26"/>
      <c r="Q11" s="26"/>
      <c r="R11" s="26"/>
      <c r="S11" s="470"/>
      <c r="T11" s="470"/>
    </row>
    <row r="12" spans="1:20" ht="18.75">
      <c r="A12" s="103" t="s">
        <v>1163</v>
      </c>
      <c r="B12" s="43"/>
      <c r="C12" s="43"/>
      <c r="D12" s="26"/>
      <c r="E12" s="26"/>
      <c r="F12" s="103" t="s">
        <v>1103</v>
      </c>
      <c r="G12" s="69"/>
      <c r="H12" s="69"/>
      <c r="I12" s="26"/>
      <c r="J12" s="103" t="s">
        <v>1103</v>
      </c>
      <c r="K12" s="69"/>
      <c r="L12" s="69"/>
      <c r="M12" s="69"/>
      <c r="N12" s="26"/>
      <c r="O12" s="103" t="s">
        <v>1104</v>
      </c>
      <c r="P12" s="69"/>
      <c r="Q12" s="69"/>
      <c r="R12" s="26"/>
      <c r="S12" s="470"/>
      <c r="T12" s="470"/>
    </row>
    <row r="13" spans="1:20" ht="13.5" thickBot="1">
      <c r="A13" s="86"/>
      <c r="B13" s="98"/>
      <c r="C13" s="49" t="str">
        <f>C50</f>
        <v>ICM.Dry Process Production.00.</v>
      </c>
      <c r="D13" s="162">
        <v>1</v>
      </c>
      <c r="E13" s="26"/>
      <c r="F13" s="163"/>
      <c r="G13" s="164" t="s">
        <v>1106</v>
      </c>
      <c r="H13" s="164" t="s">
        <v>1107</v>
      </c>
      <c r="I13" s="165"/>
      <c r="J13" s="166"/>
      <c r="K13" s="164" t="s">
        <v>1164</v>
      </c>
      <c r="L13" s="164" t="s">
        <v>973</v>
      </c>
      <c r="M13" s="164" t="s">
        <v>1107</v>
      </c>
      <c r="N13" s="26"/>
      <c r="O13" s="163"/>
      <c r="P13" s="84" t="s">
        <v>1106</v>
      </c>
      <c r="Q13" s="84" t="s">
        <v>1107</v>
      </c>
      <c r="R13" s="26"/>
      <c r="S13" s="470"/>
      <c r="T13" s="470"/>
    </row>
    <row r="14" spans="1:20">
      <c r="A14" s="49"/>
      <c r="B14" s="98"/>
      <c r="C14" s="49" t="str">
        <f>C54</f>
        <v>ICM.Wet Process Production.00.</v>
      </c>
      <c r="D14" s="167"/>
      <c r="E14" s="26"/>
      <c r="F14" s="96" t="str">
        <f>IND_Commodities!$C$5</f>
        <v>INDCOA</v>
      </c>
      <c r="G14" s="119">
        <f>IND_Bal!C$40</f>
        <v>3.6391268900700005</v>
      </c>
      <c r="H14" s="168"/>
      <c r="I14" s="26"/>
      <c r="J14" s="96" t="str">
        <f>IND_Commodities!$C$5</f>
        <v>INDCOA</v>
      </c>
      <c r="K14" s="119">
        <f>H94*I94/F94+H97*I97/F97</f>
        <v>4.3020769899956504</v>
      </c>
      <c r="L14" s="119">
        <f>INM!F25+INM!F40+INM!F54+INM!F75</f>
        <v>0</v>
      </c>
      <c r="M14" s="169"/>
      <c r="N14" s="64">
        <f>G14-K14-L14</f>
        <v>-0.6629500999256499</v>
      </c>
      <c r="O14" s="96" t="str">
        <f>IND_Commodities!$C$62</f>
        <v>MCMCLK</v>
      </c>
      <c r="P14" s="119">
        <f>(F39*H39)</f>
        <v>4</v>
      </c>
      <c r="Q14" s="119">
        <f>(G52*H50)+(G57*H54)</f>
        <v>4</v>
      </c>
      <c r="R14" s="26"/>
      <c r="S14" s="470"/>
      <c r="T14" s="470"/>
    </row>
    <row r="15" spans="1:20">
      <c r="A15" s="170"/>
      <c r="B15" s="49"/>
      <c r="C15" s="49"/>
      <c r="D15" s="171">
        <f>IF(SUM(D13:D14)&lt;&gt;1,"ERR: " &amp; SUM(D13:D14),SUM(D13:D14))</f>
        <v>1</v>
      </c>
      <c r="E15" s="26"/>
      <c r="F15" s="96" t="str">
        <f>IND_Commodities!$C$6</f>
        <v>INDPEA</v>
      </c>
      <c r="G15" s="119">
        <f>IND_Bal!D$40</f>
        <v>0</v>
      </c>
      <c r="H15" s="168"/>
      <c r="I15" s="26"/>
      <c r="J15" s="96" t="str">
        <f>IND_Commodities!$C$6</f>
        <v>INDPEA</v>
      </c>
      <c r="K15" s="119"/>
      <c r="L15" s="119">
        <f>INM!F76</f>
        <v>0</v>
      </c>
      <c r="M15" s="169"/>
      <c r="N15" s="64">
        <f t="shared" ref="N15:N27" si="1">G15-K15-L15</f>
        <v>0</v>
      </c>
      <c r="O15" s="86" t="str">
        <f>IND_Commodities!$C$91</f>
        <v>ICM</v>
      </c>
      <c r="P15" s="169"/>
      <c r="Q15" s="169">
        <f>(G43*H39)</f>
        <v>4</v>
      </c>
      <c r="R15" s="26"/>
      <c r="S15" s="470"/>
      <c r="T15" s="470"/>
    </row>
    <row r="16" spans="1:20">
      <c r="A16" s="26"/>
      <c r="B16" s="26"/>
      <c r="C16" s="26"/>
      <c r="D16" s="26"/>
      <c r="E16" s="26"/>
      <c r="F16" s="96" t="str">
        <f>IND_Commodities!$C$7</f>
        <v>INDCOH</v>
      </c>
      <c r="G16" s="119">
        <f>IND_Bal!E$40</f>
        <v>0</v>
      </c>
      <c r="H16" s="168"/>
      <c r="I16" s="26"/>
      <c r="J16" s="96" t="str">
        <f>IND_Commodities!$C$7</f>
        <v>INDCOH</v>
      </c>
      <c r="K16" s="119"/>
      <c r="L16" s="119">
        <f>INM!F77</f>
        <v>0</v>
      </c>
      <c r="M16" s="169"/>
      <c r="N16" s="64">
        <f t="shared" si="1"/>
        <v>0</v>
      </c>
      <c r="O16" s="49"/>
      <c r="P16" s="101">
        <f>SUM(P14:P15)</f>
        <v>4</v>
      </c>
      <c r="Q16" s="101">
        <f>SUM(Q14:Q15)</f>
        <v>8</v>
      </c>
      <c r="R16" s="26"/>
      <c r="S16" s="470"/>
      <c r="T16" s="470"/>
    </row>
    <row r="17" spans="1:19" ht="18.75">
      <c r="A17" s="103" t="s">
        <v>1165</v>
      </c>
      <c r="B17" s="43"/>
      <c r="C17" s="43"/>
      <c r="D17" s="26"/>
      <c r="E17" s="26"/>
      <c r="F17" s="96" t="str">
        <f>IND_Commodities!$C$8</f>
        <v>INDCOK</v>
      </c>
      <c r="G17" s="119">
        <f>IND_Bal!F$40</f>
        <v>0</v>
      </c>
      <c r="H17" s="168"/>
      <c r="I17" s="26"/>
      <c r="J17" s="96" t="str">
        <f>IND_Commodities!$C$8</f>
        <v>INDCOK</v>
      </c>
      <c r="K17" s="119"/>
      <c r="L17" s="119">
        <f>INM!F26+INM!F41+INM!F55+INM!F78</f>
        <v>0</v>
      </c>
      <c r="M17" s="169"/>
      <c r="N17" s="64">
        <f t="shared" si="1"/>
        <v>0</v>
      </c>
      <c r="O17" s="96" t="str">
        <f>IND_Commodities!$C$63</f>
        <v>MLMSTN</v>
      </c>
      <c r="P17" s="169">
        <f>('ICM  ILM  IGH  IGF'!F64*'ICM  ILM  IGH  IGF'!H64)</f>
        <v>0.53579999999999994</v>
      </c>
      <c r="Q17" s="169"/>
      <c r="R17" s="26"/>
      <c r="S17" s="470"/>
    </row>
    <row r="18" spans="1:19">
      <c r="A18" s="86"/>
      <c r="B18" s="98"/>
      <c r="C18" s="49" t="str">
        <f>'ICM  ILM  IGH  IGF'!C75</f>
        <v>IGH.Glass Recycling.00.</v>
      </c>
      <c r="D18" s="162">
        <v>0.67736185383244207</v>
      </c>
      <c r="E18" s="26"/>
      <c r="F18" s="96" t="str">
        <f>IND_Commodities!$C$10</f>
        <v>INDLPG</v>
      </c>
      <c r="G18" s="119">
        <f>IND_Bal!H$40</f>
        <v>6.1594782128177331E-2</v>
      </c>
      <c r="H18" s="168"/>
      <c r="I18" s="26"/>
      <c r="J18" s="96" t="str">
        <f>IND_Commodities!$C$10</f>
        <v>INDLPG</v>
      </c>
      <c r="K18" s="119"/>
      <c r="L18" s="119">
        <f>INM!F27+INM!F42+INM!F56+INM!F79</f>
        <v>6.1594782128177331E-2</v>
      </c>
      <c r="M18" s="169"/>
      <c r="N18" s="64">
        <f t="shared" si="1"/>
        <v>0</v>
      </c>
      <c r="O18" s="86" t="str">
        <f>IND_Commodities!$C$92</f>
        <v>ILM</v>
      </c>
      <c r="P18" s="169"/>
      <c r="Q18" s="169">
        <f>('ICM  ILM  IGH  IGF'!G67*'ICM  ILM  IGH  IGF'!H64)</f>
        <v>0.3</v>
      </c>
      <c r="R18" s="26"/>
      <c r="S18" s="470"/>
    </row>
    <row r="19" spans="1:19">
      <c r="A19" s="49"/>
      <c r="B19" s="98"/>
      <c r="C19" s="49" t="str">
        <f>'ICM  ILM  IGH  IGF'!C81</f>
        <v>IGH.Glass Hollow.00.</v>
      </c>
      <c r="D19" s="162">
        <v>0.32263814616755793</v>
      </c>
      <c r="E19" s="26"/>
      <c r="F19" s="96" t="str">
        <f>IND_Commodities!$C$11</f>
        <v>INDLFO</v>
      </c>
      <c r="G19" s="119">
        <f>IND_Bal!I$40</f>
        <v>2.0116483033693555</v>
      </c>
      <c r="H19" s="168"/>
      <c r="I19" s="26"/>
      <c r="J19" s="96" t="str">
        <f>IND_Commodities!$C$11</f>
        <v>INDLFO</v>
      </c>
      <c r="K19" s="119">
        <f>(F41*H39)</f>
        <v>5.7107952000000073E-2</v>
      </c>
      <c r="L19" s="119">
        <f>INM!F28+INM!F43+INM!F57+INM!F80</f>
        <v>1.8869261085604554</v>
      </c>
      <c r="M19" s="169"/>
      <c r="N19" s="64">
        <f t="shared" si="1"/>
        <v>6.761424280890016E-2</v>
      </c>
      <c r="O19" s="49"/>
      <c r="P19" s="101">
        <f>SUM(P17:P18)</f>
        <v>0.53579999999999994</v>
      </c>
      <c r="Q19" s="101">
        <f>SUM(Q17:Q18)</f>
        <v>0.3</v>
      </c>
      <c r="R19" s="26"/>
      <c r="S19" s="470"/>
    </row>
    <row r="20" spans="1:19">
      <c r="A20" s="170"/>
      <c r="B20" s="49"/>
      <c r="C20" s="49"/>
      <c r="D20" s="171">
        <f>IF(SUM(D18:D19)&lt;&gt;1,"ERR: " &amp; SUM(D18:D19),SUM(D18:D19))</f>
        <v>1</v>
      </c>
      <c r="E20" s="26"/>
      <c r="F20" s="96" t="str">
        <f>IND_Commodities!$C$13</f>
        <v>INDHFO</v>
      </c>
      <c r="G20" s="119">
        <f>IND_Bal!K$40</f>
        <v>6.0199642193968765</v>
      </c>
      <c r="H20" s="168"/>
      <c r="I20" s="26"/>
      <c r="J20" s="96" t="str">
        <f>IND_Commodities!$C$13</f>
        <v>INDHFO</v>
      </c>
      <c r="K20" s="172">
        <f>(F77*H75)+(F82*H81)+H95*I95/F95+H98*I98/F98+(F55*H54)</f>
        <v>9.4112237004950501</v>
      </c>
      <c r="L20" s="172">
        <f>INM!F29+INM!F44+INM!F58+INM!F81</f>
        <v>0.21069874767889088</v>
      </c>
      <c r="M20" s="169"/>
      <c r="N20" s="64">
        <f t="shared" si="1"/>
        <v>-3.6019582287770646</v>
      </c>
      <c r="O20" s="96" t="str">
        <f>IND_Commodities!$C$64</f>
        <v>MGHRYC</v>
      </c>
      <c r="P20" s="169">
        <f>('ICM  ILM  IGH  IGF'!F75*'ICM  ILM  IGH  IGF'!H75)</f>
        <v>0</v>
      </c>
      <c r="Q20" s="169"/>
      <c r="R20" s="26"/>
      <c r="S20" s="470"/>
    </row>
    <row r="21" spans="1:19">
      <c r="A21" s="26"/>
      <c r="B21" s="26"/>
      <c r="C21" s="26"/>
      <c r="D21" s="26"/>
      <c r="E21" s="26"/>
      <c r="F21" s="96" t="str">
        <f>IND_Commodities!$C$15</f>
        <v>INDGAS</v>
      </c>
      <c r="G21" s="119">
        <f>IND_Bal!M$40</f>
        <v>0.7496971002864834</v>
      </c>
      <c r="H21" s="168"/>
      <c r="I21" s="26"/>
      <c r="J21" s="96" t="str">
        <f>IND_Commodities!$C$15</f>
        <v>INDGAS</v>
      </c>
      <c r="K21" s="119">
        <f>(F78*H75)+(F83*H81)+(F87*H86)+H96*I96/F96+H99*I99/F99</f>
        <v>0</v>
      </c>
      <c r="L21" s="119">
        <f>INM!F30+INM!F45+INM!F59+INM!F82</f>
        <v>0.7496971002864834</v>
      </c>
      <c r="M21" s="169"/>
      <c r="N21" s="64">
        <f t="shared" si="1"/>
        <v>0</v>
      </c>
      <c r="O21" s="86" t="str">
        <f>IND_Commodities!$C$93</f>
        <v>IGH</v>
      </c>
      <c r="P21" s="169"/>
      <c r="Q21" s="169">
        <f>('ICM  ILM  IGH  IGF'!G79*'ICM  ILM  IGH  IGF'!H75)+('ICM  ILM  IGH  IGF'!G84*'ICM  ILM  IGH  IGF'!H81)</f>
        <v>0</v>
      </c>
      <c r="R21" s="26"/>
      <c r="S21" s="470"/>
    </row>
    <row r="22" spans="1:19" ht="18.75">
      <c r="A22" s="103" t="s">
        <v>1166</v>
      </c>
      <c r="B22" s="43"/>
      <c r="C22" s="43"/>
      <c r="D22" s="26"/>
      <c r="E22" s="26"/>
      <c r="F22" s="96" t="str">
        <f>IND_Commodities!$C$16</f>
        <v>INDCOG</v>
      </c>
      <c r="G22" s="119">
        <f>IND_Bal!N$40</f>
        <v>0</v>
      </c>
      <c r="H22" s="168"/>
      <c r="I22" s="26"/>
      <c r="J22" s="96" t="str">
        <f>IND_Commodities!$C$16</f>
        <v>INDCOG</v>
      </c>
      <c r="K22" s="119">
        <f>H100*I100/F100</f>
        <v>0</v>
      </c>
      <c r="L22" s="119">
        <f>INM!F83</f>
        <v>0</v>
      </c>
      <c r="M22" s="169"/>
      <c r="N22" s="64">
        <f t="shared" si="1"/>
        <v>0</v>
      </c>
      <c r="O22" s="86" t="str">
        <f>IND_Commodities!$C$94</f>
        <v>IGF</v>
      </c>
      <c r="P22" s="169"/>
      <c r="Q22" s="169">
        <f>('ICM  ILM  IGH  IGF'!G88*'ICM  ILM  IGH  IGF'!H86)</f>
        <v>0</v>
      </c>
      <c r="R22" s="26"/>
      <c r="S22" s="470"/>
    </row>
    <row r="23" spans="1:19">
      <c r="A23" s="86"/>
      <c r="B23" s="98"/>
      <c r="C23" s="49" t="str">
        <f>C94</f>
        <v>ICM.Generic fuel kiln.COA</v>
      </c>
      <c r="D23" s="162">
        <v>0.35</v>
      </c>
      <c r="E23" s="26"/>
      <c r="F23" s="96" t="str">
        <f>IND_Commodities!$C$17</f>
        <v>INDBFG</v>
      </c>
      <c r="G23" s="119">
        <f>IND_Bal!O$40</f>
        <v>0</v>
      </c>
      <c r="H23" s="168"/>
      <c r="I23" s="26"/>
      <c r="J23" s="96" t="str">
        <f>IND_Commodities!$C$17</f>
        <v>INDBFG</v>
      </c>
      <c r="K23" s="119"/>
      <c r="L23" s="119">
        <f>INM!F84</f>
        <v>0</v>
      </c>
      <c r="M23" s="169"/>
      <c r="N23" s="64">
        <f t="shared" si="1"/>
        <v>0</v>
      </c>
      <c r="O23" s="49"/>
      <c r="P23" s="101">
        <f>SUM(P20:P22)</f>
        <v>0</v>
      </c>
      <c r="Q23" s="101">
        <f>SUM(Q20:Q22)</f>
        <v>0</v>
      </c>
      <c r="R23" s="26"/>
      <c r="S23" s="470"/>
    </row>
    <row r="24" spans="1:19">
      <c r="A24" s="49"/>
      <c r="B24" s="98"/>
      <c r="C24" s="49" t="str">
        <f>C95</f>
        <v>ICM.Generic fuel kiln.HFO</v>
      </c>
      <c r="D24" s="162">
        <v>0.65</v>
      </c>
      <c r="E24" s="26"/>
      <c r="F24" s="96" t="str">
        <f>IND_Commodities!$C$20</f>
        <v>INDBIO</v>
      </c>
      <c r="G24" s="119">
        <f>IND_Bal!R$40</f>
        <v>1.7969192236068419</v>
      </c>
      <c r="H24" s="168"/>
      <c r="I24" s="26"/>
      <c r="J24" s="96" t="str">
        <f>IND_Commodities!$C$20</f>
        <v>INDBIO</v>
      </c>
      <c r="K24" s="119"/>
      <c r="L24" s="119">
        <f>INM!F31+INM!F46+INM!F60+INM!F85</f>
        <v>0</v>
      </c>
      <c r="M24" s="169"/>
      <c r="N24" s="64">
        <f t="shared" si="1"/>
        <v>1.7969192236068419</v>
      </c>
      <c r="O24" s="26"/>
      <c r="P24" s="26"/>
      <c r="Q24" s="26"/>
      <c r="R24" s="26"/>
      <c r="S24" s="149"/>
    </row>
    <row r="25" spans="1:19">
      <c r="A25" s="170"/>
      <c r="B25" s="49"/>
      <c r="C25" s="49" t="str">
        <f>C96</f>
        <v>ICM.Generic fuel kiln.GAS</v>
      </c>
      <c r="D25" s="162">
        <v>0</v>
      </c>
      <c r="E25" s="26"/>
      <c r="F25" s="96" t="str">
        <f>IND_Commodities!$C$22</f>
        <v>INDWASL</v>
      </c>
      <c r="G25" s="119">
        <f>IND_Bal!T$40</f>
        <v>2.2911400353810554</v>
      </c>
      <c r="H25" s="168"/>
      <c r="I25" s="26"/>
      <c r="J25" s="96" t="str">
        <f>IND_Commodities!$C$22</f>
        <v>INDWASL</v>
      </c>
      <c r="K25" s="119"/>
      <c r="L25" s="119">
        <f>INM!F86</f>
        <v>0</v>
      </c>
      <c r="M25" s="169"/>
      <c r="N25" s="64">
        <f t="shared" si="1"/>
        <v>2.2911400353810554</v>
      </c>
      <c r="O25" s="101" t="s">
        <v>1167</v>
      </c>
      <c r="P25" s="97">
        <f>(F51*H50)</f>
        <v>6.72</v>
      </c>
      <c r="Q25" s="97">
        <f>(H94*I94/F94)+(H95*I95/F95)+(H96*I96/F96)</f>
        <v>12.537108256280174</v>
      </c>
      <c r="R25" s="26"/>
      <c r="S25" s="149"/>
    </row>
    <row r="26" spans="1:19">
      <c r="A26" s="26"/>
      <c r="B26" s="26"/>
      <c r="C26" s="26"/>
      <c r="D26" s="171">
        <f>IF(SUM(D23:D25)&lt;&gt;1,"ERR: " &amp; SUM(D23:D25),SUM(D23:D25))</f>
        <v>1</v>
      </c>
      <c r="E26" s="26"/>
      <c r="F26" s="96" t="str">
        <f>IND_Commodities!$C$25</f>
        <v>INDELC</v>
      </c>
      <c r="G26" s="119">
        <f>IND_Bal!U$40</f>
        <v>2.5041740143626483</v>
      </c>
      <c r="H26" s="168"/>
      <c r="I26" s="26"/>
      <c r="J26" s="96" t="str">
        <f>IND_Commodities!$C$25</f>
        <v>INDELC</v>
      </c>
      <c r="K26" s="119">
        <f>F42*H39+F50*H50+F65*H64+F76*H75+F81*H81+F86*H86+F54*H54</f>
        <v>1.8756000000000002</v>
      </c>
      <c r="L26" s="119">
        <f>INM!F32+INM!F47+INM!F61+INM!F68+INM!F88</f>
        <v>0.75125220430879447</v>
      </c>
      <c r="M26" s="169"/>
      <c r="N26" s="64">
        <f t="shared" si="1"/>
        <v>-0.12267818994614632</v>
      </c>
      <c r="O26" s="49" t="s">
        <v>1168</v>
      </c>
      <c r="P26" s="97">
        <f>(F66*H64)</f>
        <v>1.125</v>
      </c>
      <c r="Q26" s="97">
        <f>(H97*I97/F97)+(H98*I98/F98)+(H99*I99/F99)+(H100*I100/F100)</f>
        <v>1.1761924342105265</v>
      </c>
      <c r="R26" s="26"/>
      <c r="S26" s="149"/>
    </row>
    <row r="27" spans="1:19" ht="18.75">
      <c r="A27" s="103" t="s">
        <v>1166</v>
      </c>
      <c r="B27" s="43"/>
      <c r="C27" s="43"/>
      <c r="D27" s="26"/>
      <c r="E27" s="26"/>
      <c r="F27" s="96" t="s">
        <v>1126</v>
      </c>
      <c r="G27" s="119">
        <f>IND_Bal!V$40</f>
        <v>0</v>
      </c>
      <c r="H27" s="168"/>
      <c r="I27" s="26"/>
      <c r="J27" s="96" t="s">
        <v>1126</v>
      </c>
      <c r="K27" s="119"/>
      <c r="L27" s="119">
        <f>INM!F33+INM!F87</f>
        <v>0</v>
      </c>
      <c r="M27" s="169"/>
      <c r="N27" s="64">
        <f t="shared" si="1"/>
        <v>0</v>
      </c>
      <c r="O27" s="26"/>
      <c r="P27" s="26"/>
      <c r="Q27" s="26"/>
      <c r="R27" s="26"/>
      <c r="S27" s="149"/>
    </row>
    <row r="28" spans="1:19">
      <c r="A28" s="86"/>
      <c r="B28" s="98"/>
      <c r="C28" s="49" t="str">
        <f>C97</f>
        <v>ILM.Generic fuel kiln.COA</v>
      </c>
      <c r="D28" s="162">
        <v>0.35</v>
      </c>
      <c r="E28" s="26"/>
      <c r="F28" s="26"/>
      <c r="G28" s="173">
        <f>SUM(G14:G27)</f>
        <v>19.074264568601436</v>
      </c>
      <c r="H28" s="173">
        <f>SUM(H14:H27)</f>
        <v>0</v>
      </c>
      <c r="I28" s="26"/>
      <c r="J28" s="26"/>
      <c r="K28" s="173">
        <f>SUM(K14:K27)</f>
        <v>15.646008642490701</v>
      </c>
      <c r="L28" s="173">
        <f>SUM(L14:L27)</f>
        <v>3.6601689429628013</v>
      </c>
      <c r="M28" s="173">
        <f>SUM(M14:M27)</f>
        <v>0</v>
      </c>
      <c r="N28" s="63">
        <f>K28+L28</f>
        <v>19.306177585453501</v>
      </c>
      <c r="O28" s="26"/>
      <c r="P28" s="26"/>
      <c r="Q28" s="26"/>
      <c r="R28" s="26"/>
      <c r="S28" s="149"/>
    </row>
    <row r="29" spans="1:19">
      <c r="A29" s="49"/>
      <c r="B29" s="98"/>
      <c r="C29" s="49" t="str">
        <f>C98</f>
        <v>ILM.Generic fuel kiln.HFO</v>
      </c>
      <c r="D29" s="162">
        <v>0.65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174" t="s">
        <v>883</v>
      </c>
      <c r="P29" s="175" t="e">
        <f>F40*H39</f>
        <v>#VALUE!</v>
      </c>
      <c r="Q29" s="175">
        <f>IIS!P17</f>
        <v>0</v>
      </c>
      <c r="R29" s="26"/>
      <c r="S29" s="470"/>
    </row>
    <row r="30" spans="1:19">
      <c r="A30" s="170"/>
      <c r="B30" s="49"/>
      <c r="C30" s="49" t="str">
        <f>C99</f>
        <v>ILM.Generic fuel kiln.GAS</v>
      </c>
      <c r="D30" s="162">
        <v>0</v>
      </c>
      <c r="E30" s="26"/>
      <c r="F30" s="26"/>
      <c r="G30" s="173"/>
      <c r="H30" s="173"/>
      <c r="I30" s="26"/>
      <c r="J30" s="26"/>
      <c r="K30" s="173"/>
      <c r="L30" s="173"/>
      <c r="M30" s="26"/>
      <c r="N30" s="26"/>
      <c r="O30" s="26"/>
      <c r="P30" s="26"/>
      <c r="Q30" s="26"/>
      <c r="R30" s="26"/>
      <c r="S30" s="470"/>
    </row>
    <row r="31" spans="1:19">
      <c r="A31" s="170"/>
      <c r="B31" s="49"/>
      <c r="C31" s="49" t="str">
        <f>C100</f>
        <v>ILM.Generic fuel kiln.COG</v>
      </c>
      <c r="D31" s="162"/>
      <c r="E31" s="26"/>
      <c r="F31" s="26"/>
      <c r="G31" s="173"/>
      <c r="H31" s="173"/>
      <c r="I31" s="26"/>
      <c r="J31" s="26"/>
      <c r="K31" s="173"/>
      <c r="L31" s="173"/>
      <c r="M31" s="26"/>
      <c r="N31" s="26"/>
      <c r="O31" s="26"/>
      <c r="P31" s="26"/>
      <c r="Q31" s="26"/>
      <c r="R31" s="26"/>
      <c r="S31" s="470"/>
    </row>
    <row r="32" spans="1:19">
      <c r="A32" s="170"/>
      <c r="B32" s="49"/>
      <c r="C32" s="49"/>
      <c r="D32" s="176">
        <f>IF(SUM(D28:D31)&lt;&gt;1,"ERR: " &amp; SUM(D28:D31),SUM(D28:D31))</f>
        <v>1</v>
      </c>
      <c r="E32" s="26"/>
      <c r="F32" s="26"/>
      <c r="G32" s="173"/>
      <c r="H32" s="173"/>
      <c r="I32" s="26"/>
      <c r="J32" s="26"/>
      <c r="K32" s="173"/>
      <c r="L32" s="173"/>
      <c r="M32" s="26"/>
      <c r="N32" s="26"/>
      <c r="O32" s="26"/>
      <c r="P32" s="26"/>
      <c r="Q32" s="26"/>
      <c r="R32" s="26"/>
      <c r="S32" s="470"/>
    </row>
    <row r="33" spans="1:18">
      <c r="A33" s="26"/>
      <c r="B33" s="26"/>
      <c r="C33" s="26"/>
      <c r="D33" s="26"/>
      <c r="E33" s="26"/>
      <c r="F33" s="26"/>
      <c r="G33" s="173"/>
      <c r="H33" s="173"/>
      <c r="I33" s="26"/>
      <c r="J33" s="26"/>
      <c r="K33" s="173"/>
      <c r="L33" s="173"/>
      <c r="M33" s="26"/>
      <c r="N33" s="26"/>
      <c r="O33" s="26"/>
      <c r="P33" s="26"/>
      <c r="Q33" s="26"/>
      <c r="R33" s="26"/>
    </row>
    <row r="34" spans="1:18">
      <c r="A34" s="26"/>
      <c r="B34" s="26"/>
      <c r="C34" s="26"/>
      <c r="D34" s="26"/>
      <c r="E34" s="40"/>
      <c r="F34" s="26"/>
      <c r="G34" s="173"/>
      <c r="H34" s="173"/>
      <c r="I34" s="26"/>
      <c r="J34" s="26"/>
      <c r="K34" s="173"/>
      <c r="L34" s="173"/>
      <c r="M34" s="26"/>
      <c r="N34" s="26"/>
      <c r="O34" s="26"/>
      <c r="P34" s="26"/>
      <c r="Q34" s="26"/>
      <c r="R34" s="26"/>
    </row>
    <row r="35" spans="1:18">
      <c r="A35" s="26"/>
      <c r="B35" s="26"/>
      <c r="C35" s="26"/>
      <c r="D35" s="26"/>
      <c r="E35" s="40"/>
      <c r="F35" s="26"/>
      <c r="G35" s="173"/>
      <c r="H35" s="173"/>
      <c r="I35" s="26"/>
      <c r="J35" s="26"/>
      <c r="K35" s="173"/>
      <c r="L35" s="173"/>
      <c r="M35" s="26"/>
      <c r="N35" s="26"/>
      <c r="O35" s="26"/>
      <c r="P35" s="26"/>
      <c r="Q35" s="26"/>
      <c r="R35" s="26"/>
    </row>
    <row r="36" spans="1:18" ht="18.75">
      <c r="A36" s="103" t="s">
        <v>1169</v>
      </c>
      <c r="B36" s="43"/>
      <c r="C36" s="43"/>
      <c r="D36" s="43"/>
      <c r="E36" s="40" t="str">
        <f>IF($B$5="","DeAct","~FI_T")</f>
        <v>~FI_T</v>
      </c>
      <c r="F36" s="40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89" t="s">
        <v>1110</v>
      </c>
      <c r="B37" s="89" t="s">
        <v>318</v>
      </c>
      <c r="C37" s="89" t="s">
        <v>327</v>
      </c>
      <c r="D37" s="89" t="s">
        <v>718</v>
      </c>
      <c r="E37" s="89" t="s">
        <v>719</v>
      </c>
      <c r="F37" s="90" t="s">
        <v>1111</v>
      </c>
      <c r="G37" s="90" t="s">
        <v>1112</v>
      </c>
      <c r="H37" s="90" t="s">
        <v>801</v>
      </c>
      <c r="I37" s="90" t="s">
        <v>727</v>
      </c>
      <c r="J37" s="90" t="s">
        <v>725</v>
      </c>
      <c r="K37" s="90" t="s">
        <v>724</v>
      </c>
      <c r="L37" s="26"/>
      <c r="M37" s="26"/>
      <c r="N37" s="26"/>
      <c r="O37" s="26"/>
      <c r="P37" s="26"/>
      <c r="Q37" s="26"/>
      <c r="R37" s="26"/>
    </row>
    <row r="38" spans="1:18" ht="13.5" thickBot="1">
      <c r="A38" s="177" t="s">
        <v>1113</v>
      </c>
      <c r="B38" s="75"/>
      <c r="C38" s="75"/>
      <c r="D38" s="75"/>
      <c r="E38" s="75"/>
      <c r="F38" s="75"/>
      <c r="G38" s="75"/>
      <c r="H38" s="164" t="s">
        <v>339</v>
      </c>
      <c r="I38" s="178" t="s">
        <v>1055</v>
      </c>
      <c r="J38" s="179" t="s">
        <v>1114</v>
      </c>
      <c r="K38" s="179"/>
      <c r="L38" s="26"/>
      <c r="M38" s="26"/>
      <c r="N38" s="26"/>
      <c r="O38" s="26"/>
      <c r="P38" s="26"/>
      <c r="Q38" s="26"/>
      <c r="R38" s="26"/>
    </row>
    <row r="39" spans="1:18">
      <c r="A39" s="49" t="str">
        <f>IND_Bal!$B$111</f>
        <v>ICM</v>
      </c>
      <c r="B39" s="180" t="s">
        <v>429</v>
      </c>
      <c r="C39" s="76" t="s">
        <v>430</v>
      </c>
      <c r="D39" s="96" t="str">
        <f>IND_Commodities!$C$62</f>
        <v>MCMCLK</v>
      </c>
      <c r="E39" s="96"/>
      <c r="F39" s="181">
        <f>IFERROR(1-F40,1)</f>
        <v>1</v>
      </c>
      <c r="G39" s="49"/>
      <c r="H39" s="182">
        <f>B4</f>
        <v>4</v>
      </c>
      <c r="I39" s="51">
        <v>30</v>
      </c>
      <c r="J39" s="51">
        <v>3</v>
      </c>
      <c r="K39" s="51">
        <v>3</v>
      </c>
      <c r="L39" s="26"/>
      <c r="M39" s="26"/>
      <c r="N39" s="26"/>
      <c r="O39" s="26"/>
      <c r="P39" s="26"/>
      <c r="Q39" s="26"/>
      <c r="R39" s="26"/>
    </row>
    <row r="40" spans="1:18">
      <c r="A40" s="49"/>
      <c r="B40" s="49"/>
      <c r="C40" s="49"/>
      <c r="D40" s="96" t="str">
        <f>IND_Commodities!C51</f>
        <v>MISBFS</v>
      </c>
      <c r="E40" s="96"/>
      <c r="F40" s="181" t="str">
        <f>IF(H39=0,0,IF(Q29/H39=0,"",Q29/H39))</f>
        <v/>
      </c>
      <c r="G40" s="49"/>
      <c r="H40" s="183"/>
      <c r="I40" s="51"/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49"/>
      <c r="C41" s="49"/>
      <c r="D41" s="184" t="str">
        <f>IF(F41&gt;0,"INDLFO","\I:")</f>
        <v>INDLFO</v>
      </c>
      <c r="E41" s="96"/>
      <c r="F41" s="185">
        <v>1.4276988000000018E-2</v>
      </c>
      <c r="G41" s="49"/>
      <c r="H41" s="49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186"/>
      <c r="D42" s="184" t="str">
        <f>IF(F42&gt;0,"INDELC","\I:")</f>
        <v>INDELC</v>
      </c>
      <c r="E42" s="96"/>
      <c r="F42" s="185">
        <v>0.34200000000000003</v>
      </c>
      <c r="G42" s="49"/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49"/>
      <c r="B43" s="49"/>
      <c r="C43" s="49"/>
      <c r="D43" s="96"/>
      <c r="E43" s="86" t="str">
        <f>IND_Commodities!$C$91</f>
        <v>ICM</v>
      </c>
      <c r="F43" s="49"/>
      <c r="G43" s="49">
        <v>1</v>
      </c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170" t="s">
        <v>202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26"/>
      <c r="M44" s="26"/>
      <c r="N44" s="26"/>
      <c r="O44" s="26"/>
      <c r="P44" s="26"/>
      <c r="Q44" s="26"/>
      <c r="R44" s="26"/>
    </row>
    <row r="45" spans="1:18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26"/>
      <c r="B46" s="26"/>
      <c r="C46" s="26"/>
      <c r="D46" s="26"/>
      <c r="E46" s="40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 ht="18.75">
      <c r="A47" s="103" t="s">
        <v>1170</v>
      </c>
      <c r="B47" s="43"/>
      <c r="C47" s="43"/>
      <c r="D47" s="43"/>
      <c r="E47" s="40" t="str">
        <f>IF($B$4=0,"DeAct","~FI_T")</f>
        <v>~FI_T</v>
      </c>
      <c r="F47" s="40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89" t="s">
        <v>1110</v>
      </c>
      <c r="B48" s="89" t="s">
        <v>318</v>
      </c>
      <c r="C48" s="89" t="s">
        <v>327</v>
      </c>
      <c r="D48" s="89" t="s">
        <v>718</v>
      </c>
      <c r="E48" s="89" t="s">
        <v>719</v>
      </c>
      <c r="F48" s="90" t="s">
        <v>1111</v>
      </c>
      <c r="G48" s="90" t="s">
        <v>1112</v>
      </c>
      <c r="H48" s="90" t="s">
        <v>801</v>
      </c>
      <c r="I48" s="90" t="s">
        <v>727</v>
      </c>
      <c r="J48" s="90" t="s">
        <v>725</v>
      </c>
      <c r="K48" s="90" t="s">
        <v>724</v>
      </c>
      <c r="L48" s="26"/>
      <c r="M48" s="26"/>
      <c r="N48" s="26"/>
      <c r="O48" s="26"/>
      <c r="P48" s="26"/>
      <c r="Q48" s="26"/>
      <c r="R48" s="26"/>
    </row>
    <row r="49" spans="1:18" ht="13.5" thickBot="1">
      <c r="A49" s="177" t="s">
        <v>1113</v>
      </c>
      <c r="B49" s="75"/>
      <c r="C49" s="75"/>
      <c r="D49" s="75"/>
      <c r="E49" s="75"/>
      <c r="F49" s="75"/>
      <c r="G49" s="75"/>
      <c r="H49" s="164" t="s">
        <v>339</v>
      </c>
      <c r="I49" s="178" t="s">
        <v>1055</v>
      </c>
      <c r="J49" s="179" t="s">
        <v>1114</v>
      </c>
      <c r="K49" s="179"/>
      <c r="L49" s="26"/>
      <c r="M49" s="26"/>
      <c r="N49" s="26"/>
      <c r="O49" s="26"/>
      <c r="P49" s="26"/>
      <c r="Q49" s="26"/>
      <c r="R49" s="26"/>
    </row>
    <row r="50" spans="1:18">
      <c r="A50" s="49" t="str">
        <f>IND_Bal!$B$111</f>
        <v>ICM</v>
      </c>
      <c r="B50" s="180" t="s">
        <v>427</v>
      </c>
      <c r="C50" s="76" t="s">
        <v>428</v>
      </c>
      <c r="D50" s="96" t="str">
        <f>IND_Commodities!$C$25</f>
        <v>INDELC</v>
      </c>
      <c r="E50" s="96"/>
      <c r="F50" s="51">
        <v>0.108</v>
      </c>
      <c r="G50" s="49"/>
      <c r="H50" s="182">
        <f>$H$39*D13*F39</f>
        <v>4</v>
      </c>
      <c r="I50" s="51">
        <v>30</v>
      </c>
      <c r="J50" s="51">
        <v>5</v>
      </c>
      <c r="K50" s="51">
        <v>5</v>
      </c>
      <c r="L50" s="26"/>
      <c r="M50" s="26"/>
      <c r="N50" s="26"/>
      <c r="O50" s="26"/>
      <c r="P50" s="26"/>
      <c r="Q50" s="173"/>
      <c r="R50" s="173"/>
    </row>
    <row r="51" spans="1:18">
      <c r="A51" s="49"/>
      <c r="B51" s="186"/>
      <c r="C51" s="49"/>
      <c r="D51" s="96" t="str">
        <f>IND_Commodities!C121</f>
        <v>ICMPRC</v>
      </c>
      <c r="E51" s="98"/>
      <c r="F51" s="187">
        <v>1.68</v>
      </c>
      <c r="G51" s="49"/>
      <c r="H51" s="183"/>
      <c r="I51" s="49"/>
      <c r="J51" s="49"/>
      <c r="K51" s="49"/>
      <c r="L51" s="26"/>
      <c r="M51" s="26"/>
      <c r="N51" s="26"/>
      <c r="O51" s="26"/>
      <c r="P51" s="26"/>
      <c r="Q51" s="26"/>
      <c r="R51" s="26"/>
    </row>
    <row r="52" spans="1:18">
      <c r="A52" s="49"/>
      <c r="B52" s="49"/>
      <c r="C52" s="49"/>
      <c r="D52" s="96"/>
      <c r="E52" s="96" t="str">
        <f>IND_Commodities!$C$62</f>
        <v>MCMCLK</v>
      </c>
      <c r="F52" s="49"/>
      <c r="G52" s="49">
        <v>1</v>
      </c>
      <c r="H52" s="49"/>
      <c r="I52" s="49"/>
      <c r="J52" s="49"/>
      <c r="K52" s="49"/>
      <c r="L52" s="26"/>
      <c r="M52" s="26"/>
      <c r="N52" s="26"/>
      <c r="O52" s="26"/>
      <c r="P52" s="26"/>
      <c r="Q52" s="26"/>
      <c r="R52" s="26"/>
    </row>
    <row r="53" spans="1:18">
      <c r="A53" s="170" t="s">
        <v>202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26"/>
      <c r="M53" s="26"/>
      <c r="N53" s="26"/>
      <c r="O53" s="26"/>
      <c r="P53" s="26"/>
      <c r="Q53" s="26"/>
      <c r="R53" s="26"/>
    </row>
    <row r="54" spans="1:18">
      <c r="A54" s="49" t="str">
        <f>IND_Bal!$B$111</f>
        <v>ICM</v>
      </c>
      <c r="B54" s="180" t="s">
        <v>437</v>
      </c>
      <c r="C54" s="76" t="s">
        <v>438</v>
      </c>
      <c r="D54" s="96" t="str">
        <f>IND_Commodities!$C$25</f>
        <v>INDELC</v>
      </c>
      <c r="E54" s="96"/>
      <c r="F54" s="51">
        <v>0.3</v>
      </c>
      <c r="G54" s="49"/>
      <c r="H54" s="183">
        <f>$H$39*D14</f>
        <v>0</v>
      </c>
      <c r="I54" s="51">
        <v>30</v>
      </c>
      <c r="J54" s="51">
        <v>5</v>
      </c>
      <c r="K54" s="51">
        <v>5</v>
      </c>
      <c r="L54" s="26"/>
      <c r="M54" s="26"/>
      <c r="N54" s="26"/>
      <c r="O54" s="26"/>
      <c r="P54" s="26"/>
      <c r="Q54" s="26"/>
      <c r="R54" s="26"/>
    </row>
    <row r="55" spans="1:18">
      <c r="A55" s="49"/>
      <c r="B55" s="98"/>
      <c r="C55" s="98"/>
      <c r="D55" s="184" t="s">
        <v>277</v>
      </c>
      <c r="E55" s="98"/>
      <c r="F55" s="51">
        <v>6</v>
      </c>
      <c r="G55" s="49"/>
      <c r="H55" s="183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170" t="s">
        <v>202</v>
      </c>
      <c r="B56" s="98"/>
      <c r="C56" s="98"/>
      <c r="D56" s="96"/>
      <c r="E56" s="98"/>
      <c r="F56" s="51"/>
      <c r="G56" s="49"/>
      <c r="H56" s="183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49"/>
      <c r="B57" s="49"/>
      <c r="C57" s="49"/>
      <c r="D57" s="96"/>
      <c r="E57" s="96" t="str">
        <f>IND_Commodities!$C$62</f>
        <v>MCMCLK</v>
      </c>
      <c r="F57" s="49"/>
      <c r="G57" s="49">
        <v>1</v>
      </c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170" t="s">
        <v>202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26"/>
      <c r="M58" s="26"/>
      <c r="N58" s="26"/>
      <c r="O58" s="26"/>
      <c r="P58" s="26"/>
      <c r="Q58" s="26"/>
      <c r="R58" s="26"/>
    </row>
    <row r="59" spans="1:18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26"/>
      <c r="B60" s="26"/>
      <c r="C60" s="26"/>
      <c r="D60" s="26"/>
      <c r="E60" s="40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</row>
    <row r="61" spans="1:18" ht="18.75">
      <c r="A61" s="103" t="s">
        <v>1171</v>
      </c>
      <c r="B61" s="43"/>
      <c r="C61" s="43"/>
      <c r="D61" s="43"/>
      <c r="E61" s="40" t="str">
        <f>IF($B$5="","DeAct","~FI_T")</f>
        <v>~FI_T</v>
      </c>
      <c r="F61" s="40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89" t="s">
        <v>1110</v>
      </c>
      <c r="B62" s="89" t="s">
        <v>318</v>
      </c>
      <c r="C62" s="89" t="s">
        <v>327</v>
      </c>
      <c r="D62" s="89" t="s">
        <v>718</v>
      </c>
      <c r="E62" s="89" t="s">
        <v>719</v>
      </c>
      <c r="F62" s="90" t="s">
        <v>1111</v>
      </c>
      <c r="G62" s="90" t="s">
        <v>1112</v>
      </c>
      <c r="H62" s="90" t="s">
        <v>801</v>
      </c>
      <c r="I62" s="90" t="s">
        <v>727</v>
      </c>
      <c r="J62" s="90" t="s">
        <v>725</v>
      </c>
      <c r="K62" s="90" t="s">
        <v>724</v>
      </c>
      <c r="L62" s="26"/>
      <c r="M62" s="26"/>
      <c r="N62" s="26"/>
      <c r="O62" s="26"/>
      <c r="P62" s="26"/>
      <c r="Q62" s="26"/>
      <c r="R62" s="26"/>
    </row>
    <row r="63" spans="1:18" ht="13.5" thickBot="1">
      <c r="A63" s="177" t="s">
        <v>1113</v>
      </c>
      <c r="B63" s="75"/>
      <c r="C63" s="75"/>
      <c r="D63" s="75"/>
      <c r="E63" s="75"/>
      <c r="F63" s="75"/>
      <c r="G63" s="75"/>
      <c r="H63" s="164" t="s">
        <v>339</v>
      </c>
      <c r="I63" s="178" t="s">
        <v>1055</v>
      </c>
      <c r="J63" s="179" t="s">
        <v>1114</v>
      </c>
      <c r="K63" s="179"/>
      <c r="L63" s="26"/>
      <c r="M63" s="26"/>
      <c r="N63" s="26"/>
      <c r="O63" s="26"/>
      <c r="P63" s="26"/>
      <c r="Q63" s="26"/>
      <c r="R63" s="26"/>
    </row>
    <row r="64" spans="1:18">
      <c r="A64" s="49" t="str">
        <f>IND_Bal!$B$112</f>
        <v>ILM</v>
      </c>
      <c r="B64" s="180" t="s">
        <v>489</v>
      </c>
      <c r="C64" s="76" t="s">
        <v>490</v>
      </c>
      <c r="D64" s="96" t="str">
        <f>IND_Commodities!$C$63</f>
        <v>MLMSTN</v>
      </c>
      <c r="E64" s="96"/>
      <c r="F64" s="51">
        <v>1.786</v>
      </c>
      <c r="G64" s="49"/>
      <c r="H64" s="188">
        <f>B5</f>
        <v>0.3</v>
      </c>
      <c r="I64" s="51">
        <v>30</v>
      </c>
      <c r="J64" s="51">
        <v>10</v>
      </c>
      <c r="K64" s="51">
        <v>5</v>
      </c>
      <c r="L64" s="26"/>
      <c r="M64" s="26"/>
      <c r="N64" s="26"/>
      <c r="O64" s="26"/>
      <c r="P64" s="26"/>
      <c r="Q64" s="26"/>
      <c r="R64" s="26"/>
    </row>
    <row r="65" spans="1:18">
      <c r="A65" s="49"/>
      <c r="B65" s="186"/>
      <c r="C65" s="49"/>
      <c r="D65" s="96" t="str">
        <f>IND_Commodities!$C$25</f>
        <v>INDELC</v>
      </c>
      <c r="E65" s="98"/>
      <c r="F65" s="51">
        <v>0.25200000000000006</v>
      </c>
      <c r="G65" s="49"/>
      <c r="H65" s="183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49"/>
      <c r="B66" s="186"/>
      <c r="C66" s="49"/>
      <c r="D66" s="96" t="str">
        <f>IND_Commodities!C122</f>
        <v>ILMPRC</v>
      </c>
      <c r="E66" s="98"/>
      <c r="F66" s="189">
        <v>3.75</v>
      </c>
      <c r="G66" s="49"/>
      <c r="H66" s="183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/>
      <c r="B67" s="49"/>
      <c r="C67" s="49"/>
      <c r="D67" s="96"/>
      <c r="E67" s="86" t="str">
        <f>IND_Commodities!$C$92</f>
        <v>ILM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6"/>
      <c r="E68" s="96" t="str">
        <f>IND_Commodities!$C$83</f>
        <v>INDCO2P</v>
      </c>
      <c r="F68" s="49"/>
      <c r="G68" s="51">
        <v>0.78600000000000003</v>
      </c>
      <c r="H68" s="49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170" t="s">
        <v>202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26"/>
      <c r="B71" s="26"/>
      <c r="C71" s="26"/>
      <c r="D71" s="26"/>
      <c r="E71" s="40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ht="18.75">
      <c r="A72" s="103" t="s">
        <v>1172</v>
      </c>
      <c r="B72" s="43"/>
      <c r="C72" s="43"/>
      <c r="D72" s="43"/>
      <c r="E72" s="40" t="str">
        <f>IF($B$6+$B$7="","DeAct","~FI_T")</f>
        <v>~FI_T</v>
      </c>
      <c r="F72" s="40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89" t="s">
        <v>1110</v>
      </c>
      <c r="B73" s="89" t="s">
        <v>318</v>
      </c>
      <c r="C73" s="89" t="s">
        <v>327</v>
      </c>
      <c r="D73" s="89" t="s">
        <v>718</v>
      </c>
      <c r="E73" s="89" t="s">
        <v>719</v>
      </c>
      <c r="F73" s="90" t="s">
        <v>1111</v>
      </c>
      <c r="G73" s="90" t="s">
        <v>1112</v>
      </c>
      <c r="H73" s="90" t="s">
        <v>801</v>
      </c>
      <c r="I73" s="90" t="s">
        <v>727</v>
      </c>
      <c r="J73" s="90" t="s">
        <v>725</v>
      </c>
      <c r="K73" s="90" t="s">
        <v>724</v>
      </c>
      <c r="L73" s="26"/>
      <c r="M73" s="26"/>
      <c r="N73" s="26"/>
      <c r="O73" s="26"/>
      <c r="P73" s="26"/>
      <c r="Q73" s="26"/>
      <c r="R73" s="26"/>
    </row>
    <row r="74" spans="1:18" ht="13.5" thickBot="1">
      <c r="A74" s="177" t="s">
        <v>1113</v>
      </c>
      <c r="B74" s="75"/>
      <c r="C74" s="75"/>
      <c r="D74" s="75"/>
      <c r="E74" s="75"/>
      <c r="F74" s="75"/>
      <c r="G74" s="75"/>
      <c r="H74" s="164" t="s">
        <v>339</v>
      </c>
      <c r="I74" s="178" t="s">
        <v>1055</v>
      </c>
      <c r="J74" s="179" t="s">
        <v>1114</v>
      </c>
      <c r="K74" s="179"/>
      <c r="L74" s="26"/>
      <c r="M74" s="26"/>
      <c r="N74" s="26"/>
      <c r="O74" s="26"/>
      <c r="P74" s="26"/>
      <c r="Q74" s="26"/>
      <c r="R74" s="26"/>
    </row>
    <row r="75" spans="1:18">
      <c r="A75" s="49" t="str">
        <f>IND_Bal!$B$113</f>
        <v>IGH</v>
      </c>
      <c r="B75" s="180" t="s">
        <v>449</v>
      </c>
      <c r="C75" s="76" t="s">
        <v>450</v>
      </c>
      <c r="D75" s="96" t="str">
        <f>IND_Commodities!$C$64</f>
        <v>MGHRYC</v>
      </c>
      <c r="E75" s="96"/>
      <c r="F75" s="51">
        <v>1.05</v>
      </c>
      <c r="G75" s="49"/>
      <c r="H75" s="183">
        <f>B6*D18</f>
        <v>0</v>
      </c>
      <c r="I75" s="51">
        <v>30</v>
      </c>
      <c r="J75" s="51">
        <v>15</v>
      </c>
      <c r="K75" s="51">
        <v>75</v>
      </c>
      <c r="L75" s="26"/>
      <c r="M75" s="26"/>
      <c r="N75" s="26"/>
      <c r="O75" s="26"/>
      <c r="P75" s="26"/>
      <c r="Q75" s="26"/>
      <c r="R75" s="26"/>
    </row>
    <row r="76" spans="1:18">
      <c r="A76" s="49"/>
      <c r="B76" s="49"/>
      <c r="C76" s="49"/>
      <c r="D76" s="96" t="str">
        <f>IND_Commodities!$C$25</f>
        <v>INDELC</v>
      </c>
      <c r="E76" s="98"/>
      <c r="F76" s="51">
        <v>0.52</v>
      </c>
      <c r="G76" s="49"/>
      <c r="H76" s="183"/>
      <c r="I76" s="49"/>
      <c r="J76" s="49"/>
      <c r="K76" s="49"/>
      <c r="L76" s="26"/>
      <c r="M76" s="26"/>
      <c r="N76" s="26"/>
      <c r="O76" s="26"/>
      <c r="P76" s="26"/>
      <c r="Q76" s="26"/>
      <c r="R76" s="26"/>
    </row>
    <row r="77" spans="1:18">
      <c r="A77" s="49"/>
      <c r="B77" s="49"/>
      <c r="C77" s="49"/>
      <c r="D77" s="96" t="str">
        <f>IND_Commodities!$C$13</f>
        <v>INDHFO</v>
      </c>
      <c r="E77" s="98"/>
      <c r="F77" s="51">
        <v>1.5</v>
      </c>
      <c r="G77" s="49"/>
      <c r="H77" s="49"/>
      <c r="I77" s="49"/>
      <c r="J77" s="49"/>
      <c r="K77" s="49"/>
      <c r="L77" s="26"/>
      <c r="M77" s="26"/>
      <c r="N77" s="26"/>
      <c r="O77" s="26"/>
      <c r="P77" s="26"/>
      <c r="Q77" s="26"/>
      <c r="R77" s="26"/>
    </row>
    <row r="78" spans="1:18">
      <c r="A78" s="49"/>
      <c r="B78" s="186"/>
      <c r="C78" s="49"/>
      <c r="D78" s="96" t="str">
        <f>IND_Commodities!$C$15</f>
        <v>INDGAS</v>
      </c>
      <c r="E78" s="49"/>
      <c r="F78" s="189">
        <v>3.9</v>
      </c>
      <c r="G78" s="49"/>
      <c r="H78" s="49"/>
      <c r="I78" s="49"/>
      <c r="J78" s="49"/>
      <c r="K78" s="49"/>
      <c r="L78" s="26"/>
      <c r="M78" s="26"/>
      <c r="N78" s="26"/>
      <c r="O78" s="26"/>
      <c r="P78" s="26"/>
      <c r="Q78" s="26"/>
      <c r="R78" s="26"/>
    </row>
    <row r="79" spans="1:18">
      <c r="A79" s="49"/>
      <c r="B79" s="49"/>
      <c r="C79" s="49"/>
      <c r="D79" s="96"/>
      <c r="E79" s="86" t="str">
        <f>IND_Commodities!$C$93</f>
        <v>IGH</v>
      </c>
      <c r="F79" s="49"/>
      <c r="G79" s="49">
        <v>1</v>
      </c>
      <c r="H79" s="49"/>
      <c r="I79" s="49"/>
      <c r="J79" s="49"/>
      <c r="K79" s="49"/>
      <c r="L79" s="26"/>
      <c r="M79" s="26"/>
      <c r="N79" s="26"/>
      <c r="O79" s="26"/>
      <c r="P79" s="26"/>
      <c r="Q79" s="26"/>
      <c r="R79" s="26"/>
    </row>
    <row r="80" spans="1:18">
      <c r="A80" s="170" t="s">
        <v>202</v>
      </c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26"/>
      <c r="M80" s="26"/>
      <c r="N80" s="26"/>
      <c r="O80" s="26"/>
      <c r="P80" s="26"/>
      <c r="Q80" s="26"/>
      <c r="R80" s="26"/>
    </row>
    <row r="81" spans="1:18">
      <c r="A81" s="49" t="str">
        <f>IND_Bal!$B$113</f>
        <v>IGH</v>
      </c>
      <c r="B81" s="180" t="s">
        <v>447</v>
      </c>
      <c r="C81" s="76" t="s">
        <v>448</v>
      </c>
      <c r="D81" s="96" t="str">
        <f>IND_Commodities!$C$25</f>
        <v>INDELC</v>
      </c>
      <c r="E81" s="96"/>
      <c r="F81" s="51">
        <v>0.52</v>
      </c>
      <c r="G81" s="49"/>
      <c r="H81" s="183">
        <f>B6*D19</f>
        <v>0</v>
      </c>
      <c r="I81" s="51">
        <v>30</v>
      </c>
      <c r="J81" s="51">
        <v>20</v>
      </c>
      <c r="K81" s="51">
        <v>50</v>
      </c>
      <c r="L81" s="26"/>
      <c r="M81" s="26"/>
      <c r="N81" s="26"/>
      <c r="O81" s="26"/>
      <c r="P81" s="26"/>
      <c r="Q81" s="26"/>
      <c r="R81" s="26"/>
    </row>
    <row r="82" spans="1:18">
      <c r="A82" s="49"/>
      <c r="B82" s="98"/>
      <c r="C82" s="98"/>
      <c r="D82" s="96" t="str">
        <f>IND_Commodities!$C$13</f>
        <v>INDHFO</v>
      </c>
      <c r="E82" s="98"/>
      <c r="F82" s="51">
        <v>2</v>
      </c>
      <c r="G82" s="49"/>
      <c r="H82" s="183"/>
      <c r="I82" s="49"/>
      <c r="J82" s="49"/>
      <c r="K82" s="49"/>
      <c r="L82" s="26"/>
      <c r="M82" s="26"/>
      <c r="N82" s="26"/>
      <c r="O82" s="26"/>
      <c r="P82" s="26"/>
      <c r="Q82" s="26"/>
      <c r="R82" s="26"/>
    </row>
    <row r="83" spans="1:18">
      <c r="A83" s="49"/>
      <c r="B83" s="49"/>
      <c r="C83" s="49"/>
      <c r="D83" s="96" t="str">
        <f>IND_Commodities!$C$15</f>
        <v>INDGAS</v>
      </c>
      <c r="E83" s="49"/>
      <c r="F83" s="51">
        <v>3.9</v>
      </c>
      <c r="G83" s="49"/>
      <c r="H83" s="183"/>
      <c r="I83" s="49"/>
      <c r="J83" s="49"/>
      <c r="K83" s="49"/>
      <c r="L83" s="26"/>
      <c r="M83" s="26"/>
      <c r="N83" s="26"/>
      <c r="O83" s="26"/>
      <c r="P83" s="26"/>
      <c r="Q83" s="26"/>
      <c r="R83" s="26"/>
    </row>
    <row r="84" spans="1:18">
      <c r="A84" s="49"/>
      <c r="B84" s="49"/>
      <c r="C84" s="49"/>
      <c r="D84" s="96"/>
      <c r="E84" s="86" t="str">
        <f>IND_Commodities!$C$93</f>
        <v>IGH</v>
      </c>
      <c r="F84" s="49"/>
      <c r="G84" s="49">
        <v>1</v>
      </c>
      <c r="H84" s="49"/>
      <c r="I84" s="49"/>
      <c r="J84" s="49"/>
      <c r="K84" s="49"/>
      <c r="L84" s="26"/>
      <c r="M84" s="26"/>
      <c r="N84" s="26"/>
      <c r="O84" s="26"/>
      <c r="P84" s="26"/>
      <c r="Q84" s="26"/>
      <c r="R84" s="26"/>
    </row>
    <row r="85" spans="1:18">
      <c r="A85" s="170" t="s">
        <v>202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26"/>
      <c r="M85" s="26"/>
      <c r="N85" s="26"/>
      <c r="O85" s="26"/>
      <c r="P85" s="26"/>
      <c r="Q85" s="26"/>
      <c r="R85" s="26"/>
    </row>
    <row r="86" spans="1:18">
      <c r="A86" s="49" t="str">
        <f>IND_Bal!$B$114</f>
        <v>IGF</v>
      </c>
      <c r="B86" s="180" t="s">
        <v>445</v>
      </c>
      <c r="C86" s="76" t="s">
        <v>446</v>
      </c>
      <c r="D86" s="96" t="str">
        <f>IND_Commodities!$C$25</f>
        <v>INDELC</v>
      </c>
      <c r="E86" s="96"/>
      <c r="F86" s="51">
        <v>5</v>
      </c>
      <c r="G86" s="49"/>
      <c r="H86" s="183">
        <f>B7</f>
        <v>0</v>
      </c>
      <c r="I86" s="51">
        <v>30</v>
      </c>
      <c r="J86" s="51">
        <v>10</v>
      </c>
      <c r="K86" s="51">
        <v>50</v>
      </c>
      <c r="L86" s="26"/>
      <c r="M86" s="26"/>
      <c r="N86" s="26"/>
      <c r="O86" s="26"/>
      <c r="P86" s="26"/>
      <c r="Q86" s="26"/>
      <c r="R86" s="26"/>
    </row>
    <row r="87" spans="1:18">
      <c r="A87" s="49"/>
      <c r="B87" s="49"/>
      <c r="C87" s="49"/>
      <c r="D87" s="96" t="str">
        <f>IND_Commodities!$C$15</f>
        <v>INDGAS</v>
      </c>
      <c r="E87" s="49"/>
      <c r="F87" s="51">
        <v>0.42</v>
      </c>
      <c r="G87" s="49"/>
      <c r="H87" s="49"/>
      <c r="I87" s="49"/>
      <c r="J87" s="49"/>
      <c r="K87" s="49"/>
      <c r="L87" s="26"/>
      <c r="M87" s="26"/>
      <c r="N87" s="26"/>
      <c r="O87" s="26"/>
      <c r="P87" s="26"/>
      <c r="Q87" s="26"/>
      <c r="R87" s="26"/>
    </row>
    <row r="88" spans="1:18">
      <c r="A88" s="49"/>
      <c r="B88" s="49"/>
      <c r="C88" s="49"/>
      <c r="D88" s="96"/>
      <c r="E88" s="86" t="str">
        <f>IND_Commodities!$C$94</f>
        <v>IGF</v>
      </c>
      <c r="F88" s="49"/>
      <c r="G88" s="49">
        <v>1</v>
      </c>
      <c r="H88" s="49"/>
      <c r="I88" s="49"/>
      <c r="J88" s="49"/>
      <c r="K88" s="49"/>
      <c r="L88" s="26"/>
      <c r="M88" s="26"/>
      <c r="N88" s="26"/>
      <c r="O88" s="26"/>
      <c r="P88" s="26"/>
      <c r="Q88" s="26"/>
      <c r="R88" s="26"/>
    </row>
    <row r="89" spans="1:18">
      <c r="A89" s="170" t="s">
        <v>202</v>
      </c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26"/>
      <c r="M89" s="26"/>
      <c r="N89" s="26"/>
      <c r="O89" s="26"/>
      <c r="P89" s="26"/>
      <c r="Q89" s="26"/>
      <c r="R89" s="26"/>
    </row>
    <row r="90" spans="1:18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26"/>
      <c r="B91" s="62"/>
      <c r="C91" s="26"/>
      <c r="D91" s="26"/>
      <c r="E91" s="40"/>
      <c r="F91" s="63"/>
      <c r="G91" s="63"/>
      <c r="H91" s="64"/>
      <c r="I91" s="65"/>
      <c r="J91" s="26"/>
      <c r="K91" s="26"/>
      <c r="L91" s="26"/>
      <c r="M91" s="26"/>
      <c r="N91" s="26"/>
      <c r="O91" s="26"/>
      <c r="P91" s="26"/>
      <c r="Q91" s="26"/>
      <c r="R91" s="26"/>
    </row>
    <row r="92" spans="1:18" ht="18.75">
      <c r="A92" s="43" t="s">
        <v>1151</v>
      </c>
      <c r="B92" s="69"/>
      <c r="C92" s="69"/>
      <c r="D92" s="43"/>
      <c r="E92" s="40" t="str">
        <f>IF($B$4+$B$5="","DeAct","~FI_T")</f>
        <v>~FI_T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</row>
    <row r="93" spans="1:18" ht="26.25" thickBot="1">
      <c r="A93" s="89" t="s">
        <v>1110</v>
      </c>
      <c r="B93" s="73" t="s">
        <v>318</v>
      </c>
      <c r="C93" s="73" t="s">
        <v>327</v>
      </c>
      <c r="D93" s="73" t="s">
        <v>718</v>
      </c>
      <c r="E93" s="73" t="s">
        <v>719</v>
      </c>
      <c r="F93" s="48" t="s">
        <v>1130</v>
      </c>
      <c r="G93" s="48" t="s">
        <v>727</v>
      </c>
      <c r="H93" s="48" t="s">
        <v>801</v>
      </c>
      <c r="I93" s="48" t="s">
        <v>1152</v>
      </c>
      <c r="J93" s="48" t="s">
        <v>724</v>
      </c>
      <c r="K93" s="48" t="s">
        <v>725</v>
      </c>
      <c r="L93" s="26"/>
      <c r="M93" s="26"/>
      <c r="N93" s="26"/>
      <c r="O93" s="26"/>
      <c r="P93" s="26"/>
      <c r="Q93" s="26"/>
      <c r="R93" s="26"/>
    </row>
    <row r="94" spans="1:18" ht="13.5" customHeight="1">
      <c r="A94" s="49"/>
      <c r="B94" s="190" t="s">
        <v>431</v>
      </c>
      <c r="C94" s="191" t="s">
        <v>432</v>
      </c>
      <c r="D94" s="49" t="str">
        <f>IND_Commodities!$C$5</f>
        <v>INDCOA</v>
      </c>
      <c r="E94" s="49" t="s">
        <v>1025</v>
      </c>
      <c r="F94" s="71">
        <v>0.60499999999999998</v>
      </c>
      <c r="G94" s="51">
        <v>30</v>
      </c>
      <c r="H94" s="183">
        <f>F$51*H$50/I94*D23</f>
        <v>2.3519999999999999</v>
      </c>
      <c r="I94" s="60">
        <v>1</v>
      </c>
      <c r="J94" s="51"/>
      <c r="K94" s="51"/>
      <c r="L94" s="26"/>
      <c r="M94" s="26"/>
      <c r="N94" s="26"/>
      <c r="O94" s="26"/>
      <c r="P94" s="26"/>
      <c r="Q94" s="26"/>
      <c r="R94" s="26"/>
    </row>
    <row r="95" spans="1:18" ht="13.5" customHeight="1">
      <c r="A95" s="49"/>
      <c r="B95" s="190" t="s">
        <v>435</v>
      </c>
      <c r="C95" s="76" t="s">
        <v>436</v>
      </c>
      <c r="D95" s="96" t="str">
        <f>IND_Bal!$K$44</f>
        <v>INDHFO</v>
      </c>
      <c r="E95" s="49" t="s">
        <v>1025</v>
      </c>
      <c r="F95" s="71">
        <v>0.505</v>
      </c>
      <c r="G95" s="51">
        <v>30</v>
      </c>
      <c r="H95" s="183">
        <f>F$51*H$50/I95*D24</f>
        <v>4.3680000000000003</v>
      </c>
      <c r="I95" s="60">
        <v>1</v>
      </c>
      <c r="J95" s="51"/>
      <c r="K95" s="51"/>
      <c r="L95" s="26"/>
      <c r="M95" s="26"/>
      <c r="N95" s="26"/>
      <c r="O95" s="26"/>
      <c r="P95" s="26"/>
      <c r="Q95" s="26"/>
      <c r="R95" s="26"/>
    </row>
    <row r="96" spans="1:18" ht="13.5" customHeight="1">
      <c r="A96" s="55"/>
      <c r="B96" s="192" t="s">
        <v>433</v>
      </c>
      <c r="C96" s="193" t="s">
        <v>434</v>
      </c>
      <c r="D96" s="56" t="str">
        <f>IND_Bal!$M$44</f>
        <v>INDGAS</v>
      </c>
      <c r="E96" s="55" t="s">
        <v>1025</v>
      </c>
      <c r="F96" s="194">
        <v>0.95</v>
      </c>
      <c r="G96" s="127">
        <v>30</v>
      </c>
      <c r="H96" s="195">
        <f>F$51*H$50/I96*D25</f>
        <v>0</v>
      </c>
      <c r="I96" s="196">
        <v>1</v>
      </c>
      <c r="J96" s="127"/>
      <c r="K96" s="127"/>
      <c r="L96" s="26"/>
      <c r="M96" s="26"/>
      <c r="N96" s="26"/>
      <c r="O96" s="26"/>
      <c r="P96" s="26"/>
      <c r="Q96" s="26"/>
      <c r="R96" s="26"/>
    </row>
    <row r="97" spans="1:18" ht="13.5" customHeight="1">
      <c r="A97" s="49"/>
      <c r="B97" s="190" t="s">
        <v>481</v>
      </c>
      <c r="C97" s="191" t="s">
        <v>482</v>
      </c>
      <c r="D97" s="49" t="str">
        <f>IND_Commodities!$C$5</f>
        <v>INDCOA</v>
      </c>
      <c r="E97" s="49" t="s">
        <v>1027</v>
      </c>
      <c r="F97" s="71">
        <v>0.95</v>
      </c>
      <c r="G97" s="51">
        <v>30</v>
      </c>
      <c r="H97" s="183">
        <f>F$66*H$64/I97*D28</f>
        <v>0.39374999999999999</v>
      </c>
      <c r="I97" s="60">
        <v>1</v>
      </c>
      <c r="J97" s="51"/>
      <c r="K97" s="51"/>
      <c r="L97" s="26"/>
      <c r="M97" s="26"/>
      <c r="N97" s="26"/>
      <c r="O97" s="26"/>
      <c r="P97" s="26"/>
      <c r="Q97" s="26"/>
      <c r="R97" s="26"/>
    </row>
    <row r="98" spans="1:18" ht="13.5" customHeight="1">
      <c r="A98" s="49"/>
      <c r="B98" s="190" t="s">
        <v>487</v>
      </c>
      <c r="C98" s="76" t="s">
        <v>488</v>
      </c>
      <c r="D98" s="96" t="str">
        <f>IND_Bal!$K$44</f>
        <v>INDHFO</v>
      </c>
      <c r="E98" s="49" t="s">
        <v>1027</v>
      </c>
      <c r="F98" s="71">
        <v>0.96</v>
      </c>
      <c r="G98" s="51">
        <v>30</v>
      </c>
      <c r="H98" s="183">
        <f>F$66*H$64/I98*D29</f>
        <v>0.73125000000000007</v>
      </c>
      <c r="I98" s="60">
        <v>1</v>
      </c>
      <c r="J98" s="51"/>
      <c r="K98" s="51"/>
      <c r="L98" s="26"/>
      <c r="M98" s="26"/>
      <c r="N98" s="26"/>
      <c r="O98" s="26"/>
      <c r="P98" s="26"/>
      <c r="Q98" s="26"/>
      <c r="R98" s="26"/>
    </row>
    <row r="99" spans="1:18" ht="13.5" customHeight="1">
      <c r="A99" s="49"/>
      <c r="B99" s="190" t="s">
        <v>485</v>
      </c>
      <c r="C99" s="76" t="s">
        <v>486</v>
      </c>
      <c r="D99" s="96" t="str">
        <f>IND_Bal!$M$44</f>
        <v>INDGAS</v>
      </c>
      <c r="E99" s="49" t="s">
        <v>1027</v>
      </c>
      <c r="F99" s="71">
        <v>0.95</v>
      </c>
      <c r="G99" s="51">
        <v>30</v>
      </c>
      <c r="H99" s="183">
        <f>F$66*H$64/I99*D30</f>
        <v>0</v>
      </c>
      <c r="I99" s="60">
        <v>1</v>
      </c>
      <c r="J99" s="51"/>
      <c r="K99" s="51"/>
      <c r="L99" s="26"/>
      <c r="M99" s="26"/>
      <c r="N99" s="26"/>
      <c r="O99" s="26"/>
      <c r="P99" s="26"/>
      <c r="Q99" s="26"/>
      <c r="R99" s="26"/>
    </row>
    <row r="100" spans="1:18" ht="13.5" customHeight="1">
      <c r="A100" s="55"/>
      <c r="B100" s="192" t="s">
        <v>483</v>
      </c>
      <c r="C100" s="193" t="s">
        <v>484</v>
      </c>
      <c r="D100" s="56" t="str">
        <f>IND_Bal!$N$44</f>
        <v>INDCOG</v>
      </c>
      <c r="E100" s="55" t="s">
        <v>1027</v>
      </c>
      <c r="F100" s="194">
        <v>0.95</v>
      </c>
      <c r="G100" s="127">
        <v>30</v>
      </c>
      <c r="H100" s="195">
        <f>F$66*H$64/I100*D31</f>
        <v>0</v>
      </c>
      <c r="I100" s="196">
        <v>1</v>
      </c>
      <c r="J100" s="127"/>
      <c r="K100" s="127"/>
      <c r="L100" s="26"/>
      <c r="M100" s="26"/>
      <c r="N100" s="26"/>
      <c r="O100" s="26"/>
      <c r="P100" s="26"/>
      <c r="Q100" s="26"/>
      <c r="R100" s="26"/>
    </row>
  </sheetData>
  <phoneticPr fontId="0" type="noConversion"/>
  <conditionalFormatting sqref="N14:N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T89"/>
  <sheetViews>
    <sheetView topLeftCell="A61" zoomScale="75" zoomScaleNormal="75" workbookViewId="0">
      <selection activeCell="K17" sqref="K17"/>
    </sheetView>
  </sheetViews>
  <sheetFormatPr defaultColWidth="9.140625" defaultRowHeight="12.75"/>
  <cols>
    <col min="1" max="1" width="30.7109375" style="25" bestFit="1" customWidth="1"/>
    <col min="2" max="2" width="25.42578125" style="25" customWidth="1"/>
    <col min="3" max="3" width="42.85546875" style="25" bestFit="1" customWidth="1"/>
    <col min="4" max="14" width="12" style="25" bestFit="1" customWidth="1"/>
    <col min="15" max="15" width="11" style="25" bestFit="1" customWidth="1"/>
    <col min="16" max="16384" width="9.140625" style="25"/>
  </cols>
  <sheetData>
    <row r="1" spans="1:20" ht="18.75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IND_Commodities!C95</f>
        <v>INM</v>
      </c>
      <c r="B4" s="104">
        <f>F18</f>
        <v>3.0032603748011208</v>
      </c>
      <c r="C4" s="49" t="str">
        <f>IND_Commodities!D95</f>
        <v>Other Non Metallic Minerals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1007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8" si="0">SUM(D5:S5)</f>
        <v>0</v>
      </c>
    </row>
    <row r="6" spans="1:20">
      <c r="A6" s="86" t="s">
        <v>1009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1011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86" t="s">
        <v>1013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0"/>
        <v>0</v>
      </c>
    </row>
    <row r="9" spans="1:20" ht="18.75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.75">
      <c r="A10" s="26"/>
      <c r="B10" s="27" t="s">
        <v>1173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143" t="s">
        <v>1174</v>
      </c>
      <c r="M11" s="26"/>
      <c r="N11" s="26"/>
      <c r="O11" s="26"/>
      <c r="P11" s="26"/>
      <c r="Q11" s="470"/>
      <c r="R11" s="470"/>
      <c r="S11" s="470"/>
      <c r="T11" s="470"/>
    </row>
    <row r="12" spans="1:20">
      <c r="A12" s="26"/>
      <c r="B12" s="94" t="s">
        <v>549</v>
      </c>
      <c r="C12" s="95" t="s">
        <v>550</v>
      </c>
      <c r="D12" s="109" t="s">
        <v>1175</v>
      </c>
      <c r="E12" s="72"/>
      <c r="F12" s="38">
        <f>G34+L12</f>
        <v>2.3271333909232057</v>
      </c>
      <c r="G12" s="38">
        <f>IF($F$18=0,0,IF(F12/$B$4=0,"",F12/$B$4))</f>
        <v>0.77486900917717161</v>
      </c>
      <c r="H12" s="110"/>
      <c r="I12" s="60"/>
      <c r="J12" s="26"/>
      <c r="K12" s="26"/>
      <c r="L12" s="144">
        <v>0</v>
      </c>
      <c r="M12" s="26"/>
      <c r="N12" s="26"/>
      <c r="O12" s="26"/>
      <c r="P12" s="26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IND_Commodities!C112</f>
        <v>INMPRC</v>
      </c>
      <c r="E13" s="72"/>
      <c r="F13" s="38">
        <f>G48</f>
        <v>0</v>
      </c>
      <c r="G13" s="38" t="str">
        <f t="shared" ref="G13:G16" si="1">IF($F$18=0,0,IF(F13/$B$4=0,"",F13/$B$4))</f>
        <v/>
      </c>
      <c r="H13" s="110"/>
      <c r="I13" s="60"/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IND_Commodities!C113</f>
        <v>INMMCH</v>
      </c>
      <c r="E14" s="72"/>
      <c r="F14" s="38">
        <f>G62</f>
        <v>0.67612698387791503</v>
      </c>
      <c r="G14" s="38">
        <f t="shared" si="1"/>
        <v>0.22513099082282831</v>
      </c>
      <c r="H14" s="110"/>
      <c r="I14" s="60"/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IND_Commodities!C114</f>
        <v>INMELE</v>
      </c>
      <c r="E15" s="72"/>
      <c r="F15" s="38">
        <f>G69</f>
        <v>0</v>
      </c>
      <c r="G15" s="38" t="str">
        <f t="shared" si="1"/>
        <v/>
      </c>
      <c r="H15" s="110"/>
      <c r="I15" s="60"/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IND_Commodities!C115</f>
        <v>INMOTH</v>
      </c>
      <c r="E16" s="72"/>
      <c r="F16" s="38">
        <f>G89</f>
        <v>0</v>
      </c>
      <c r="G16" s="38" t="str">
        <f t="shared" si="1"/>
        <v/>
      </c>
      <c r="H16" s="110"/>
      <c r="I16" s="60"/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INM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3.0032603748011208</v>
      </c>
      <c r="G18" s="145">
        <f>SUM(G12:G16)</f>
        <v>0.99999999999999989</v>
      </c>
      <c r="H18" s="84"/>
      <c r="I18" s="84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IF($B$4=0,"DeAct","~FI_T")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25" thickBot="1">
      <c r="A24" s="470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55" t="s">
        <v>791</v>
      </c>
      <c r="P24" s="55" t="s">
        <v>803</v>
      </c>
    </row>
    <row r="25" spans="1:16">
      <c r="A25" s="470"/>
      <c r="B25" s="109" t="str">
        <f t="shared" ref="B25:B33" si="2">"INMSTM"&amp;RIGHT(D25,3)&amp;"00"</f>
        <v>INMSTMCOA00</v>
      </c>
      <c r="C25" s="50" t="s">
        <v>590</v>
      </c>
      <c r="D25" s="49" t="str">
        <f>IND_Bal!$C$44</f>
        <v>INDCOA</v>
      </c>
      <c r="E25" s="49" t="str">
        <f t="shared" ref="E25:E33" si="3">$D$12</f>
        <v>INMHTH</v>
      </c>
      <c r="F25" s="119">
        <f>IND_Bal!$C$131</f>
        <v>0</v>
      </c>
      <c r="G25" s="38">
        <f t="shared" ref="G25:G33" si="4">I25*F25/H25</f>
        <v>0</v>
      </c>
      <c r="H25" s="120">
        <f t="shared" ref="H25:H31" si="5">1/0.8</f>
        <v>1.25</v>
      </c>
      <c r="I25" s="58">
        <v>1</v>
      </c>
      <c r="J25" s="146">
        <f t="shared" ref="J25:J33" si="6">G25/P25/O25</f>
        <v>0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>
      <c r="A26" s="470"/>
      <c r="B26" s="109" t="str">
        <f t="shared" si="2"/>
        <v>INMSTMCOK00</v>
      </c>
      <c r="C26" s="50" t="s">
        <v>592</v>
      </c>
      <c r="D26" s="49" t="str">
        <f>IND_Bal!$F$44</f>
        <v>INDCOK</v>
      </c>
      <c r="E26" s="49" t="str">
        <f t="shared" si="3"/>
        <v>INMHTH</v>
      </c>
      <c r="F26" s="119">
        <f>IND_Bal!$F$131</f>
        <v>0</v>
      </c>
      <c r="G26" s="38">
        <f t="shared" si="4"/>
        <v>0</v>
      </c>
      <c r="H26" s="124">
        <f t="shared" si="5"/>
        <v>1.25</v>
      </c>
      <c r="I26" s="58">
        <v>1</v>
      </c>
      <c r="J26" s="147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70"/>
      <c r="B27" s="109" t="str">
        <f t="shared" si="2"/>
        <v>INMSTMLPG00</v>
      </c>
      <c r="C27" s="50" t="s">
        <v>604</v>
      </c>
      <c r="D27" s="49" t="str">
        <f>IND_Bal!$H$44</f>
        <v>INDLPG</v>
      </c>
      <c r="E27" s="49" t="str">
        <f t="shared" si="3"/>
        <v>INMHTH</v>
      </c>
      <c r="F27" s="119">
        <f>IND_Bal!$H$131</f>
        <v>6.1594782128177331E-2</v>
      </c>
      <c r="G27" s="38">
        <f t="shared" si="4"/>
        <v>4.9275825702541867E-2</v>
      </c>
      <c r="H27" s="124">
        <f t="shared" si="5"/>
        <v>1.25</v>
      </c>
      <c r="I27" s="58">
        <v>1</v>
      </c>
      <c r="J27" s="147">
        <f t="shared" si="6"/>
        <v>2.4038864351628355E-3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70"/>
      <c r="B28" s="109" t="str">
        <f t="shared" si="2"/>
        <v>INMSTMLFO00</v>
      </c>
      <c r="C28" s="50" t="s">
        <v>602</v>
      </c>
      <c r="D28" s="49" t="str">
        <f>IND_Bal!$I$44</f>
        <v>INDLFO</v>
      </c>
      <c r="E28" s="49" t="str">
        <f t="shared" si="3"/>
        <v>INMHTH</v>
      </c>
      <c r="F28" s="119">
        <f>IND_Bal!$I$131</f>
        <v>1.8869261085604554</v>
      </c>
      <c r="G28" s="38">
        <f t="shared" si="4"/>
        <v>1.5095408868483644</v>
      </c>
      <c r="H28" s="124">
        <f t="shared" si="5"/>
        <v>1.25</v>
      </c>
      <c r="I28" s="58">
        <v>1</v>
      </c>
      <c r="J28" s="147">
        <f t="shared" si="6"/>
        <v>7.3641888481460221E-2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70"/>
      <c r="B29" s="109" t="str">
        <f t="shared" si="2"/>
        <v>INMSTMHFO00</v>
      </c>
      <c r="C29" s="50" t="s">
        <v>598</v>
      </c>
      <c r="D29" s="49" t="str">
        <f>IND_Bal!$K$44</f>
        <v>INDHFO</v>
      </c>
      <c r="E29" s="49" t="str">
        <f t="shared" si="3"/>
        <v>INMHTH</v>
      </c>
      <c r="F29" s="119">
        <f>IND_Bal!$K$131</f>
        <v>0.21069874767889088</v>
      </c>
      <c r="G29" s="38">
        <f t="shared" si="4"/>
        <v>0.1685589981431127</v>
      </c>
      <c r="H29" s="124">
        <f t="shared" si="5"/>
        <v>1.25</v>
      </c>
      <c r="I29" s="58">
        <v>1</v>
      </c>
      <c r="J29" s="147">
        <f t="shared" si="6"/>
        <v>8.2230319509382539E-3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70"/>
      <c r="B30" s="109" t="str">
        <f t="shared" si="2"/>
        <v>INMSTMGAS00</v>
      </c>
      <c r="C30" s="50" t="s">
        <v>596</v>
      </c>
      <c r="D30" s="49" t="str">
        <f>IND_Bal!$M$44</f>
        <v>INDGAS</v>
      </c>
      <c r="E30" s="49" t="str">
        <f t="shared" si="3"/>
        <v>INMHTH</v>
      </c>
      <c r="F30" s="119">
        <f>IND_Bal!$M$131</f>
        <v>0.7496971002864834</v>
      </c>
      <c r="G30" s="38">
        <f t="shared" si="4"/>
        <v>0.59975768022918674</v>
      </c>
      <c r="H30" s="124">
        <f t="shared" si="5"/>
        <v>1.25</v>
      </c>
      <c r="I30" s="58">
        <v>1</v>
      </c>
      <c r="J30" s="147">
        <f t="shared" si="6"/>
        <v>2.9258755816511859E-2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70"/>
      <c r="B31" s="109" t="str">
        <f t="shared" si="2"/>
        <v>INMSTMBIO00</v>
      </c>
      <c r="C31" s="50" t="s">
        <v>588</v>
      </c>
      <c r="D31" s="49" t="str">
        <f>IND_Bal!$R$44</f>
        <v>INDBIO</v>
      </c>
      <c r="E31" s="49" t="str">
        <f t="shared" si="3"/>
        <v>INMHTH</v>
      </c>
      <c r="F31" s="119">
        <f>IND_Bal!$R$131</f>
        <v>0</v>
      </c>
      <c r="G31" s="38">
        <f t="shared" si="4"/>
        <v>0</v>
      </c>
      <c r="H31" s="124">
        <f t="shared" si="5"/>
        <v>1.25</v>
      </c>
      <c r="I31" s="58">
        <v>1</v>
      </c>
      <c r="J31" s="147">
        <f t="shared" si="6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70"/>
      <c r="B32" s="109" t="str">
        <f t="shared" si="2"/>
        <v>INMSTMELC00</v>
      </c>
      <c r="C32" s="50" t="s">
        <v>594</v>
      </c>
      <c r="D32" s="49" t="str">
        <f>IND_Bal!$U$44</f>
        <v>INDELC</v>
      </c>
      <c r="E32" s="49" t="str">
        <f t="shared" si="3"/>
        <v>INMHTH</v>
      </c>
      <c r="F32" s="119">
        <f>IND_Bal!$U$131</f>
        <v>0</v>
      </c>
      <c r="G32" s="38">
        <f t="shared" si="4"/>
        <v>0</v>
      </c>
      <c r="H32" s="124">
        <v>1</v>
      </c>
      <c r="I32" s="58">
        <v>1</v>
      </c>
      <c r="J32" s="147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70"/>
      <c r="B33" s="109" t="str">
        <f t="shared" si="2"/>
        <v>INMSTMHTH00</v>
      </c>
      <c r="C33" s="61" t="s">
        <v>600</v>
      </c>
      <c r="D33" s="125" t="s">
        <v>288</v>
      </c>
      <c r="E33" s="49" t="str">
        <f t="shared" si="3"/>
        <v>INMHTH</v>
      </c>
      <c r="F33" s="119">
        <f>IND_Bal!$V$131</f>
        <v>0</v>
      </c>
      <c r="G33" s="38">
        <f t="shared" si="4"/>
        <v>0</v>
      </c>
      <c r="H33" s="126">
        <v>1</v>
      </c>
      <c r="I33" s="58">
        <v>1</v>
      </c>
      <c r="J33" s="148">
        <f t="shared" si="6"/>
        <v>0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14" t="s">
        <v>1136</v>
      </c>
      <c r="C34" s="84"/>
      <c r="D34" s="84"/>
      <c r="E34" s="84"/>
      <c r="F34" s="115">
        <f>SUM(F25:F33)</f>
        <v>2.9089167386540069</v>
      </c>
      <c r="G34" s="115">
        <f>SUM(G25:G33)</f>
        <v>2.3271333909232057</v>
      </c>
      <c r="H34" s="128"/>
      <c r="I34" s="128"/>
      <c r="J34" s="115">
        <f>SUM(J25:J33)</f>
        <v>0.11352756268407316</v>
      </c>
      <c r="K34" s="84"/>
      <c r="L34" s="84"/>
      <c r="M34" s="84"/>
      <c r="N34" s="84"/>
      <c r="O34" s="84"/>
      <c r="P34" s="84"/>
    </row>
    <row r="35" spans="1:16">
      <c r="A35" s="470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30" t="str">
        <f>IF(F48=0,"","~FI_T")</f>
        <v/>
      </c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 ht="25.5">
      <c r="A40" s="26"/>
      <c r="B40" s="49" t="str">
        <f t="shared" ref="B40:B47" si="7">LEFT(E40,6)&amp;RIGHT(D40,3)&amp;"00"</f>
        <v>INMPRCCOA00</v>
      </c>
      <c r="C40" s="50" t="s">
        <v>574</v>
      </c>
      <c r="D40" s="49" t="str">
        <f>IND_Bal!$C$44</f>
        <v>INDCOA</v>
      </c>
      <c r="E40" s="49" t="str">
        <f t="shared" ref="E40:E47" si="8">$D$13</f>
        <v>INMPRC</v>
      </c>
      <c r="F40" s="119">
        <f>IND_Bal!$C$132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 ht="25.5">
      <c r="A41" s="26"/>
      <c r="B41" s="49" t="str">
        <f t="shared" si="7"/>
        <v>INMPRCCOK00</v>
      </c>
      <c r="C41" s="50" t="s">
        <v>576</v>
      </c>
      <c r="D41" s="49" t="str">
        <f>IND_Bal!$F$44</f>
        <v>INDCOK</v>
      </c>
      <c r="E41" s="49" t="str">
        <f t="shared" si="8"/>
        <v>INMPRC</v>
      </c>
      <c r="F41" s="119">
        <f>IND_Bal!$F$132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 ht="25.5">
      <c r="A42" s="26"/>
      <c r="B42" s="49" t="str">
        <f t="shared" si="7"/>
        <v>INMPRCLPG00</v>
      </c>
      <c r="C42" s="50" t="s">
        <v>586</v>
      </c>
      <c r="D42" s="49" t="str">
        <f>IND_Bal!$H$44</f>
        <v>INDLPG</v>
      </c>
      <c r="E42" s="49" t="str">
        <f t="shared" si="8"/>
        <v>INMPRC</v>
      </c>
      <c r="F42" s="119">
        <f>IND_Bal!$H$132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 ht="25.5">
      <c r="A43" s="26"/>
      <c r="B43" s="49" t="str">
        <f t="shared" si="7"/>
        <v>INMPRCLFO00</v>
      </c>
      <c r="C43" s="50" t="s">
        <v>584</v>
      </c>
      <c r="D43" s="49" t="str">
        <f>IND_Bal!$I$44</f>
        <v>INDLFO</v>
      </c>
      <c r="E43" s="49" t="str">
        <f t="shared" si="8"/>
        <v>INMPRC</v>
      </c>
      <c r="F43" s="119">
        <f>IND_Bal!$I$132</f>
        <v>0</v>
      </c>
      <c r="G43" s="38">
        <f t="shared" si="9"/>
        <v>0</v>
      </c>
      <c r="H43" s="124">
        <f t="shared" si="10"/>
        <v>1.25</v>
      </c>
      <c r="I43" s="58">
        <v>1</v>
      </c>
      <c r="J43" s="38">
        <f t="shared" si="11"/>
        <v>0</v>
      </c>
      <c r="K43" s="51">
        <v>30</v>
      </c>
      <c r="L43" s="51"/>
      <c r="M43" s="51"/>
      <c r="N43" s="26"/>
      <c r="O43" s="26"/>
      <c r="P43" s="26"/>
    </row>
    <row r="44" spans="1:16" ht="25.5">
      <c r="A44" s="26"/>
      <c r="B44" s="49" t="str">
        <f t="shared" si="7"/>
        <v>INMPRCHFO00</v>
      </c>
      <c r="C44" s="50" t="s">
        <v>582</v>
      </c>
      <c r="D44" s="49" t="str">
        <f>IND_Bal!$K$44</f>
        <v>INDHFO</v>
      </c>
      <c r="E44" s="49" t="str">
        <f t="shared" si="8"/>
        <v>INMPRC</v>
      </c>
      <c r="F44" s="119">
        <f>IND_Bal!$K$132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 ht="25.5">
      <c r="A45" s="26"/>
      <c r="B45" s="49" t="str">
        <f t="shared" si="7"/>
        <v>INMPRCGAS00</v>
      </c>
      <c r="C45" s="50" t="s">
        <v>580</v>
      </c>
      <c r="D45" s="49" t="str">
        <f>IND_Bal!$M$44</f>
        <v>INDGAS</v>
      </c>
      <c r="E45" s="49" t="str">
        <f t="shared" si="8"/>
        <v>INMPRC</v>
      </c>
      <c r="F45" s="119">
        <f>IND_Bal!$M$132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 ht="25.5">
      <c r="A46" s="26"/>
      <c r="B46" s="49" t="str">
        <f t="shared" si="7"/>
        <v>INMPRCBIO00</v>
      </c>
      <c r="C46" s="50" t="s">
        <v>572</v>
      </c>
      <c r="D46" s="49" t="str">
        <f>IND_Bal!$R$44</f>
        <v>INDBIO</v>
      </c>
      <c r="E46" s="49" t="str">
        <f t="shared" si="8"/>
        <v>INMPRC</v>
      </c>
      <c r="F46" s="119">
        <f>IND_Bal!$R$132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 ht="25.5">
      <c r="A47" s="26"/>
      <c r="B47" s="49" t="str">
        <f t="shared" si="7"/>
        <v>INMPRCELC00</v>
      </c>
      <c r="C47" s="50" t="s">
        <v>578</v>
      </c>
      <c r="D47" s="49" t="str">
        <f>IND_Bal!$U$44</f>
        <v>INDELC</v>
      </c>
      <c r="E47" s="49" t="str">
        <f t="shared" si="8"/>
        <v>INMPRC</v>
      </c>
      <c r="F47" s="119">
        <f>IND_Bal!$U$132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149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IF($B$4=0,"DeAct","~FI_T")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 ht="25.5">
      <c r="A54" s="26"/>
      <c r="B54" s="49" t="str">
        <f t="shared" ref="B54:B61" si="12">LEFT(E54,6)&amp;RIGHT(D54,3)&amp;"00"</f>
        <v>INMMCHCOA00</v>
      </c>
      <c r="C54" s="50" t="s">
        <v>556</v>
      </c>
      <c r="D54" s="49" t="str">
        <f>IND_Bal!$C$44</f>
        <v>INDCOA</v>
      </c>
      <c r="E54" s="49" t="str">
        <f t="shared" ref="E54:E61" si="13">$D$14</f>
        <v>INMMCH</v>
      </c>
      <c r="F54" s="150">
        <f>IND_Bal!$C$133</f>
        <v>0</v>
      </c>
      <c r="G54" s="147">
        <f t="shared" ref="G54:G61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 ht="25.5">
      <c r="A55" s="26"/>
      <c r="B55" s="49" t="str">
        <f t="shared" si="12"/>
        <v>INMMCHCOK00</v>
      </c>
      <c r="C55" s="50" t="s">
        <v>558</v>
      </c>
      <c r="D55" s="49" t="str">
        <f>IND_Bal!$F$44</f>
        <v>INDCOK</v>
      </c>
      <c r="E55" s="49" t="str">
        <f t="shared" si="13"/>
        <v>INMMCH</v>
      </c>
      <c r="F55" s="150">
        <f>IND_Bal!$F$133</f>
        <v>0</v>
      </c>
      <c r="G55" s="147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 ht="25.5">
      <c r="A56" s="26"/>
      <c r="B56" s="49" t="str">
        <f t="shared" si="12"/>
        <v>INMMCHLPG00</v>
      </c>
      <c r="C56" s="50" t="s">
        <v>568</v>
      </c>
      <c r="D56" s="49" t="str">
        <f>IND_Bal!$H$44</f>
        <v>INDLPG</v>
      </c>
      <c r="E56" s="49" t="str">
        <f t="shared" si="13"/>
        <v>INMMCH</v>
      </c>
      <c r="F56" s="150">
        <f>IND_Bal!$H$133</f>
        <v>0</v>
      </c>
      <c r="G56" s="147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 ht="25.5">
      <c r="A57" s="26"/>
      <c r="B57" s="49" t="str">
        <f t="shared" si="12"/>
        <v>INMMCHLFO00</v>
      </c>
      <c r="C57" s="50" t="s">
        <v>566</v>
      </c>
      <c r="D57" s="49" t="str">
        <f>IND_Bal!$I$44</f>
        <v>INDLFO</v>
      </c>
      <c r="E57" s="49" t="str">
        <f t="shared" si="13"/>
        <v>INMMCH</v>
      </c>
      <c r="F57" s="150">
        <f>IND_Bal!$I$133</f>
        <v>0</v>
      </c>
      <c r="G57" s="147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 ht="25.5">
      <c r="A58" s="26"/>
      <c r="B58" s="49" t="str">
        <f t="shared" si="12"/>
        <v>INMMCHHFO00</v>
      </c>
      <c r="C58" s="50" t="s">
        <v>564</v>
      </c>
      <c r="D58" s="49" t="str">
        <f>IND_Bal!$K$44</f>
        <v>INDHFO</v>
      </c>
      <c r="E58" s="49" t="str">
        <f t="shared" si="13"/>
        <v>INMMCH</v>
      </c>
      <c r="F58" s="150">
        <f>IND_Bal!$K$133</f>
        <v>0</v>
      </c>
      <c r="G58" s="147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 ht="25.5">
      <c r="A59" s="26"/>
      <c r="B59" s="49" t="str">
        <f t="shared" si="12"/>
        <v>INMMCHGAS00</v>
      </c>
      <c r="C59" s="50" t="s">
        <v>562</v>
      </c>
      <c r="D59" s="49" t="str">
        <f>IND_Bal!$M$44</f>
        <v>INDGAS</v>
      </c>
      <c r="E59" s="49" t="str">
        <f t="shared" si="13"/>
        <v>INMMCH</v>
      </c>
      <c r="F59" s="150">
        <f>IND_Bal!$M$133</f>
        <v>0</v>
      </c>
      <c r="G59" s="147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 ht="25.5">
      <c r="A60" s="26"/>
      <c r="B60" s="49" t="str">
        <f t="shared" si="12"/>
        <v>INMMCHBIO00</v>
      </c>
      <c r="C60" s="50" t="s">
        <v>554</v>
      </c>
      <c r="D60" s="49" t="str">
        <f>IND_Bal!$R$44</f>
        <v>INDBIO</v>
      </c>
      <c r="E60" s="49" t="str">
        <f t="shared" si="13"/>
        <v>INMMCH</v>
      </c>
      <c r="F60" s="150">
        <f>IND_Bal!$R$133</f>
        <v>0</v>
      </c>
      <c r="G60" s="147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 ht="25.5">
      <c r="A61" s="26"/>
      <c r="B61" s="49" t="str">
        <f t="shared" si="12"/>
        <v>INMMCHELC00</v>
      </c>
      <c r="C61" s="50" t="s">
        <v>560</v>
      </c>
      <c r="D61" s="49" t="str">
        <f>IND_Bal!$U$44</f>
        <v>INDELC</v>
      </c>
      <c r="E61" s="49" t="str">
        <f t="shared" si="13"/>
        <v>INMMCH</v>
      </c>
      <c r="F61" s="150">
        <f>IND_Bal!$U$133</f>
        <v>0.75125220430879447</v>
      </c>
      <c r="G61" s="147">
        <f t="shared" si="14"/>
        <v>0.67612698387791503</v>
      </c>
      <c r="H61" s="126">
        <f>1/0.9</f>
        <v>1.1111111111111112</v>
      </c>
      <c r="I61" s="58">
        <v>1</v>
      </c>
      <c r="J61" s="38">
        <f t="shared" si="16"/>
        <v>0.67612698387791503</v>
      </c>
      <c r="K61" s="51">
        <v>30</v>
      </c>
      <c r="L61" s="51">
        <v>1</v>
      </c>
      <c r="M61" s="51">
        <v>1</v>
      </c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0.75125220430879447</v>
      </c>
      <c r="G62" s="115">
        <f>SUM(G54:G61)</f>
        <v>0.67612698387791503</v>
      </c>
      <c r="H62" s="128"/>
      <c r="I62" s="128"/>
      <c r="J62" s="115">
        <f>SUM(J54:J61)</f>
        <v>0.67612698387791503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INMELEELC00</v>
      </c>
      <c r="C68" s="50" t="s">
        <v>552</v>
      </c>
      <c r="D68" s="49" t="str">
        <f>IND_Bal!$U$44</f>
        <v>INDELC</v>
      </c>
      <c r="E68" s="49" t="str">
        <f>$D$15</f>
        <v>INMELE</v>
      </c>
      <c r="F68" s="119">
        <f>IND_Bal!$U$134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5">
      <c r="A73" s="26"/>
      <c r="B73" s="26"/>
      <c r="C73" s="26"/>
      <c r="D73" s="26"/>
      <c r="E73" s="130" t="str">
        <f>IF(F89=0,"","~FI_T")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1138</v>
      </c>
      <c r="G74" s="134" t="s">
        <v>1139</v>
      </c>
      <c r="H74" s="134" t="s">
        <v>1162</v>
      </c>
      <c r="I74" s="134" t="s">
        <v>799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569</v>
      </c>
      <c r="C75" s="135" t="s">
        <v>570</v>
      </c>
      <c r="D75" s="125" t="str">
        <f>IF(F75&gt;0,IND_Bal!$C$44,"")</f>
        <v/>
      </c>
      <c r="E75" s="49" t="str">
        <f>$D$16</f>
        <v>INMOTH</v>
      </c>
      <c r="F75" s="119">
        <f>IND_Bal!$C$135</f>
        <v>0</v>
      </c>
      <c r="G75" s="39"/>
      <c r="H75" s="39" t="str">
        <f>IF($F$89*F75&gt;0,F75/$F$89,"")</f>
        <v/>
      </c>
      <c r="I75" s="137"/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8" si="17">IF(F76&lt;=0,"*","")</f>
        <v>*</v>
      </c>
      <c r="D76" s="49" t="str">
        <f>IND_Bal!$D$44</f>
        <v>INDPEA</v>
      </c>
      <c r="E76" s="109"/>
      <c r="F76" s="119">
        <f>IND_Bal!$D$135</f>
        <v>0</v>
      </c>
      <c r="G76" s="39"/>
      <c r="H76" s="470"/>
      <c r="I76" s="39" t="str">
        <f>IF($F$89*F76&gt;0,F76/$F$89,"")</f>
        <v/>
      </c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7"/>
        <v>*</v>
      </c>
      <c r="D77" s="49" t="str">
        <f>IND_Bal!$E$44</f>
        <v>INDCOH</v>
      </c>
      <c r="E77" s="109"/>
      <c r="F77" s="119">
        <f>IND_Bal!$E$135</f>
        <v>0</v>
      </c>
      <c r="G77" s="39"/>
      <c r="H77" s="470"/>
      <c r="I77" s="39" t="str">
        <f>IF($F$89*F77&gt;0,F77/$F$89,"")</f>
        <v/>
      </c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7"/>
        <v>*</v>
      </c>
      <c r="D78" s="49" t="str">
        <f>IND_Bal!$F$44</f>
        <v>INDCOK</v>
      </c>
      <c r="E78" s="109"/>
      <c r="F78" s="119">
        <f>IND_Bal!$F$135</f>
        <v>0</v>
      </c>
      <c r="G78" s="39"/>
      <c r="H78" s="470"/>
      <c r="I78" s="39" t="str">
        <f>IF($F$89*F78&gt;0,F78/$F$89,"")</f>
        <v/>
      </c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7"/>
        <v>*</v>
      </c>
      <c r="D79" s="49" t="str">
        <f>IND_Bal!$H$44</f>
        <v>INDLPG</v>
      </c>
      <c r="E79" s="109"/>
      <c r="F79" s="119">
        <f>IND_Bal!$H$135</f>
        <v>0</v>
      </c>
      <c r="G79" s="39"/>
      <c r="H79" s="39" t="str">
        <f t="shared" ref="H79:H85" si="18">IF($F$89*F79&gt;0,F79/$F$89,"")</f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7"/>
        <v>*</v>
      </c>
      <c r="D80" s="49" t="str">
        <f>IND_Bal!$I$44</f>
        <v>INDLFO</v>
      </c>
      <c r="E80" s="109"/>
      <c r="F80" s="119">
        <f>IND_Bal!$I$135</f>
        <v>0</v>
      </c>
      <c r="G80" s="39"/>
      <c r="H80" s="39" t="str">
        <f t="shared" si="18"/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51"/>
      <c r="C81" s="135" t="str">
        <f t="shared" si="17"/>
        <v>*</v>
      </c>
      <c r="D81" s="49" t="str">
        <f>IND_Bal!$K$44</f>
        <v>INDHFO</v>
      </c>
      <c r="E81" s="151"/>
      <c r="F81" s="119">
        <f>IND_Bal!$K$135</f>
        <v>0</v>
      </c>
      <c r="G81" s="152"/>
      <c r="H81" s="39" t="str">
        <f t="shared" si="18"/>
        <v/>
      </c>
      <c r="I81" s="153"/>
      <c r="J81" s="154"/>
      <c r="K81" s="42"/>
      <c r="L81" s="155"/>
      <c r="M81" s="470"/>
      <c r="N81" s="26"/>
      <c r="O81" s="26"/>
      <c r="P81" s="26"/>
    </row>
    <row r="82" spans="1:16">
      <c r="A82" s="26"/>
      <c r="B82" s="109"/>
      <c r="C82" s="135" t="str">
        <f t="shared" si="17"/>
        <v>*</v>
      </c>
      <c r="D82" s="49" t="str">
        <f>IND_Bal!$M$44</f>
        <v>INDGAS</v>
      </c>
      <c r="E82" s="109"/>
      <c r="F82" s="119">
        <f>IND_Bal!$M$135</f>
        <v>0</v>
      </c>
      <c r="G82" s="39"/>
      <c r="H82" s="39" t="str">
        <f t="shared" si="18"/>
        <v/>
      </c>
      <c r="I82" s="138"/>
      <c r="J82" s="136"/>
      <c r="K82" s="42"/>
      <c r="L82" s="139"/>
      <c r="M82" s="470"/>
      <c r="N82" s="26"/>
      <c r="O82" s="26"/>
      <c r="P82" s="26"/>
    </row>
    <row r="83" spans="1:16">
      <c r="A83" s="26"/>
      <c r="B83" s="109"/>
      <c r="C83" s="135" t="str">
        <f t="shared" si="17"/>
        <v>*</v>
      </c>
      <c r="D83" s="49" t="str">
        <f>IND_Bal!$N$44</f>
        <v>INDCOG</v>
      </c>
      <c r="E83" s="109"/>
      <c r="F83" s="119">
        <f>IND_Bal!$N$135</f>
        <v>0</v>
      </c>
      <c r="G83" s="39"/>
      <c r="H83" s="39" t="str">
        <f t="shared" si="18"/>
        <v/>
      </c>
      <c r="I83" s="137"/>
      <c r="J83" s="136"/>
      <c r="K83" s="42"/>
      <c r="L83" s="42"/>
      <c r="M83" s="470"/>
      <c r="N83" s="26"/>
      <c r="O83" s="26"/>
      <c r="P83" s="26"/>
    </row>
    <row r="84" spans="1:16">
      <c r="A84" s="26"/>
      <c r="B84" s="109"/>
      <c r="C84" s="135" t="str">
        <f t="shared" si="17"/>
        <v>*</v>
      </c>
      <c r="D84" s="49" t="str">
        <f>IND_Bal!$O$44</f>
        <v>INDBFG</v>
      </c>
      <c r="E84" s="109"/>
      <c r="F84" s="119">
        <f>IND_Bal!$O$135</f>
        <v>0</v>
      </c>
      <c r="G84" s="39"/>
      <c r="H84" s="39" t="str">
        <f t="shared" si="18"/>
        <v/>
      </c>
      <c r="I84" s="137"/>
      <c r="J84" s="136"/>
      <c r="K84" s="42"/>
      <c r="L84" s="42"/>
      <c r="M84" s="470"/>
      <c r="N84" s="26"/>
      <c r="O84" s="26"/>
      <c r="P84" s="26"/>
    </row>
    <row r="85" spans="1:16">
      <c r="A85" s="26"/>
      <c r="B85" s="109"/>
      <c r="C85" s="135" t="str">
        <f t="shared" si="17"/>
        <v>*</v>
      </c>
      <c r="D85" s="49" t="str">
        <f>IND_Bal!$R$44</f>
        <v>INDBIO</v>
      </c>
      <c r="E85" s="109"/>
      <c r="F85" s="119">
        <f>IND_Bal!$R$135</f>
        <v>0</v>
      </c>
      <c r="G85" s="39"/>
      <c r="H85" s="39" t="str">
        <f t="shared" si="18"/>
        <v/>
      </c>
      <c r="I85" s="138"/>
      <c r="J85" s="136"/>
      <c r="K85" s="42"/>
      <c r="L85" s="139"/>
      <c r="M85" s="470"/>
      <c r="N85" s="26"/>
      <c r="O85" s="26"/>
      <c r="P85" s="26"/>
    </row>
    <row r="86" spans="1:16">
      <c r="A86" s="26"/>
      <c r="B86" s="109"/>
      <c r="C86" s="135" t="str">
        <f t="shared" si="17"/>
        <v>*</v>
      </c>
      <c r="D86" s="49" t="str">
        <f>IND_Bal!$T$44</f>
        <v>INDWASL</v>
      </c>
      <c r="E86" s="109"/>
      <c r="F86" s="119">
        <f>IND_Bal!$T$135</f>
        <v>0</v>
      </c>
      <c r="G86" s="39"/>
      <c r="H86" s="470"/>
      <c r="I86" s="39" t="str">
        <f>IF($F$89*F86&gt;0,F86/$F$89,"")</f>
        <v/>
      </c>
      <c r="J86" s="136"/>
      <c r="K86" s="42"/>
      <c r="L86" s="139"/>
      <c r="M86" s="470"/>
      <c r="N86" s="26"/>
      <c r="O86" s="26"/>
      <c r="P86" s="26"/>
    </row>
    <row r="87" spans="1:16">
      <c r="A87" s="26"/>
      <c r="B87" s="151"/>
      <c r="C87" s="135" t="str">
        <f t="shared" si="17"/>
        <v>*</v>
      </c>
      <c r="D87" s="125" t="s">
        <v>288</v>
      </c>
      <c r="E87" s="151"/>
      <c r="F87" s="119">
        <f>IND_Bal!$V$135</f>
        <v>0</v>
      </c>
      <c r="G87" s="152"/>
      <c r="H87" s="39" t="str">
        <f>IF($F$89*F87&gt;0,F87/$F$89,"")</f>
        <v/>
      </c>
      <c r="I87" s="156"/>
      <c r="J87" s="154"/>
      <c r="K87" s="42"/>
      <c r="L87" s="157"/>
      <c r="M87" s="470"/>
      <c r="N87" s="26"/>
      <c r="O87" s="26"/>
      <c r="P87" s="26"/>
    </row>
    <row r="88" spans="1:16">
      <c r="A88" s="26"/>
      <c r="B88" s="109"/>
      <c r="C88" s="135" t="str">
        <f t="shared" si="17"/>
        <v>*</v>
      </c>
      <c r="D88" s="49" t="str">
        <f>IND_Bal!$U$44</f>
        <v>INDELC</v>
      </c>
      <c r="E88" s="109"/>
      <c r="F88" s="119">
        <f>IND_Bal!$U$135</f>
        <v>0</v>
      </c>
      <c r="G88" s="39"/>
      <c r="H88" s="39" t="str">
        <f>IF($F$89*F88&gt;0,F88/$F$89,"")</f>
        <v/>
      </c>
      <c r="I88" s="138"/>
      <c r="J88" s="136"/>
      <c r="K88" s="42"/>
      <c r="L88" s="139"/>
      <c r="M88" s="470"/>
      <c r="N88" s="26"/>
      <c r="O88" s="26"/>
      <c r="P88" s="26"/>
    </row>
    <row r="89" spans="1:16" ht="13.5" thickBot="1">
      <c r="A89" s="26"/>
      <c r="B89" s="114" t="s">
        <v>1136</v>
      </c>
      <c r="C89" s="84"/>
      <c r="D89" s="84"/>
      <c r="E89" s="84"/>
      <c r="F89" s="115">
        <f>SUM(F75:F88)</f>
        <v>0</v>
      </c>
      <c r="G89" s="140">
        <f>F89</f>
        <v>0</v>
      </c>
      <c r="H89" s="141"/>
      <c r="I89" s="141"/>
      <c r="J89" s="140"/>
      <c r="K89" s="142"/>
      <c r="L89" s="142"/>
      <c r="M89" s="470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T89"/>
  <sheetViews>
    <sheetView topLeftCell="C12" zoomScale="90" zoomScaleNormal="90" workbookViewId="0">
      <selection activeCell="F61" sqref="F61"/>
    </sheetView>
  </sheetViews>
  <sheetFormatPr defaultColWidth="9.140625" defaultRowHeight="12.75"/>
  <cols>
    <col min="1" max="1" width="30.7109375" style="25" bestFit="1" customWidth="1"/>
    <col min="2" max="2" width="23.5703125" style="25" customWidth="1"/>
    <col min="3" max="3" width="39.140625" style="25" customWidth="1"/>
    <col min="4" max="8" width="12" style="25" bestFit="1" customWidth="1"/>
    <col min="9" max="16384" width="9.140625" style="25"/>
  </cols>
  <sheetData>
    <row r="1" spans="1:20" ht="18.75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IND_Commodities!C98</f>
        <v>IOI</v>
      </c>
      <c r="B4" s="104">
        <f>F18</f>
        <v>47.590844488534174</v>
      </c>
      <c r="C4" s="49" t="str">
        <f>IND_Commodities!D98</f>
        <v>Other Industries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1017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8" si="0">SUM(D5:S5)</f>
        <v>0</v>
      </c>
    </row>
    <row r="6" spans="1:20">
      <c r="A6" s="86" t="s">
        <v>1019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1021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si="0"/>
        <v>0</v>
      </c>
    </row>
    <row r="8" spans="1:20">
      <c r="A8" s="86" t="s">
        <v>1023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0"/>
        <v>0</v>
      </c>
    </row>
    <row r="9" spans="1:20" ht="18.75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.75">
      <c r="A10" s="26"/>
      <c r="B10" s="103" t="s">
        <v>1176</v>
      </c>
      <c r="C10" s="28"/>
      <c r="D10" s="26"/>
      <c r="E10" s="40" t="str">
        <f>IF($B$4=0,"DeAct","~FI_T")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108"/>
      <c r="M11" s="26"/>
      <c r="N11" s="26"/>
      <c r="O11" s="26"/>
      <c r="P11" s="26"/>
      <c r="Q11" s="470"/>
      <c r="R11" s="470"/>
      <c r="S11" s="470"/>
      <c r="T11" s="470"/>
    </row>
    <row r="12" spans="1:20">
      <c r="A12" s="26"/>
      <c r="B12" s="94" t="s">
        <v>605</v>
      </c>
      <c r="C12" s="76" t="s">
        <v>606</v>
      </c>
      <c r="D12" s="109" t="s">
        <v>1177</v>
      </c>
      <c r="E12" s="72"/>
      <c r="F12" s="38">
        <f>G34</f>
        <v>24.49993536258755</v>
      </c>
      <c r="G12" s="38">
        <f>IF($F$18=0,0,IF(F12/$B$4=0,"",F12/$B$4))</f>
        <v>0.51480354311615961</v>
      </c>
      <c r="H12" s="110"/>
      <c r="I12" s="111"/>
      <c r="J12" s="26"/>
      <c r="K12" s="26"/>
      <c r="L12" s="112"/>
      <c r="M12" s="26"/>
      <c r="N12" s="26"/>
      <c r="O12" s="26"/>
      <c r="P12" s="26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IND_Commodities!C117</f>
        <v>IOIPRC</v>
      </c>
      <c r="E13" s="72"/>
      <c r="F13" s="38">
        <f>G48</f>
        <v>0</v>
      </c>
      <c r="G13" s="38" t="str">
        <f t="shared" ref="G13:G16" si="1">IF($F$18=0,0,IF(F13/$B$4=0,"",F13/$B$4))</f>
        <v/>
      </c>
      <c r="H13" s="110"/>
      <c r="I13" s="111"/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IND_Commodities!C118</f>
        <v>IOIMCH</v>
      </c>
      <c r="E14" s="72"/>
      <c r="F14" s="38">
        <f>G62</f>
        <v>23.090909125946624</v>
      </c>
      <c r="G14" s="38">
        <f t="shared" si="1"/>
        <v>0.48519645688384039</v>
      </c>
      <c r="H14" s="110"/>
      <c r="I14" s="111"/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IND_Commodities!C119</f>
        <v>IOIELE</v>
      </c>
      <c r="E15" s="72"/>
      <c r="F15" s="38">
        <f>G69</f>
        <v>0</v>
      </c>
      <c r="G15" s="38" t="str">
        <f t="shared" si="1"/>
        <v/>
      </c>
      <c r="H15" s="110"/>
      <c r="I15" s="111"/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IND_Commodities!C120</f>
        <v>IOIOTH</v>
      </c>
      <c r="E16" s="72"/>
      <c r="F16" s="38">
        <f>G89</f>
        <v>0</v>
      </c>
      <c r="G16" s="38" t="str">
        <f t="shared" si="1"/>
        <v/>
      </c>
      <c r="H16" s="110"/>
      <c r="I16" s="111"/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IOI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47.590844488534174</v>
      </c>
      <c r="G18" s="116">
        <f>SUM(G12:G16)</f>
        <v>1</v>
      </c>
      <c r="H18" s="84"/>
      <c r="I18" s="84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IF($B$4=0,"DeAct","~FI_T")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25" thickBot="1">
      <c r="A24" s="470"/>
      <c r="B24" s="47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118" t="s">
        <v>791</v>
      </c>
      <c r="P24" s="118" t="s">
        <v>803</v>
      </c>
    </row>
    <row r="25" spans="1:16">
      <c r="A25" s="470"/>
      <c r="B25" s="109" t="str">
        <f t="shared" ref="B25:B33" si="2">"IOISTM"&amp;RIGHT(D25,3)&amp;"00"</f>
        <v>IOISTMCOA00</v>
      </c>
      <c r="C25" s="50" t="s">
        <v>646</v>
      </c>
      <c r="D25" s="49" t="str">
        <f>IND_Bal!$C$44</f>
        <v>INDCOA</v>
      </c>
      <c r="E25" s="49" t="str">
        <f t="shared" ref="E25:E33" si="3">$D$12</f>
        <v>IOIHTH</v>
      </c>
      <c r="F25" s="119">
        <f>IND_Bal!$C$137</f>
        <v>0.77478814002240015</v>
      </c>
      <c r="G25" s="38">
        <f t="shared" ref="G25:G33" si="4">I25*F25/H25</f>
        <v>0.61983051201792017</v>
      </c>
      <c r="H25" s="120">
        <f t="shared" ref="H25:H31" si="5">1/0.8</f>
        <v>1.25</v>
      </c>
      <c r="I25" s="58">
        <v>1</v>
      </c>
      <c r="J25" s="121">
        <f t="shared" ref="J25:J33" si="6">G25/P25/O25</f>
        <v>3.0237994771197759E-2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>
      <c r="A26" s="470"/>
      <c r="B26" s="109" t="str">
        <f t="shared" si="2"/>
        <v>IOISTMCOK00</v>
      </c>
      <c r="C26" s="50" t="s">
        <v>648</v>
      </c>
      <c r="D26" s="49" t="str">
        <f>IND_Bal!$F$44</f>
        <v>INDCOK</v>
      </c>
      <c r="E26" s="49" t="str">
        <f t="shared" si="3"/>
        <v>IOIHTH</v>
      </c>
      <c r="F26" s="119">
        <f>IND_Bal!$F$137</f>
        <v>0</v>
      </c>
      <c r="G26" s="38">
        <f t="shared" si="4"/>
        <v>0</v>
      </c>
      <c r="H26" s="124">
        <f t="shared" si="5"/>
        <v>1.25</v>
      </c>
      <c r="I26" s="58">
        <v>1</v>
      </c>
      <c r="J26" s="38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70"/>
      <c r="B27" s="109" t="str">
        <f t="shared" si="2"/>
        <v>IOISTMLPG00</v>
      </c>
      <c r="C27" s="50" t="s">
        <v>660</v>
      </c>
      <c r="D27" s="49" t="str">
        <f>IND_Bal!$H$44</f>
        <v>INDLPG</v>
      </c>
      <c r="E27" s="49" t="str">
        <f t="shared" si="3"/>
        <v>IOIHTH</v>
      </c>
      <c r="F27" s="119">
        <f>IND_Bal!$H$137</f>
        <v>4.8314133585351939</v>
      </c>
      <c r="G27" s="38">
        <f t="shared" si="4"/>
        <v>3.865130686828155</v>
      </c>
      <c r="H27" s="124">
        <f t="shared" si="5"/>
        <v>1.25</v>
      </c>
      <c r="I27" s="58">
        <v>1</v>
      </c>
      <c r="J27" s="38">
        <f t="shared" si="6"/>
        <v>0.18855767702982451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70"/>
      <c r="B28" s="109" t="str">
        <f t="shared" si="2"/>
        <v>IOISTMLFO00</v>
      </c>
      <c r="C28" s="50" t="s">
        <v>658</v>
      </c>
      <c r="D28" s="49" t="str">
        <f>IND_Bal!$I$44</f>
        <v>INDLFO</v>
      </c>
      <c r="E28" s="49" t="str">
        <f t="shared" si="3"/>
        <v>IOIHTH</v>
      </c>
      <c r="F28" s="119">
        <f>IND_Bal!$I$137</f>
        <v>6.0593208385712423</v>
      </c>
      <c r="G28" s="38">
        <f t="shared" si="4"/>
        <v>4.8474566708569942</v>
      </c>
      <c r="H28" s="124">
        <f t="shared" si="5"/>
        <v>1.25</v>
      </c>
      <c r="I28" s="58">
        <v>1</v>
      </c>
      <c r="J28" s="38">
        <f t="shared" si="6"/>
        <v>0.23647975797413426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70"/>
      <c r="B29" s="109" t="str">
        <f t="shared" si="2"/>
        <v>IOISTMHFO00</v>
      </c>
      <c r="C29" s="50" t="s">
        <v>654</v>
      </c>
      <c r="D29" s="49" t="str">
        <f>IND_Bal!$K$44</f>
        <v>INDHFO</v>
      </c>
      <c r="E29" s="49" t="str">
        <f t="shared" si="3"/>
        <v>IOIHTH</v>
      </c>
      <c r="F29" s="119">
        <f>IND_Bal!$K$137</f>
        <v>0.89397675260820431</v>
      </c>
      <c r="G29" s="38">
        <f t="shared" si="4"/>
        <v>0.71518140208656344</v>
      </c>
      <c r="H29" s="124">
        <f t="shared" si="5"/>
        <v>1.25</v>
      </c>
      <c r="I29" s="58">
        <v>1</v>
      </c>
      <c r="J29" s="38">
        <f t="shared" si="6"/>
        <v>3.488962075511081E-2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70"/>
      <c r="B30" s="109" t="str">
        <f t="shared" si="2"/>
        <v>IOISTMGAS00</v>
      </c>
      <c r="C30" s="50" t="s">
        <v>652</v>
      </c>
      <c r="D30" s="49" t="str">
        <f>IND_Bal!$M$44</f>
        <v>INDGAS</v>
      </c>
      <c r="E30" s="49" t="str">
        <f t="shared" si="3"/>
        <v>IOIHTH</v>
      </c>
      <c r="F30" s="119">
        <f>IND_Bal!$M$137</f>
        <v>2.4657826182215956</v>
      </c>
      <c r="G30" s="38">
        <f t="shared" si="4"/>
        <v>1.9726260945772764</v>
      </c>
      <c r="H30" s="124">
        <f t="shared" si="5"/>
        <v>1.25</v>
      </c>
      <c r="I30" s="58">
        <v>1</v>
      </c>
      <c r="J30" s="38">
        <f t="shared" si="6"/>
        <v>9.623317403198671E-2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70"/>
      <c r="B31" s="109" t="str">
        <f t="shared" si="2"/>
        <v>IOISTMBIO00</v>
      </c>
      <c r="C31" s="50" t="s">
        <v>644</v>
      </c>
      <c r="D31" s="49" t="str">
        <f>IND_Bal!$R$44</f>
        <v>INDBIO</v>
      </c>
      <c r="E31" s="49" t="str">
        <f t="shared" si="3"/>
        <v>IOIHTH</v>
      </c>
      <c r="F31" s="119">
        <f>IND_Bal!$R$137</f>
        <v>6.5077414988789251</v>
      </c>
      <c r="G31" s="38">
        <f t="shared" si="4"/>
        <v>5.20619319910314</v>
      </c>
      <c r="H31" s="124">
        <f t="shared" si="5"/>
        <v>1.25</v>
      </c>
      <c r="I31" s="58">
        <v>1</v>
      </c>
      <c r="J31" s="38">
        <f t="shared" si="6"/>
        <v>0.25398046672438529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70"/>
      <c r="B32" s="109" t="str">
        <f t="shared" si="2"/>
        <v>IOISTMELC00</v>
      </c>
      <c r="C32" s="50" t="s">
        <v>650</v>
      </c>
      <c r="D32" s="49" t="str">
        <f>IND_Bal!$U$44</f>
        <v>INDELC</v>
      </c>
      <c r="E32" s="49" t="str">
        <f t="shared" si="3"/>
        <v>IOIHTH</v>
      </c>
      <c r="F32" s="119">
        <f>IND_Bal!$U$137</f>
        <v>0</v>
      </c>
      <c r="G32" s="38">
        <f t="shared" si="4"/>
        <v>0</v>
      </c>
      <c r="H32" s="124">
        <v>1</v>
      </c>
      <c r="I32" s="58">
        <v>1</v>
      </c>
      <c r="J32" s="38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70"/>
      <c r="B33" s="109" t="str">
        <f t="shared" si="2"/>
        <v>IOISTMHTH00</v>
      </c>
      <c r="C33" s="61" t="s">
        <v>656</v>
      </c>
      <c r="D33" s="125" t="s">
        <v>288</v>
      </c>
      <c r="E33" s="49" t="str">
        <f t="shared" si="3"/>
        <v>IOIHTH</v>
      </c>
      <c r="F33" s="119">
        <f>IND_Bal!$V$137</f>
        <v>7.2735167971174999</v>
      </c>
      <c r="G33" s="38">
        <f t="shared" si="4"/>
        <v>7.2735167971174999</v>
      </c>
      <c r="H33" s="126">
        <v>1</v>
      </c>
      <c r="I33" s="58">
        <v>1</v>
      </c>
      <c r="J33" s="57">
        <f t="shared" si="6"/>
        <v>0.35483339173386697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14" t="s">
        <v>1136</v>
      </c>
      <c r="C34" s="84"/>
      <c r="D34" s="84"/>
      <c r="E34" s="84"/>
      <c r="F34" s="115">
        <f>SUM(F25:F33)</f>
        <v>28.806540003955064</v>
      </c>
      <c r="G34" s="115">
        <f>SUM(G25:G33)</f>
        <v>24.49993536258755</v>
      </c>
      <c r="H34" s="128"/>
      <c r="I34" s="128"/>
      <c r="J34" s="115">
        <f>SUM(J25:J33)</f>
        <v>1.1952120830205062</v>
      </c>
      <c r="K34" s="84"/>
      <c r="L34" s="84"/>
      <c r="M34" s="84"/>
      <c r="N34" s="84"/>
      <c r="O34" s="84"/>
      <c r="P34" s="84"/>
    </row>
    <row r="35" spans="1:16">
      <c r="A35" s="470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130" t="str">
        <f>IF(F48=0,"","~FI_T")</f>
        <v/>
      </c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7">LEFT(E40,6)&amp;RIGHT(D40,3)&amp;"00"</f>
        <v>IOIPRCCOA00</v>
      </c>
      <c r="C40" s="50" t="s">
        <v>630</v>
      </c>
      <c r="D40" s="49" t="str">
        <f>IND_Bal!$C$44</f>
        <v>INDCOA</v>
      </c>
      <c r="E40" s="49" t="str">
        <f t="shared" ref="E40:E47" si="8">$D$13</f>
        <v>IOIPRC</v>
      </c>
      <c r="F40" s="119">
        <f>IND_Bal!$C$138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7"/>
        <v>IOIPRCCOK00</v>
      </c>
      <c r="C41" s="50" t="s">
        <v>632</v>
      </c>
      <c r="D41" s="49" t="str">
        <f>IND_Bal!$F$44</f>
        <v>INDCOK</v>
      </c>
      <c r="E41" s="49" t="str">
        <f t="shared" si="8"/>
        <v>IOIPRC</v>
      </c>
      <c r="F41" s="119">
        <f>IND_Bal!$F$138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7"/>
        <v>IOIPRCLPG00</v>
      </c>
      <c r="C42" s="50" t="s">
        <v>642</v>
      </c>
      <c r="D42" s="49" t="str">
        <f>IND_Bal!$H$44</f>
        <v>INDLPG</v>
      </c>
      <c r="E42" s="49" t="str">
        <f t="shared" si="8"/>
        <v>IOIPRC</v>
      </c>
      <c r="F42" s="119">
        <f>IND_Bal!$H$138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7"/>
        <v>IOIPRCLFO00</v>
      </c>
      <c r="C43" s="50" t="s">
        <v>640</v>
      </c>
      <c r="D43" s="49" t="str">
        <f>IND_Bal!$I$44</f>
        <v>INDLFO</v>
      </c>
      <c r="E43" s="49" t="str">
        <f t="shared" si="8"/>
        <v>IOIPRC</v>
      </c>
      <c r="F43" s="119">
        <f>IND_Bal!$I$138</f>
        <v>0</v>
      </c>
      <c r="G43" s="38">
        <f t="shared" si="9"/>
        <v>0</v>
      </c>
      <c r="H43" s="124">
        <f t="shared" si="10"/>
        <v>1.25</v>
      </c>
      <c r="I43" s="58">
        <v>1</v>
      </c>
      <c r="J43" s="38">
        <f t="shared" si="11"/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7"/>
        <v>IOIPRCHFO00</v>
      </c>
      <c r="C44" s="50" t="s">
        <v>638</v>
      </c>
      <c r="D44" s="49" t="str">
        <f>IND_Bal!$K$44</f>
        <v>INDHFO</v>
      </c>
      <c r="E44" s="49" t="str">
        <f t="shared" si="8"/>
        <v>IOIPRC</v>
      </c>
      <c r="F44" s="119">
        <f>IND_Bal!$K$138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7"/>
        <v>IOIPRCGAS00</v>
      </c>
      <c r="C45" s="50" t="s">
        <v>636</v>
      </c>
      <c r="D45" s="49" t="str">
        <f>IND_Bal!$M$44</f>
        <v>INDGAS</v>
      </c>
      <c r="E45" s="49" t="str">
        <f t="shared" si="8"/>
        <v>IOIPRC</v>
      </c>
      <c r="F45" s="119">
        <f>IND_Bal!$M$138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7"/>
        <v>IOIPRCBIO00</v>
      </c>
      <c r="C46" s="50" t="s">
        <v>628</v>
      </c>
      <c r="D46" s="49" t="str">
        <f>IND_Bal!$R$44</f>
        <v>INDBIO</v>
      </c>
      <c r="E46" s="49" t="str">
        <f t="shared" si="8"/>
        <v>IOIPRC</v>
      </c>
      <c r="F46" s="119">
        <f>IND_Bal!$R$138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7"/>
        <v>IOIPRCELC00</v>
      </c>
      <c r="C47" s="50" t="s">
        <v>634</v>
      </c>
      <c r="D47" s="49" t="str">
        <f>IND_Bal!$U$44</f>
        <v>INDELC</v>
      </c>
      <c r="E47" s="49" t="str">
        <f t="shared" si="8"/>
        <v>IOIPRC</v>
      </c>
      <c r="F47" s="119">
        <f>IND_Bal!$U$138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IF($B$4=0,"DeAct","~FI_T")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2">LEFT(E54,6)&amp;RIGHT(D54,3)&amp;"00"</f>
        <v>IOIMCHCOA00</v>
      </c>
      <c r="C54" s="50" t="s">
        <v>612</v>
      </c>
      <c r="D54" s="49" t="str">
        <f>IND_Bal!$C$44</f>
        <v>INDCOA</v>
      </c>
      <c r="E54" s="49" t="str">
        <f t="shared" ref="E54:E61" si="13">$D$14</f>
        <v>IOIMCH</v>
      </c>
      <c r="F54" s="119">
        <f>IND_Bal!$C$139</f>
        <v>0</v>
      </c>
      <c r="G54" s="38">
        <f t="shared" ref="G54:G61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2"/>
        <v>IOIMCHCOK00</v>
      </c>
      <c r="C55" s="50" t="s">
        <v>614</v>
      </c>
      <c r="D55" s="49" t="str">
        <f>IND_Bal!$F$44</f>
        <v>INDCOK</v>
      </c>
      <c r="E55" s="49" t="str">
        <f t="shared" si="13"/>
        <v>IOIMCH</v>
      </c>
      <c r="F55" s="119">
        <f>IND_Bal!$F$139</f>
        <v>0</v>
      </c>
      <c r="G55" s="38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2"/>
        <v>IOIMCHLPG00</v>
      </c>
      <c r="C56" s="50" t="s">
        <v>624</v>
      </c>
      <c r="D56" s="49" t="str">
        <f>IND_Bal!$H$44</f>
        <v>INDLPG</v>
      </c>
      <c r="E56" s="49" t="str">
        <f t="shared" si="13"/>
        <v>IOIMCH</v>
      </c>
      <c r="F56" s="119">
        <f>IND_Bal!$H$139</f>
        <v>0</v>
      </c>
      <c r="G56" s="38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2"/>
        <v>IOIMCHLFO00</v>
      </c>
      <c r="C57" s="50" t="s">
        <v>622</v>
      </c>
      <c r="D57" s="49" t="str">
        <f>IND_Bal!$I$44</f>
        <v>INDLFO</v>
      </c>
      <c r="E57" s="49" t="str">
        <f t="shared" si="13"/>
        <v>IOIMCH</v>
      </c>
      <c r="F57" s="119">
        <f>IND_Bal!$I$139</f>
        <v>0</v>
      </c>
      <c r="G57" s="38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2"/>
        <v>IOIMCHHFO00</v>
      </c>
      <c r="C58" s="50" t="s">
        <v>620</v>
      </c>
      <c r="D58" s="49" t="str">
        <f>IND_Bal!$K$44</f>
        <v>INDHFO</v>
      </c>
      <c r="E58" s="49" t="str">
        <f t="shared" si="13"/>
        <v>IOIMCH</v>
      </c>
      <c r="F58" s="119">
        <f>IND_Bal!$K$139</f>
        <v>0</v>
      </c>
      <c r="G58" s="38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2"/>
        <v>IOIMCHGAS00</v>
      </c>
      <c r="C59" s="50" t="s">
        <v>618</v>
      </c>
      <c r="D59" s="49" t="str">
        <f>IND_Bal!$M$44</f>
        <v>INDGAS</v>
      </c>
      <c r="E59" s="49" t="str">
        <f t="shared" si="13"/>
        <v>IOIMCH</v>
      </c>
      <c r="F59" s="119">
        <f>IND_Bal!$M$139</f>
        <v>0</v>
      </c>
      <c r="G59" s="38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2"/>
        <v>IOIMCHBIO00</v>
      </c>
      <c r="C60" s="50" t="s">
        <v>610</v>
      </c>
      <c r="D60" s="49" t="str">
        <f>IND_Bal!$R$44</f>
        <v>INDBIO</v>
      </c>
      <c r="E60" s="49" t="str">
        <f t="shared" si="13"/>
        <v>IOIMCH</v>
      </c>
      <c r="F60" s="119">
        <f>IND_Bal!$R$139</f>
        <v>0</v>
      </c>
      <c r="G60" s="38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2"/>
        <v>IOIMCHELC00</v>
      </c>
      <c r="C61" s="50" t="s">
        <v>616</v>
      </c>
      <c r="D61" s="49" t="str">
        <f>IND_Bal!$U$44</f>
        <v>INDELC</v>
      </c>
      <c r="E61" s="49" t="str">
        <f t="shared" si="13"/>
        <v>IOIMCH</v>
      </c>
      <c r="F61" s="119">
        <f>IND_Bal!$U$139</f>
        <v>25.656565695496251</v>
      </c>
      <c r="G61" s="38">
        <f t="shared" si="14"/>
        <v>23.090909125946624</v>
      </c>
      <c r="H61" s="126">
        <f>1/0.9</f>
        <v>1.1111111111111112</v>
      </c>
      <c r="I61" s="58">
        <v>1</v>
      </c>
      <c r="J61" s="38">
        <f t="shared" si="16"/>
        <v>23.090909125946624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25.656565695496251</v>
      </c>
      <c r="G62" s="115">
        <f>SUM(G54:G61)</f>
        <v>23.090909125946624</v>
      </c>
      <c r="H62" s="128"/>
      <c r="I62" s="128"/>
      <c r="J62" s="115">
        <f>SUM(J54:J61)</f>
        <v>23.090909125946624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IOIELEELC00</v>
      </c>
      <c r="C68" s="50" t="s">
        <v>608</v>
      </c>
      <c r="D68" s="49" t="str">
        <f>IND_Bal!$U$44</f>
        <v>INDELC</v>
      </c>
      <c r="E68" s="49" t="str">
        <f>$D$15</f>
        <v>IOIELE</v>
      </c>
      <c r="F68" s="119">
        <f>IND_Bal!$U$140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5">
      <c r="A73" s="26"/>
      <c r="B73" s="26"/>
      <c r="C73" s="26"/>
      <c r="D73" s="26"/>
      <c r="E73" s="130" t="str">
        <f>IF(F89=0,"","~FI_T")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48" t="s">
        <v>1138</v>
      </c>
      <c r="G74" s="134" t="s">
        <v>1139</v>
      </c>
      <c r="H74" s="134" t="s">
        <v>1162</v>
      </c>
      <c r="I74" s="134" t="s">
        <v>799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625</v>
      </c>
      <c r="C75" s="135" t="s">
        <v>626</v>
      </c>
      <c r="D75" s="125" t="str">
        <f>IF(F75&gt;0,IND_Bal!$C$44,"")</f>
        <v/>
      </c>
      <c r="E75" s="49" t="str">
        <f>$D$16</f>
        <v>IOIOTH</v>
      </c>
      <c r="F75" s="119">
        <f>IND_Bal!$C$141</f>
        <v>0</v>
      </c>
      <c r="G75" s="39"/>
      <c r="H75" s="470"/>
      <c r="I75" s="39" t="str">
        <f>IF($F$89*F75&gt;0,F75/$F$89,"")</f>
        <v/>
      </c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8" si="17">IF(F76&lt;=0,"*","")</f>
        <v>*</v>
      </c>
      <c r="D76" s="49" t="str">
        <f>IND_Bal!$D$44</f>
        <v>INDPEA</v>
      </c>
      <c r="E76" s="109"/>
      <c r="F76" s="119">
        <f>IND_Bal!$D$141</f>
        <v>0</v>
      </c>
      <c r="G76" s="39"/>
      <c r="H76" s="470"/>
      <c r="I76" s="39" t="str">
        <f>IF($F$89*F76&gt;0,F76/$F$89,"")</f>
        <v/>
      </c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7"/>
        <v>*</v>
      </c>
      <c r="D77" s="49" t="str">
        <f>IND_Bal!$E$44</f>
        <v>INDCOH</v>
      </c>
      <c r="E77" s="109"/>
      <c r="F77" s="119">
        <f>IND_Bal!$E$141</f>
        <v>0</v>
      </c>
      <c r="G77" s="39"/>
      <c r="H77" s="470"/>
      <c r="I77" s="39" t="str">
        <f>IF($F$89*F77&gt;0,F77/$F$89,"")</f>
        <v/>
      </c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7"/>
        <v>*</v>
      </c>
      <c r="D78" s="49" t="str">
        <f>IND_Bal!$F$44</f>
        <v>INDCOK</v>
      </c>
      <c r="E78" s="109"/>
      <c r="F78" s="119">
        <f>IND_Bal!$F$141</f>
        <v>0</v>
      </c>
      <c r="G78" s="39"/>
      <c r="H78" s="470"/>
      <c r="I78" s="39" t="str">
        <f>IF($F$89*F78&gt;0,F78/$F$89,"")</f>
        <v/>
      </c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7"/>
        <v>*</v>
      </c>
      <c r="D79" s="49" t="str">
        <f>IND_Bal!$G$44</f>
        <v>INDRFG</v>
      </c>
      <c r="E79" s="109"/>
      <c r="F79" s="119">
        <f>IND_Bal!$G$141</f>
        <v>0</v>
      </c>
      <c r="G79" s="39"/>
      <c r="H79" s="39" t="str">
        <f t="shared" ref="H79:H85" si="18">IF($F$89*F79&gt;0,F79/$F$89,"")</f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7"/>
        <v>*</v>
      </c>
      <c r="D80" s="49" t="str">
        <f>IND_Bal!$H$44</f>
        <v>INDLPG</v>
      </c>
      <c r="E80" s="109"/>
      <c r="F80" s="119">
        <f>IND_Bal!$H$141</f>
        <v>0</v>
      </c>
      <c r="G80" s="39"/>
      <c r="H80" s="39" t="str">
        <f t="shared" si="18"/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09"/>
      <c r="C81" s="135" t="str">
        <f t="shared" si="17"/>
        <v>*</v>
      </c>
      <c r="D81" s="49" t="str">
        <f>IND_Bal!$I$44</f>
        <v>INDLFO</v>
      </c>
      <c r="E81" s="109"/>
      <c r="F81" s="119">
        <f>IND_Bal!$I$141</f>
        <v>0</v>
      </c>
      <c r="G81" s="39"/>
      <c r="H81" s="39" t="str">
        <f t="shared" si="18"/>
        <v/>
      </c>
      <c r="I81" s="137"/>
      <c r="J81" s="136"/>
      <c r="K81" s="42"/>
      <c r="L81" s="42"/>
      <c r="M81" s="470"/>
      <c r="N81" s="26"/>
      <c r="O81" s="26"/>
      <c r="P81" s="26"/>
    </row>
    <row r="82" spans="1:16">
      <c r="A82" s="26"/>
      <c r="B82" s="109"/>
      <c r="C82" s="135" t="str">
        <f t="shared" si="17"/>
        <v>*</v>
      </c>
      <c r="D82" s="49" t="str">
        <f>IND_Bal!$K$44</f>
        <v>INDHFO</v>
      </c>
      <c r="E82" s="109"/>
      <c r="F82" s="119">
        <f>IND_Bal!$K$141</f>
        <v>0</v>
      </c>
      <c r="G82" s="39"/>
      <c r="H82" s="39" t="str">
        <f t="shared" si="18"/>
        <v/>
      </c>
      <c r="I82" s="137"/>
      <c r="J82" s="136"/>
      <c r="K82" s="42"/>
      <c r="L82" s="42"/>
      <c r="M82" s="470"/>
      <c r="N82" s="26"/>
      <c r="O82" s="26"/>
      <c r="P82" s="26"/>
    </row>
    <row r="83" spans="1:16">
      <c r="A83" s="26"/>
      <c r="B83" s="109"/>
      <c r="C83" s="135" t="str">
        <f t="shared" si="17"/>
        <v>*</v>
      </c>
      <c r="D83" s="49" t="str">
        <f>IND_Bal!$M$44</f>
        <v>INDGAS</v>
      </c>
      <c r="E83" s="109"/>
      <c r="F83" s="119">
        <f>IND_Bal!$M$141</f>
        <v>0</v>
      </c>
      <c r="G83" s="39"/>
      <c r="H83" s="39" t="str">
        <f t="shared" si="18"/>
        <v/>
      </c>
      <c r="I83" s="138"/>
      <c r="J83" s="136"/>
      <c r="K83" s="42"/>
      <c r="L83" s="139"/>
      <c r="M83" s="470"/>
      <c r="N83" s="26"/>
      <c r="O83" s="26"/>
      <c r="P83" s="26"/>
    </row>
    <row r="84" spans="1:16">
      <c r="A84" s="26"/>
      <c r="B84" s="109"/>
      <c r="C84" s="135" t="str">
        <f t="shared" si="17"/>
        <v>*</v>
      </c>
      <c r="D84" s="49" t="str">
        <f>IND_Bal!$N$44</f>
        <v>INDCOG</v>
      </c>
      <c r="E84" s="109"/>
      <c r="F84" s="119">
        <f>IND_Bal!$N$141</f>
        <v>0</v>
      </c>
      <c r="G84" s="39"/>
      <c r="H84" s="39" t="str">
        <f t="shared" si="18"/>
        <v/>
      </c>
      <c r="I84" s="137"/>
      <c r="J84" s="136"/>
      <c r="K84" s="42"/>
      <c r="L84" s="42"/>
      <c r="M84" s="470"/>
      <c r="N84" s="26"/>
      <c r="O84" s="26"/>
      <c r="P84" s="26"/>
    </row>
    <row r="85" spans="1:16">
      <c r="A85" s="26"/>
      <c r="B85" s="109"/>
      <c r="C85" s="135" t="str">
        <f t="shared" si="17"/>
        <v>*</v>
      </c>
      <c r="D85" s="49" t="str">
        <f>IND_Bal!$R$44</f>
        <v>INDBIO</v>
      </c>
      <c r="E85" s="109"/>
      <c r="F85" s="119">
        <f>IND_Bal!$R$141</f>
        <v>0</v>
      </c>
      <c r="G85" s="39"/>
      <c r="H85" s="39" t="str">
        <f t="shared" si="18"/>
        <v/>
      </c>
      <c r="I85" s="138"/>
      <c r="J85" s="136"/>
      <c r="K85" s="42"/>
      <c r="L85" s="139"/>
      <c r="M85" s="470"/>
      <c r="N85" s="26"/>
      <c r="O85" s="26"/>
      <c r="P85" s="26"/>
    </row>
    <row r="86" spans="1:16">
      <c r="A86" s="26"/>
      <c r="B86" s="109"/>
      <c r="C86" s="135" t="str">
        <f t="shared" si="17"/>
        <v>*</v>
      </c>
      <c r="D86" s="49" t="str">
        <f>IND_Bal!$T$44</f>
        <v>INDWASL</v>
      </c>
      <c r="E86" s="109"/>
      <c r="F86" s="119">
        <f>IND_Bal!$T$141</f>
        <v>0</v>
      </c>
      <c r="G86" s="39"/>
      <c r="H86" s="470"/>
      <c r="I86" s="39" t="str">
        <f>IF($F$89*F86&gt;0,F86/$F$89,"")</f>
        <v/>
      </c>
      <c r="J86" s="136"/>
      <c r="K86" s="42"/>
      <c r="L86" s="139"/>
      <c r="M86" s="470"/>
      <c r="N86" s="26"/>
      <c r="O86" s="26"/>
      <c r="P86" s="26"/>
    </row>
    <row r="87" spans="1:16">
      <c r="A87" s="26"/>
      <c r="B87" s="109"/>
      <c r="C87" s="135" t="str">
        <f t="shared" si="17"/>
        <v>*</v>
      </c>
      <c r="D87" s="125" t="s">
        <v>288</v>
      </c>
      <c r="E87" s="109"/>
      <c r="F87" s="119">
        <f>IND_Bal!$V$141</f>
        <v>0</v>
      </c>
      <c r="G87" s="39"/>
      <c r="H87" s="39" t="str">
        <f>IF($F$89*F87&gt;0,F87/$F$89,"")</f>
        <v/>
      </c>
      <c r="I87" s="137"/>
      <c r="J87" s="136"/>
      <c r="K87" s="42"/>
      <c r="L87" s="42"/>
      <c r="M87" s="470"/>
      <c r="N87" s="26"/>
      <c r="O87" s="26"/>
      <c r="P87" s="26"/>
    </row>
    <row r="88" spans="1:16">
      <c r="A88" s="26"/>
      <c r="B88" s="109"/>
      <c r="C88" s="135" t="str">
        <f t="shared" si="17"/>
        <v>*</v>
      </c>
      <c r="D88" s="49" t="str">
        <f>IND_Bal!$U$44</f>
        <v>INDELC</v>
      </c>
      <c r="E88" s="109"/>
      <c r="F88" s="119">
        <f>IND_Bal!$U$141</f>
        <v>0</v>
      </c>
      <c r="G88" s="39"/>
      <c r="H88" s="39" t="str">
        <f>IF($F$89*F88&gt;0,F88/$F$89,"")</f>
        <v/>
      </c>
      <c r="I88" s="138"/>
      <c r="J88" s="136"/>
      <c r="K88" s="42"/>
      <c r="L88" s="139"/>
      <c r="M88" s="470"/>
      <c r="N88" s="26"/>
      <c r="O88" s="26"/>
      <c r="P88" s="26"/>
    </row>
    <row r="89" spans="1:16" ht="13.5" thickBot="1">
      <c r="A89" s="26"/>
      <c r="B89" s="114" t="s">
        <v>1136</v>
      </c>
      <c r="C89" s="84"/>
      <c r="D89" s="84"/>
      <c r="E89" s="84"/>
      <c r="F89" s="140">
        <f>SUMIF(F75:F88,"&gt;0",F75:F88)</f>
        <v>0</v>
      </c>
      <c r="G89" s="140">
        <f>F89</f>
        <v>0</v>
      </c>
      <c r="H89" s="141"/>
      <c r="I89" s="141"/>
      <c r="J89" s="140"/>
      <c r="K89" s="142"/>
      <c r="L89" s="142"/>
      <c r="M89" s="470"/>
      <c r="N89" s="26"/>
      <c r="O89" s="26"/>
      <c r="P89" s="26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T24"/>
  <sheetViews>
    <sheetView zoomScale="75" zoomScaleNormal="75" workbookViewId="0">
      <selection activeCell="B4" sqref="B4"/>
    </sheetView>
  </sheetViews>
  <sheetFormatPr defaultColWidth="9.140625" defaultRowHeight="12.75"/>
  <cols>
    <col min="1" max="1" width="9.140625" style="25"/>
    <col min="2" max="2" width="15.42578125" style="25" bestFit="1" customWidth="1"/>
    <col min="3" max="3" width="42" style="25" bestFit="1" customWidth="1"/>
    <col min="4" max="16384" width="9.140625" style="25"/>
  </cols>
  <sheetData>
    <row r="1" spans="1:20" ht="18.75">
      <c r="A1" s="27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5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IND_Commodities!C99</f>
        <v>NEC</v>
      </c>
      <c r="B4" s="87" t="str">
        <f>IF(I24=0,"",I24)</f>
        <v/>
      </c>
      <c r="C4" s="49" t="str">
        <f>IND_Commodities!D99</f>
        <v>Non Energy Consumption - Chemicals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70"/>
      <c r="R5" s="470"/>
      <c r="S5" s="470"/>
      <c r="T5" s="470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70"/>
      <c r="R6" s="470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70"/>
      <c r="R8" s="470"/>
      <c r="S8" s="470"/>
      <c r="T8" s="470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.75">
      <c r="A10" s="27" t="s">
        <v>1178</v>
      </c>
      <c r="B10" s="43"/>
      <c r="C10" s="43"/>
      <c r="D10" s="43"/>
      <c r="E10" s="40" t="str">
        <f>IF($B$4="","DeAct","~FI_T")</f>
        <v>DeAct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5.5">
      <c r="A11" s="89" t="s">
        <v>1110</v>
      </c>
      <c r="B11" s="89" t="s">
        <v>318</v>
      </c>
      <c r="C11" s="89" t="s">
        <v>327</v>
      </c>
      <c r="D11" s="89" t="s">
        <v>718</v>
      </c>
      <c r="E11" s="89" t="s">
        <v>719</v>
      </c>
      <c r="F11" s="45" t="s">
        <v>1111</v>
      </c>
      <c r="G11" s="45" t="s">
        <v>1134</v>
      </c>
      <c r="H11" s="26"/>
      <c r="I11" s="90" t="s">
        <v>1179</v>
      </c>
      <c r="J11" s="26"/>
      <c r="K11" s="26"/>
      <c r="L11" s="26"/>
      <c r="M11" s="26"/>
      <c r="N11" s="26"/>
      <c r="O11" s="26"/>
      <c r="P11" s="26"/>
      <c r="Q11" s="470"/>
      <c r="R11" s="470"/>
      <c r="S11" s="470"/>
      <c r="T11" s="470"/>
    </row>
    <row r="12" spans="1:20" ht="13.5" thickBot="1">
      <c r="A12" s="91" t="s">
        <v>1113</v>
      </c>
      <c r="B12" s="92"/>
      <c r="C12" s="92"/>
      <c r="D12" s="92"/>
      <c r="E12" s="75"/>
      <c r="F12" s="93" t="s">
        <v>1180</v>
      </c>
      <c r="G12" s="93" t="s">
        <v>1180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70"/>
      <c r="R12" s="470"/>
      <c r="S12" s="470"/>
      <c r="T12" s="470"/>
    </row>
    <row r="13" spans="1:20">
      <c r="A13" s="49" t="str">
        <f>IND_Commodities!$C$99</f>
        <v>NEC</v>
      </c>
      <c r="B13" s="94" t="s">
        <v>678</v>
      </c>
      <c r="C13" s="95" t="s">
        <v>679</v>
      </c>
      <c r="D13" s="49" t="str">
        <f>IND_Bal!$G$32</f>
        <v>OILRFG</v>
      </c>
      <c r="E13" s="96"/>
      <c r="F13" s="38">
        <f t="shared" ref="F13:F22" si="0">IF($I$24=0,0,I13/$I$24)</f>
        <v>0</v>
      </c>
      <c r="G13" s="51"/>
      <c r="H13" s="26"/>
      <c r="I13" s="102">
        <f>IND_Bal!$G$26</f>
        <v>0</v>
      </c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49"/>
      <c r="B14" s="49"/>
      <c r="C14" s="49"/>
      <c r="D14" s="49" t="str">
        <f>IND_Bal!$H$32</f>
        <v>OILLPG</v>
      </c>
      <c r="E14" s="98"/>
      <c r="F14" s="38">
        <f t="shared" si="0"/>
        <v>0</v>
      </c>
      <c r="G14" s="51"/>
      <c r="H14" s="26"/>
      <c r="I14" s="102">
        <f>IND_Bal!$H$26</f>
        <v>0</v>
      </c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49"/>
      <c r="B15" s="49"/>
      <c r="C15" s="49"/>
      <c r="D15" s="49" t="str">
        <f>IND_Bal!$I$32</f>
        <v>OILGSL</v>
      </c>
      <c r="E15" s="98"/>
      <c r="F15" s="38">
        <f t="shared" si="0"/>
        <v>0</v>
      </c>
      <c r="G15" s="51"/>
      <c r="H15" s="26"/>
      <c r="I15" s="102">
        <f>IND_Bal!$I$26</f>
        <v>0</v>
      </c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99"/>
      <c r="B16" s="49"/>
      <c r="C16" s="49"/>
      <c r="D16" s="49" t="str">
        <f>IND_Bal!$J$32</f>
        <v>OILKER</v>
      </c>
      <c r="E16" s="49"/>
      <c r="F16" s="38">
        <f t="shared" si="0"/>
        <v>0</v>
      </c>
      <c r="G16" s="51"/>
      <c r="H16" s="26"/>
      <c r="I16" s="102">
        <f>IND_Bal!$J$26</f>
        <v>0</v>
      </c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99"/>
      <c r="B17" s="49"/>
      <c r="C17" s="49"/>
      <c r="D17" s="49" t="str">
        <f>IND_Bal!$K$32</f>
        <v>OILNAP</v>
      </c>
      <c r="E17" s="49"/>
      <c r="F17" s="38">
        <f t="shared" si="0"/>
        <v>0</v>
      </c>
      <c r="G17" s="51"/>
      <c r="H17" s="26"/>
      <c r="I17" s="102">
        <f>IND_Bal!$K$26</f>
        <v>0</v>
      </c>
      <c r="J17" s="26"/>
      <c r="K17" s="26"/>
      <c r="L17" s="26"/>
      <c r="M17" s="26"/>
      <c r="N17" s="26"/>
      <c r="O17" s="26"/>
      <c r="P17" s="26"/>
    </row>
    <row r="18" spans="1:16">
      <c r="A18" s="99"/>
      <c r="B18" s="49"/>
      <c r="C18" s="49"/>
      <c r="D18" s="49" t="str">
        <f>IND_Bal!$L$32</f>
        <v>OILDST</v>
      </c>
      <c r="E18" s="49"/>
      <c r="F18" s="38">
        <f t="shared" si="0"/>
        <v>0</v>
      </c>
      <c r="G18" s="51"/>
      <c r="H18" s="26"/>
      <c r="I18" s="102">
        <f>IND_Bal!$L$26</f>
        <v>0</v>
      </c>
      <c r="J18" s="26"/>
      <c r="K18" s="26"/>
      <c r="L18" s="26"/>
      <c r="M18" s="26"/>
      <c r="N18" s="26"/>
      <c r="O18" s="26"/>
      <c r="P18" s="26"/>
    </row>
    <row r="19" spans="1:16">
      <c r="A19" s="99"/>
      <c r="B19" s="49"/>
      <c r="C19" s="49"/>
      <c r="D19" s="49" t="str">
        <f>IND_Bal!$M$32</f>
        <v>OILHFO</v>
      </c>
      <c r="E19" s="49"/>
      <c r="F19" s="38">
        <f t="shared" si="0"/>
        <v>0</v>
      </c>
      <c r="G19" s="51"/>
      <c r="H19" s="26"/>
      <c r="I19" s="102">
        <f>IND_Bal!$M$26</f>
        <v>0</v>
      </c>
      <c r="J19" s="26"/>
      <c r="K19" s="26"/>
      <c r="L19" s="26"/>
      <c r="M19" s="26"/>
      <c r="N19" s="26"/>
      <c r="O19" s="26"/>
      <c r="P19" s="26"/>
    </row>
    <row r="20" spans="1:16">
      <c r="A20" s="99" t="s">
        <v>333</v>
      </c>
      <c r="B20" s="49"/>
      <c r="C20" s="49"/>
      <c r="D20" s="49" t="str">
        <f>IND_Bal!$N$32</f>
        <v>OILNEU</v>
      </c>
      <c r="E20" s="49"/>
      <c r="F20" s="38">
        <f t="shared" si="0"/>
        <v>0</v>
      </c>
      <c r="G20" s="51"/>
      <c r="H20" s="26"/>
      <c r="I20" s="102">
        <f>IND_Bal!$N$26</f>
        <v>0</v>
      </c>
      <c r="J20" s="26"/>
      <c r="K20" s="26"/>
      <c r="L20" s="26"/>
      <c r="M20" s="26"/>
      <c r="N20" s="26"/>
      <c r="O20" s="26"/>
      <c r="P20" s="26"/>
    </row>
    <row r="21" spans="1:16">
      <c r="A21" s="99"/>
      <c r="B21" s="49"/>
      <c r="C21" s="49"/>
      <c r="D21" s="49" t="str">
        <f>IND_Bal!$O$32</f>
        <v>OILCOK</v>
      </c>
      <c r="E21" s="49"/>
      <c r="F21" s="38">
        <f t="shared" si="0"/>
        <v>0</v>
      </c>
      <c r="G21" s="51"/>
      <c r="H21" s="26"/>
      <c r="I21" s="102">
        <f>IND_Bal!$O$26</f>
        <v>0</v>
      </c>
      <c r="J21" s="26"/>
      <c r="K21" s="26"/>
      <c r="L21" s="26"/>
      <c r="M21" s="26"/>
      <c r="N21" s="26"/>
      <c r="O21" s="26"/>
      <c r="P21" s="26"/>
    </row>
    <row r="22" spans="1:16">
      <c r="A22" s="99"/>
      <c r="B22" s="49"/>
      <c r="C22" s="49"/>
      <c r="D22" s="49" t="str">
        <f>IND_Bal!$P$32</f>
        <v>GASNAT</v>
      </c>
      <c r="E22" s="49"/>
      <c r="F22" s="38">
        <f t="shared" si="0"/>
        <v>0</v>
      </c>
      <c r="G22" s="51">
        <v>1</v>
      </c>
      <c r="H22" s="26"/>
      <c r="I22" s="102">
        <f>IND_Bal!$P$26</f>
        <v>0</v>
      </c>
      <c r="J22" s="26"/>
      <c r="K22" s="26"/>
      <c r="L22" s="26"/>
      <c r="M22" s="26"/>
      <c r="N22" s="26"/>
      <c r="O22" s="26"/>
      <c r="P22" s="26"/>
    </row>
    <row r="23" spans="1:16">
      <c r="A23" s="99" t="s">
        <v>202</v>
      </c>
      <c r="B23" s="49"/>
      <c r="C23" s="49"/>
      <c r="D23" s="49"/>
      <c r="E23" s="86"/>
      <c r="F23" s="49"/>
      <c r="G23" s="49"/>
      <c r="H23" s="26"/>
      <c r="I23" s="58"/>
      <c r="J23" s="26"/>
      <c r="K23" s="26"/>
      <c r="L23" s="26"/>
      <c r="M23" s="26"/>
      <c r="N23" s="26"/>
      <c r="O23" s="26"/>
      <c r="P23" s="26"/>
    </row>
    <row r="24" spans="1:16">
      <c r="A24" s="100" t="s">
        <v>1181</v>
      </c>
      <c r="B24" s="49"/>
      <c r="C24" s="49"/>
      <c r="D24" s="49"/>
      <c r="E24" s="49"/>
      <c r="F24" s="38">
        <f>SUM(F13:F22)</f>
        <v>0</v>
      </c>
      <c r="G24" s="38">
        <f>SUM(G13:G22)</f>
        <v>1</v>
      </c>
      <c r="H24" s="26"/>
      <c r="I24" s="101">
        <f>SUM(I13:I22)</f>
        <v>0</v>
      </c>
      <c r="J24" s="26"/>
      <c r="K24" s="26"/>
      <c r="L24" s="26"/>
      <c r="M24" s="26"/>
      <c r="N24" s="26"/>
      <c r="O24" s="26"/>
      <c r="P24" s="26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T19"/>
  <sheetViews>
    <sheetView topLeftCell="F1" zoomScale="110" zoomScaleNormal="110" workbookViewId="0">
      <selection activeCell="J17" sqref="J17"/>
    </sheetView>
  </sheetViews>
  <sheetFormatPr defaultColWidth="9.140625" defaultRowHeight="12.75"/>
  <cols>
    <col min="1" max="1" width="9.140625" style="25"/>
    <col min="2" max="2" width="14.140625" style="25" bestFit="1" customWidth="1"/>
    <col min="3" max="3" width="37.5703125" style="25" bestFit="1" customWidth="1"/>
    <col min="4" max="16384" width="9.140625" style="25"/>
  </cols>
  <sheetData>
    <row r="1" spans="1:20" ht="18.75">
      <c r="A1" s="27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5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IND_Commodities!C100</f>
        <v>NEO</v>
      </c>
      <c r="B4" s="87">
        <f>I19</f>
        <v>9.7255883662200091</v>
      </c>
      <c r="C4" s="49" t="str">
        <f>IND_Commodities!D100</f>
        <v>Non Energy Consumption - Others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70"/>
      <c r="R5" s="470"/>
      <c r="S5" s="470"/>
      <c r="T5" s="470"/>
    </row>
    <row r="6" spans="1:20">
      <c r="A6" s="26"/>
      <c r="B6" s="26"/>
      <c r="C6" s="26"/>
      <c r="D6" s="26"/>
      <c r="E6" s="3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70"/>
      <c r="R6" s="470"/>
      <c r="S6" s="470"/>
      <c r="T6" s="470"/>
    </row>
    <row r="7" spans="1:20">
      <c r="A7" s="26"/>
      <c r="B7" s="26"/>
      <c r="C7" s="26"/>
      <c r="D7" s="26"/>
      <c r="E7" s="3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3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470"/>
      <c r="R8" s="470"/>
      <c r="S8" s="470"/>
      <c r="T8" s="470"/>
    </row>
    <row r="9" spans="1:20">
      <c r="A9" s="26"/>
      <c r="B9" s="26"/>
      <c r="C9" s="26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.75">
      <c r="A10" s="27" t="s">
        <v>1182</v>
      </c>
      <c r="B10" s="43"/>
      <c r="C10" s="43"/>
      <c r="D10" s="43"/>
      <c r="E10" s="40" t="str">
        <f>IF($B$4=0,"DeAct","~FI_T")</f>
        <v>~FI_T</v>
      </c>
      <c r="F10" s="3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5.5">
      <c r="A11" s="89" t="s">
        <v>1110</v>
      </c>
      <c r="B11" s="89" t="s">
        <v>318</v>
      </c>
      <c r="C11" s="89" t="s">
        <v>327</v>
      </c>
      <c r="D11" s="89" t="s">
        <v>718</v>
      </c>
      <c r="E11" s="89" t="s">
        <v>719</v>
      </c>
      <c r="F11" s="45" t="s">
        <v>1111</v>
      </c>
      <c r="G11" s="45" t="s">
        <v>1134</v>
      </c>
      <c r="H11" s="26"/>
      <c r="I11" s="90" t="s">
        <v>1179</v>
      </c>
      <c r="J11" s="26"/>
      <c r="K11" s="26"/>
      <c r="L11" s="26"/>
      <c r="M11" s="26"/>
      <c r="N11" s="26"/>
      <c r="O11" s="26"/>
      <c r="P11" s="26"/>
      <c r="Q11" s="470"/>
      <c r="R11" s="470"/>
      <c r="S11" s="470"/>
      <c r="T11" s="470"/>
    </row>
    <row r="12" spans="1:20" ht="13.5" thickBot="1">
      <c r="A12" s="91" t="s">
        <v>1113</v>
      </c>
      <c r="B12" s="92"/>
      <c r="C12" s="92"/>
      <c r="D12" s="92"/>
      <c r="E12" s="75"/>
      <c r="F12" s="93" t="s">
        <v>1180</v>
      </c>
      <c r="G12" s="93" t="s">
        <v>1180</v>
      </c>
      <c r="H12" s="26"/>
      <c r="I12" s="48" t="s">
        <v>166</v>
      </c>
      <c r="J12" s="26"/>
      <c r="K12" s="26"/>
      <c r="L12" s="26"/>
      <c r="M12" s="26"/>
      <c r="N12" s="26"/>
      <c r="O12" s="26"/>
      <c r="P12" s="26"/>
      <c r="Q12" s="470"/>
      <c r="R12" s="470"/>
      <c r="S12" s="470"/>
      <c r="T12" s="470"/>
    </row>
    <row r="13" spans="1:20">
      <c r="A13" s="49" t="str">
        <f>IND_Commodities!$C$100</f>
        <v>NEO</v>
      </c>
      <c r="B13" s="94" t="s">
        <v>680</v>
      </c>
      <c r="C13" s="95" t="s">
        <v>681</v>
      </c>
      <c r="D13" s="49" t="str">
        <f>IND_Bal!$D$32</f>
        <v>COACOK</v>
      </c>
      <c r="E13" s="96"/>
      <c r="F13" s="38" t="str">
        <f>IF($I$19=0,0,IF(I13/$I$19=0,"",I13/$I$19))</f>
        <v/>
      </c>
      <c r="G13" s="51"/>
      <c r="H13" s="26"/>
      <c r="I13" s="97">
        <f>IND_Bal!$D$27</f>
        <v>0</v>
      </c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49"/>
      <c r="B14" s="49"/>
      <c r="C14" s="49"/>
      <c r="D14" s="49" t="str">
        <f>IND_Bal!$E$32</f>
        <v>PEAT</v>
      </c>
      <c r="E14" s="98"/>
      <c r="F14" s="38" t="str">
        <f t="shared" ref="F14:F17" si="0">IF($I$19=0,0,IF(I14/$I$19=0,"",I14/$I$19))</f>
        <v/>
      </c>
      <c r="G14" s="51"/>
      <c r="H14" s="26"/>
      <c r="I14" s="97">
        <f>IND_Bal!$E$27</f>
        <v>0</v>
      </c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99"/>
      <c r="B15" s="49"/>
      <c r="C15" s="49"/>
      <c r="D15" s="49" t="str">
        <f>IND_Bal!$N$32</f>
        <v>OILNEU</v>
      </c>
      <c r="E15" s="49"/>
      <c r="F15" s="38">
        <f t="shared" si="0"/>
        <v>1</v>
      </c>
      <c r="G15" s="60">
        <v>1</v>
      </c>
      <c r="H15" s="26"/>
      <c r="I15" s="97">
        <f>IND_Bal!$N$27</f>
        <v>9.7255883662200091</v>
      </c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99"/>
      <c r="B16" s="49"/>
      <c r="C16" s="49"/>
      <c r="D16" s="49" t="str">
        <f>IND_Bal!$O$32</f>
        <v>OILCOK</v>
      </c>
      <c r="E16" s="49"/>
      <c r="F16" s="38" t="str">
        <f t="shared" si="0"/>
        <v/>
      </c>
      <c r="G16" s="51"/>
      <c r="H16" s="26"/>
      <c r="I16" s="97">
        <f>IND_Bal!$O$27</f>
        <v>0</v>
      </c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99"/>
      <c r="B17" s="49"/>
      <c r="C17" s="49"/>
      <c r="D17" s="49" t="str">
        <f>IND_Bal!$P$32</f>
        <v>GASNAT</v>
      </c>
      <c r="E17" s="49"/>
      <c r="F17" s="38" t="str">
        <f t="shared" si="0"/>
        <v/>
      </c>
      <c r="G17" s="51"/>
      <c r="H17" s="26"/>
      <c r="I17" s="97">
        <f>IND_Bal!$P$27</f>
        <v>0</v>
      </c>
      <c r="J17" s="26"/>
      <c r="K17" s="26"/>
      <c r="L17" s="26"/>
      <c r="M17" s="26"/>
      <c r="N17" s="26"/>
      <c r="O17" s="26"/>
      <c r="P17" s="26"/>
    </row>
    <row r="18" spans="1:16">
      <c r="A18" s="99" t="s">
        <v>202</v>
      </c>
      <c r="B18" s="49"/>
      <c r="C18" s="49"/>
      <c r="D18" s="49"/>
      <c r="E18" s="86"/>
      <c r="F18" s="49"/>
      <c r="G18" s="49"/>
      <c r="H18" s="26"/>
      <c r="I18" s="58"/>
      <c r="J18" s="26"/>
      <c r="K18" s="26"/>
      <c r="L18" s="26"/>
      <c r="M18" s="26"/>
      <c r="N18" s="26"/>
      <c r="O18" s="26"/>
      <c r="P18" s="26"/>
    </row>
    <row r="19" spans="1:16">
      <c r="A19" s="100" t="s">
        <v>1181</v>
      </c>
      <c r="B19" s="49"/>
      <c r="C19" s="49"/>
      <c r="D19" s="49"/>
      <c r="E19" s="49"/>
      <c r="F19" s="38">
        <f>SUM(F13:F17)</f>
        <v>1</v>
      </c>
      <c r="G19" s="38">
        <f>SUM(G13:G17)</f>
        <v>1</v>
      </c>
      <c r="H19" s="26"/>
      <c r="I19" s="101">
        <f>SUM(I13:I17)</f>
        <v>9.7255883662200091</v>
      </c>
      <c r="J19" s="26"/>
      <c r="K19" s="26"/>
      <c r="L19" s="26"/>
      <c r="M19" s="26"/>
      <c r="N19" s="26"/>
      <c r="O19" s="26"/>
      <c r="P19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557C6-F0F1-4836-AEA3-176AD7C784D6}">
  <sheetPr codeName="Sheet19"/>
  <dimension ref="B3:E23"/>
  <sheetViews>
    <sheetView workbookViewId="0">
      <selection activeCell="D14" sqref="D14"/>
    </sheetView>
  </sheetViews>
  <sheetFormatPr defaultRowHeight="12.75"/>
  <cols>
    <col min="2" max="2" width="33.85546875" bestFit="1" customWidth="1"/>
    <col min="3" max="3" width="30.42578125" bestFit="1" customWidth="1"/>
  </cols>
  <sheetData>
    <row r="3" spans="2:5" ht="18.75">
      <c r="B3" s="517" t="s">
        <v>1183</v>
      </c>
      <c r="C3" s="515"/>
      <c r="D3" s="516" t="s">
        <v>717</v>
      </c>
      <c r="E3" s="513"/>
    </row>
    <row r="4" spans="2:5" ht="15.75" thickBot="1">
      <c r="B4" s="524" t="s">
        <v>318</v>
      </c>
      <c r="C4" s="524" t="s">
        <v>327</v>
      </c>
      <c r="D4" s="524" t="s">
        <v>719</v>
      </c>
      <c r="E4" s="526" t="s">
        <v>1184</v>
      </c>
    </row>
    <row r="5" spans="2:5" ht="15">
      <c r="B5" s="518" t="s">
        <v>333</v>
      </c>
      <c r="C5" s="518"/>
      <c r="D5" s="518"/>
      <c r="E5" s="518" t="s">
        <v>1185</v>
      </c>
    </row>
    <row r="6" spans="2:5" ht="15">
      <c r="B6" s="514" t="str">
        <f>IND_Processes!C190</f>
        <v>MINMISORE1</v>
      </c>
      <c r="C6" s="514" t="str">
        <f>IND_Processes!D190</f>
        <v>Source Iron&amp;Steel: Ore</v>
      </c>
      <c r="D6" s="514" t="str">
        <f>IND_Commodities!C45</f>
        <v>MISORE</v>
      </c>
      <c r="E6" s="521">
        <v>80</v>
      </c>
    </row>
    <row r="7" spans="2:5" ht="15">
      <c r="B7" s="514" t="str">
        <f>IND_Processes!C191</f>
        <v>MINMISSCR1</v>
      </c>
      <c r="C7" s="514" t="str">
        <f>IND_Processes!D191</f>
        <v>Source Iron&amp;Steel: Scrap Iron</v>
      </c>
      <c r="D7" s="514" t="str">
        <f>IND_Commodities!C50</f>
        <v>MISSCR</v>
      </c>
      <c r="E7" s="521">
        <v>146.36040847999999</v>
      </c>
    </row>
    <row r="8" spans="2:5" ht="15">
      <c r="B8" s="514" t="str">
        <f>IND_Processes!C192</f>
        <v>MINMISOXY1</v>
      </c>
      <c r="C8" s="514" t="str">
        <f>IND_Processes!D192</f>
        <v>Source Iron&amp;Steel: Oxygen</v>
      </c>
      <c r="D8" s="514" t="str">
        <f>IND_Commodities!C52</f>
        <v>MISOXY</v>
      </c>
      <c r="E8" s="521">
        <v>11.25849296</v>
      </c>
    </row>
    <row r="9" spans="2:5" ht="15">
      <c r="B9" s="514" t="str">
        <f>IND_Processes!C193</f>
        <v>MINMISQLI1</v>
      </c>
      <c r="C9" s="514" t="str">
        <f>IND_Processes!D193</f>
        <v>Source Iron&amp;Steel: Quick Lime</v>
      </c>
      <c r="D9" s="514" t="str">
        <f>IND_Commodities!C53</f>
        <v>MISQLI</v>
      </c>
      <c r="E9" s="521">
        <v>78.809450720000001</v>
      </c>
    </row>
    <row r="10" spans="2:5" ht="15">
      <c r="B10" s="514" t="str">
        <f>IND_Processes!C194</f>
        <v>MINMALBAU1</v>
      </c>
      <c r="C10" s="514" t="str">
        <f>IND_Processes!D194</f>
        <v>Source Aluminium: Bauxite</v>
      </c>
      <c r="D10" s="514" t="str">
        <f>IND_Commodities!C56</f>
        <v>MALBAU</v>
      </c>
      <c r="E10" s="521">
        <v>134.08865115359998</v>
      </c>
    </row>
    <row r="11" spans="2:5" ht="15">
      <c r="B11" s="514" t="str">
        <f>IND_Processes!C195</f>
        <v>MINMALSCR1</v>
      </c>
      <c r="C11" s="514" t="str">
        <f>IND_Processes!D195</f>
        <v>Source Aluminium: Scrap</v>
      </c>
      <c r="D11" s="514" t="str">
        <f>IND_Commodities!C57</f>
        <v>MALSCR</v>
      </c>
      <c r="E11" s="521">
        <v>1311.0515051919999</v>
      </c>
    </row>
    <row r="12" spans="2:5" ht="15">
      <c r="B12" s="514" t="str">
        <f>IND_Processes!C196</f>
        <v>MINMCUORE1</v>
      </c>
      <c r="C12" s="514" t="str">
        <f>IND_Processes!D196</f>
        <v>Source Copper: Ore</v>
      </c>
      <c r="D12" s="514" t="str">
        <f>IND_Commodities!C59</f>
        <v>MCUORE</v>
      </c>
      <c r="E12" s="521">
        <v>836.50602692799998</v>
      </c>
    </row>
    <row r="13" spans="2:5" ht="15">
      <c r="B13" s="514" t="str">
        <f>IND_Processes!C197</f>
        <v>MINMCUSCR1</v>
      </c>
      <c r="C13" s="514" t="str">
        <f>IND_Processes!D197</f>
        <v>Source Copper: Scrap</v>
      </c>
      <c r="D13" s="514" t="str">
        <f>IND_Commodities!C60</f>
        <v>MCUSCR</v>
      </c>
      <c r="E13" s="521">
        <v>1107.7231223343999</v>
      </c>
    </row>
    <row r="14" spans="2:5" ht="15">
      <c r="B14" s="514" t="str">
        <f>IND_Processes!C198</f>
        <v>MINMLMSTN1</v>
      </c>
      <c r="C14" s="514" t="str">
        <f>IND_Processes!D198</f>
        <v>Source Lime: Limestone</v>
      </c>
      <c r="D14" s="514" t="str">
        <f>IND_Commodities!C63</f>
        <v>MLMSTN</v>
      </c>
      <c r="E14" s="521">
        <v>56.292464799999998</v>
      </c>
    </row>
    <row r="15" spans="2:5" ht="15">
      <c r="B15" s="514" t="str">
        <f>IND_Processes!C199</f>
        <v>MINMGHRYC1</v>
      </c>
      <c r="C15" s="514" t="str">
        <f>IND_Processes!D199</f>
        <v>Source Glass: Recycled</v>
      </c>
      <c r="D15" s="514" t="str">
        <f>IND_Commodities!C64</f>
        <v>MGHRYC</v>
      </c>
      <c r="E15" s="521">
        <v>11.25849296</v>
      </c>
    </row>
    <row r="16" spans="2:5" ht="15">
      <c r="B16" s="514" t="str">
        <f>IND_Processes!C200</f>
        <v>MINMPPWOO1</v>
      </c>
      <c r="C16" s="514" t="str">
        <f>IND_Processes!D200</f>
        <v>Source Paper: Wood</v>
      </c>
      <c r="D16" s="514" t="str">
        <f>IND_Commodities!C65</f>
        <v>MPPWOO</v>
      </c>
      <c r="E16" s="521">
        <v>81</v>
      </c>
    </row>
    <row r="17" spans="2:5" ht="15">
      <c r="B17" s="514" t="str">
        <f>IND_Processes!C201</f>
        <v>MINMPPRYC1</v>
      </c>
      <c r="C17" s="514" t="str">
        <f>IND_Processes!D201</f>
        <v>Source Paper: Recycled</v>
      </c>
      <c r="D17" s="514" t="str">
        <f>IND_Commodities!C66</f>
        <v>MPPRYC</v>
      </c>
      <c r="E17" s="521">
        <v>168.87739439999999</v>
      </c>
    </row>
    <row r="18" spans="2:5" ht="15">
      <c r="B18" s="514" t="str">
        <f>IND_Processes!C202</f>
        <v>MINMPPNOH1</v>
      </c>
      <c r="C18" s="514" t="str">
        <f>IND_Processes!D202</f>
        <v>Source Paper: Sodium Hydraxide</v>
      </c>
      <c r="D18" s="514" t="str">
        <f>IND_Commodities!C67</f>
        <v>MPPNOH</v>
      </c>
      <c r="E18" s="520">
        <v>1E-4</v>
      </c>
    </row>
    <row r="19" spans="2:5" ht="15">
      <c r="B19" s="514" t="str">
        <f>IND_Processes!C203</f>
        <v>MINMPPOXY1</v>
      </c>
      <c r="C19" s="514" t="str">
        <f>IND_Processes!D203</f>
        <v>Source Paper: Oxygen</v>
      </c>
      <c r="D19" s="514" t="str">
        <f>IND_Commodities!C68</f>
        <v>MPPOXY</v>
      </c>
      <c r="E19" s="521">
        <v>11.25849296</v>
      </c>
    </row>
    <row r="20" spans="2:5" ht="15">
      <c r="B20" s="514" t="str">
        <f>IND_Processes!C204</f>
        <v>MINMPPKAO1</v>
      </c>
      <c r="C20" s="514" t="str">
        <f>IND_Processes!D204</f>
        <v>Source Paper: Kaolin</v>
      </c>
      <c r="D20" s="514" t="str">
        <f>IND_Commodities!C71</f>
        <v>MPPKAO</v>
      </c>
      <c r="E20" s="521">
        <v>168.87739439999999</v>
      </c>
    </row>
    <row r="21" spans="2:5" ht="15">
      <c r="B21" s="514" t="str">
        <f>IND_Processes!C205</f>
        <v>MINMPPGYP1</v>
      </c>
      <c r="C21" s="514" t="str">
        <f>IND_Processes!D205</f>
        <v>Source Paper: Gypsum</v>
      </c>
      <c r="D21" s="514" t="str">
        <f>IND_Commodities!C72</f>
        <v>MPPGYP</v>
      </c>
      <c r="E21" s="521">
        <v>22.51698592</v>
      </c>
    </row>
    <row r="22" spans="2:5" ht="15">
      <c r="B22" s="522"/>
      <c r="C22" s="522"/>
      <c r="D22" s="519"/>
      <c r="E22" s="520"/>
    </row>
    <row r="23" spans="2:5">
      <c r="B23" s="523"/>
      <c r="C23" s="523"/>
      <c r="D23" s="523"/>
      <c r="E23" s="5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B1:AA21"/>
  <sheetViews>
    <sheetView zoomScale="75" zoomScaleNormal="75" workbookViewId="0">
      <selection activeCell="J34" sqref="J34"/>
    </sheetView>
  </sheetViews>
  <sheetFormatPr defaultColWidth="9.140625" defaultRowHeight="12.75"/>
  <cols>
    <col min="1" max="1" width="9.140625" style="25"/>
    <col min="2" max="2" width="16.5703125" style="25" customWidth="1"/>
    <col min="3" max="3" width="18.85546875" style="25" bestFit="1" customWidth="1"/>
    <col min="4" max="16384" width="9.140625" style="25"/>
  </cols>
  <sheetData>
    <row r="1" spans="2:27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2:27" ht="18.75">
      <c r="B2" s="27" t="s">
        <v>1186</v>
      </c>
      <c r="C2" s="28"/>
      <c r="D2" s="28"/>
      <c r="E2" s="28"/>
      <c r="F2" s="28"/>
      <c r="G2" s="28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2:27">
      <c r="B3" s="29"/>
      <c r="C3" s="30" t="s">
        <v>1187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2:27" ht="13.5" thickBot="1">
      <c r="B4" s="31" t="s">
        <v>318</v>
      </c>
      <c r="C4" s="31" t="s">
        <v>319</v>
      </c>
      <c r="D4" s="32" t="str">
        <f>IND_Bal!C$32</f>
        <v>COABIT</v>
      </c>
      <c r="E4" s="32" t="str">
        <f>IND_Bal!D$32</f>
        <v>COACOK</v>
      </c>
      <c r="F4" s="32" t="str">
        <f>IND_Bal!E$32</f>
        <v>PEAT</v>
      </c>
      <c r="G4" s="32" t="str">
        <f>IND_Bal!F$32</f>
        <v>COAHAR</v>
      </c>
      <c r="H4" s="32" t="str">
        <f>IND_Bal!G$32</f>
        <v>OILRFG</v>
      </c>
      <c r="I4" s="32" t="str">
        <f>IND_Bal!H$32</f>
        <v>OILLPG</v>
      </c>
      <c r="J4" s="32" t="str">
        <f>IND_Bal!I$32</f>
        <v>OILGSL</v>
      </c>
      <c r="K4" s="32" t="str">
        <f>IND_Bal!J$32</f>
        <v>OILKER</v>
      </c>
      <c r="L4" s="32" t="str">
        <f>IND_Bal!K$32</f>
        <v>OILNAP</v>
      </c>
      <c r="M4" s="32" t="str">
        <f>IND_Bal!L$32</f>
        <v>OILDST</v>
      </c>
      <c r="N4" s="32" t="str">
        <f>IND_Bal!M$32</f>
        <v>OILHFO</v>
      </c>
      <c r="O4" s="32" t="str">
        <f>IND_Bal!N$32</f>
        <v>OILNEU</v>
      </c>
      <c r="P4" s="32" t="str">
        <f>IND_Bal!O$32</f>
        <v>OILCOK</v>
      </c>
      <c r="Q4" s="32" t="str">
        <f>IND_Bal!P$32</f>
        <v>GASNAT</v>
      </c>
      <c r="R4" s="32" t="str">
        <f>IND_Bal!Q$32</f>
        <v>GASCOG</v>
      </c>
      <c r="S4" s="32" t="str">
        <f>IND_Bal!R$32</f>
        <v>GASBFG</v>
      </c>
      <c r="T4" s="32" t="str">
        <f>IND_Bal!S$32</f>
        <v>GASGWG</v>
      </c>
      <c r="U4" s="32" t="str">
        <f>IND_Bal!U$32</f>
        <v>BIOWOO, BIOWCH, BIOWPE</v>
      </c>
      <c r="V4" s="32" t="str">
        <f>IND_Bal!V$32</f>
        <v>BIOGAS1G, BIOGAS2G</v>
      </c>
      <c r="W4" s="32">
        <f>IND_Bal!Z$32</f>
        <v>0</v>
      </c>
      <c r="X4" s="26"/>
      <c r="Y4" s="26"/>
      <c r="Z4" s="26"/>
      <c r="AA4" s="26"/>
    </row>
    <row r="5" spans="2:27">
      <c r="B5" s="33" t="s">
        <v>1188</v>
      </c>
      <c r="C5" s="33" t="str">
        <f t="shared" ref="C5:C10" si="0">"SE_" &amp; CONCATENATE(B15)</f>
        <v>SE_INDCO2N</v>
      </c>
      <c r="D5" s="34">
        <v>98.3</v>
      </c>
      <c r="E5" s="34">
        <v>94.6</v>
      </c>
      <c r="F5" s="34">
        <v>101.2</v>
      </c>
      <c r="G5" s="34">
        <v>101.2</v>
      </c>
      <c r="H5" s="34">
        <v>56.1</v>
      </c>
      <c r="I5" s="34">
        <v>63.1</v>
      </c>
      <c r="J5" s="34">
        <v>69.3</v>
      </c>
      <c r="K5" s="34">
        <v>71.900000000000006</v>
      </c>
      <c r="L5" s="34">
        <v>73.3</v>
      </c>
      <c r="M5" s="34">
        <v>74.099999999999994</v>
      </c>
      <c r="N5" s="34">
        <v>77.400000000000006</v>
      </c>
      <c r="O5" s="34">
        <v>0</v>
      </c>
      <c r="P5" s="34">
        <v>73.3</v>
      </c>
      <c r="Q5" s="34">
        <v>56.1</v>
      </c>
      <c r="R5" s="34">
        <v>108.2</v>
      </c>
      <c r="S5" s="34">
        <v>108.2</v>
      </c>
      <c r="T5" s="34">
        <v>56.1</v>
      </c>
      <c r="U5" s="34">
        <v>0</v>
      </c>
      <c r="V5" s="34">
        <v>0</v>
      </c>
      <c r="W5" s="34">
        <v>85.85</v>
      </c>
      <c r="X5" s="26"/>
      <c r="Y5" s="26"/>
      <c r="Z5" s="26"/>
      <c r="AA5" s="26"/>
    </row>
    <row r="6" spans="2:27">
      <c r="B6" s="33" t="s">
        <v>1188</v>
      </c>
      <c r="C6" s="33" t="str">
        <f t="shared" si="0"/>
        <v>SE_INDCH4N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26"/>
      <c r="Y6" s="26"/>
      <c r="Z6" s="26"/>
      <c r="AA6" s="26"/>
    </row>
    <row r="7" spans="2:27">
      <c r="B7" s="33" t="s">
        <v>1188</v>
      </c>
      <c r="C7" s="33" t="str">
        <f t="shared" si="0"/>
        <v>SE_INDSO2N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26"/>
      <c r="Y7" s="26"/>
      <c r="Z7" s="26"/>
      <c r="AA7" s="26"/>
    </row>
    <row r="8" spans="2:27">
      <c r="B8" s="33" t="s">
        <v>1188</v>
      </c>
      <c r="C8" s="33" t="str">
        <f t="shared" si="0"/>
        <v>SE_INDNOXN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26"/>
      <c r="Y8" s="26"/>
      <c r="Z8" s="26"/>
      <c r="AA8" s="26"/>
    </row>
    <row r="9" spans="2:27">
      <c r="B9" s="33" t="s">
        <v>1188</v>
      </c>
      <c r="C9" s="33" t="str">
        <f t="shared" si="0"/>
        <v>SE_INDPM10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26"/>
      <c r="Y9" s="26"/>
      <c r="Z9" s="26"/>
      <c r="AA9" s="26"/>
    </row>
    <row r="10" spans="2:27">
      <c r="B10" s="33" t="s">
        <v>1188</v>
      </c>
      <c r="C10" s="33" t="str">
        <f t="shared" si="0"/>
        <v>SE_INDPM25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26"/>
      <c r="Y10" s="26"/>
      <c r="Z10" s="26"/>
      <c r="AA10" s="26"/>
    </row>
    <row r="11" spans="2:27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2:27" ht="18.75">
      <c r="B12" s="27" t="s">
        <v>1189</v>
      </c>
      <c r="C12" s="28"/>
      <c r="D12" s="28"/>
      <c r="E12" s="28"/>
      <c r="F12" s="28"/>
      <c r="G12" s="28"/>
      <c r="H12" s="28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2:27" ht="18.75">
      <c r="B13" s="35" t="s">
        <v>1190</v>
      </c>
      <c r="C13" s="3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2:27" ht="13.5" thickBot="1">
      <c r="B14" s="31" t="s">
        <v>319</v>
      </c>
      <c r="C14" s="32" t="str">
        <f>IND_Bal!C$44</f>
        <v>INDCOA</v>
      </c>
      <c r="D14" s="32" t="str">
        <f>IND_Bal!D$44</f>
        <v>INDPEA</v>
      </c>
      <c r="E14" s="32" t="str">
        <f>IND_Bal!E$44</f>
        <v>INDCOH</v>
      </c>
      <c r="F14" s="32" t="str">
        <f>IND_Bal!F$44</f>
        <v>INDCOK</v>
      </c>
      <c r="G14" s="32" t="str">
        <f>IND_Bal!G$44</f>
        <v>INDRFG</v>
      </c>
      <c r="H14" s="32" t="str">
        <f>IND_Bal!H$44</f>
        <v>INDLPG</v>
      </c>
      <c r="I14" s="32" t="str">
        <f>IND_Bal!I$44</f>
        <v>INDLFO</v>
      </c>
      <c r="J14" s="32" t="str">
        <f>IND_Bal!J$44</f>
        <v>INDNAP</v>
      </c>
      <c r="K14" s="32" t="str">
        <f>IND_Bal!K$44</f>
        <v>INDHFO</v>
      </c>
      <c r="L14" s="32" t="str">
        <f>IND_Bal!L$44</f>
        <v>INDNEU</v>
      </c>
      <c r="M14" s="32" t="str">
        <f>IND_Bal!M$44</f>
        <v>INDGAS</v>
      </c>
      <c r="N14" s="32" t="str">
        <f>IND_Bal!N$44</f>
        <v>INDCOG</v>
      </c>
      <c r="O14" s="32" t="str">
        <f>IND_Bal!O$44</f>
        <v>INDBFG</v>
      </c>
      <c r="P14" s="32" t="str">
        <f>IND_Bal!R$44</f>
        <v>INDBIO</v>
      </c>
      <c r="Q14" s="32" t="str">
        <f>IND_Bal!S$44</f>
        <v>INDWASS</v>
      </c>
      <c r="R14" s="32" t="str">
        <f>IND_Bal!T$44</f>
        <v>INDWASL</v>
      </c>
      <c r="S14" s="26"/>
      <c r="T14" s="26"/>
      <c r="U14" s="26"/>
      <c r="V14" s="26"/>
      <c r="W14" s="26"/>
      <c r="X14" s="26"/>
      <c r="Y14" s="26"/>
      <c r="Z14" s="26"/>
      <c r="AA14" s="26"/>
    </row>
    <row r="15" spans="2:27">
      <c r="B15" s="33" t="str">
        <f>IND_Commodities!C73</f>
        <v>INDCO2N</v>
      </c>
      <c r="C15" s="37">
        <f t="shared" ref="C15:H20" si="1">D5</f>
        <v>98.3</v>
      </c>
      <c r="D15" s="37">
        <f t="shared" si="1"/>
        <v>94.6</v>
      </c>
      <c r="E15" s="37">
        <f t="shared" si="1"/>
        <v>101.2</v>
      </c>
      <c r="F15" s="37">
        <f t="shared" si="1"/>
        <v>101.2</v>
      </c>
      <c r="G15" s="37">
        <f t="shared" si="1"/>
        <v>56.1</v>
      </c>
      <c r="H15" s="37">
        <f t="shared" si="1"/>
        <v>63.1</v>
      </c>
      <c r="I15" s="37">
        <f>(IND_Fuel!$G$18*EMI!J5)+(IND_Fuel!$G$19*EMI!K5)+(IND_Fuel!$G$20*EMI!M5)</f>
        <v>73.145463119064672</v>
      </c>
      <c r="J15" s="38">
        <f t="shared" ref="J15:J20" si="2">L5</f>
        <v>73.3</v>
      </c>
      <c r="K15" s="38">
        <f t="shared" ref="K15:L20" si="3">N5</f>
        <v>77.400000000000006</v>
      </c>
      <c r="L15" s="38">
        <f t="shared" si="3"/>
        <v>0</v>
      </c>
      <c r="M15" s="39">
        <f>Q5</f>
        <v>56.1</v>
      </c>
      <c r="N15" s="38">
        <f>R5</f>
        <v>108.2</v>
      </c>
      <c r="O15" s="38">
        <f>S5</f>
        <v>108.2</v>
      </c>
      <c r="P15" s="38">
        <f>(IND_Fuel!$G$39*EMI!U5)+(IND_Fuel!$G$40*EMI!V5)</f>
        <v>0</v>
      </c>
      <c r="Q15" s="38">
        <v>0</v>
      </c>
      <c r="R15" s="38">
        <f t="shared" ref="R15:R20" si="4">W5</f>
        <v>85.85</v>
      </c>
      <c r="S15" s="26"/>
      <c r="T15" s="26"/>
      <c r="U15" s="26"/>
      <c r="V15" s="26"/>
      <c r="W15" s="26"/>
      <c r="X15" s="26"/>
      <c r="Y15" s="26"/>
      <c r="Z15" s="26"/>
      <c r="AA15" s="26"/>
    </row>
    <row r="16" spans="2:27">
      <c r="B16" s="33" t="str">
        <f>IND_Commodities!C74</f>
        <v>INDCH4N</v>
      </c>
      <c r="C16" s="37">
        <f t="shared" si="1"/>
        <v>0</v>
      </c>
      <c r="D16" s="37">
        <f t="shared" si="1"/>
        <v>0</v>
      </c>
      <c r="E16" s="37">
        <f t="shared" si="1"/>
        <v>0</v>
      </c>
      <c r="F16" s="37">
        <f t="shared" si="1"/>
        <v>0</v>
      </c>
      <c r="G16" s="37">
        <f t="shared" si="1"/>
        <v>0</v>
      </c>
      <c r="H16" s="37">
        <f t="shared" si="1"/>
        <v>0</v>
      </c>
      <c r="I16" s="37">
        <f>(IND_Fuel!$G$18*EMI!J6)+(IND_Fuel!$G$19*EMI!K6)+(IND_Fuel!$G$20*EMI!M6)</f>
        <v>0</v>
      </c>
      <c r="J16" s="38">
        <f t="shared" si="2"/>
        <v>0</v>
      </c>
      <c r="K16" s="38">
        <f t="shared" si="3"/>
        <v>0</v>
      </c>
      <c r="L16" s="38">
        <f t="shared" si="3"/>
        <v>0</v>
      </c>
      <c r="M16" s="39">
        <f t="shared" ref="M16:M20" si="5">Q6</f>
        <v>0</v>
      </c>
      <c r="N16" s="38">
        <f t="shared" ref="N16:O20" si="6">R6</f>
        <v>0</v>
      </c>
      <c r="O16" s="38">
        <f t="shared" si="6"/>
        <v>0</v>
      </c>
      <c r="P16" s="38">
        <f>(IND_Fuel!$G$39*EMI!U6)+(IND_Fuel!$G$40*EMI!V6)</f>
        <v>0</v>
      </c>
      <c r="Q16" s="38">
        <v>0</v>
      </c>
      <c r="R16" s="38">
        <f t="shared" si="4"/>
        <v>0</v>
      </c>
      <c r="S16" s="26"/>
      <c r="T16" s="26"/>
      <c r="U16" s="26"/>
      <c r="V16" s="26"/>
      <c r="W16" s="26"/>
      <c r="X16" s="26"/>
      <c r="Y16" s="26"/>
      <c r="Z16" s="26"/>
      <c r="AA16" s="26"/>
    </row>
    <row r="17" spans="2:27">
      <c r="B17" s="33" t="str">
        <f>IND_Commodities!C75</f>
        <v>INDSO2N</v>
      </c>
      <c r="C17" s="37">
        <f t="shared" si="1"/>
        <v>0</v>
      </c>
      <c r="D17" s="37">
        <f t="shared" si="1"/>
        <v>0</v>
      </c>
      <c r="E17" s="37">
        <f t="shared" si="1"/>
        <v>0</v>
      </c>
      <c r="F17" s="37">
        <f t="shared" si="1"/>
        <v>0</v>
      </c>
      <c r="G17" s="37">
        <f t="shared" si="1"/>
        <v>0</v>
      </c>
      <c r="H17" s="37">
        <f t="shared" si="1"/>
        <v>0</v>
      </c>
      <c r="I17" s="37">
        <f>(IND_Fuel!$G$18*EMI!J7)+(IND_Fuel!$G$19*EMI!K7)+(IND_Fuel!$G$20*EMI!M7)</f>
        <v>0</v>
      </c>
      <c r="J17" s="38">
        <f t="shared" si="2"/>
        <v>0</v>
      </c>
      <c r="K17" s="38">
        <f t="shared" si="3"/>
        <v>0</v>
      </c>
      <c r="L17" s="38">
        <f t="shared" si="3"/>
        <v>0</v>
      </c>
      <c r="M17" s="39">
        <f t="shared" si="5"/>
        <v>0</v>
      </c>
      <c r="N17" s="38">
        <f t="shared" si="6"/>
        <v>0</v>
      </c>
      <c r="O17" s="38">
        <f t="shared" si="6"/>
        <v>0</v>
      </c>
      <c r="P17" s="38">
        <f>(IND_Fuel!$G$39*EMI!U7)+(IND_Fuel!$G$40*EMI!V7)</f>
        <v>0</v>
      </c>
      <c r="Q17" s="38">
        <v>0</v>
      </c>
      <c r="R17" s="38">
        <f t="shared" si="4"/>
        <v>0</v>
      </c>
      <c r="S17" s="26"/>
      <c r="T17" s="26"/>
      <c r="U17" s="26"/>
      <c r="V17" s="26"/>
      <c r="W17" s="26"/>
      <c r="X17" s="26"/>
      <c r="Y17" s="26"/>
      <c r="Z17" s="26"/>
      <c r="AA17" s="26"/>
    </row>
    <row r="18" spans="2:27">
      <c r="B18" s="33" t="str">
        <f>IND_Commodities!C76</f>
        <v>INDNOXN</v>
      </c>
      <c r="C18" s="37">
        <f t="shared" si="1"/>
        <v>0</v>
      </c>
      <c r="D18" s="37">
        <f t="shared" si="1"/>
        <v>0</v>
      </c>
      <c r="E18" s="37">
        <f t="shared" si="1"/>
        <v>0</v>
      </c>
      <c r="F18" s="37">
        <f t="shared" si="1"/>
        <v>0</v>
      </c>
      <c r="G18" s="37">
        <f t="shared" si="1"/>
        <v>0</v>
      </c>
      <c r="H18" s="37">
        <f t="shared" si="1"/>
        <v>0</v>
      </c>
      <c r="I18" s="37">
        <f>(IND_Fuel!$G$18*EMI!J8)+(IND_Fuel!$G$19*EMI!K8)+(IND_Fuel!$G$20*EMI!M8)</f>
        <v>0</v>
      </c>
      <c r="J18" s="38">
        <f t="shared" si="2"/>
        <v>0</v>
      </c>
      <c r="K18" s="38">
        <f t="shared" si="3"/>
        <v>0</v>
      </c>
      <c r="L18" s="38">
        <f t="shared" si="3"/>
        <v>0</v>
      </c>
      <c r="M18" s="39">
        <f t="shared" si="5"/>
        <v>0</v>
      </c>
      <c r="N18" s="38">
        <f t="shared" si="6"/>
        <v>0</v>
      </c>
      <c r="O18" s="38">
        <f t="shared" si="6"/>
        <v>0</v>
      </c>
      <c r="P18" s="38">
        <f>(IND_Fuel!$G$39*EMI!U8)+(IND_Fuel!$G$40*EMI!V8)</f>
        <v>0</v>
      </c>
      <c r="Q18" s="38">
        <v>0</v>
      </c>
      <c r="R18" s="38">
        <f t="shared" si="4"/>
        <v>0</v>
      </c>
      <c r="S18" s="26"/>
      <c r="T18" s="26"/>
      <c r="U18" s="26"/>
      <c r="V18" s="26"/>
      <c r="W18" s="26"/>
      <c r="X18" s="26"/>
      <c r="Y18" s="26"/>
      <c r="Z18" s="26"/>
      <c r="AA18" s="26"/>
    </row>
    <row r="19" spans="2:27">
      <c r="B19" s="33" t="str">
        <f>IND_Commodities!C77</f>
        <v>INDPM10</v>
      </c>
      <c r="C19" s="37">
        <f t="shared" si="1"/>
        <v>0</v>
      </c>
      <c r="D19" s="37">
        <f t="shared" si="1"/>
        <v>0</v>
      </c>
      <c r="E19" s="37">
        <f t="shared" si="1"/>
        <v>0</v>
      </c>
      <c r="F19" s="37">
        <f t="shared" si="1"/>
        <v>0</v>
      </c>
      <c r="G19" s="37">
        <f t="shared" si="1"/>
        <v>0</v>
      </c>
      <c r="H19" s="37">
        <f t="shared" si="1"/>
        <v>0</v>
      </c>
      <c r="I19" s="37">
        <f>(IND_Fuel!$G$18*EMI!J9)+(IND_Fuel!$G$19*EMI!K9)+(IND_Fuel!$G$20*EMI!M9)</f>
        <v>0</v>
      </c>
      <c r="J19" s="38">
        <f t="shared" si="2"/>
        <v>0</v>
      </c>
      <c r="K19" s="38">
        <f t="shared" si="3"/>
        <v>0</v>
      </c>
      <c r="L19" s="38">
        <f t="shared" si="3"/>
        <v>0</v>
      </c>
      <c r="M19" s="39">
        <f t="shared" si="5"/>
        <v>0</v>
      </c>
      <c r="N19" s="38">
        <f t="shared" si="6"/>
        <v>0</v>
      </c>
      <c r="O19" s="38">
        <f t="shared" si="6"/>
        <v>0</v>
      </c>
      <c r="P19" s="38">
        <f>(IND_Fuel!$G$39*EMI!U9)+(IND_Fuel!$G$40*EMI!V9)</f>
        <v>0</v>
      </c>
      <c r="Q19" s="38">
        <v>0</v>
      </c>
      <c r="R19" s="38">
        <f t="shared" si="4"/>
        <v>0</v>
      </c>
      <c r="S19" s="26"/>
      <c r="T19" s="26"/>
      <c r="U19" s="26"/>
      <c r="V19" s="26"/>
      <c r="W19" s="26"/>
      <c r="X19" s="26"/>
      <c r="Y19" s="26"/>
      <c r="Z19" s="26"/>
      <c r="AA19" s="26"/>
    </row>
    <row r="20" spans="2:27">
      <c r="B20" s="33" t="str">
        <f>IND_Commodities!C78</f>
        <v>INDPM25</v>
      </c>
      <c r="C20" s="37">
        <f t="shared" si="1"/>
        <v>0</v>
      </c>
      <c r="D20" s="37">
        <f t="shared" si="1"/>
        <v>0</v>
      </c>
      <c r="E20" s="37">
        <f t="shared" si="1"/>
        <v>0</v>
      </c>
      <c r="F20" s="37">
        <f t="shared" si="1"/>
        <v>0</v>
      </c>
      <c r="G20" s="37">
        <f t="shared" si="1"/>
        <v>0</v>
      </c>
      <c r="H20" s="37">
        <f t="shared" si="1"/>
        <v>0</v>
      </c>
      <c r="I20" s="37">
        <f>(IND_Fuel!$G$18*EMI!J10)+(IND_Fuel!$G$19*EMI!K10)+(IND_Fuel!$G$20*EMI!M10)</f>
        <v>0</v>
      </c>
      <c r="J20" s="38">
        <f t="shared" si="2"/>
        <v>0</v>
      </c>
      <c r="K20" s="38">
        <f t="shared" si="3"/>
        <v>0</v>
      </c>
      <c r="L20" s="38">
        <f t="shared" si="3"/>
        <v>0</v>
      </c>
      <c r="M20" s="39">
        <f t="shared" si="5"/>
        <v>0</v>
      </c>
      <c r="N20" s="38">
        <f t="shared" si="6"/>
        <v>0</v>
      </c>
      <c r="O20" s="38">
        <f t="shared" si="6"/>
        <v>0</v>
      </c>
      <c r="P20" s="38">
        <f>(IND_Fuel!$G$39*EMI!U10)+(IND_Fuel!$G$40*EMI!V10)</f>
        <v>0</v>
      </c>
      <c r="Q20" s="38">
        <v>0</v>
      </c>
      <c r="R20" s="38">
        <f t="shared" si="4"/>
        <v>0</v>
      </c>
      <c r="S20" s="26"/>
      <c r="T20" s="26"/>
      <c r="U20" s="26"/>
      <c r="V20" s="26"/>
      <c r="W20" s="26"/>
      <c r="X20" s="26"/>
      <c r="Y20" s="26"/>
      <c r="Z20" s="26"/>
      <c r="AA20" s="26"/>
    </row>
    <row r="21" spans="2:27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P174"/>
  <sheetViews>
    <sheetView topLeftCell="A52" zoomScale="70" zoomScaleNormal="70" workbookViewId="0">
      <selection activeCell="F96" sqref="F96"/>
    </sheetView>
  </sheetViews>
  <sheetFormatPr defaultColWidth="9.140625" defaultRowHeight="12.75"/>
  <cols>
    <col min="1" max="1" width="63.7109375" style="259" bestFit="1" customWidth="1"/>
    <col min="2" max="2" width="14.7109375" style="259" customWidth="1"/>
    <col min="3" max="16384" width="9.140625" style="259"/>
  </cols>
  <sheetData>
    <row r="1" spans="1:42">
      <c r="A1" s="255" t="s">
        <v>113</v>
      </c>
      <c r="B1" s="256" t="s">
        <v>114</v>
      </c>
      <c r="C1" s="257"/>
      <c r="D1" s="257"/>
      <c r="E1" s="257"/>
      <c r="F1" s="258"/>
      <c r="G1" s="258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</row>
    <row r="2" spans="1:42">
      <c r="A2" s="260" t="s">
        <v>115</v>
      </c>
      <c r="B2" s="256" t="s">
        <v>116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</row>
    <row r="3" spans="1:42">
      <c r="A3" s="255" t="s">
        <v>117</v>
      </c>
      <c r="B3" s="261">
        <v>2005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</row>
    <row r="4" spans="1:42" ht="13.5" thickBot="1">
      <c r="A4" s="236" t="s">
        <v>118</v>
      </c>
      <c r="B4" s="237">
        <v>4.1868000000000002E-2</v>
      </c>
      <c r="C4" s="262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B4" s="257"/>
      <c r="AC4" s="257"/>
      <c r="AD4" s="257"/>
      <c r="AE4" s="257"/>
      <c r="AF4" s="257"/>
      <c r="AG4" s="257"/>
    </row>
    <row r="5" spans="1:42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</row>
    <row r="6" spans="1:42">
      <c r="A6" s="257"/>
      <c r="B6" s="257"/>
      <c r="C6" s="257" t="s">
        <v>119</v>
      </c>
      <c r="D6" s="257" t="s">
        <v>120</v>
      </c>
      <c r="E6" s="257" t="s">
        <v>121</v>
      </c>
      <c r="F6" s="257" t="s">
        <v>122</v>
      </c>
      <c r="G6" s="257" t="s">
        <v>123</v>
      </c>
      <c r="H6" s="257" t="s">
        <v>124</v>
      </c>
      <c r="I6" s="257" t="s">
        <v>125</v>
      </c>
      <c r="J6" s="257" t="s">
        <v>126</v>
      </c>
      <c r="K6" s="257" t="s">
        <v>127</v>
      </c>
      <c r="L6" s="257" t="s">
        <v>128</v>
      </c>
      <c r="M6" s="257" t="s">
        <v>129</v>
      </c>
      <c r="N6" s="257" t="s">
        <v>130</v>
      </c>
      <c r="O6" s="257" t="s">
        <v>131</v>
      </c>
      <c r="P6" s="257" t="s">
        <v>132</v>
      </c>
      <c r="Q6" s="257" t="s">
        <v>133</v>
      </c>
      <c r="R6" s="257" t="s">
        <v>134</v>
      </c>
      <c r="S6" s="257" t="s">
        <v>135</v>
      </c>
      <c r="T6" s="257" t="s">
        <v>136</v>
      </c>
      <c r="U6" s="257" t="s">
        <v>137</v>
      </c>
      <c r="V6" s="257" t="s">
        <v>138</v>
      </c>
      <c r="W6" s="257" t="s">
        <v>139</v>
      </c>
      <c r="X6" s="257" t="s">
        <v>140</v>
      </c>
      <c r="Y6" s="257" t="s">
        <v>141</v>
      </c>
      <c r="Z6" s="257" t="s">
        <v>142</v>
      </c>
      <c r="AA6" s="257" t="s">
        <v>143</v>
      </c>
      <c r="AB6" s="257" t="s">
        <v>144</v>
      </c>
      <c r="AC6" s="257"/>
      <c r="AD6" s="257"/>
      <c r="AE6" s="257"/>
      <c r="AF6" s="257"/>
    </row>
    <row r="7" spans="1:42" ht="18.75">
      <c r="A7" s="263" t="s">
        <v>145</v>
      </c>
      <c r="B7" s="264"/>
      <c r="C7" s="264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</row>
    <row r="8" spans="1:42">
      <c r="A8" s="265"/>
      <c r="B8" s="266"/>
      <c r="C8" s="265" t="s">
        <v>146</v>
      </c>
      <c r="D8" s="267"/>
      <c r="E8" s="267"/>
      <c r="F8" s="268"/>
      <c r="G8" s="265" t="s">
        <v>147</v>
      </c>
      <c r="H8" s="269"/>
      <c r="I8" s="269"/>
      <c r="J8" s="269"/>
      <c r="K8" s="269"/>
      <c r="L8" s="269"/>
      <c r="M8" s="269"/>
      <c r="N8" s="269"/>
      <c r="O8" s="268"/>
      <c r="P8" s="265" t="s">
        <v>148</v>
      </c>
      <c r="Q8" s="267"/>
      <c r="R8" s="267"/>
      <c r="S8" s="268"/>
      <c r="T8" s="265" t="s">
        <v>149</v>
      </c>
      <c r="U8" s="269"/>
      <c r="V8" s="269"/>
      <c r="W8" s="269"/>
      <c r="X8" s="269"/>
      <c r="Y8" s="266"/>
      <c r="Z8" s="270" t="s">
        <v>150</v>
      </c>
      <c r="AA8" s="270" t="s">
        <v>57</v>
      </c>
      <c r="AB8" s="270" t="s">
        <v>58</v>
      </c>
      <c r="AE8" s="257"/>
      <c r="AF8" s="257"/>
    </row>
    <row r="9" spans="1:42" ht="76.5">
      <c r="A9" s="271" t="s">
        <v>151</v>
      </c>
      <c r="B9" s="272"/>
      <c r="C9" s="45" t="s">
        <v>152</v>
      </c>
      <c r="D9" s="45" t="s">
        <v>153</v>
      </c>
      <c r="E9" s="45" t="s">
        <v>154</v>
      </c>
      <c r="F9" s="45" t="s">
        <v>3</v>
      </c>
      <c r="G9" s="273" t="s">
        <v>12</v>
      </c>
      <c r="H9" s="45" t="s">
        <v>17</v>
      </c>
      <c r="I9" s="45" t="s">
        <v>13</v>
      </c>
      <c r="J9" s="45" t="s">
        <v>155</v>
      </c>
      <c r="K9" s="45" t="s">
        <v>20</v>
      </c>
      <c r="L9" s="45" t="s">
        <v>18</v>
      </c>
      <c r="M9" s="45" t="s">
        <v>16</v>
      </c>
      <c r="N9" s="45" t="s">
        <v>156</v>
      </c>
      <c r="O9" s="274" t="s">
        <v>157</v>
      </c>
      <c r="P9" s="273" t="s">
        <v>148</v>
      </c>
      <c r="Q9" s="45" t="s">
        <v>158</v>
      </c>
      <c r="R9" s="45" t="s">
        <v>159</v>
      </c>
      <c r="S9" s="275" t="s">
        <v>160</v>
      </c>
      <c r="T9" s="273" t="s">
        <v>32</v>
      </c>
      <c r="U9" s="45" t="s">
        <v>28</v>
      </c>
      <c r="V9" s="45" t="s">
        <v>30</v>
      </c>
      <c r="W9" s="45" t="s">
        <v>29</v>
      </c>
      <c r="X9" s="45" t="s">
        <v>33</v>
      </c>
      <c r="Y9" s="275" t="s">
        <v>31</v>
      </c>
      <c r="Z9" s="276" t="s">
        <v>34</v>
      </c>
      <c r="AA9" s="276" t="s">
        <v>35</v>
      </c>
      <c r="AB9" s="276" t="s">
        <v>36</v>
      </c>
      <c r="AC9" s="277" t="s">
        <v>161</v>
      </c>
      <c r="AD9" s="278"/>
      <c r="AE9" s="257"/>
      <c r="AF9" s="257"/>
    </row>
    <row r="10" spans="1:42" ht="26.25" thickBot="1">
      <c r="A10" s="279" t="s">
        <v>162</v>
      </c>
      <c r="B10" s="279" t="s">
        <v>163</v>
      </c>
      <c r="C10" s="280">
        <v>2110</v>
      </c>
      <c r="D10" s="48">
        <v>2121</v>
      </c>
      <c r="E10" s="48">
        <v>2210</v>
      </c>
      <c r="F10" s="281">
        <v>2230</v>
      </c>
      <c r="G10" s="280">
        <v>3210</v>
      </c>
      <c r="H10" s="48">
        <v>3220</v>
      </c>
      <c r="I10" s="48">
        <v>3230</v>
      </c>
      <c r="J10" s="48">
        <v>3240</v>
      </c>
      <c r="K10" s="48">
        <v>3250</v>
      </c>
      <c r="L10" s="48">
        <v>3260</v>
      </c>
      <c r="M10" s="282">
        <v>3270</v>
      </c>
      <c r="N10" s="48" t="s">
        <v>164</v>
      </c>
      <c r="O10" s="283" t="s">
        <v>165</v>
      </c>
      <c r="P10" s="280">
        <v>4100</v>
      </c>
      <c r="Q10" s="48">
        <v>4210</v>
      </c>
      <c r="R10" s="48">
        <v>4220</v>
      </c>
      <c r="S10" s="281">
        <v>4230</v>
      </c>
      <c r="T10" s="280">
        <v>5530</v>
      </c>
      <c r="U10" s="48">
        <v>5541</v>
      </c>
      <c r="V10" s="48">
        <v>5542</v>
      </c>
      <c r="W10" s="48">
        <v>5543</v>
      </c>
      <c r="X10" s="48">
        <v>5550</v>
      </c>
      <c r="Y10" s="281">
        <v>5545</v>
      </c>
      <c r="Z10" s="284">
        <v>7100</v>
      </c>
      <c r="AA10" s="284">
        <v>6000</v>
      </c>
      <c r="AB10" s="284">
        <v>5200</v>
      </c>
      <c r="AC10" s="285" t="s">
        <v>166</v>
      </c>
      <c r="AD10" s="286" t="s">
        <v>167</v>
      </c>
      <c r="AE10" s="257"/>
      <c r="AF10" s="257"/>
      <c r="AG10" s="259" t="s">
        <v>168</v>
      </c>
      <c r="AH10" s="257"/>
      <c r="AL10" s="259" t="s">
        <v>169</v>
      </c>
      <c r="AP10" s="257" t="s">
        <v>170</v>
      </c>
    </row>
    <row r="11" spans="1:42">
      <c r="A11" s="287" t="s">
        <v>171</v>
      </c>
      <c r="B11" s="288" t="s">
        <v>116</v>
      </c>
      <c r="C11" s="289">
        <f>'EB2018'!D31*IND_Bal!$B$4</f>
        <v>4.4139150300923999</v>
      </c>
      <c r="D11" s="289">
        <f>'EB2018'!F31*IND_Bal!$B$4</f>
        <v>0</v>
      </c>
      <c r="E11" s="289">
        <f>'EB2018'!H31*IND_Bal!$B$4</f>
        <v>3.4736360778010081E-2</v>
      </c>
      <c r="F11" s="290">
        <f>'EB2018'!E31*IND_Bal!$B$4</f>
        <v>0</v>
      </c>
      <c r="G11" s="291">
        <f>'EB2018'!N31*IND_Bal!$B$4</f>
        <v>0</v>
      </c>
      <c r="H11" s="289">
        <f>'EB2018'!S31*IND_Bal!$B$4</f>
        <v>5.2933742244965236</v>
      </c>
      <c r="I11" s="289">
        <f>'EB2018'!O31*IND_Bal!$B$4</f>
        <v>0</v>
      </c>
      <c r="J11" s="289">
        <f>('EB2018'!P31+'EB2018'!Q31)*IND_Bal!$B$4</f>
        <v>3.963367048163823</v>
      </c>
      <c r="K11" s="289">
        <f>'EB2018'!V31*IND_Bal!$B$4</f>
        <v>0</v>
      </c>
      <c r="L11" s="289">
        <f>'EB2018'!T31*IND_Bal!$B$4</f>
        <v>5.193726319355358</v>
      </c>
      <c r="M11" s="289">
        <f>'EB2018'!R31*IND_Bal!$B$4</f>
        <v>1.2276213716331268</v>
      </c>
      <c r="N11" s="289">
        <f>SUM('EB2018'!W31:Y31)*IND_Bal!$B$4</f>
        <v>0</v>
      </c>
      <c r="O11" s="290">
        <f>'EB2018'!U31*IND_Bal!$B$4</f>
        <v>5.9079264565856997</v>
      </c>
      <c r="P11" s="291">
        <f>'EB2018'!Z31*IND_Bal!$B$4</f>
        <v>33.064174159340602</v>
      </c>
      <c r="Q11" s="289"/>
      <c r="R11" s="289"/>
      <c r="S11" s="290"/>
      <c r="T11" s="291">
        <f>'EB2018'!AH31*IND_Bal!$B$4</f>
        <v>0</v>
      </c>
      <c r="U11" s="289">
        <f>'EB2018'!AD31*IND_Bal!$B$4</f>
        <v>8.2110645675467246</v>
      </c>
      <c r="V11" s="289">
        <f>'EB2018'!AF31*IND_Bal!$B$4</f>
        <v>9.3596154939042608E-2</v>
      </c>
      <c r="W11" s="289">
        <f>'EB2018'!AE31*IND_Bal!$B$4</f>
        <v>0</v>
      </c>
      <c r="X11" s="289">
        <f>'EB2018'!AI31*IND_Bal!$B$4</f>
        <v>0</v>
      </c>
      <c r="Y11" s="290">
        <f>'EB2018'!AG31*IND_Bal!$B$4</f>
        <v>0</v>
      </c>
      <c r="Z11" s="292">
        <f>'EB2018'!AJ31*IND_Bal!$B$4</f>
        <v>2.2911400353810554</v>
      </c>
      <c r="AA11" s="292">
        <f>'EB2018'!AK31*IND_Bal!$B$4</f>
        <v>39.200286507378102</v>
      </c>
      <c r="AB11" s="292">
        <f>'EB2018'!AL31*IND_Bal!$B$4</f>
        <v>0</v>
      </c>
      <c r="AC11" s="293">
        <f>SUM(C11:AB11)</f>
        <v>108.89492823569046</v>
      </c>
      <c r="AD11" s="294">
        <f>AC11/$B$4</f>
        <v>2600.9106772640312</v>
      </c>
      <c r="AE11" s="257"/>
      <c r="AF11" s="257">
        <v>1</v>
      </c>
      <c r="AG11" s="259" t="s">
        <v>171</v>
      </c>
      <c r="AH11" s="257"/>
      <c r="AK11" s="259">
        <v>1</v>
      </c>
      <c r="AL11" s="259" t="s">
        <v>116</v>
      </c>
      <c r="AO11" s="259">
        <v>1</v>
      </c>
      <c r="AP11" s="257" t="s">
        <v>65</v>
      </c>
    </row>
    <row r="12" spans="1:42">
      <c r="A12" s="287" t="s">
        <v>172</v>
      </c>
      <c r="B12" s="288"/>
      <c r="C12" s="295"/>
      <c r="D12" s="295"/>
      <c r="E12" s="295"/>
      <c r="F12" s="296"/>
      <c r="G12" s="297"/>
      <c r="H12" s="295"/>
      <c r="I12" s="295"/>
      <c r="J12" s="295"/>
      <c r="K12" s="295"/>
      <c r="L12" s="295"/>
      <c r="M12" s="295"/>
      <c r="N12" s="295"/>
      <c r="O12" s="296"/>
      <c r="P12" s="297"/>
      <c r="Q12" s="295"/>
      <c r="R12" s="295"/>
      <c r="S12" s="296"/>
      <c r="T12" s="297"/>
      <c r="U12" s="295"/>
      <c r="V12" s="295"/>
      <c r="W12" s="295"/>
      <c r="X12" s="295"/>
      <c r="Y12" s="296"/>
      <c r="Z12" s="298"/>
      <c r="AA12" s="298"/>
      <c r="AB12" s="298"/>
      <c r="AC12" s="293"/>
      <c r="AD12" s="294"/>
      <c r="AE12" s="257"/>
      <c r="AF12" s="257">
        <v>2</v>
      </c>
      <c r="AG12" s="259" t="s">
        <v>172</v>
      </c>
      <c r="AH12" s="257"/>
      <c r="AK12" s="259">
        <v>2</v>
      </c>
      <c r="AL12" s="259" t="s">
        <v>173</v>
      </c>
      <c r="AO12" s="259">
        <v>6</v>
      </c>
      <c r="AP12" s="257" t="s">
        <v>66</v>
      </c>
    </row>
    <row r="13" spans="1:42">
      <c r="A13" s="287" t="s">
        <v>174</v>
      </c>
      <c r="B13" s="288" t="s">
        <v>82</v>
      </c>
      <c r="C13" s="289">
        <f>'EB2018'!D40*IND_Bal!$B$4</f>
        <v>0</v>
      </c>
      <c r="D13" s="289">
        <f>'EB2018'!F40*IND_Bal!$B$4</f>
        <v>0</v>
      </c>
      <c r="E13" s="289">
        <f>'EB2018'!H40*IND_Bal!$B$4</f>
        <v>0</v>
      </c>
      <c r="F13" s="290">
        <f>'EB2018'!E40*IND_Bal!$B$4</f>
        <v>0</v>
      </c>
      <c r="G13" s="291">
        <f>'EB2018'!N40*IND_Bal!$B$4</f>
        <v>0</v>
      </c>
      <c r="H13" s="289">
        <f>'EB2018'!S40*IND_Bal!$B$4</f>
        <v>0.25189941559023471</v>
      </c>
      <c r="I13" s="289">
        <f>'EB2018'!O40*IND_Bal!$B$4</f>
        <v>0</v>
      </c>
      <c r="J13" s="289">
        <f>('EB2018'!P40+'EB2018'!Q40)*IND_Bal!$B$4</f>
        <v>0</v>
      </c>
      <c r="K13" s="289">
        <f>'EB2018'!V40*IND_Bal!$B$4</f>
        <v>0</v>
      </c>
      <c r="L13" s="289">
        <f>'EB2018'!T40*IND_Bal!$B$4</f>
        <v>0.10421439676213322</v>
      </c>
      <c r="M13" s="289">
        <f>'EB2018'!R40*IND_Bal!$B$4</f>
        <v>4.3537175224000003E-2</v>
      </c>
      <c r="N13" s="289">
        <f>SUM('EB2018'!W40:Y40)*IND_Bal!$B$4</f>
        <v>0</v>
      </c>
      <c r="O13" s="290">
        <f>'EB2018'!U40*IND_Bal!$B$4</f>
        <v>0</v>
      </c>
      <c r="P13" s="291">
        <f>'EB2018'!Z40*IND_Bal!$B$4</f>
        <v>17.680641010586502</v>
      </c>
      <c r="Q13" s="289"/>
      <c r="R13" s="289"/>
      <c r="S13" s="290"/>
      <c r="T13" s="291">
        <f>'EB2018'!AH40*IND_Bal!$B$4</f>
        <v>0</v>
      </c>
      <c r="U13" s="289">
        <f>'EB2018'!AD40*IND_Bal!$B$4</f>
        <v>0</v>
      </c>
      <c r="V13" s="289">
        <f>'EB2018'!AF40*IND_Bal!$B$4</f>
        <v>0</v>
      </c>
      <c r="W13" s="289">
        <f>'EB2018'!AE40*IND_Bal!$B$4</f>
        <v>0</v>
      </c>
      <c r="X13" s="289">
        <f>'EB2018'!AI40*IND_Bal!$B$4</f>
        <v>0</v>
      </c>
      <c r="Y13" s="290">
        <f>'EB2018'!AG40*IND_Bal!$B$4</f>
        <v>0</v>
      </c>
      <c r="Z13" s="292">
        <f>'EB2018'!AJ40*IND_Bal!$B$4</f>
        <v>0</v>
      </c>
      <c r="AA13" s="292">
        <f>'EB2018'!AK40*IND_Bal!$B$4</f>
        <v>2.9656597537313885</v>
      </c>
      <c r="AB13" s="292">
        <f>'EB2018'!AL40*IND_Bal!$B$4</f>
        <v>0</v>
      </c>
      <c r="AC13" s="293">
        <f t="shared" ref="AC13:AC19" si="0">SUM(C13:AB13)</f>
        <v>21.045951751894258</v>
      </c>
      <c r="AD13" s="294">
        <f>AC13/$B$4</f>
        <v>502.67392165602024</v>
      </c>
      <c r="AE13" s="257"/>
      <c r="AF13" s="257">
        <v>3</v>
      </c>
      <c r="AG13" s="259" t="s">
        <v>174</v>
      </c>
      <c r="AH13" s="257"/>
      <c r="AK13" s="259">
        <v>4</v>
      </c>
      <c r="AL13" s="259" t="s">
        <v>175</v>
      </c>
      <c r="AO13" s="259">
        <v>7</v>
      </c>
      <c r="AP13" s="257" t="s">
        <v>68</v>
      </c>
    </row>
    <row r="14" spans="1:42">
      <c r="A14" s="287" t="s">
        <v>176</v>
      </c>
      <c r="B14" s="288" t="s">
        <v>76</v>
      </c>
      <c r="C14" s="289">
        <f>'EB2018'!D37*IND_Bal!$B$4</f>
        <v>0</v>
      </c>
      <c r="D14" s="289">
        <f>'EB2018'!F37*IND_Bal!$B$4</f>
        <v>0</v>
      </c>
      <c r="E14" s="289">
        <f>'EB2018'!H37*IND_Bal!$B$4</f>
        <v>0</v>
      </c>
      <c r="F14" s="290">
        <f>'EB2018'!E37*IND_Bal!$B$4</f>
        <v>0</v>
      </c>
      <c r="G14" s="291">
        <f>'EB2018'!N37*IND_Bal!$B$4</f>
        <v>0</v>
      </c>
      <c r="H14" s="289">
        <f>'EB2018'!S37*IND_Bal!$B$4</f>
        <v>0.13684501123760154</v>
      </c>
      <c r="I14" s="289">
        <f>'EB2018'!O37*IND_Bal!$B$4</f>
        <v>0</v>
      </c>
      <c r="J14" s="289">
        <f>('EB2018'!P37+'EB2018'!Q37)*IND_Bal!$B$4</f>
        <v>0.55389711828049648</v>
      </c>
      <c r="K14" s="289">
        <f>'EB2018'!V37*IND_Bal!$B$4</f>
        <v>0</v>
      </c>
      <c r="L14" s="289">
        <f>'EB2018'!T37*IND_Bal!$B$4</f>
        <v>0.33010614325735177</v>
      </c>
      <c r="M14" s="289">
        <f>'EB2018'!R37*IND_Bal!$B$4</f>
        <v>0.16548071783973292</v>
      </c>
      <c r="N14" s="289">
        <f>SUM('EB2018'!W37:Y37)*IND_Bal!$B$4</f>
        <v>0</v>
      </c>
      <c r="O14" s="290">
        <f>'EB2018'!U37*IND_Bal!$B$4</f>
        <v>0</v>
      </c>
      <c r="P14" s="291">
        <f>'EB2018'!Z37*IND_Bal!$B$4</f>
        <v>2.8756112180019358</v>
      </c>
      <c r="Q14" s="289"/>
      <c r="R14" s="289"/>
      <c r="S14" s="290"/>
      <c r="T14" s="291">
        <f>'EB2018'!AH37*IND_Bal!$B$4</f>
        <v>0</v>
      </c>
      <c r="U14" s="289">
        <f>'EB2018'!AD37*IND_Bal!$B$4</f>
        <v>0</v>
      </c>
      <c r="V14" s="289">
        <f>'EB2018'!AF37*IND_Bal!$B$4</f>
        <v>0</v>
      </c>
      <c r="W14" s="289">
        <f>'EB2018'!AE37*IND_Bal!$B$4</f>
        <v>0</v>
      </c>
      <c r="X14" s="289">
        <f>'EB2018'!AI37*IND_Bal!$B$4</f>
        <v>0</v>
      </c>
      <c r="Y14" s="290">
        <f>'EB2018'!AG37*IND_Bal!$B$4</f>
        <v>0</v>
      </c>
      <c r="Z14" s="292">
        <f>'EB2018'!AJ37*IND_Bal!$B$4</f>
        <v>0</v>
      </c>
      <c r="AA14" s="292">
        <f>'EB2018'!AK37*IND_Bal!$B$4</f>
        <v>7.1523206245497821</v>
      </c>
      <c r="AB14" s="292">
        <f>'EB2018'!AL37*IND_Bal!$B$4</f>
        <v>0</v>
      </c>
      <c r="AC14" s="293">
        <f t="shared" si="0"/>
        <v>11.2142608331669</v>
      </c>
      <c r="AD14" s="294">
        <f t="shared" ref="AD14:AD27" si="1">AC14/$B$4</f>
        <v>267.84801837123575</v>
      </c>
      <c r="AE14" s="257"/>
      <c r="AF14" s="257">
        <v>4</v>
      </c>
      <c r="AG14" s="259" t="s">
        <v>176</v>
      </c>
      <c r="AH14" s="257"/>
      <c r="AK14" s="259">
        <v>3</v>
      </c>
      <c r="AL14" s="259" t="s">
        <v>177</v>
      </c>
      <c r="AO14" s="259">
        <v>8</v>
      </c>
      <c r="AP14" s="257" t="s">
        <v>70</v>
      </c>
    </row>
    <row r="15" spans="1:42">
      <c r="A15" s="287" t="s">
        <v>178</v>
      </c>
      <c r="B15" s="288" t="s">
        <v>80</v>
      </c>
      <c r="C15" s="289">
        <f>'EB2018'!D39*IND_Bal!$B$4</f>
        <v>3.6391268900700005</v>
      </c>
      <c r="D15" s="289">
        <f>'EB2018'!F39*IND_Bal!$B$4</f>
        <v>0</v>
      </c>
      <c r="E15" s="289">
        <f>'EB2018'!H39*IND_Bal!$B$4</f>
        <v>0</v>
      </c>
      <c r="F15" s="290">
        <f>'EB2018'!E39*IND_Bal!$B$4</f>
        <v>0</v>
      </c>
      <c r="G15" s="291">
        <f>'EB2018'!N39*IND_Bal!$B$4</f>
        <v>0</v>
      </c>
      <c r="H15" s="289">
        <f>'EB2018'!S39*IND_Bal!$B$4</f>
        <v>6.1594782128177331E-2</v>
      </c>
      <c r="I15" s="289">
        <f>'EB2018'!O39*IND_Bal!$B$4</f>
        <v>0</v>
      </c>
      <c r="J15" s="289">
        <f>('EB2018'!P39+'EB2018'!Q39)*IND_Bal!$B$4</f>
        <v>0.37501283998421497</v>
      </c>
      <c r="K15" s="289">
        <f>'EB2018'!V39*IND_Bal!$B$4</f>
        <v>0</v>
      </c>
      <c r="L15" s="289">
        <f>'EB2018'!T39*IND_Bal!$B$4</f>
        <v>1.6366354633851408</v>
      </c>
      <c r="M15" s="289">
        <f>'EB2018'!R39*IND_Bal!$B$4</f>
        <v>0.11203776281117711</v>
      </c>
      <c r="N15" s="289">
        <f>SUM('EB2018'!W39:Y39)*IND_Bal!$B$4</f>
        <v>0</v>
      </c>
      <c r="O15" s="290">
        <f>'EB2018'!U39*IND_Bal!$B$4</f>
        <v>5.9079264565856997</v>
      </c>
      <c r="P15" s="291">
        <f>'EB2018'!Z39*IND_Bal!$B$4</f>
        <v>0.7496971002864834</v>
      </c>
      <c r="Q15" s="289"/>
      <c r="R15" s="289"/>
      <c r="S15" s="290"/>
      <c r="T15" s="291">
        <f>'EB2018'!AH39*IND_Bal!$B$4</f>
        <v>0</v>
      </c>
      <c r="U15" s="289">
        <f>'EB2018'!AD39*IND_Bal!$B$4</f>
        <v>1.7969192236068419</v>
      </c>
      <c r="V15" s="289">
        <f>'EB2018'!AF39*IND_Bal!$B$4</f>
        <v>0</v>
      </c>
      <c r="W15" s="289">
        <f>'EB2018'!AE39*IND_Bal!$B$4</f>
        <v>0</v>
      </c>
      <c r="X15" s="289">
        <f>'EB2018'!AI39*IND_Bal!$B$4</f>
        <v>0</v>
      </c>
      <c r="Y15" s="290">
        <f>'EB2018'!AG39*IND_Bal!$B$4</f>
        <v>0</v>
      </c>
      <c r="Z15" s="292">
        <f>'EB2018'!AJ39*IND_Bal!$B$4</f>
        <v>2.2911400353810554</v>
      </c>
      <c r="AA15" s="292">
        <f>'EB2018'!AK39*IND_Bal!$B$4</f>
        <v>2.5041740143626483</v>
      </c>
      <c r="AB15" s="292">
        <f>'EB2018'!AL39*IND_Bal!$B$4</f>
        <v>0</v>
      </c>
      <c r="AC15" s="293">
        <f t="shared" si="0"/>
        <v>19.074264568601439</v>
      </c>
      <c r="AD15" s="294">
        <f t="shared" si="1"/>
        <v>455.58098233976875</v>
      </c>
      <c r="AE15" s="257"/>
      <c r="AF15" s="257">
        <v>5</v>
      </c>
      <c r="AG15" s="259" t="s">
        <v>178</v>
      </c>
      <c r="AH15" s="257"/>
      <c r="AK15" s="259">
        <v>5</v>
      </c>
      <c r="AL15" s="259" t="s">
        <v>179</v>
      </c>
      <c r="AP15" s="257" t="s">
        <v>72</v>
      </c>
    </row>
    <row r="16" spans="1:42">
      <c r="A16" s="287" t="s">
        <v>180</v>
      </c>
      <c r="B16" s="288" t="s">
        <v>66</v>
      </c>
      <c r="C16" s="289">
        <f>'EB2018'!D32*IND_Bal!$B$4</f>
        <v>0</v>
      </c>
      <c r="D16" s="289">
        <f>'EB2018'!F32*IND_Bal!$B$4</f>
        <v>0</v>
      </c>
      <c r="E16" s="289">
        <f>'EB2018'!H32*IND_Bal!$B$4</f>
        <v>0</v>
      </c>
      <c r="F16" s="290">
        <f>'EB2018'!E32*IND_Bal!$B$4</f>
        <v>0</v>
      </c>
      <c r="G16" s="291">
        <f>'EB2018'!N32*IND_Bal!$B$4</f>
        <v>0</v>
      </c>
      <c r="H16" s="289">
        <f>'EB2018'!S32*IND_Bal!$B$4</f>
        <v>9.0067841791202693E-3</v>
      </c>
      <c r="I16" s="289">
        <f>'EB2018'!O32*IND_Bal!$B$4</f>
        <v>0</v>
      </c>
      <c r="J16" s="289">
        <f>('EB2018'!P32+'EB2018'!Q32)*IND_Bal!$B$4</f>
        <v>0.1250713783736942</v>
      </c>
      <c r="K16" s="289">
        <f>'EB2018'!V32*IND_Bal!$B$4</f>
        <v>0</v>
      </c>
      <c r="L16" s="289">
        <f>'EB2018'!T32*IND_Bal!$B$4</f>
        <v>1.2369591687757704</v>
      </c>
      <c r="M16" s="289">
        <f>'EB2018'!R32*IND_Bal!$B$4</f>
        <v>3.7365967056724667E-2</v>
      </c>
      <c r="N16" s="289">
        <f>SUM('EB2018'!W32:Y32)*IND_Bal!$B$4</f>
        <v>0</v>
      </c>
      <c r="O16" s="290">
        <f>'EB2018'!U32*IND_Bal!$B$4</f>
        <v>0</v>
      </c>
      <c r="P16" s="291">
        <f>'EB2018'!Z32*IND_Bal!$B$4</f>
        <v>0.52968605570423666</v>
      </c>
      <c r="Q16" s="289"/>
      <c r="R16" s="289"/>
      <c r="S16" s="290"/>
      <c r="T16" s="291">
        <f>'EB2018'!AH32*IND_Bal!$B$4</f>
        <v>0</v>
      </c>
      <c r="U16" s="289">
        <f>'EB2018'!AD32*IND_Bal!$B$4</f>
        <v>0</v>
      </c>
      <c r="V16" s="289">
        <f>'EB2018'!AF32*IND_Bal!$B$4</f>
        <v>0</v>
      </c>
      <c r="W16" s="289">
        <f>'EB2018'!AE32*IND_Bal!$B$4</f>
        <v>0</v>
      </c>
      <c r="X16" s="289">
        <f>'EB2018'!AI32*IND_Bal!$B$4</f>
        <v>0</v>
      </c>
      <c r="Y16" s="290">
        <f>'EB2018'!AG32*IND_Bal!$B$4</f>
        <v>0</v>
      </c>
      <c r="Z16" s="292">
        <f>'EB2018'!AJ32*IND_Bal!$B$4</f>
        <v>0</v>
      </c>
      <c r="AA16" s="292">
        <f>'EB2018'!AK32*IND_Bal!$B$4</f>
        <v>2.8236519310806827</v>
      </c>
      <c r="AB16" s="292">
        <f>'EB2018'!AL32*IND_Bal!$B$4</f>
        <v>0</v>
      </c>
      <c r="AC16" s="293">
        <f t="shared" si="0"/>
        <v>4.7617412851702285</v>
      </c>
      <c r="AD16" s="294">
        <f t="shared" si="1"/>
        <v>113.73223667646479</v>
      </c>
      <c r="AE16" s="257"/>
      <c r="AF16" s="257">
        <v>6</v>
      </c>
      <c r="AG16" s="259" t="s">
        <v>180</v>
      </c>
      <c r="AH16" s="257"/>
      <c r="AL16" s="259" t="s">
        <v>181</v>
      </c>
      <c r="AO16" s="259">
        <v>9</v>
      </c>
      <c r="AP16" s="257" t="s">
        <v>74</v>
      </c>
    </row>
    <row r="17" spans="1:42">
      <c r="A17" s="287" t="s">
        <v>182</v>
      </c>
      <c r="B17" s="288" t="s">
        <v>68</v>
      </c>
      <c r="C17" s="289">
        <f>'EB2018'!D33*IND_Bal!$B$4</f>
        <v>0.77478814002240015</v>
      </c>
      <c r="D17" s="289">
        <f>'EB2018'!F33*IND_Bal!$B$4</f>
        <v>0</v>
      </c>
      <c r="E17" s="289">
        <f>'EB2018'!H33*IND_Bal!$B$4</f>
        <v>3.4736360778010081E-2</v>
      </c>
      <c r="F17" s="290">
        <f>'EB2018'!E33*IND_Bal!$B$4</f>
        <v>0</v>
      </c>
      <c r="G17" s="291">
        <f>'EB2018'!N33*IND_Bal!$B$4</f>
        <v>0</v>
      </c>
      <c r="H17" s="289">
        <f>'EB2018'!S33*IND_Bal!$B$4</f>
        <v>1.5093627035654775</v>
      </c>
      <c r="I17" s="289">
        <f>'EB2018'!O33*IND_Bal!$B$4</f>
        <v>0</v>
      </c>
      <c r="J17" s="289">
        <f>('EB2018'!P33+'EB2018'!Q33)*IND_Bal!$B$4</f>
        <v>2.3283808481467605</v>
      </c>
      <c r="K17" s="289">
        <f>'EB2018'!V33*IND_Bal!$B$4</f>
        <v>0</v>
      </c>
      <c r="L17" s="289">
        <f>'EB2018'!T33*IND_Bal!$B$4</f>
        <v>1.1763082675970875</v>
      </c>
      <c r="M17" s="289">
        <f>'EB2018'!R33*IND_Bal!$B$4</f>
        <v>0.69562039851684709</v>
      </c>
      <c r="N17" s="289">
        <f>SUM('EB2018'!W33:Y33)*IND_Bal!$B$4</f>
        <v>0</v>
      </c>
      <c r="O17" s="290">
        <f>'EB2018'!U33*IND_Bal!$B$4</f>
        <v>0</v>
      </c>
      <c r="P17" s="291">
        <f>'EB2018'!Z33*IND_Bal!$B$4</f>
        <v>4.6572092593554268</v>
      </c>
      <c r="Q17" s="289"/>
      <c r="R17" s="289"/>
      <c r="S17" s="290"/>
      <c r="T17" s="291">
        <f>'EB2018'!AH33*IND_Bal!$B$4</f>
        <v>0</v>
      </c>
      <c r="U17" s="289">
        <f>'EB2018'!AD33*IND_Bal!$B$4</f>
        <v>0.99763149928600958</v>
      </c>
      <c r="V17" s="289">
        <f>'EB2018'!AF33*IND_Bal!$B$4</f>
        <v>9.3596154939042608E-2</v>
      </c>
      <c r="W17" s="289">
        <f>'EB2018'!AE33*IND_Bal!$B$4</f>
        <v>0</v>
      </c>
      <c r="X17" s="289">
        <f>'EB2018'!AI33*IND_Bal!$B$4</f>
        <v>0</v>
      </c>
      <c r="Y17" s="290">
        <f>'EB2018'!AG33*IND_Bal!$B$4</f>
        <v>0</v>
      </c>
      <c r="Z17" s="292">
        <f>'EB2018'!AJ33*IND_Bal!$B$4</f>
        <v>0</v>
      </c>
      <c r="AA17" s="292">
        <f>'EB2018'!AK33*IND_Bal!$B$4</f>
        <v>8.3940660824884041</v>
      </c>
      <c r="AB17" s="292">
        <f>'EB2018'!AL33*IND_Bal!$B$4</f>
        <v>0</v>
      </c>
      <c r="AC17" s="293">
        <f t="shared" si="0"/>
        <v>20.661699714695466</v>
      </c>
      <c r="AD17" s="294">
        <f t="shared" si="1"/>
        <v>493.49621942045155</v>
      </c>
      <c r="AE17" s="257"/>
      <c r="AF17" s="257">
        <v>7</v>
      </c>
      <c r="AG17" s="259" t="s">
        <v>182</v>
      </c>
      <c r="AH17" s="257"/>
      <c r="AL17" s="259" t="s">
        <v>183</v>
      </c>
      <c r="AO17" s="259">
        <v>4</v>
      </c>
      <c r="AP17" s="257" t="s">
        <v>76</v>
      </c>
    </row>
    <row r="18" spans="1:42">
      <c r="A18" s="287" t="s">
        <v>184</v>
      </c>
      <c r="B18" s="288" t="s">
        <v>70</v>
      </c>
      <c r="C18" s="289">
        <f>'EB2018'!D34*IND_Bal!$B$4</f>
        <v>0</v>
      </c>
      <c r="D18" s="289">
        <f>'EB2018'!F34*IND_Bal!$B$4</f>
        <v>0</v>
      </c>
      <c r="E18" s="289">
        <f>'EB2018'!H34*IND_Bal!$B$4</f>
        <v>0</v>
      </c>
      <c r="F18" s="290">
        <f>'EB2018'!E34*IND_Bal!$B$4</f>
        <v>0</v>
      </c>
      <c r="G18" s="291">
        <f>'EB2018'!N34*IND_Bal!$B$4</f>
        <v>0</v>
      </c>
      <c r="H18" s="289">
        <f>'EB2018'!S34*IND_Bal!$B$4</f>
        <v>2.3243314010632956E-3</v>
      </c>
      <c r="I18" s="289">
        <f>'EB2018'!O34*IND_Bal!$B$4</f>
        <v>0</v>
      </c>
      <c r="J18" s="289">
        <f>('EB2018'!P34+'EB2018'!Q34)*IND_Bal!$B$4</f>
        <v>5.1531555038088588E-2</v>
      </c>
      <c r="K18" s="289">
        <f>'EB2018'!V34*IND_Bal!$B$4</f>
        <v>0</v>
      </c>
      <c r="L18" s="289">
        <f>'EB2018'!T34*IND_Bal!$B$4</f>
        <v>3.5864774381202606E-2</v>
      </c>
      <c r="M18" s="289">
        <f>'EB2018'!R34*IND_Bal!$B$4</f>
        <v>1.5395419903199861E-2</v>
      </c>
      <c r="N18" s="289">
        <f>SUM('EB2018'!W34:Y34)*IND_Bal!$B$4</f>
        <v>0</v>
      </c>
      <c r="O18" s="290">
        <f>'EB2018'!U34*IND_Bal!$B$4</f>
        <v>0</v>
      </c>
      <c r="P18" s="291">
        <f>'EB2018'!Z34*IND_Bal!$B$4</f>
        <v>5.0753188607402154E-2</v>
      </c>
      <c r="Q18" s="289"/>
      <c r="R18" s="289"/>
      <c r="S18" s="290"/>
      <c r="T18" s="291">
        <f>'EB2018'!AH34*IND_Bal!$B$4</f>
        <v>0</v>
      </c>
      <c r="U18" s="289">
        <f>'EB2018'!AD34*IND_Bal!$B$4</f>
        <v>0</v>
      </c>
      <c r="V18" s="289">
        <f>'EB2018'!AF34*IND_Bal!$B$4</f>
        <v>0</v>
      </c>
      <c r="W18" s="289">
        <f>'EB2018'!AE34*IND_Bal!$B$4</f>
        <v>0</v>
      </c>
      <c r="X18" s="289">
        <f>'EB2018'!AI34*IND_Bal!$B$4</f>
        <v>0</v>
      </c>
      <c r="Y18" s="290">
        <f>'EB2018'!AG34*IND_Bal!$B$4</f>
        <v>0</v>
      </c>
      <c r="Z18" s="292">
        <f>'EB2018'!AJ34*IND_Bal!$B$4</f>
        <v>0</v>
      </c>
      <c r="AA18" s="292">
        <f>'EB2018'!AK34*IND_Bal!$B$4</f>
        <v>0.50235390050140105</v>
      </c>
      <c r="AB18" s="292">
        <f>'EB2018'!AL34*IND_Bal!$B$4</f>
        <v>0</v>
      </c>
      <c r="AC18" s="293">
        <f t="shared" si="0"/>
        <v>0.65822316983235751</v>
      </c>
      <c r="AD18" s="294">
        <f t="shared" si="1"/>
        <v>15.721390317960196</v>
      </c>
      <c r="AE18" s="257"/>
      <c r="AF18" s="257">
        <v>8</v>
      </c>
      <c r="AG18" s="259" t="s">
        <v>184</v>
      </c>
      <c r="AH18" s="257"/>
      <c r="AK18" s="259">
        <v>6</v>
      </c>
      <c r="AL18" s="259" t="s">
        <v>185</v>
      </c>
      <c r="AP18" s="257" t="s">
        <v>78</v>
      </c>
    </row>
    <row r="19" spans="1:42">
      <c r="A19" s="287" t="s">
        <v>186</v>
      </c>
      <c r="B19" s="288" t="s">
        <v>74</v>
      </c>
      <c r="C19" s="289">
        <f>'EB2018'!D36*IND_Bal!$B$4</f>
        <v>0</v>
      </c>
      <c r="D19" s="289">
        <f>'EB2018'!F36*IND_Bal!$B$4</f>
        <v>0</v>
      </c>
      <c r="E19" s="289">
        <f>'EB2018'!H36*IND_Bal!$B$4</f>
        <v>0</v>
      </c>
      <c r="F19" s="290">
        <f>'EB2018'!E36*IND_Bal!$B$4</f>
        <v>0</v>
      </c>
      <c r="G19" s="291">
        <f>'EB2018'!N36*IND_Bal!$B$4</f>
        <v>0</v>
      </c>
      <c r="H19" s="289">
        <f>'EB2018'!S36*IND_Bal!$B$4</f>
        <v>1.1621657005316479E-2</v>
      </c>
      <c r="I19" s="289">
        <f>'EB2018'!O36*IND_Bal!$B$4</f>
        <v>0</v>
      </c>
      <c r="J19" s="289">
        <f>('EB2018'!P36+'EB2018'!Q36)*IND_Bal!$B$4</f>
        <v>4.2137781984270352E-2</v>
      </c>
      <c r="K19" s="289">
        <f>'EB2018'!V36*IND_Bal!$B$4</f>
        <v>0</v>
      </c>
      <c r="L19" s="289">
        <f>'EB2018'!T36*IND_Bal!$B$4</f>
        <v>5.5768785294330749E-2</v>
      </c>
      <c r="M19" s="289">
        <f>'EB2018'!R36*IND_Bal!$B$4</f>
        <v>1.2588963150012388E-2</v>
      </c>
      <c r="N19" s="289">
        <f>SUM('EB2018'!W36:Y36)*IND_Bal!$B$4</f>
        <v>0</v>
      </c>
      <c r="O19" s="290">
        <f>'EB2018'!U36*IND_Bal!$B$4</f>
        <v>0</v>
      </c>
      <c r="P19" s="291">
        <f>'EB2018'!Z36*IND_Bal!$B$4</f>
        <v>0.14976218670025493</v>
      </c>
      <c r="Q19" s="289"/>
      <c r="R19" s="289"/>
      <c r="S19" s="290"/>
      <c r="T19" s="291">
        <f>'EB2018'!AH36*IND_Bal!$B$4</f>
        <v>0</v>
      </c>
      <c r="U19" s="289">
        <f>'EB2018'!AD36*IND_Bal!$B$4</f>
        <v>0</v>
      </c>
      <c r="V19" s="289">
        <f>'EB2018'!AF36*IND_Bal!$B$4</f>
        <v>0</v>
      </c>
      <c r="W19" s="289">
        <f>'EB2018'!AE36*IND_Bal!$B$4</f>
        <v>0</v>
      </c>
      <c r="X19" s="289">
        <f>'EB2018'!AI36*IND_Bal!$B$4</f>
        <v>0</v>
      </c>
      <c r="Y19" s="290">
        <f>'EB2018'!AG36*IND_Bal!$B$4</f>
        <v>0</v>
      </c>
      <c r="Z19" s="292">
        <f>'EB2018'!AJ36*IND_Bal!$B$4</f>
        <v>0</v>
      </c>
      <c r="AA19" s="292">
        <f>'EB2018'!AK36*IND_Bal!$B$4</f>
        <v>0.92156641923803218</v>
      </c>
      <c r="AB19" s="292">
        <f>'EB2018'!AL36*IND_Bal!$B$4</f>
        <v>0</v>
      </c>
      <c r="AC19" s="293">
        <f t="shared" si="0"/>
        <v>1.1934457933722171</v>
      </c>
      <c r="AD19" s="294">
        <f t="shared" si="1"/>
        <v>28.504963059430043</v>
      </c>
      <c r="AE19" s="257"/>
      <c r="AF19" s="257">
        <v>9</v>
      </c>
      <c r="AG19" s="259" t="s">
        <v>186</v>
      </c>
      <c r="AH19" s="257"/>
      <c r="AK19" s="259">
        <v>7</v>
      </c>
      <c r="AL19" s="259" t="s">
        <v>187</v>
      </c>
      <c r="AO19" s="259">
        <v>5</v>
      </c>
      <c r="AP19" s="257" t="s">
        <v>80</v>
      </c>
    </row>
    <row r="20" spans="1:42">
      <c r="A20" s="287" t="s">
        <v>188</v>
      </c>
      <c r="B20" s="288"/>
      <c r="C20" s="299"/>
      <c r="D20" s="299"/>
      <c r="E20" s="299"/>
      <c r="F20" s="300"/>
      <c r="G20" s="301"/>
      <c r="H20" s="299"/>
      <c r="I20" s="299"/>
      <c r="J20" s="299"/>
      <c r="K20" s="299"/>
      <c r="L20" s="299"/>
      <c r="M20" s="299"/>
      <c r="N20" s="299"/>
      <c r="O20" s="300"/>
      <c r="P20" s="301"/>
      <c r="Q20" s="299"/>
      <c r="R20" s="299"/>
      <c r="S20" s="300"/>
      <c r="T20" s="301"/>
      <c r="U20" s="299"/>
      <c r="V20" s="299"/>
      <c r="W20" s="299"/>
      <c r="X20" s="299"/>
      <c r="Y20" s="300"/>
      <c r="Z20" s="302"/>
      <c r="AA20" s="303"/>
      <c r="AB20" s="302"/>
      <c r="AC20" s="293"/>
      <c r="AD20" s="294"/>
      <c r="AE20" s="304"/>
      <c r="AF20" s="257">
        <v>10</v>
      </c>
      <c r="AG20" s="259" t="s">
        <v>188</v>
      </c>
      <c r="AH20" s="257"/>
      <c r="AK20" s="259">
        <v>9</v>
      </c>
      <c r="AL20" s="259" t="s">
        <v>189</v>
      </c>
      <c r="AO20" s="259">
        <v>3</v>
      </c>
      <c r="AP20" s="304" t="s">
        <v>82</v>
      </c>
    </row>
    <row r="21" spans="1:42">
      <c r="A21" s="287" t="s">
        <v>190</v>
      </c>
      <c r="B21" s="288" t="s">
        <v>191</v>
      </c>
      <c r="C21" s="289">
        <f>C11-SUM(C13:C20)</f>
        <v>0</v>
      </c>
      <c r="D21" s="289">
        <f t="shared" ref="D21:AB21" si="2">D11-SUM(D13:D20)</f>
        <v>0</v>
      </c>
      <c r="E21" s="289">
        <f t="shared" si="2"/>
        <v>0</v>
      </c>
      <c r="F21" s="290">
        <f t="shared" si="2"/>
        <v>0</v>
      </c>
      <c r="G21" s="291">
        <f t="shared" si="2"/>
        <v>0</v>
      </c>
      <c r="H21" s="289">
        <f t="shared" si="2"/>
        <v>3.3107195393895328</v>
      </c>
      <c r="I21" s="289">
        <f t="shared" si="2"/>
        <v>0</v>
      </c>
      <c r="J21" s="289">
        <f t="shared" si="2"/>
        <v>0.48733552635629751</v>
      </c>
      <c r="K21" s="289">
        <f t="shared" si="2"/>
        <v>0</v>
      </c>
      <c r="L21" s="289">
        <f t="shared" si="2"/>
        <v>0.61786931990234084</v>
      </c>
      <c r="M21" s="289">
        <f t="shared" si="2"/>
        <v>0.14559496713143272</v>
      </c>
      <c r="N21" s="289">
        <f t="shared" si="2"/>
        <v>0</v>
      </c>
      <c r="O21" s="290">
        <f t="shared" si="2"/>
        <v>0</v>
      </c>
      <c r="P21" s="291">
        <f t="shared" si="2"/>
        <v>6.3708141400983642</v>
      </c>
      <c r="Q21" s="289">
        <f t="shared" si="2"/>
        <v>0</v>
      </c>
      <c r="R21" s="289">
        <f t="shared" si="2"/>
        <v>0</v>
      </c>
      <c r="S21" s="290">
        <f t="shared" si="2"/>
        <v>0</v>
      </c>
      <c r="T21" s="291">
        <f t="shared" si="2"/>
        <v>0</v>
      </c>
      <c r="U21" s="289">
        <f t="shared" si="2"/>
        <v>5.4165138446538732</v>
      </c>
      <c r="V21" s="289">
        <f t="shared" si="2"/>
        <v>0</v>
      </c>
      <c r="W21" s="289">
        <f t="shared" si="2"/>
        <v>0</v>
      </c>
      <c r="X21" s="289">
        <f t="shared" si="2"/>
        <v>0</v>
      </c>
      <c r="Y21" s="290">
        <f t="shared" si="2"/>
        <v>0</v>
      </c>
      <c r="Z21" s="292">
        <f t="shared" si="2"/>
        <v>0</v>
      </c>
      <c r="AA21" s="292">
        <f t="shared" si="2"/>
        <v>13.936493781425764</v>
      </c>
      <c r="AB21" s="292">
        <f t="shared" si="2"/>
        <v>0</v>
      </c>
      <c r="AC21" s="293">
        <f>SUM(C21:AB21)</f>
        <v>30.285341118957607</v>
      </c>
      <c r="AD21" s="294">
        <f t="shared" si="1"/>
        <v>723.35294542270003</v>
      </c>
      <c r="AE21" s="257"/>
      <c r="AF21" s="257">
        <v>11</v>
      </c>
      <c r="AG21" s="259" t="s">
        <v>190</v>
      </c>
      <c r="AH21" s="257"/>
      <c r="AL21" s="259" t="s">
        <v>192</v>
      </c>
      <c r="AP21" s="257" t="s">
        <v>84</v>
      </c>
    </row>
    <row r="22" spans="1:42">
      <c r="A22" s="287" t="s">
        <v>193</v>
      </c>
      <c r="B22" s="288"/>
      <c r="C22" s="295"/>
      <c r="D22" s="295"/>
      <c r="E22" s="295"/>
      <c r="F22" s="296"/>
      <c r="G22" s="297"/>
      <c r="H22" s="295"/>
      <c r="I22" s="295"/>
      <c r="J22" s="295"/>
      <c r="K22" s="295"/>
      <c r="L22" s="295"/>
      <c r="M22" s="295"/>
      <c r="N22" s="295"/>
      <c r="O22" s="296"/>
      <c r="P22" s="297"/>
      <c r="Q22" s="295"/>
      <c r="R22" s="295"/>
      <c r="S22" s="296"/>
      <c r="T22" s="297"/>
      <c r="U22" s="295"/>
      <c r="V22" s="295"/>
      <c r="W22" s="295"/>
      <c r="X22" s="295"/>
      <c r="Y22" s="296"/>
      <c r="Z22" s="298"/>
      <c r="AA22" s="298"/>
      <c r="AB22" s="298"/>
      <c r="AC22" s="293"/>
      <c r="AD22" s="294"/>
      <c r="AE22" s="257"/>
      <c r="AF22" s="257">
        <v>12</v>
      </c>
      <c r="AG22" s="259" t="s">
        <v>193</v>
      </c>
      <c r="AH22" s="257"/>
      <c r="AL22" s="259" t="s">
        <v>194</v>
      </c>
      <c r="AP22" s="257" t="s">
        <v>86</v>
      </c>
    </row>
    <row r="23" spans="1:42">
      <c r="A23" s="305" t="s">
        <v>195</v>
      </c>
      <c r="B23" s="306"/>
      <c r="C23" s="307">
        <f>IF(SUM(C16:C22)-C19&gt;0,SUM(C16:C22)-C19,0)</f>
        <v>0.77478814002240015</v>
      </c>
      <c r="D23" s="307">
        <f t="shared" ref="D23:AB23" si="3">IF(SUM(D16:D22)-D19&gt;0,SUM(D16:D22)-D19,0)</f>
        <v>0</v>
      </c>
      <c r="E23" s="307">
        <f t="shared" si="3"/>
        <v>3.4736360778010081E-2</v>
      </c>
      <c r="F23" s="308">
        <f t="shared" si="3"/>
        <v>0</v>
      </c>
      <c r="G23" s="309">
        <f t="shared" si="3"/>
        <v>0</v>
      </c>
      <c r="H23" s="307">
        <f t="shared" si="3"/>
        <v>4.8314133585351939</v>
      </c>
      <c r="I23" s="307">
        <f t="shared" si="3"/>
        <v>0</v>
      </c>
      <c r="J23" s="307">
        <f t="shared" si="3"/>
        <v>2.9923193079148409</v>
      </c>
      <c r="K23" s="307">
        <f t="shared" si="3"/>
        <v>0</v>
      </c>
      <c r="L23" s="307">
        <f t="shared" si="3"/>
        <v>3.0670015306564014</v>
      </c>
      <c r="M23" s="307">
        <f t="shared" si="3"/>
        <v>0.89397675260820431</v>
      </c>
      <c r="N23" s="307">
        <f t="shared" si="3"/>
        <v>0</v>
      </c>
      <c r="O23" s="308">
        <f t="shared" si="3"/>
        <v>0</v>
      </c>
      <c r="P23" s="309">
        <f t="shared" si="3"/>
        <v>11.608462643765431</v>
      </c>
      <c r="Q23" s="307">
        <f t="shared" si="3"/>
        <v>0</v>
      </c>
      <c r="R23" s="307">
        <f t="shared" si="3"/>
        <v>0</v>
      </c>
      <c r="S23" s="308">
        <f t="shared" si="3"/>
        <v>0</v>
      </c>
      <c r="T23" s="309">
        <f t="shared" si="3"/>
        <v>0</v>
      </c>
      <c r="U23" s="307">
        <f t="shared" si="3"/>
        <v>6.4141453439398823</v>
      </c>
      <c r="V23" s="307">
        <f t="shared" si="3"/>
        <v>9.3596154939042608E-2</v>
      </c>
      <c r="W23" s="307">
        <f t="shared" si="3"/>
        <v>0</v>
      </c>
      <c r="X23" s="307">
        <f t="shared" si="3"/>
        <v>0</v>
      </c>
      <c r="Y23" s="308">
        <f>IF(SUM(Y16:Y22)-Y19&gt;0,SUM(Y16:Y22)-Y19,0)</f>
        <v>0</v>
      </c>
      <c r="Z23" s="310">
        <f>IF(SUM(Z16:Z22)-Z19&gt;0,SUM(Z16:Z22)-Z19,0)</f>
        <v>0</v>
      </c>
      <c r="AA23" s="310">
        <f>IF(SUM(AA16:AA22)-AA19&gt;0,SUM(AA16:AA22)-AA19,0)</f>
        <v>25.656565695496251</v>
      </c>
      <c r="AB23" s="311">
        <f t="shared" si="3"/>
        <v>0</v>
      </c>
      <c r="AC23" s="312">
        <f>SUM(C23:AB23)</f>
        <v>56.367005288655662</v>
      </c>
      <c r="AD23" s="313">
        <f t="shared" si="1"/>
        <v>1346.3027918375767</v>
      </c>
      <c r="AE23" s="257"/>
      <c r="AF23" s="257"/>
      <c r="AH23" s="257"/>
      <c r="AK23" s="259">
        <v>8</v>
      </c>
      <c r="AL23" s="259" t="s">
        <v>196</v>
      </c>
      <c r="AP23" s="257" t="s">
        <v>88</v>
      </c>
    </row>
    <row r="24" spans="1:42" ht="13.5" thickBot="1">
      <c r="A24" s="314" t="s">
        <v>197</v>
      </c>
      <c r="B24" s="315"/>
      <c r="C24" s="316">
        <f>SUM(C12:C22)</f>
        <v>4.4139150300924008</v>
      </c>
      <c r="D24" s="316">
        <f t="shared" ref="D24:AB24" si="4">SUM(D12:D22)</f>
        <v>0</v>
      </c>
      <c r="E24" s="316">
        <f t="shared" si="4"/>
        <v>3.4736360778010081E-2</v>
      </c>
      <c r="F24" s="317">
        <f t="shared" si="4"/>
        <v>0</v>
      </c>
      <c r="G24" s="318">
        <f t="shared" si="4"/>
        <v>0</v>
      </c>
      <c r="H24" s="316">
        <f t="shared" si="4"/>
        <v>5.2933742244965236</v>
      </c>
      <c r="I24" s="316">
        <f t="shared" si="4"/>
        <v>0</v>
      </c>
      <c r="J24" s="316">
        <f t="shared" si="4"/>
        <v>3.963367048163823</v>
      </c>
      <c r="K24" s="316">
        <f t="shared" si="4"/>
        <v>0</v>
      </c>
      <c r="L24" s="316">
        <f t="shared" si="4"/>
        <v>5.193726319355358</v>
      </c>
      <c r="M24" s="316">
        <f t="shared" si="4"/>
        <v>1.2276213716331268</v>
      </c>
      <c r="N24" s="316">
        <f t="shared" si="4"/>
        <v>0</v>
      </c>
      <c r="O24" s="317">
        <f t="shared" si="4"/>
        <v>5.9079264565856997</v>
      </c>
      <c r="P24" s="318">
        <f t="shared" si="4"/>
        <v>33.064174159340602</v>
      </c>
      <c r="Q24" s="316">
        <f t="shared" si="4"/>
        <v>0</v>
      </c>
      <c r="R24" s="316">
        <f t="shared" si="4"/>
        <v>0</v>
      </c>
      <c r="S24" s="317">
        <f t="shared" si="4"/>
        <v>0</v>
      </c>
      <c r="T24" s="318">
        <f t="shared" si="4"/>
        <v>0</v>
      </c>
      <c r="U24" s="316">
        <f t="shared" si="4"/>
        <v>8.2110645675467246</v>
      </c>
      <c r="V24" s="316">
        <f t="shared" si="4"/>
        <v>9.3596154939042608E-2</v>
      </c>
      <c r="W24" s="316">
        <f t="shared" si="4"/>
        <v>0</v>
      </c>
      <c r="X24" s="316">
        <f t="shared" si="4"/>
        <v>0</v>
      </c>
      <c r="Y24" s="317">
        <f>SUM(Y12:Y22)</f>
        <v>0</v>
      </c>
      <c r="Z24" s="319">
        <f>SUM(Z12:Z22)</f>
        <v>2.2911400353810554</v>
      </c>
      <c r="AA24" s="319">
        <f t="shared" si="4"/>
        <v>39.200286507378102</v>
      </c>
      <c r="AB24" s="320">
        <f t="shared" si="4"/>
        <v>0</v>
      </c>
      <c r="AC24" s="321">
        <f>SUM(C24:AB24)</f>
        <v>108.89492823569046</v>
      </c>
      <c r="AD24" s="322">
        <f t="shared" si="1"/>
        <v>2600.9106772640312</v>
      </c>
      <c r="AE24" s="257"/>
      <c r="AF24" s="257"/>
      <c r="AH24" s="257"/>
      <c r="AK24" s="259">
        <v>11</v>
      </c>
      <c r="AL24" s="259" t="s">
        <v>198</v>
      </c>
      <c r="AP24" s="257" t="s">
        <v>90</v>
      </c>
    </row>
    <row r="25" spans="1:42">
      <c r="A25" s="287" t="s">
        <v>199</v>
      </c>
      <c r="B25" s="288" t="s">
        <v>62</v>
      </c>
      <c r="C25" s="289">
        <f>'EB2018'!D28*IND_Bal!$B$4</f>
        <v>0</v>
      </c>
      <c r="D25" s="289">
        <f>'EB2018'!F28*IND_Bal!$B$4</f>
        <v>0</v>
      </c>
      <c r="E25" s="289">
        <f>'EB2018'!H28*IND_Bal!$B$4</f>
        <v>0</v>
      </c>
      <c r="F25" s="290">
        <f>'EB2018'!E28*IND_Bal!$B$4</f>
        <v>0</v>
      </c>
      <c r="G25" s="291">
        <f>'EB2018'!N28*IND_Bal!$B$4</f>
        <v>0</v>
      </c>
      <c r="H25" s="289">
        <f>'EB2018'!S28*IND_Bal!$B$4</f>
        <v>0</v>
      </c>
      <c r="I25" s="289">
        <f>'EB2018'!O28*IND_Bal!$B$4</f>
        <v>0</v>
      </c>
      <c r="J25" s="289">
        <f>('EB2018'!P28+'EB2018'!Q28)*IND_Bal!$B$4</f>
        <v>0</v>
      </c>
      <c r="K25" s="289">
        <f>'EB2018'!V28*IND_Bal!$B$4</f>
        <v>0</v>
      </c>
      <c r="L25" s="289">
        <f>'EB2018'!T28*IND_Bal!$B$4</f>
        <v>0</v>
      </c>
      <c r="M25" s="289">
        <f>'EB2018'!R28*IND_Bal!$B$4</f>
        <v>0</v>
      </c>
      <c r="N25" s="289">
        <f>SUM('EB2018'!W28:Y28)*IND_Bal!$B$4</f>
        <v>9.7255883662200091</v>
      </c>
      <c r="O25" s="290">
        <f>'EB2018'!U28*IND_Bal!$B$4</f>
        <v>0</v>
      </c>
      <c r="P25" s="291">
        <f>'EB2018'!Z28*IND_Bal!$B$4</f>
        <v>0</v>
      </c>
      <c r="Q25" s="289"/>
      <c r="R25" s="289"/>
      <c r="S25" s="290"/>
      <c r="T25" s="291">
        <f>'EB2018'!AH28*IND_Bal!$B$4</f>
        <v>0</v>
      </c>
      <c r="U25" s="289">
        <f>'EB2018'!AD28*IND_Bal!$B$4</f>
        <v>0</v>
      </c>
      <c r="V25" s="289">
        <f>'EB2018'!AF28*IND_Bal!$B$4</f>
        <v>0</v>
      </c>
      <c r="W25" s="289">
        <f>'EB2018'!AE28*IND_Bal!$B$4</f>
        <v>0</v>
      </c>
      <c r="X25" s="289">
        <f>'EB2018'!AI28*IND_Bal!$B$4</f>
        <v>0</v>
      </c>
      <c r="Y25" s="290">
        <f>'EB2018'!AG28*IND_Bal!$B$4</f>
        <v>0</v>
      </c>
      <c r="Z25" s="292">
        <f>'EB2018'!AJ28*IND_Bal!$B$4</f>
        <v>0</v>
      </c>
      <c r="AA25" s="292">
        <f>'EB2018'!AK28*IND_Bal!$B$4</f>
        <v>0</v>
      </c>
      <c r="AB25" s="292">
        <f>'EB2018'!AL28*IND_Bal!$B$4</f>
        <v>0</v>
      </c>
      <c r="AC25" s="293">
        <f>SUM(C25:AB25)</f>
        <v>9.7255883662200091</v>
      </c>
      <c r="AD25" s="294">
        <f t="shared" si="1"/>
        <v>232.29168735597614</v>
      </c>
      <c r="AE25" s="257"/>
    </row>
    <row r="26" spans="1:42">
      <c r="A26" s="287" t="s">
        <v>200</v>
      </c>
      <c r="B26" s="288"/>
      <c r="C26" s="295"/>
      <c r="D26" s="295"/>
      <c r="E26" s="295"/>
      <c r="F26" s="296"/>
      <c r="G26" s="297"/>
      <c r="H26" s="295"/>
      <c r="I26" s="295"/>
      <c r="J26" s="295"/>
      <c r="K26" s="295"/>
      <c r="L26" s="295"/>
      <c r="M26" s="295"/>
      <c r="N26" s="295"/>
      <c r="O26" s="296"/>
      <c r="P26" s="297"/>
      <c r="Q26" s="295"/>
      <c r="R26" s="295"/>
      <c r="S26" s="296"/>
      <c r="T26" s="297"/>
      <c r="U26" s="295"/>
      <c r="V26" s="295"/>
      <c r="W26" s="295"/>
      <c r="X26" s="295"/>
      <c r="Y26" s="296"/>
      <c r="Z26" s="298"/>
      <c r="AA26" s="298"/>
      <c r="AB26" s="298"/>
      <c r="AC26" s="293">
        <f>SUM(C26:AB26)</f>
        <v>0</v>
      </c>
      <c r="AD26" s="294">
        <f t="shared" si="1"/>
        <v>0</v>
      </c>
      <c r="AE26" s="257"/>
      <c r="AF26" s="257"/>
    </row>
    <row r="27" spans="1:42">
      <c r="A27" s="287" t="s">
        <v>201</v>
      </c>
      <c r="B27" s="288" t="s">
        <v>63</v>
      </c>
      <c r="C27" s="289">
        <f>'EB2018'!D29*IND_Bal!$B$4</f>
        <v>0</v>
      </c>
      <c r="D27" s="289">
        <f>'EB2018'!F29*IND_Bal!$B$4</f>
        <v>0</v>
      </c>
      <c r="E27" s="289">
        <f>'EB2018'!H29*IND_Bal!$B$4</f>
        <v>0</v>
      </c>
      <c r="F27" s="290">
        <f>'EB2018'!E29*IND_Bal!$B$4</f>
        <v>0</v>
      </c>
      <c r="G27" s="291">
        <f>'EB2018'!N29*IND_Bal!$B$4</f>
        <v>0</v>
      </c>
      <c r="H27" s="289">
        <f>'EB2018'!S29*IND_Bal!$B$4</f>
        <v>0</v>
      </c>
      <c r="I27" s="289">
        <f>'EB2018'!O29*IND_Bal!$B$4</f>
        <v>0</v>
      </c>
      <c r="J27" s="289">
        <f>('EB2018'!P29+'EB2018'!Q29)*IND_Bal!$B$4</f>
        <v>0</v>
      </c>
      <c r="K27" s="289">
        <f>'EB2018'!V29*IND_Bal!$B$4</f>
        <v>0</v>
      </c>
      <c r="L27" s="289">
        <f>'EB2018'!T29*IND_Bal!$B$4</f>
        <v>0</v>
      </c>
      <c r="M27" s="289">
        <f>'EB2018'!R29*IND_Bal!$B$4</f>
        <v>0</v>
      </c>
      <c r="N27" s="289">
        <f>SUM('EB2018'!W29:Y29)*IND_Bal!$B$4</f>
        <v>9.7255883662200091</v>
      </c>
      <c r="O27" s="290">
        <f>'EB2018'!U29*IND_Bal!$B$4</f>
        <v>0</v>
      </c>
      <c r="P27" s="291">
        <f>'EB2018'!Z29*IND_Bal!$B$4</f>
        <v>0</v>
      </c>
      <c r="Q27" s="289"/>
      <c r="R27" s="289"/>
      <c r="S27" s="290"/>
      <c r="T27" s="291">
        <f>'EB2018'!AH29*IND_Bal!$B$4</f>
        <v>0</v>
      </c>
      <c r="U27" s="289">
        <f>'EB2018'!AD29*IND_Bal!$B$4</f>
        <v>0</v>
      </c>
      <c r="V27" s="289">
        <f>'EB2018'!AF29*IND_Bal!$B$4</f>
        <v>0</v>
      </c>
      <c r="W27" s="289">
        <f>'EB2018'!AE29*IND_Bal!$B$4</f>
        <v>0</v>
      </c>
      <c r="X27" s="289">
        <f>'EB2018'!AI29*IND_Bal!$B$4</f>
        <v>0</v>
      </c>
      <c r="Y27" s="290">
        <f>'EB2018'!AG29*IND_Bal!$B$4</f>
        <v>0</v>
      </c>
      <c r="Z27" s="292">
        <f>'EB2018'!AJ29*IND_Bal!$B$4</f>
        <v>0</v>
      </c>
      <c r="AA27" s="292">
        <f>'EB2018'!AK29*IND_Bal!$B$4</f>
        <v>0</v>
      </c>
      <c r="AB27" s="292">
        <f>'EB2018'!AL29*IND_Bal!$B$4</f>
        <v>0</v>
      </c>
      <c r="AC27" s="293">
        <f>SUM(C27:AB27)</f>
        <v>9.7255883662200091</v>
      </c>
      <c r="AD27" s="294">
        <f t="shared" si="1"/>
        <v>232.29168735597614</v>
      </c>
      <c r="AE27" s="257"/>
      <c r="AF27" s="257"/>
    </row>
    <row r="28" spans="1:42">
      <c r="A28" s="323" t="s">
        <v>202</v>
      </c>
      <c r="B28" s="324"/>
      <c r="C28" s="325"/>
      <c r="D28" s="325"/>
      <c r="E28" s="325"/>
      <c r="F28" s="326"/>
      <c r="G28" s="327"/>
      <c r="H28" s="325"/>
      <c r="I28" s="325"/>
      <c r="J28" s="325"/>
      <c r="K28" s="325"/>
      <c r="L28" s="325"/>
      <c r="M28" s="325"/>
      <c r="N28" s="325"/>
      <c r="O28" s="326"/>
      <c r="P28" s="327"/>
      <c r="Q28" s="325"/>
      <c r="R28" s="325"/>
      <c r="S28" s="326"/>
      <c r="T28" s="327"/>
      <c r="U28" s="325"/>
      <c r="V28" s="325"/>
      <c r="W28" s="325"/>
      <c r="X28" s="325"/>
      <c r="Y28" s="326"/>
      <c r="Z28" s="328"/>
      <c r="AA28" s="328"/>
      <c r="AB28" s="328"/>
      <c r="AC28" s="293"/>
      <c r="AD28" s="294"/>
      <c r="AE28" s="257"/>
      <c r="AF28" s="257"/>
    </row>
    <row r="29" spans="1:42">
      <c r="A29" s="287" t="s">
        <v>203</v>
      </c>
      <c r="B29" s="288"/>
      <c r="C29" s="329"/>
      <c r="D29" s="329"/>
      <c r="E29" s="329"/>
      <c r="F29" s="330"/>
      <c r="G29" s="331"/>
      <c r="H29" s="329"/>
      <c r="I29" s="329"/>
      <c r="J29" s="329"/>
      <c r="K29" s="329"/>
      <c r="L29" s="329"/>
      <c r="M29" s="329"/>
      <c r="N29" s="329"/>
      <c r="O29" s="330"/>
      <c r="P29" s="331"/>
      <c r="Q29" s="329"/>
      <c r="R29" s="329"/>
      <c r="S29" s="330"/>
      <c r="T29" s="331"/>
      <c r="U29" s="329"/>
      <c r="V29" s="329"/>
      <c r="W29" s="329"/>
      <c r="X29" s="329"/>
      <c r="Y29" s="330"/>
      <c r="Z29" s="332"/>
      <c r="AA29" s="332"/>
      <c r="AB29" s="332"/>
      <c r="AC29" s="293"/>
      <c r="AD29" s="294"/>
      <c r="AE29" s="257"/>
      <c r="AF29" s="257"/>
    </row>
    <row r="30" spans="1:42">
      <c r="A30" s="287" t="s">
        <v>204</v>
      </c>
      <c r="B30" s="288"/>
      <c r="C30" s="329"/>
      <c r="D30" s="329"/>
      <c r="E30" s="329"/>
      <c r="F30" s="330"/>
      <c r="G30" s="331"/>
      <c r="H30" s="329"/>
      <c r="I30" s="329"/>
      <c r="J30" s="329"/>
      <c r="K30" s="329"/>
      <c r="L30" s="329"/>
      <c r="M30" s="329"/>
      <c r="N30" s="329"/>
      <c r="O30" s="330"/>
      <c r="P30" s="331"/>
      <c r="Q30" s="329"/>
      <c r="R30" s="329"/>
      <c r="S30" s="330"/>
      <c r="T30" s="331"/>
      <c r="U30" s="329"/>
      <c r="V30" s="329"/>
      <c r="W30" s="329"/>
      <c r="X30" s="329"/>
      <c r="Y30" s="330"/>
      <c r="Z30" s="332"/>
      <c r="AA30" s="332"/>
      <c r="AB30" s="332"/>
      <c r="AC30" s="293"/>
      <c r="AD30" s="294"/>
      <c r="AE30" s="257"/>
      <c r="AF30" s="257"/>
    </row>
    <row r="31" spans="1:42">
      <c r="A31" s="333" t="s">
        <v>205</v>
      </c>
      <c r="B31" s="334" t="s">
        <v>60</v>
      </c>
      <c r="C31" s="289">
        <f>'EB2018'!D26*IND_Bal!$B$4</f>
        <v>0</v>
      </c>
      <c r="D31" s="289">
        <f>'EB2018'!F26*IND_Bal!$B$4</f>
        <v>0</v>
      </c>
      <c r="E31" s="289">
        <f>'EB2018'!H26*IND_Bal!$B$4</f>
        <v>0.47597387631104693</v>
      </c>
      <c r="F31" s="289">
        <f>'EB2018'!E26*IND_Bal!$B$4</f>
        <v>0</v>
      </c>
      <c r="G31" s="289">
        <f>'EB2018'!N26*IND_Bal!$B$4</f>
        <v>3.7668227004220416</v>
      </c>
      <c r="H31" s="289">
        <f>'EB2018'!S26*IND_Bal!$B$4</f>
        <v>1.7456132520000004E-4</v>
      </c>
      <c r="I31" s="289">
        <f>'EB2018'!O26*IND_Bal!$B$4</f>
        <v>0</v>
      </c>
      <c r="J31" s="289">
        <f>('EB2018'!P26+'EB2018'!Q26)*IND_Bal!$B$4</f>
        <v>0</v>
      </c>
      <c r="K31" s="289">
        <f>'EB2018'!V26*IND_Bal!$B$4</f>
        <v>0</v>
      </c>
      <c r="L31" s="289">
        <f>'EB2018'!T26*IND_Bal!$B$4</f>
        <v>0.12584667821972964</v>
      </c>
      <c r="M31" s="289">
        <f>'EB2018'!R26*IND_Bal!$B$4</f>
        <v>0</v>
      </c>
      <c r="N31" s="289">
        <f>SUM('EB2018'!W26:Y26)*IND_Bal!$B$4</f>
        <v>0</v>
      </c>
      <c r="O31" s="289">
        <f>'EB2018'!U26*IND_Bal!$B$4</f>
        <v>0</v>
      </c>
      <c r="P31" s="289">
        <f>'EB2018'!Z26*IND_Bal!$B$4</f>
        <v>2.4086074056984059</v>
      </c>
      <c r="Q31" s="289"/>
      <c r="R31" s="289"/>
      <c r="S31" s="289"/>
      <c r="T31" s="289">
        <f>'EB2018'!AH26*IND_Bal!$B$4</f>
        <v>0</v>
      </c>
      <c r="U31" s="289">
        <f>'EB2018'!AD26*IND_Bal!$B$4</f>
        <v>0</v>
      </c>
      <c r="V31" s="289">
        <f>'EB2018'!AF26*IND_Bal!$B$4</f>
        <v>0</v>
      </c>
      <c r="W31" s="289">
        <f>'EB2018'!AE26*IND_Bal!$B$4</f>
        <v>0</v>
      </c>
      <c r="X31" s="289">
        <f>'EB2018'!AI26*IND_Bal!$B$4</f>
        <v>0</v>
      </c>
      <c r="Y31" s="289">
        <f>'EB2018'!AG26*IND_Bal!$B$4</f>
        <v>0</v>
      </c>
      <c r="Z31" s="289">
        <f>'EB2018'!AJ26*IND_Bal!$B$4</f>
        <v>0</v>
      </c>
      <c r="AA31" s="289">
        <f>'EB2018'!AK26*IND_Bal!$B$4</f>
        <v>10.783329731465599</v>
      </c>
      <c r="AB31" s="289">
        <f>'EB2018'!AL26*IND_Bal!$B$4</f>
        <v>0</v>
      </c>
      <c r="AC31" s="335">
        <f>SUM(C31:AB31)</f>
        <v>17.560754953442022</v>
      </c>
      <c r="AD31" s="336">
        <f t="shared" ref="AD31" si="5">AC31/$B$4</f>
        <v>419.43142623106002</v>
      </c>
      <c r="AE31" s="257"/>
      <c r="AF31" s="257"/>
    </row>
    <row r="32" spans="1:42">
      <c r="A32" s="337"/>
      <c r="B32" s="257"/>
      <c r="C32" s="338" t="s">
        <v>206</v>
      </c>
      <c r="D32" s="338" t="s">
        <v>207</v>
      </c>
      <c r="E32" s="338" t="s">
        <v>208</v>
      </c>
      <c r="F32" s="338" t="s">
        <v>209</v>
      </c>
      <c r="G32" s="338" t="s">
        <v>210</v>
      </c>
      <c r="H32" s="338" t="s">
        <v>211</v>
      </c>
      <c r="I32" s="338" t="s">
        <v>212</v>
      </c>
      <c r="J32" s="338" t="s">
        <v>213</v>
      </c>
      <c r="K32" s="338" t="s">
        <v>214</v>
      </c>
      <c r="L32" s="338" t="s">
        <v>215</v>
      </c>
      <c r="M32" s="338" t="s">
        <v>216</v>
      </c>
      <c r="N32" s="338" t="s">
        <v>217</v>
      </c>
      <c r="O32" s="338" t="s">
        <v>218</v>
      </c>
      <c r="P32" s="338" t="s">
        <v>219</v>
      </c>
      <c r="Q32" s="338" t="s">
        <v>220</v>
      </c>
      <c r="R32" s="338" t="s">
        <v>221</v>
      </c>
      <c r="S32" s="338" t="s">
        <v>222</v>
      </c>
      <c r="T32" s="338" t="s">
        <v>223</v>
      </c>
      <c r="U32" s="338" t="s">
        <v>224</v>
      </c>
      <c r="V32" s="338" t="s">
        <v>225</v>
      </c>
      <c r="W32" s="338"/>
      <c r="X32" s="338" t="s">
        <v>226</v>
      </c>
      <c r="Y32" s="338" t="s">
        <v>227</v>
      </c>
      <c r="Z32" s="338"/>
      <c r="AA32" s="338" t="s">
        <v>228</v>
      </c>
      <c r="AB32" s="338" t="s">
        <v>229</v>
      </c>
      <c r="AC32" s="257" t="s">
        <v>230</v>
      </c>
      <c r="AD32" s="257"/>
      <c r="AE32" s="257"/>
      <c r="AF32" s="257"/>
    </row>
    <row r="33" spans="1:33">
      <c r="A33" s="337"/>
      <c r="B33" s="257"/>
      <c r="C33" s="339" t="s">
        <v>209</v>
      </c>
      <c r="D33" s="339" t="s">
        <v>207</v>
      </c>
      <c r="E33" s="339" t="s">
        <v>231</v>
      </c>
      <c r="F33" s="339" t="s">
        <v>232</v>
      </c>
      <c r="G33" s="339" t="s">
        <v>210</v>
      </c>
      <c r="H33" s="339" t="s">
        <v>211</v>
      </c>
      <c r="I33" s="339" t="s">
        <v>212</v>
      </c>
      <c r="J33" s="339" t="s">
        <v>213</v>
      </c>
      <c r="K33" s="339" t="s">
        <v>214</v>
      </c>
      <c r="L33" s="339" t="s">
        <v>215</v>
      </c>
      <c r="M33" s="339" t="s">
        <v>216</v>
      </c>
      <c r="N33" s="339" t="s">
        <v>217</v>
      </c>
      <c r="O33" s="339" t="s">
        <v>233</v>
      </c>
      <c r="P33" s="339" t="s">
        <v>219</v>
      </c>
      <c r="Q33" s="339" t="s">
        <v>220</v>
      </c>
      <c r="R33" s="339" t="s">
        <v>221</v>
      </c>
      <c r="S33" s="339" t="s">
        <v>222</v>
      </c>
      <c r="T33" s="339" t="s">
        <v>223</v>
      </c>
      <c r="U33" s="339" t="s">
        <v>234</v>
      </c>
      <c r="V33" s="339" t="s">
        <v>235</v>
      </c>
      <c r="W33" s="339" t="s">
        <v>236</v>
      </c>
      <c r="X33" s="339" t="s">
        <v>226</v>
      </c>
      <c r="Y33" s="339" t="s">
        <v>237</v>
      </c>
      <c r="Z33" s="339" t="s">
        <v>238</v>
      </c>
      <c r="AA33" s="339" t="s">
        <v>228</v>
      </c>
      <c r="AB33" s="339" t="s">
        <v>229</v>
      </c>
      <c r="AC33" s="257" t="s">
        <v>239</v>
      </c>
      <c r="AD33" s="257"/>
      <c r="AE33" s="257"/>
      <c r="AF33" s="257"/>
    </row>
    <row r="34" spans="1:33">
      <c r="A34" s="257"/>
      <c r="B34" s="257"/>
      <c r="C34" s="257"/>
      <c r="D34" s="257"/>
      <c r="E34" s="257"/>
      <c r="F34" s="257"/>
      <c r="G34" s="257"/>
      <c r="H34" s="257"/>
      <c r="I34" s="340"/>
      <c r="J34" s="257"/>
      <c r="K34" s="340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</row>
    <row r="35" spans="1:33" ht="18.75">
      <c r="A35" s="341" t="s">
        <v>240</v>
      </c>
      <c r="B35" s="264"/>
      <c r="C35" s="264" t="s">
        <v>241</v>
      </c>
      <c r="D35" s="257" t="s">
        <v>242</v>
      </c>
      <c r="E35" s="257" t="s">
        <v>243</v>
      </c>
      <c r="F35" s="257" t="s">
        <v>244</v>
      </c>
      <c r="G35" s="257" t="s">
        <v>245</v>
      </c>
      <c r="H35" s="257" t="s">
        <v>246</v>
      </c>
      <c r="I35" s="257" t="s">
        <v>247</v>
      </c>
      <c r="J35" s="257" t="s">
        <v>248</v>
      </c>
      <c r="K35" s="257" t="s">
        <v>249</v>
      </c>
      <c r="L35" s="257" t="s">
        <v>250</v>
      </c>
      <c r="M35" s="257" t="s">
        <v>148</v>
      </c>
      <c r="N35" s="257" t="s">
        <v>158</v>
      </c>
      <c r="O35" s="257" t="s">
        <v>251</v>
      </c>
      <c r="P35" s="257" t="s">
        <v>252</v>
      </c>
      <c r="Q35" s="257" t="s">
        <v>253</v>
      </c>
      <c r="R35" s="257" t="s">
        <v>254</v>
      </c>
      <c r="S35" s="257" t="s">
        <v>255</v>
      </c>
      <c r="T35" s="257" t="s">
        <v>256</v>
      </c>
      <c r="U35" s="257" t="s">
        <v>57</v>
      </c>
      <c r="V35" s="257" t="s">
        <v>58</v>
      </c>
      <c r="W35" s="257"/>
      <c r="X35" s="257"/>
      <c r="Y35" s="257"/>
      <c r="Z35" s="257"/>
      <c r="AB35" s="257"/>
      <c r="AC35" s="257"/>
      <c r="AD35" s="257"/>
      <c r="AE35" s="257"/>
      <c r="AF35" s="257"/>
      <c r="AG35" s="257"/>
    </row>
    <row r="36" spans="1:33" ht="39" thickBot="1">
      <c r="A36" s="47"/>
      <c r="B36" s="47"/>
      <c r="C36" s="48" t="s">
        <v>152</v>
      </c>
      <c r="D36" s="48" t="s">
        <v>154</v>
      </c>
      <c r="E36" s="48" t="s">
        <v>257</v>
      </c>
      <c r="F36" s="48" t="s">
        <v>244</v>
      </c>
      <c r="G36" s="48" t="s">
        <v>245</v>
      </c>
      <c r="H36" s="48" t="s">
        <v>246</v>
      </c>
      <c r="I36" s="48" t="s">
        <v>247</v>
      </c>
      <c r="J36" s="48" t="s">
        <v>248</v>
      </c>
      <c r="K36" s="48" t="s">
        <v>249</v>
      </c>
      <c r="L36" s="48" t="s">
        <v>250</v>
      </c>
      <c r="M36" s="48" t="s">
        <v>148</v>
      </c>
      <c r="N36" s="48" t="s">
        <v>158</v>
      </c>
      <c r="O36" s="48" t="s">
        <v>251</v>
      </c>
      <c r="P36" s="48" t="s">
        <v>252</v>
      </c>
      <c r="Q36" s="48" t="s">
        <v>253</v>
      </c>
      <c r="R36" s="48" t="s">
        <v>254</v>
      </c>
      <c r="S36" s="48" t="s">
        <v>258</v>
      </c>
      <c r="T36" s="48" t="s">
        <v>259</v>
      </c>
      <c r="U36" s="48" t="s">
        <v>57</v>
      </c>
      <c r="V36" s="48" t="s">
        <v>58</v>
      </c>
      <c r="W36" s="93" t="s">
        <v>161</v>
      </c>
      <c r="X36" s="257"/>
      <c r="Y36" s="257"/>
      <c r="Z36" s="257" t="s">
        <v>260</v>
      </c>
      <c r="AA36" s="257" t="s">
        <v>261</v>
      </c>
      <c r="AB36" s="257"/>
      <c r="AC36" s="257"/>
      <c r="AD36" s="257"/>
      <c r="AE36" s="257"/>
      <c r="AF36" s="257"/>
    </row>
    <row r="37" spans="1:33">
      <c r="A37" s="342" t="s">
        <v>172</v>
      </c>
      <c r="B37" s="33"/>
      <c r="C37" s="343">
        <f>IF(($C12+$E12+$F12)&gt;0,C12 -CHP!$C$6*$C12/($C12+$E12+$F12),0)</f>
        <v>0</v>
      </c>
      <c r="D37" s="343">
        <f>IF(($C12+$E12+$F12)&gt;0,E12 -CHP!$C$6*E12/($C12+$E12+$F12),0)</f>
        <v>0</v>
      </c>
      <c r="E37" s="343">
        <f>IF(($C12+$E12+$F12)&gt;0,F12 -CHP!$C$6*F12/($C12+$E12+$F12),0)</f>
        <v>0</v>
      </c>
      <c r="F37" s="344">
        <f>D12</f>
        <v>0</v>
      </c>
      <c r="G37" s="345">
        <f>G12</f>
        <v>0</v>
      </c>
      <c r="H37" s="345">
        <f t="shared" ref="G37:H40" si="6">H12</f>
        <v>0</v>
      </c>
      <c r="I37" s="345">
        <f>I12+J12+L12</f>
        <v>0</v>
      </c>
      <c r="J37" s="345">
        <f>K12</f>
        <v>0</v>
      </c>
      <c r="K37" s="345">
        <f>M12+O12</f>
        <v>0</v>
      </c>
      <c r="L37" s="344">
        <f>N12</f>
        <v>0</v>
      </c>
      <c r="M37" s="344">
        <f>P12+S12</f>
        <v>0</v>
      </c>
      <c r="N37" s="346">
        <f>IF(($Q12+$R12)&gt;0,Q12-CHP!$G$6*(Q12)/($Q12+$R12),0)</f>
        <v>0</v>
      </c>
      <c r="O37" s="346">
        <f>IF(($Q12+$R12)&gt;0,R12-CHP!$G$6*(R12)/($Q12+$R12),0)</f>
        <v>0</v>
      </c>
      <c r="P37" s="347">
        <f>T12</f>
        <v>0</v>
      </c>
      <c r="Q37" s="347">
        <f>X12</f>
        <v>0</v>
      </c>
      <c r="R37" s="347">
        <f>U12+V12+Y12</f>
        <v>0</v>
      </c>
      <c r="S37" s="347">
        <f>W12</f>
        <v>0</v>
      </c>
      <c r="T37" s="347">
        <f>Z12</f>
        <v>0</v>
      </c>
      <c r="U37" s="347">
        <f>AA12</f>
        <v>0</v>
      </c>
      <c r="V37" s="348">
        <f>AB12+CHP!X6</f>
        <v>0</v>
      </c>
      <c r="W37" s="349">
        <f t="shared" ref="W37:W43" si="7">SUM(C37:V37)</f>
        <v>0</v>
      </c>
      <c r="X37" s="257"/>
      <c r="Y37" s="257"/>
      <c r="Z37" s="257" t="s">
        <v>210</v>
      </c>
      <c r="AA37" s="257" t="s">
        <v>262</v>
      </c>
      <c r="AB37" s="257"/>
      <c r="AC37" s="257"/>
      <c r="AD37" s="257"/>
      <c r="AE37" s="257"/>
      <c r="AF37" s="257"/>
    </row>
    <row r="38" spans="1:33">
      <c r="A38" s="342" t="s">
        <v>174</v>
      </c>
      <c r="B38" s="33"/>
      <c r="C38" s="345">
        <f>C13</f>
        <v>0</v>
      </c>
      <c r="D38" s="344">
        <f>E13</f>
        <v>0</v>
      </c>
      <c r="E38" s="344">
        <f>F13</f>
        <v>0</v>
      </c>
      <c r="F38" s="344">
        <f>D13</f>
        <v>0</v>
      </c>
      <c r="G38" s="345">
        <f t="shared" si="6"/>
        <v>0</v>
      </c>
      <c r="H38" s="345">
        <f t="shared" si="6"/>
        <v>0.25189941559023471</v>
      </c>
      <c r="I38" s="345">
        <f>I13+J13+L13</f>
        <v>0.10421439676213322</v>
      </c>
      <c r="J38" s="345">
        <f>K13</f>
        <v>0</v>
      </c>
      <c r="K38" s="345">
        <f>M13+O13</f>
        <v>4.3537175224000003E-2</v>
      </c>
      <c r="L38" s="344">
        <f>N13</f>
        <v>0</v>
      </c>
      <c r="M38" s="344">
        <f>P13+S13</f>
        <v>17.680641010586502</v>
      </c>
      <c r="N38" s="344">
        <f t="shared" ref="N38:O40" si="8">Q13</f>
        <v>0</v>
      </c>
      <c r="O38" s="344">
        <f t="shared" si="8"/>
        <v>0</v>
      </c>
      <c r="P38" s="347">
        <f>T13</f>
        <v>0</v>
      </c>
      <c r="Q38" s="347">
        <f>X13</f>
        <v>0</v>
      </c>
      <c r="R38" s="347">
        <f>U13+V13+Y13</f>
        <v>0</v>
      </c>
      <c r="S38" s="347">
        <f>W13</f>
        <v>0</v>
      </c>
      <c r="T38" s="347">
        <f>Z13</f>
        <v>0</v>
      </c>
      <c r="U38" s="347">
        <f>AA13</f>
        <v>2.9656597537313885</v>
      </c>
      <c r="V38" s="350">
        <f>AB13</f>
        <v>0</v>
      </c>
      <c r="W38" s="351">
        <f t="shared" si="7"/>
        <v>21.045951751894258</v>
      </c>
      <c r="X38" s="257"/>
      <c r="Y38" s="257"/>
      <c r="Z38" s="257" t="s">
        <v>213</v>
      </c>
      <c r="AA38" s="257" t="s">
        <v>263</v>
      </c>
      <c r="AB38" s="257"/>
      <c r="AC38" s="257"/>
      <c r="AD38" s="257"/>
      <c r="AE38" s="257"/>
      <c r="AF38" s="257"/>
    </row>
    <row r="39" spans="1:33">
      <c r="A39" s="342" t="s">
        <v>176</v>
      </c>
      <c r="B39" s="33"/>
      <c r="C39" s="343">
        <f>IF(($C14+$E14+$F14)&gt;0,C14 -CHP!$C$7*$C14/($C14+$E14+$F14),0)</f>
        <v>0</v>
      </c>
      <c r="D39" s="343">
        <f>IF(($C14+$E14+$F14)&gt;0,E14 -CHP!$C$7*E14/($C14+$E14+$F14),0)</f>
        <v>0</v>
      </c>
      <c r="E39" s="343">
        <f>IF(($C14+$E14+$F14)&gt;0,F14 -CHP!$C$7*F14/($C14+$E14+$F14),0)</f>
        <v>0</v>
      </c>
      <c r="F39" s="344">
        <f>D14</f>
        <v>0</v>
      </c>
      <c r="G39" s="343">
        <f>G14-CHP!D7</f>
        <v>0</v>
      </c>
      <c r="H39" s="345">
        <f t="shared" si="6"/>
        <v>0.13684501123760154</v>
      </c>
      <c r="I39" s="343">
        <f>IF(($I14+$J14+$L14+$M14+$O14)&gt;0,$I14+$J14+$L14 - CHP!$E7*($L14+$I14+$J14)/($I14+$J14+$L14+$M14+$O14),0)</f>
        <v>0.86160932796462297</v>
      </c>
      <c r="J39" s="345">
        <f>K14</f>
        <v>0</v>
      </c>
      <c r="K39" s="343">
        <f>IF(($I14+$J14+$L14+$M14+$O14)&gt;0,$M14+$O14 - CHP!$E7*($M14+$O14)/($I14+$J14+$L14+$M14+$O14),0)</f>
        <v>0.16128869235273877</v>
      </c>
      <c r="L39" s="344">
        <f>N14</f>
        <v>0</v>
      </c>
      <c r="M39" s="346">
        <f>P14+S14-CHP!F7</f>
        <v>0.58994121161597679</v>
      </c>
      <c r="N39" s="344">
        <f t="shared" si="8"/>
        <v>0</v>
      </c>
      <c r="O39" s="344">
        <f t="shared" si="8"/>
        <v>0</v>
      </c>
      <c r="P39" s="347">
        <f>T14</f>
        <v>0</v>
      </c>
      <c r="Q39" s="347">
        <f>X14</f>
        <v>0</v>
      </c>
      <c r="R39" s="352">
        <f>U14+V14+Y14-CHP!H7</f>
        <v>0</v>
      </c>
      <c r="S39" s="352">
        <f>IF(($W14+$Z14)&gt;0,$W14 - CHP!$I$7*$W14/($W14+$Z14),0)</f>
        <v>0</v>
      </c>
      <c r="T39" s="352">
        <f>IF(($W14+$Z14)&gt;0,$Z14 - CHP!$I$7*$Z14/($W14+$Z14),0)</f>
        <v>0</v>
      </c>
      <c r="U39" s="347">
        <f>AA14</f>
        <v>7.1523206245497821</v>
      </c>
      <c r="V39" s="348">
        <f>AB14+CHP!X7</f>
        <v>1.8003086004756379</v>
      </c>
      <c r="W39" s="351">
        <f t="shared" si="7"/>
        <v>10.70231346819636</v>
      </c>
      <c r="X39" s="257"/>
      <c r="Y39" s="257"/>
      <c r="Z39" s="257" t="s">
        <v>216</v>
      </c>
      <c r="AA39" s="257" t="s">
        <v>264</v>
      </c>
      <c r="AB39" s="257"/>
      <c r="AC39" s="257"/>
      <c r="AD39" s="257"/>
      <c r="AE39" s="257"/>
      <c r="AF39" s="257"/>
    </row>
    <row r="40" spans="1:33">
      <c r="A40" s="342" t="s">
        <v>178</v>
      </c>
      <c r="B40" s="342"/>
      <c r="C40" s="345">
        <f>C15</f>
        <v>3.6391268900700005</v>
      </c>
      <c r="D40" s="344">
        <f t="shared" ref="D40:E40" si="9">E15</f>
        <v>0</v>
      </c>
      <c r="E40" s="344">
        <f t="shared" si="9"/>
        <v>0</v>
      </c>
      <c r="F40" s="344">
        <f>D15</f>
        <v>0</v>
      </c>
      <c r="G40" s="345">
        <f t="shared" si="6"/>
        <v>0</v>
      </c>
      <c r="H40" s="345">
        <f t="shared" si="6"/>
        <v>6.1594782128177331E-2</v>
      </c>
      <c r="I40" s="345">
        <f>I15+J15+L15</f>
        <v>2.0116483033693555</v>
      </c>
      <c r="J40" s="345">
        <f>K15</f>
        <v>0</v>
      </c>
      <c r="K40" s="345">
        <f>M15+O15</f>
        <v>6.0199642193968765</v>
      </c>
      <c r="L40" s="344">
        <f>N15</f>
        <v>0</v>
      </c>
      <c r="M40" s="344">
        <f>P15+S15</f>
        <v>0.7496971002864834</v>
      </c>
      <c r="N40" s="344">
        <f t="shared" si="8"/>
        <v>0</v>
      </c>
      <c r="O40" s="344">
        <f t="shared" si="8"/>
        <v>0</v>
      </c>
      <c r="P40" s="347">
        <f>T15</f>
        <v>0</v>
      </c>
      <c r="Q40" s="347">
        <f>X15</f>
        <v>0</v>
      </c>
      <c r="R40" s="347">
        <f>U15+V15+Y15</f>
        <v>1.7969192236068419</v>
      </c>
      <c r="S40" s="347">
        <f>W15</f>
        <v>0</v>
      </c>
      <c r="T40" s="347">
        <f>Z15</f>
        <v>2.2911400353810554</v>
      </c>
      <c r="U40" s="347">
        <f>AA15</f>
        <v>2.5041740143626483</v>
      </c>
      <c r="V40" s="350">
        <f>AB15</f>
        <v>0</v>
      </c>
      <c r="W40" s="351">
        <f t="shared" si="7"/>
        <v>19.074264568601436</v>
      </c>
      <c r="X40" s="257"/>
      <c r="Y40" s="257"/>
      <c r="Z40" s="257" t="s">
        <v>215</v>
      </c>
      <c r="AA40" s="257" t="s">
        <v>265</v>
      </c>
      <c r="AB40" s="257"/>
      <c r="AC40" s="257"/>
      <c r="AD40" s="257"/>
      <c r="AE40" s="257"/>
      <c r="AF40" s="257"/>
    </row>
    <row r="41" spans="1:33">
      <c r="A41" s="342" t="s">
        <v>186</v>
      </c>
      <c r="B41" s="33"/>
      <c r="C41" s="343">
        <f>IF(($C19+$E19+$F19)&gt;0,C19 -CHP!$C$8*$C19/($C19+$E19+$F19),0)</f>
        <v>0</v>
      </c>
      <c r="D41" s="343">
        <f>IF(($C19+$E19+$F19)&gt;0,E19 -CHP!$C$8*E19/($C19+$E19+$F19),0)</f>
        <v>0</v>
      </c>
      <c r="E41" s="343">
        <f>IF(($C19+$E19+$F19)&gt;0,F19 -CHP!$C$8*F19/($C19+$E19+$F19),0)</f>
        <v>0</v>
      </c>
      <c r="F41" s="344">
        <f>D19</f>
        <v>0</v>
      </c>
      <c r="G41" s="345">
        <f>G19</f>
        <v>0</v>
      </c>
      <c r="H41" s="345">
        <f>H19</f>
        <v>1.1621657005316479E-2</v>
      </c>
      <c r="I41" s="345">
        <f>I19+J19+L19</f>
        <v>9.79065672786011E-2</v>
      </c>
      <c r="J41" s="345">
        <f>K19</f>
        <v>0</v>
      </c>
      <c r="K41" s="345">
        <f>M19+O19</f>
        <v>1.2588963150012388E-2</v>
      </c>
      <c r="L41" s="344">
        <f>N19</f>
        <v>0</v>
      </c>
      <c r="M41" s="346">
        <f>P19+S19-CHP!F8</f>
        <v>0.14976218670025493</v>
      </c>
      <c r="N41" s="344">
        <f>Q19</f>
        <v>0</v>
      </c>
      <c r="O41" s="344">
        <f>R19</f>
        <v>0</v>
      </c>
      <c r="P41" s="347">
        <f>T19</f>
        <v>0</v>
      </c>
      <c r="Q41" s="347">
        <f>X19</f>
        <v>0</v>
      </c>
      <c r="R41" s="352">
        <f>U19+V19+Y19-CHP!H8</f>
        <v>0</v>
      </c>
      <c r="S41" s="352">
        <f>IF(($W19+$Z19)&gt;0,$W19 - CHP!$I$8*$W19/($W19+$Z19),0)</f>
        <v>0</v>
      </c>
      <c r="T41" s="352">
        <f>IF(($W19+$Z19)&gt;0,$Z19 - CHP!$I$8*$Z19/($W19+$Z19),0)</f>
        <v>0</v>
      </c>
      <c r="U41" s="347">
        <f>AA19</f>
        <v>0.92156641923803218</v>
      </c>
      <c r="V41" s="348">
        <f>AB19+CHP!X8</f>
        <v>0</v>
      </c>
      <c r="W41" s="351">
        <f t="shared" si="7"/>
        <v>1.1934457933722171</v>
      </c>
      <c r="X41" s="257"/>
      <c r="Y41" s="257"/>
      <c r="Z41" s="257" t="s">
        <v>211</v>
      </c>
      <c r="AA41" s="257" t="s">
        <v>266</v>
      </c>
      <c r="AB41" s="257"/>
      <c r="AC41" s="257"/>
      <c r="AD41" s="257"/>
      <c r="AE41" s="257"/>
      <c r="AF41" s="257"/>
    </row>
    <row r="42" spans="1:33">
      <c r="A42" s="342" t="str">
        <f>A23</f>
        <v>Other industries</v>
      </c>
      <c r="B42" s="33"/>
      <c r="C42" s="353">
        <f>IF(($C23+$E23+$F23)&gt;0,C23 -CHP!$C$9*$C23/($C23+$E23+$F23),0)</f>
        <v>0.77478814002240015</v>
      </c>
      <c r="D42" s="353">
        <f>IF(($C23+$E23+$F23)&gt;0,E23 -CHP!$C$9*E23/($C23+$E23+$F23),0)</f>
        <v>3.4736360778010081E-2</v>
      </c>
      <c r="E42" s="343">
        <f>IF(($C23+$E23+$F23)&gt;0,F23 -CHP!$C$9*F23/($C23+$E23+$F23),0)</f>
        <v>0</v>
      </c>
      <c r="F42" s="344">
        <f>D23</f>
        <v>0</v>
      </c>
      <c r="G42" s="345">
        <f>G23</f>
        <v>0</v>
      </c>
      <c r="H42" s="345">
        <f>H23</f>
        <v>4.8314133585351939</v>
      </c>
      <c r="I42" s="343">
        <f>IF(($I23+$J23+$L23+$M23+$O23)&gt;0,$I23+$J23+$L23 - CHP!$E9*($L23+$I23+$J23)/($I23+$J23+$L23+$M23+$O23),0)</f>
        <v>6.0593208385712423</v>
      </c>
      <c r="J42" s="345">
        <f>K23</f>
        <v>0</v>
      </c>
      <c r="K42" s="343">
        <f>IF(($I23+$J23+$L23+$M23+$O23)&gt;0,$M23+$O23 - CHP!$E9*($M23+$O23)/($I23+$J23+$L23+$M23+$O23),0)</f>
        <v>0.89397675260820431</v>
      </c>
      <c r="L42" s="344">
        <f>N23</f>
        <v>0</v>
      </c>
      <c r="M42" s="346">
        <f>P23+S23-CHP!F9</f>
        <v>2.4657826182215956</v>
      </c>
      <c r="N42" s="344">
        <f>Q23</f>
        <v>0</v>
      </c>
      <c r="O42" s="344">
        <f>R23</f>
        <v>0</v>
      </c>
      <c r="P42" s="347">
        <f>T23</f>
        <v>0</v>
      </c>
      <c r="Q42" s="347">
        <f>X23</f>
        <v>0</v>
      </c>
      <c r="R42" s="352">
        <f>U23+V23+Y23-CHP!H9</f>
        <v>6.5077414988789251</v>
      </c>
      <c r="S42" s="352">
        <f>IF(($W23+$Z23)&gt;0,$W23 - CHP!$I$9*$W23/($W23+$Z23),0)</f>
        <v>0</v>
      </c>
      <c r="T42" s="352">
        <f>IF(($W23+$Z23)&gt;0,$Z23 - CHP!$I$9*$Z23/($W23+$Z23),0)</f>
        <v>0</v>
      </c>
      <c r="U42" s="347">
        <f>AA23</f>
        <v>25.656565695496251</v>
      </c>
      <c r="V42" s="348">
        <f>AB23+CHP!X9+CHP!X10</f>
        <v>7.2735167971174999</v>
      </c>
      <c r="W42" s="351">
        <f t="shared" si="7"/>
        <v>54.497842060229324</v>
      </c>
      <c r="X42" s="257"/>
      <c r="Y42" s="257"/>
      <c r="Z42" s="257" t="s">
        <v>212</v>
      </c>
      <c r="AA42" s="257" t="s">
        <v>267</v>
      </c>
      <c r="AB42" s="257"/>
      <c r="AC42" s="257"/>
      <c r="AD42" s="257"/>
      <c r="AE42" s="257"/>
      <c r="AF42" s="257"/>
    </row>
    <row r="43" spans="1:33" ht="13.5" thickBot="1">
      <c r="A43" s="47" t="s">
        <v>161</v>
      </c>
      <c r="B43" s="47"/>
      <c r="C43" s="354">
        <f t="shared" ref="C43:V43" si="10">SUM(C37:C42)</f>
        <v>4.4139150300924008</v>
      </c>
      <c r="D43" s="355">
        <f t="shared" si="10"/>
        <v>3.4736360778010081E-2</v>
      </c>
      <c r="E43" s="355">
        <f t="shared" si="10"/>
        <v>0</v>
      </c>
      <c r="F43" s="355">
        <f t="shared" si="10"/>
        <v>0</v>
      </c>
      <c r="G43" s="355">
        <f t="shared" si="10"/>
        <v>0</v>
      </c>
      <c r="H43" s="355">
        <f t="shared" si="10"/>
        <v>5.2933742244965236</v>
      </c>
      <c r="I43" s="355">
        <f t="shared" si="10"/>
        <v>9.1346994339459542</v>
      </c>
      <c r="J43" s="355">
        <f t="shared" si="10"/>
        <v>0</v>
      </c>
      <c r="K43" s="355">
        <f t="shared" si="10"/>
        <v>7.1313558027318322</v>
      </c>
      <c r="L43" s="355">
        <f t="shared" si="10"/>
        <v>0</v>
      </c>
      <c r="M43" s="355">
        <f t="shared" si="10"/>
        <v>21.63582412741081</v>
      </c>
      <c r="N43" s="355">
        <f t="shared" si="10"/>
        <v>0</v>
      </c>
      <c r="O43" s="355">
        <f t="shared" si="10"/>
        <v>0</v>
      </c>
      <c r="P43" s="355">
        <f t="shared" si="10"/>
        <v>0</v>
      </c>
      <c r="Q43" s="355">
        <f t="shared" si="10"/>
        <v>0</v>
      </c>
      <c r="R43" s="355">
        <f t="shared" si="10"/>
        <v>8.3046607224857674</v>
      </c>
      <c r="S43" s="355">
        <f t="shared" si="10"/>
        <v>0</v>
      </c>
      <c r="T43" s="355">
        <f t="shared" si="10"/>
        <v>2.2911400353810554</v>
      </c>
      <c r="U43" s="355">
        <f t="shared" si="10"/>
        <v>39.200286507378102</v>
      </c>
      <c r="V43" s="355">
        <f t="shared" si="10"/>
        <v>9.0738253975931382</v>
      </c>
      <c r="W43" s="355">
        <f t="shared" si="7"/>
        <v>106.51381764229359</v>
      </c>
      <c r="X43" s="257"/>
      <c r="Y43" s="257"/>
      <c r="Z43" s="257" t="s">
        <v>218</v>
      </c>
      <c r="AA43" s="257" t="s">
        <v>268</v>
      </c>
      <c r="AB43" s="257"/>
      <c r="AC43" s="257"/>
      <c r="AD43" s="257"/>
      <c r="AE43" s="257"/>
      <c r="AF43" s="257"/>
    </row>
    <row r="44" spans="1:33">
      <c r="A44" s="356"/>
      <c r="B44" s="257"/>
      <c r="C44" s="338" t="s">
        <v>269</v>
      </c>
      <c r="D44" s="338" t="s">
        <v>270</v>
      </c>
      <c r="E44" s="338" t="s">
        <v>271</v>
      </c>
      <c r="F44" s="338" t="s">
        <v>272</v>
      </c>
      <c r="G44" s="338" t="s">
        <v>273</v>
      </c>
      <c r="H44" s="338" t="s">
        <v>274</v>
      </c>
      <c r="I44" s="338" t="s">
        <v>275</v>
      </c>
      <c r="J44" s="338" t="s">
        <v>276</v>
      </c>
      <c r="K44" s="338" t="s">
        <v>277</v>
      </c>
      <c r="L44" s="338" t="s">
        <v>278</v>
      </c>
      <c r="M44" s="338" t="s">
        <v>279</v>
      </c>
      <c r="N44" s="338" t="s">
        <v>280</v>
      </c>
      <c r="O44" s="338" t="s">
        <v>281</v>
      </c>
      <c r="P44" s="338" t="s">
        <v>282</v>
      </c>
      <c r="Q44" s="338" t="s">
        <v>283</v>
      </c>
      <c r="R44" s="338" t="s">
        <v>284</v>
      </c>
      <c r="S44" s="338" t="s">
        <v>285</v>
      </c>
      <c r="T44" s="338" t="s">
        <v>286</v>
      </c>
      <c r="U44" s="338" t="s">
        <v>287</v>
      </c>
      <c r="V44" s="357" t="s">
        <v>288</v>
      </c>
      <c r="W44" s="257" t="s">
        <v>230</v>
      </c>
      <c r="X44" s="257"/>
      <c r="Y44" s="257"/>
      <c r="Z44" s="257" t="s">
        <v>214</v>
      </c>
      <c r="AA44" s="257" t="s">
        <v>289</v>
      </c>
      <c r="AB44" s="257"/>
      <c r="AC44" s="257"/>
      <c r="AD44" s="257"/>
      <c r="AE44" s="257"/>
      <c r="AF44" s="257"/>
    </row>
    <row r="45" spans="1:33">
      <c r="A45" s="358"/>
      <c r="B45" s="257"/>
      <c r="C45" s="339" t="s">
        <v>269</v>
      </c>
      <c r="D45" s="339" t="s">
        <v>290</v>
      </c>
      <c r="E45" s="339" t="s">
        <v>291</v>
      </c>
      <c r="F45" s="339" t="s">
        <v>272</v>
      </c>
      <c r="G45" s="339" t="s">
        <v>273</v>
      </c>
      <c r="H45" s="339" t="s">
        <v>274</v>
      </c>
      <c r="I45" s="339" t="s">
        <v>275</v>
      </c>
      <c r="J45" s="339" t="s">
        <v>276</v>
      </c>
      <c r="K45" s="339" t="s">
        <v>277</v>
      </c>
      <c r="L45" s="339" t="s">
        <v>278</v>
      </c>
      <c r="M45" s="339" t="s">
        <v>279</v>
      </c>
      <c r="N45" s="339" t="s">
        <v>280</v>
      </c>
      <c r="O45" s="339" t="s">
        <v>281</v>
      </c>
      <c r="P45" s="339" t="s">
        <v>282</v>
      </c>
      <c r="Q45" s="339" t="s">
        <v>283</v>
      </c>
      <c r="R45" s="339" t="s">
        <v>284</v>
      </c>
      <c r="S45" s="339" t="s">
        <v>292</v>
      </c>
      <c r="T45" s="339" t="s">
        <v>293</v>
      </c>
      <c r="U45" s="339" t="s">
        <v>287</v>
      </c>
      <c r="V45" s="359" t="s">
        <v>288</v>
      </c>
      <c r="W45" s="257" t="s">
        <v>239</v>
      </c>
      <c r="X45" s="257"/>
      <c r="Y45" s="257"/>
      <c r="Z45" s="257"/>
      <c r="AA45" s="257"/>
      <c r="AB45" s="257"/>
      <c r="AC45" s="257"/>
      <c r="AD45" s="257"/>
      <c r="AE45" s="257"/>
      <c r="AF45" s="257"/>
    </row>
    <row r="46" spans="1:33">
      <c r="A46" s="257"/>
      <c r="B46" s="257"/>
      <c r="C46" s="257"/>
      <c r="D46" s="257"/>
      <c r="E46" s="257"/>
      <c r="F46" s="257"/>
      <c r="G46" s="257"/>
      <c r="H46" s="257"/>
      <c r="I46" s="257"/>
      <c r="J46" s="304"/>
      <c r="K46" s="257"/>
      <c r="L46" s="257"/>
      <c r="M46" s="340"/>
      <c r="N46" s="257"/>
      <c r="O46" s="257"/>
      <c r="P46" s="257"/>
      <c r="Q46" s="257"/>
      <c r="R46" s="340"/>
      <c r="S46" s="257"/>
      <c r="T46" s="257"/>
      <c r="U46" s="340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</row>
    <row r="47" spans="1:33" ht="18.75">
      <c r="A47" s="263" t="s">
        <v>294</v>
      </c>
      <c r="B47" s="264"/>
      <c r="C47" s="264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</row>
    <row r="48" spans="1:33" ht="13.5" thickBot="1">
      <c r="A48" s="47"/>
      <c r="B48" s="47"/>
      <c r="C48" s="48" t="str">
        <f t="shared" ref="C48:V48" si="11">C$44</f>
        <v>INDCOA</v>
      </c>
      <c r="D48" s="48" t="str">
        <f t="shared" si="11"/>
        <v>INDPEA</v>
      </c>
      <c r="E48" s="48" t="str">
        <f t="shared" si="11"/>
        <v>INDCOH</v>
      </c>
      <c r="F48" s="48" t="str">
        <f t="shared" si="11"/>
        <v>INDCOK</v>
      </c>
      <c r="G48" s="48" t="str">
        <f t="shared" si="11"/>
        <v>INDRFG</v>
      </c>
      <c r="H48" s="48" t="str">
        <f t="shared" si="11"/>
        <v>INDLPG</v>
      </c>
      <c r="I48" s="48" t="str">
        <f t="shared" si="11"/>
        <v>INDLFO</v>
      </c>
      <c r="J48" s="48" t="str">
        <f t="shared" si="11"/>
        <v>INDNAP</v>
      </c>
      <c r="K48" s="48" t="str">
        <f t="shared" si="11"/>
        <v>INDHFO</v>
      </c>
      <c r="L48" s="48" t="str">
        <f t="shared" si="11"/>
        <v>INDNEU</v>
      </c>
      <c r="M48" s="48" t="str">
        <f t="shared" si="11"/>
        <v>INDGAS</v>
      </c>
      <c r="N48" s="48" t="str">
        <f t="shared" si="11"/>
        <v>INDCOG</v>
      </c>
      <c r="O48" s="48" t="str">
        <f t="shared" si="11"/>
        <v>INDBFG</v>
      </c>
      <c r="P48" s="48" t="str">
        <f t="shared" si="11"/>
        <v>INDSOL</v>
      </c>
      <c r="Q48" s="48" t="str">
        <f t="shared" si="11"/>
        <v>INDGEO</v>
      </c>
      <c r="R48" s="48" t="str">
        <f t="shared" si="11"/>
        <v>INDBIO</v>
      </c>
      <c r="S48" s="48" t="str">
        <f t="shared" si="11"/>
        <v>INDWASS</v>
      </c>
      <c r="T48" s="48" t="str">
        <f t="shared" si="11"/>
        <v>INDWASL</v>
      </c>
      <c r="U48" s="48" t="str">
        <f t="shared" si="11"/>
        <v>INDELC</v>
      </c>
      <c r="V48" s="48" t="str">
        <f t="shared" si="11"/>
        <v>INDHTH</v>
      </c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</row>
    <row r="49" spans="1:32">
      <c r="A49" s="342" t="str">
        <f>$A$38</f>
        <v>101810 Final energy consumption  Nonferrous metal industry</v>
      </c>
      <c r="B49" s="360"/>
      <c r="C49" s="361">
        <f t="shared" ref="C49:V49" si="12">C38</f>
        <v>0</v>
      </c>
      <c r="D49" s="361">
        <f t="shared" si="12"/>
        <v>0</v>
      </c>
      <c r="E49" s="361">
        <f t="shared" si="12"/>
        <v>0</v>
      </c>
      <c r="F49" s="361">
        <f t="shared" si="12"/>
        <v>0</v>
      </c>
      <c r="G49" s="361">
        <f t="shared" si="12"/>
        <v>0</v>
      </c>
      <c r="H49" s="361">
        <f t="shared" si="12"/>
        <v>0.25189941559023471</v>
      </c>
      <c r="I49" s="361">
        <f t="shared" si="12"/>
        <v>0.10421439676213322</v>
      </c>
      <c r="J49" s="361">
        <f t="shared" si="12"/>
        <v>0</v>
      </c>
      <c r="K49" s="361">
        <f t="shared" si="12"/>
        <v>4.3537175224000003E-2</v>
      </c>
      <c r="L49" s="361">
        <f t="shared" si="12"/>
        <v>0</v>
      </c>
      <c r="M49" s="361">
        <f t="shared" si="12"/>
        <v>17.680641010586502</v>
      </c>
      <c r="N49" s="361">
        <f t="shared" si="12"/>
        <v>0</v>
      </c>
      <c r="O49" s="361">
        <f t="shared" si="12"/>
        <v>0</v>
      </c>
      <c r="P49" s="361">
        <f t="shared" si="12"/>
        <v>0</v>
      </c>
      <c r="Q49" s="361">
        <f t="shared" si="12"/>
        <v>0</v>
      </c>
      <c r="R49" s="361">
        <f t="shared" si="12"/>
        <v>0</v>
      </c>
      <c r="S49" s="361">
        <f t="shared" si="12"/>
        <v>0</v>
      </c>
      <c r="T49" s="361">
        <f t="shared" si="12"/>
        <v>0</v>
      </c>
      <c r="U49" s="361">
        <f t="shared" si="12"/>
        <v>2.9656597537313885</v>
      </c>
      <c r="V49" s="361">
        <f t="shared" si="12"/>
        <v>0</v>
      </c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</row>
    <row r="50" spans="1:32">
      <c r="A50" s="342"/>
      <c r="B50" s="33" t="s">
        <v>295</v>
      </c>
      <c r="C50" s="362"/>
      <c r="D50" s="362"/>
      <c r="E50" s="362"/>
      <c r="F50" s="362"/>
      <c r="G50" s="362"/>
      <c r="H50" s="362"/>
      <c r="I50" s="363"/>
      <c r="J50" s="362"/>
      <c r="K50" s="362"/>
      <c r="L50" s="362"/>
      <c r="M50" s="363"/>
      <c r="N50" s="362"/>
      <c r="O50" s="362"/>
      <c r="P50" s="362"/>
      <c r="Q50" s="362"/>
      <c r="R50" s="362"/>
      <c r="S50" s="362"/>
      <c r="T50" s="362"/>
      <c r="U50" s="363"/>
      <c r="V50" s="363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</row>
    <row r="51" spans="1:32">
      <c r="A51" s="342"/>
      <c r="B51" s="33" t="s">
        <v>296</v>
      </c>
      <c r="C51" s="363"/>
      <c r="D51" s="362"/>
      <c r="E51" s="362"/>
      <c r="F51" s="363"/>
      <c r="G51" s="362"/>
      <c r="H51" s="363"/>
      <c r="I51" s="363"/>
      <c r="J51" s="362"/>
      <c r="K51" s="363"/>
      <c r="L51" s="362"/>
      <c r="M51" s="363"/>
      <c r="N51" s="362"/>
      <c r="O51" s="362"/>
      <c r="P51" s="362"/>
      <c r="Q51" s="362"/>
      <c r="R51" s="362"/>
      <c r="S51" s="362"/>
      <c r="T51" s="362"/>
      <c r="U51" s="363"/>
      <c r="V51" s="363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</row>
    <row r="52" spans="1:32">
      <c r="A52" s="342"/>
      <c r="B52" s="33" t="s">
        <v>297</v>
      </c>
      <c r="C52" s="363"/>
      <c r="D52" s="363"/>
      <c r="E52" s="363"/>
      <c r="F52" s="363"/>
      <c r="G52" s="362"/>
      <c r="H52" s="363">
        <v>1</v>
      </c>
      <c r="I52" s="363">
        <v>1</v>
      </c>
      <c r="J52" s="362"/>
      <c r="K52" s="363">
        <v>1</v>
      </c>
      <c r="L52" s="362"/>
      <c r="M52" s="363">
        <v>1</v>
      </c>
      <c r="N52" s="362"/>
      <c r="O52" s="362"/>
      <c r="P52" s="362"/>
      <c r="Q52" s="362"/>
      <c r="R52" s="362"/>
      <c r="S52" s="362"/>
      <c r="T52" s="363"/>
      <c r="U52" s="363">
        <v>1</v>
      </c>
      <c r="V52" s="363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</row>
    <row r="53" spans="1:32">
      <c r="A53" s="364" t="s">
        <v>202</v>
      </c>
      <c r="B53" s="364"/>
      <c r="C53" s="365" t="str">
        <f t="shared" ref="C53:M53" si="13">IF(C38=0,"",IF(SUM(C50:C52)&lt;&gt;1,"ERR: " &amp; SUM(C50:C52),SUM(C50:C52)))</f>
        <v/>
      </c>
      <c r="D53" s="365" t="str">
        <f t="shared" si="13"/>
        <v/>
      </c>
      <c r="E53" s="365" t="str">
        <f t="shared" si="13"/>
        <v/>
      </c>
      <c r="F53" s="365" t="str">
        <f t="shared" si="13"/>
        <v/>
      </c>
      <c r="G53" s="365" t="str">
        <f t="shared" si="13"/>
        <v/>
      </c>
      <c r="H53" s="365">
        <f t="shared" si="13"/>
        <v>1</v>
      </c>
      <c r="I53" s="365">
        <f t="shared" si="13"/>
        <v>1</v>
      </c>
      <c r="J53" s="365" t="str">
        <f t="shared" si="13"/>
        <v/>
      </c>
      <c r="K53" s="365">
        <f t="shared" si="13"/>
        <v>1</v>
      </c>
      <c r="L53" s="365" t="str">
        <f t="shared" si="13"/>
        <v/>
      </c>
      <c r="M53" s="365">
        <f t="shared" si="13"/>
        <v>1</v>
      </c>
      <c r="N53" s="365"/>
      <c r="O53" s="365"/>
      <c r="P53" s="365"/>
      <c r="Q53" s="365"/>
      <c r="R53" s="365"/>
      <c r="S53" s="365"/>
      <c r="T53" s="365" t="str">
        <f>IF(T38=0,"",IF(SUM(T50:T52)&lt;&gt;1,"ERR: " &amp; SUM(T50:T52),SUM(T50:T52)))</f>
        <v/>
      </c>
      <c r="U53" s="365">
        <f>IF(U38=0,"",IF(SUM(U50:U52)&lt;&gt;1,"ERR: " &amp; SUM(U50:U52),SUM(U50:U52)))</f>
        <v>1</v>
      </c>
      <c r="V53" s="365" t="str">
        <f>IF(V38=0,"",IF(SUM(V50:V52)&lt;&gt;1,"ERR: " &amp; SUM(V50:V52),SUM(V50:V52)))</f>
        <v/>
      </c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</row>
    <row r="54" spans="1:32">
      <c r="A54" s="342" t="str">
        <f>$A$39</f>
        <v>101815 Final energy consumption  Chemical industry</v>
      </c>
      <c r="B54" s="366"/>
      <c r="C54" s="361">
        <f t="shared" ref="C54:V54" si="14">C39</f>
        <v>0</v>
      </c>
      <c r="D54" s="361">
        <f t="shared" si="14"/>
        <v>0</v>
      </c>
      <c r="E54" s="361">
        <f t="shared" si="14"/>
        <v>0</v>
      </c>
      <c r="F54" s="361">
        <f t="shared" si="14"/>
        <v>0</v>
      </c>
      <c r="G54" s="361">
        <f t="shared" si="14"/>
        <v>0</v>
      </c>
      <c r="H54" s="361">
        <f t="shared" si="14"/>
        <v>0.13684501123760154</v>
      </c>
      <c r="I54" s="361">
        <f t="shared" si="14"/>
        <v>0.86160932796462297</v>
      </c>
      <c r="J54" s="361">
        <f t="shared" si="14"/>
        <v>0</v>
      </c>
      <c r="K54" s="361">
        <f t="shared" si="14"/>
        <v>0.16128869235273877</v>
      </c>
      <c r="L54" s="361">
        <f t="shared" si="14"/>
        <v>0</v>
      </c>
      <c r="M54" s="361">
        <f t="shared" si="14"/>
        <v>0.58994121161597679</v>
      </c>
      <c r="N54" s="361">
        <f t="shared" si="14"/>
        <v>0</v>
      </c>
      <c r="O54" s="361">
        <f t="shared" si="14"/>
        <v>0</v>
      </c>
      <c r="P54" s="361">
        <f t="shared" si="14"/>
        <v>0</v>
      </c>
      <c r="Q54" s="361">
        <f t="shared" si="14"/>
        <v>0</v>
      </c>
      <c r="R54" s="361">
        <f t="shared" si="14"/>
        <v>0</v>
      </c>
      <c r="S54" s="361">
        <f t="shared" si="14"/>
        <v>0</v>
      </c>
      <c r="T54" s="361">
        <f t="shared" si="14"/>
        <v>0</v>
      </c>
      <c r="U54" s="361">
        <f t="shared" si="14"/>
        <v>7.1523206245497821</v>
      </c>
      <c r="V54" s="361">
        <f t="shared" si="14"/>
        <v>1.8003086004756379</v>
      </c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</row>
    <row r="55" spans="1:32">
      <c r="A55" s="342"/>
      <c r="B55" s="33" t="s">
        <v>298</v>
      </c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3">
        <v>0</v>
      </c>
      <c r="N55" s="362"/>
      <c r="O55" s="362"/>
      <c r="P55" s="362"/>
      <c r="Q55" s="362"/>
      <c r="R55" s="362"/>
      <c r="S55" s="362"/>
      <c r="T55" s="362"/>
      <c r="U55" s="363">
        <v>0</v>
      </c>
      <c r="V55" s="362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</row>
    <row r="56" spans="1:32">
      <c r="A56" s="342"/>
      <c r="B56" s="33" t="s">
        <v>299</v>
      </c>
      <c r="C56" s="362"/>
      <c r="D56" s="362"/>
      <c r="E56" s="362"/>
      <c r="F56" s="362"/>
      <c r="G56" s="362"/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  <c r="S56" s="362"/>
      <c r="T56" s="362"/>
      <c r="U56" s="363"/>
      <c r="V56" s="363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</row>
    <row r="57" spans="1:32">
      <c r="A57" s="342"/>
      <c r="B57" s="33" t="s">
        <v>297</v>
      </c>
      <c r="C57" s="363"/>
      <c r="D57" s="363"/>
      <c r="E57" s="363"/>
      <c r="F57" s="363"/>
      <c r="G57" s="363"/>
      <c r="H57" s="363">
        <v>1</v>
      </c>
      <c r="I57" s="363">
        <v>1</v>
      </c>
      <c r="J57" s="363"/>
      <c r="K57" s="363">
        <v>1</v>
      </c>
      <c r="L57" s="362"/>
      <c r="M57" s="363">
        <v>1</v>
      </c>
      <c r="N57" s="363"/>
      <c r="O57" s="362"/>
      <c r="P57" s="362"/>
      <c r="Q57" s="362"/>
      <c r="R57" s="363"/>
      <c r="S57" s="362"/>
      <c r="T57" s="363"/>
      <c r="U57" s="363">
        <f>1-U55</f>
        <v>1</v>
      </c>
      <c r="V57" s="363">
        <v>1</v>
      </c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</row>
    <row r="58" spans="1:32">
      <c r="A58" s="364" t="s">
        <v>202</v>
      </c>
      <c r="B58" s="364"/>
      <c r="C58" s="365" t="str">
        <f t="shared" ref="C58:K58" si="15">IF(C39=0,"",IF(SUM(C55:C57)&lt;&gt;1,"ERR: " &amp; SUM(C55:C57),SUM(C55:C57)))</f>
        <v/>
      </c>
      <c r="D58" s="365" t="str">
        <f t="shared" si="15"/>
        <v/>
      </c>
      <c r="E58" s="365" t="str">
        <f t="shared" si="15"/>
        <v/>
      </c>
      <c r="F58" s="365" t="str">
        <f t="shared" si="15"/>
        <v/>
      </c>
      <c r="G58" s="365" t="str">
        <f t="shared" si="15"/>
        <v/>
      </c>
      <c r="H58" s="365">
        <f t="shared" si="15"/>
        <v>1</v>
      </c>
      <c r="I58" s="365">
        <f t="shared" si="15"/>
        <v>1</v>
      </c>
      <c r="J58" s="365" t="str">
        <f t="shared" si="15"/>
        <v/>
      </c>
      <c r="K58" s="365">
        <f t="shared" si="15"/>
        <v>1</v>
      </c>
      <c r="L58" s="365"/>
      <c r="M58" s="365">
        <f t="shared" ref="M58:V58" si="16">IF(M39=0,"",IF(SUM(M55:M57)&lt;&gt;1,"ERR: " &amp; SUM(M55:M57),SUM(M55:M57)))</f>
        <v>1</v>
      </c>
      <c r="N58" s="365" t="str">
        <f t="shared" si="16"/>
        <v/>
      </c>
      <c r="O58" s="365" t="str">
        <f t="shared" si="16"/>
        <v/>
      </c>
      <c r="P58" s="365" t="str">
        <f t="shared" si="16"/>
        <v/>
      </c>
      <c r="Q58" s="365" t="str">
        <f t="shared" si="16"/>
        <v/>
      </c>
      <c r="R58" s="365" t="str">
        <f t="shared" si="16"/>
        <v/>
      </c>
      <c r="S58" s="365" t="str">
        <f t="shared" si="16"/>
        <v/>
      </c>
      <c r="T58" s="365" t="str">
        <f t="shared" si="16"/>
        <v/>
      </c>
      <c r="U58" s="365">
        <f t="shared" si="16"/>
        <v>1</v>
      </c>
      <c r="V58" s="365">
        <f t="shared" si="16"/>
        <v>1</v>
      </c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</row>
    <row r="59" spans="1:32">
      <c r="A59" s="342" t="str">
        <f>$A$40</f>
        <v>101820 Final energy consumption  Nonmetallic mineral products industry</v>
      </c>
      <c r="B59" s="366"/>
      <c r="C59" s="361">
        <f t="shared" ref="C59:V59" si="17">C40</f>
        <v>3.6391268900700005</v>
      </c>
      <c r="D59" s="361">
        <f t="shared" si="17"/>
        <v>0</v>
      </c>
      <c r="E59" s="361">
        <f t="shared" si="17"/>
        <v>0</v>
      </c>
      <c r="F59" s="361">
        <f t="shared" si="17"/>
        <v>0</v>
      </c>
      <c r="G59" s="361">
        <f t="shared" si="17"/>
        <v>0</v>
      </c>
      <c r="H59" s="361">
        <f t="shared" si="17"/>
        <v>6.1594782128177331E-2</v>
      </c>
      <c r="I59" s="361">
        <f t="shared" si="17"/>
        <v>2.0116483033693555</v>
      </c>
      <c r="J59" s="361">
        <f t="shared" si="17"/>
        <v>0</v>
      </c>
      <c r="K59" s="361">
        <f t="shared" si="17"/>
        <v>6.0199642193968765</v>
      </c>
      <c r="L59" s="361">
        <f t="shared" si="17"/>
        <v>0</v>
      </c>
      <c r="M59" s="361">
        <f t="shared" si="17"/>
        <v>0.7496971002864834</v>
      </c>
      <c r="N59" s="361">
        <f t="shared" si="17"/>
        <v>0</v>
      </c>
      <c r="O59" s="361">
        <f t="shared" si="17"/>
        <v>0</v>
      </c>
      <c r="P59" s="361">
        <f t="shared" si="17"/>
        <v>0</v>
      </c>
      <c r="Q59" s="361">
        <f t="shared" si="17"/>
        <v>0</v>
      </c>
      <c r="R59" s="361">
        <f t="shared" si="17"/>
        <v>1.7969192236068419</v>
      </c>
      <c r="S59" s="361">
        <f t="shared" si="17"/>
        <v>0</v>
      </c>
      <c r="T59" s="361">
        <f t="shared" si="17"/>
        <v>2.2911400353810554</v>
      </c>
      <c r="U59" s="361">
        <f t="shared" si="17"/>
        <v>2.5041740143626483</v>
      </c>
      <c r="V59" s="361">
        <f t="shared" si="17"/>
        <v>0</v>
      </c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</row>
    <row r="60" spans="1:32">
      <c r="A60" s="342"/>
      <c r="B60" s="33" t="s">
        <v>300</v>
      </c>
      <c r="C60" s="363">
        <v>1</v>
      </c>
      <c r="D60" s="362"/>
      <c r="E60" s="362"/>
      <c r="F60" s="362"/>
      <c r="G60" s="362"/>
      <c r="H60" s="362"/>
      <c r="I60" s="363">
        <v>6.2E-2</v>
      </c>
      <c r="J60" s="362"/>
      <c r="K60" s="363">
        <v>0.96499999999999997</v>
      </c>
      <c r="L60" s="362"/>
      <c r="M60" s="362"/>
      <c r="N60" s="362"/>
      <c r="O60" s="362"/>
      <c r="P60" s="362"/>
      <c r="Q60" s="362"/>
      <c r="R60" s="367">
        <v>1</v>
      </c>
      <c r="S60" s="362"/>
      <c r="T60" s="367">
        <v>1</v>
      </c>
      <c r="U60" s="363">
        <f>1-U64</f>
        <v>0.7</v>
      </c>
      <c r="V60" s="362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</row>
    <row r="61" spans="1:32">
      <c r="A61" s="342"/>
      <c r="B61" s="33" t="s">
        <v>301</v>
      </c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3">
        <v>0</v>
      </c>
      <c r="N61" s="363"/>
      <c r="O61" s="362"/>
      <c r="P61" s="362"/>
      <c r="Q61" s="362"/>
      <c r="R61" s="362"/>
      <c r="S61" s="362"/>
      <c r="T61" s="362"/>
      <c r="U61" s="362"/>
      <c r="V61" s="362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</row>
    <row r="62" spans="1:32">
      <c r="A62" s="342"/>
      <c r="B62" s="33" t="s">
        <v>302</v>
      </c>
      <c r="C62" s="362"/>
      <c r="D62" s="362"/>
      <c r="E62" s="362"/>
      <c r="F62" s="362"/>
      <c r="G62" s="362"/>
      <c r="H62" s="362"/>
      <c r="I62" s="362"/>
      <c r="J62" s="362"/>
      <c r="K62" s="363">
        <v>0</v>
      </c>
      <c r="L62" s="362"/>
      <c r="M62" s="363">
        <v>0</v>
      </c>
      <c r="N62" s="362"/>
      <c r="O62" s="362"/>
      <c r="P62" s="362"/>
      <c r="Q62" s="362"/>
      <c r="R62" s="362"/>
      <c r="S62" s="362"/>
      <c r="T62" s="362"/>
      <c r="U62" s="363"/>
      <c r="V62" s="362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</row>
    <row r="63" spans="1:32">
      <c r="A63" s="342"/>
      <c r="B63" s="33" t="s">
        <v>303</v>
      </c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3"/>
      <c r="N63" s="362"/>
      <c r="O63" s="362"/>
      <c r="P63" s="362"/>
      <c r="Q63" s="362"/>
      <c r="R63" s="362"/>
      <c r="S63" s="362"/>
      <c r="T63" s="362"/>
      <c r="U63" s="363"/>
      <c r="V63" s="362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</row>
    <row r="64" spans="1:32">
      <c r="A64" s="342"/>
      <c r="B64" s="33" t="s">
        <v>297</v>
      </c>
      <c r="C64" s="363">
        <v>0</v>
      </c>
      <c r="D64" s="363"/>
      <c r="E64" s="363"/>
      <c r="F64" s="363"/>
      <c r="G64" s="362"/>
      <c r="H64" s="363">
        <v>1</v>
      </c>
      <c r="I64" s="363">
        <f>1-I60</f>
        <v>0.93799999999999994</v>
      </c>
      <c r="J64" s="362"/>
      <c r="K64" s="363">
        <f>1-K62-K60</f>
        <v>3.5000000000000031E-2</v>
      </c>
      <c r="L64" s="362"/>
      <c r="M64" s="363">
        <f>1-M62-M61</f>
        <v>1</v>
      </c>
      <c r="N64" s="363"/>
      <c r="O64" s="363"/>
      <c r="P64" s="362"/>
      <c r="Q64" s="362"/>
      <c r="R64" s="363"/>
      <c r="S64" s="362"/>
      <c r="T64" s="363"/>
      <c r="U64" s="363">
        <v>0.3</v>
      </c>
      <c r="V64" s="363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</row>
    <row r="65" spans="1:32">
      <c r="A65" s="364" t="s">
        <v>202</v>
      </c>
      <c r="B65" s="364"/>
      <c r="C65" s="365">
        <f t="shared" ref="C65:O65" si="18">IF(C40=0,"",IF(SUM(C60:C64)&lt;&gt;1,"ERR: " &amp; SUM(C60:C64),SUM(C60:C64)))</f>
        <v>1</v>
      </c>
      <c r="D65" s="365" t="str">
        <f t="shared" si="18"/>
        <v/>
      </c>
      <c r="E65" s="365" t="str">
        <f t="shared" si="18"/>
        <v/>
      </c>
      <c r="F65" s="365" t="str">
        <f t="shared" si="18"/>
        <v/>
      </c>
      <c r="G65" s="365" t="str">
        <f t="shared" si="18"/>
        <v/>
      </c>
      <c r="H65" s="365">
        <f t="shared" si="18"/>
        <v>1</v>
      </c>
      <c r="I65" s="365">
        <f t="shared" si="18"/>
        <v>1</v>
      </c>
      <c r="J65" s="365" t="str">
        <f t="shared" si="18"/>
        <v/>
      </c>
      <c r="K65" s="365">
        <f t="shared" si="18"/>
        <v>1</v>
      </c>
      <c r="L65" s="365" t="str">
        <f t="shared" si="18"/>
        <v/>
      </c>
      <c r="M65" s="365">
        <f t="shared" si="18"/>
        <v>1</v>
      </c>
      <c r="N65" s="365" t="str">
        <f t="shared" si="18"/>
        <v/>
      </c>
      <c r="O65" s="365" t="str">
        <f t="shared" si="18"/>
        <v/>
      </c>
      <c r="P65" s="365" t="str">
        <f>IF(P40=0,"",IF(SUM(P60:P63)&lt;&gt;1,"ERR: " &amp; SUM(P60:P63),SUM(P60:P63)))</f>
        <v/>
      </c>
      <c r="Q65" s="365" t="str">
        <f>IF(Q40=0,"",IF(SUM(Q60:Q63)&lt;&gt;1,"ERR: " &amp; SUM(Q60:Q63),SUM(Q60:Q63)))</f>
        <v/>
      </c>
      <c r="R65" s="365">
        <f>IF(R40=0,"",IF(SUM(R60:R64)&lt;&gt;1,"ERR: " &amp; SUM(R60:R64),SUM(R60:R64)))</f>
        <v>1</v>
      </c>
      <c r="S65" s="365"/>
      <c r="T65" s="365">
        <f>IF(T40=0,"",IF(SUM(T60:T64)&lt;&gt;1,"ERR: " &amp; SUM(T60:T64),SUM(T60:T64)))</f>
        <v>1</v>
      </c>
      <c r="U65" s="365">
        <f>IF(U40=0,"",IF(SUM(U60:U64)&lt;&gt;1,"ERR: " &amp; SUM(U60:U64),SUM(U60:U64)))</f>
        <v>1</v>
      </c>
      <c r="V65" s="365" t="str">
        <f>IF(V40=0,"",IF(SUM(V60:V64)&lt;&gt;1,"ERR: " &amp; SUM(V60:V64),SUM(V60:V64)))</f>
        <v/>
      </c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</row>
    <row r="66" spans="1:32">
      <c r="A66" s="342" t="str">
        <f>$A$41</f>
        <v>101840 Final energy consumption  Paper and printing industry</v>
      </c>
      <c r="B66" s="366"/>
      <c r="C66" s="361">
        <f t="shared" ref="C66:V66" si="19">C41</f>
        <v>0</v>
      </c>
      <c r="D66" s="361">
        <f t="shared" si="19"/>
        <v>0</v>
      </c>
      <c r="E66" s="361">
        <f t="shared" si="19"/>
        <v>0</v>
      </c>
      <c r="F66" s="361">
        <f t="shared" si="19"/>
        <v>0</v>
      </c>
      <c r="G66" s="361">
        <f t="shared" si="19"/>
        <v>0</v>
      </c>
      <c r="H66" s="361">
        <f t="shared" si="19"/>
        <v>1.1621657005316479E-2</v>
      </c>
      <c r="I66" s="361">
        <f t="shared" si="19"/>
        <v>9.79065672786011E-2</v>
      </c>
      <c r="J66" s="361">
        <f t="shared" si="19"/>
        <v>0</v>
      </c>
      <c r="K66" s="361">
        <f t="shared" si="19"/>
        <v>1.2588963150012388E-2</v>
      </c>
      <c r="L66" s="361">
        <f t="shared" si="19"/>
        <v>0</v>
      </c>
      <c r="M66" s="361">
        <f t="shared" si="19"/>
        <v>0.14976218670025493</v>
      </c>
      <c r="N66" s="361">
        <f t="shared" si="19"/>
        <v>0</v>
      </c>
      <c r="O66" s="361">
        <f t="shared" si="19"/>
        <v>0</v>
      </c>
      <c r="P66" s="361">
        <f t="shared" si="19"/>
        <v>0</v>
      </c>
      <c r="Q66" s="361">
        <f t="shared" si="19"/>
        <v>0</v>
      </c>
      <c r="R66" s="361">
        <f t="shared" si="19"/>
        <v>0</v>
      </c>
      <c r="S66" s="361">
        <f t="shared" si="19"/>
        <v>0</v>
      </c>
      <c r="T66" s="361">
        <f t="shared" si="19"/>
        <v>0</v>
      </c>
      <c r="U66" s="361">
        <f t="shared" si="19"/>
        <v>0.92156641923803218</v>
      </c>
      <c r="V66" s="361">
        <f t="shared" si="19"/>
        <v>0</v>
      </c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</row>
    <row r="67" spans="1:32" ht="25.5">
      <c r="A67" s="342"/>
      <c r="B67" s="368" t="s">
        <v>304</v>
      </c>
      <c r="C67" s="367">
        <v>0.5</v>
      </c>
      <c r="D67" s="363"/>
      <c r="E67" s="363"/>
      <c r="F67" s="362"/>
      <c r="G67" s="362"/>
      <c r="H67" s="367">
        <v>0.5</v>
      </c>
      <c r="I67" s="363">
        <v>0.5</v>
      </c>
      <c r="J67" s="362"/>
      <c r="K67" s="363">
        <v>0.5</v>
      </c>
      <c r="L67" s="362"/>
      <c r="M67" s="367">
        <v>0.5</v>
      </c>
      <c r="N67" s="363"/>
      <c r="O67" s="362"/>
      <c r="P67" s="362"/>
      <c r="Q67" s="362"/>
      <c r="R67" s="363"/>
      <c r="S67" s="362"/>
      <c r="T67" s="362"/>
      <c r="U67" s="363">
        <v>0.5</v>
      </c>
      <c r="V67" s="367">
        <v>0.5</v>
      </c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</row>
    <row r="68" spans="1:32" ht="25.5">
      <c r="A68" s="342"/>
      <c r="B68" s="33" t="s">
        <v>305</v>
      </c>
      <c r="C68" s="367">
        <v>0.5</v>
      </c>
      <c r="D68" s="363"/>
      <c r="E68" s="363"/>
      <c r="F68" s="362"/>
      <c r="G68" s="362"/>
      <c r="H68" s="367">
        <v>0.5</v>
      </c>
      <c r="I68" s="363">
        <v>0.5</v>
      </c>
      <c r="J68" s="362"/>
      <c r="K68" s="363">
        <v>0.5</v>
      </c>
      <c r="L68" s="362"/>
      <c r="M68" s="367">
        <v>0.5</v>
      </c>
      <c r="N68" s="363"/>
      <c r="O68" s="362"/>
      <c r="P68" s="362"/>
      <c r="Q68" s="362"/>
      <c r="R68" s="363"/>
      <c r="S68" s="362"/>
      <c r="T68" s="362"/>
      <c r="U68" s="363">
        <v>0.5</v>
      </c>
      <c r="V68" s="367">
        <v>0.5</v>
      </c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</row>
    <row r="69" spans="1:32">
      <c r="A69" s="364" t="s">
        <v>202</v>
      </c>
      <c r="B69" s="364"/>
      <c r="C69" s="365" t="str">
        <f>IF(C41=0,"",IF(SUM(C67:C68)&lt;&gt;1,"ERR: " &amp; SUM(C67:C68),SUM(C67:C68)))</f>
        <v/>
      </c>
      <c r="D69" s="365" t="str">
        <f>IF(D41=0,"",IF(SUM(D67:D68)&lt;&gt;1,"ERR: " &amp; SUM(D67:D68),SUM(D67:D68)))</f>
        <v/>
      </c>
      <c r="E69" s="365" t="str">
        <f>IF(E41=0,"",IF(SUM(E67:E68)&lt;&gt;1,"ERR: " &amp; SUM(E67:E68),SUM(E67:E68)))</f>
        <v/>
      </c>
      <c r="F69" s="365"/>
      <c r="G69" s="365" t="str">
        <f t="shared" ref="G69:R69" si="20">IF(G41=0,"",IF(SUM(G67:G68)&lt;&gt;1,"ERR: " &amp; SUM(G67:G68),SUM(G67:G68)))</f>
        <v/>
      </c>
      <c r="H69" s="365">
        <f t="shared" si="20"/>
        <v>1</v>
      </c>
      <c r="I69" s="365">
        <f t="shared" si="20"/>
        <v>1</v>
      </c>
      <c r="J69" s="365" t="str">
        <f t="shared" si="20"/>
        <v/>
      </c>
      <c r="K69" s="365">
        <f t="shared" si="20"/>
        <v>1</v>
      </c>
      <c r="L69" s="365" t="str">
        <f t="shared" si="20"/>
        <v/>
      </c>
      <c r="M69" s="365">
        <f t="shared" si="20"/>
        <v>1</v>
      </c>
      <c r="N69" s="365" t="str">
        <f t="shared" si="20"/>
        <v/>
      </c>
      <c r="O69" s="365" t="str">
        <f t="shared" si="20"/>
        <v/>
      </c>
      <c r="P69" s="365" t="str">
        <f t="shared" si="20"/>
        <v/>
      </c>
      <c r="Q69" s="365" t="str">
        <f t="shared" si="20"/>
        <v/>
      </c>
      <c r="R69" s="365" t="str">
        <f t="shared" si="20"/>
        <v/>
      </c>
      <c r="S69" s="365"/>
      <c r="T69" s="365"/>
      <c r="U69" s="365">
        <f>IF(U41=0,"",IF(SUM(U67:U68)&lt;&gt;1,"ERR: " &amp; SUM(U67:U68),SUM(U67:U68)))</f>
        <v>1</v>
      </c>
      <c r="V69" s="365" t="str">
        <f>IF(V41=0,"",IF(SUM(V67:V68)&lt;&gt;1,"ERR: " &amp; SUM(V67:V68),SUM(V67:V68)))</f>
        <v/>
      </c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</row>
    <row r="70" spans="1:32">
      <c r="A70" s="356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</row>
    <row r="71" spans="1:32" ht="18.75">
      <c r="A71" s="263" t="s">
        <v>306</v>
      </c>
      <c r="B71" s="264"/>
      <c r="C71" s="264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</row>
    <row r="72" spans="1:32" ht="13.5" thickBot="1">
      <c r="A72" s="47"/>
      <c r="B72" s="47"/>
      <c r="C72" s="48" t="str">
        <f t="shared" ref="C72:V72" si="21">C$44</f>
        <v>INDCOA</v>
      </c>
      <c r="D72" s="48" t="str">
        <f t="shared" si="21"/>
        <v>INDPEA</v>
      </c>
      <c r="E72" s="48" t="str">
        <f t="shared" si="21"/>
        <v>INDCOH</v>
      </c>
      <c r="F72" s="48" t="str">
        <f t="shared" si="21"/>
        <v>INDCOK</v>
      </c>
      <c r="G72" s="48" t="str">
        <f t="shared" si="21"/>
        <v>INDRFG</v>
      </c>
      <c r="H72" s="48" t="str">
        <f t="shared" si="21"/>
        <v>INDLPG</v>
      </c>
      <c r="I72" s="48" t="str">
        <f t="shared" si="21"/>
        <v>INDLFO</v>
      </c>
      <c r="J72" s="48" t="str">
        <f t="shared" si="21"/>
        <v>INDNAP</v>
      </c>
      <c r="K72" s="48" t="str">
        <f t="shared" si="21"/>
        <v>INDHFO</v>
      </c>
      <c r="L72" s="48" t="str">
        <f t="shared" si="21"/>
        <v>INDNEU</v>
      </c>
      <c r="M72" s="48" t="str">
        <f t="shared" si="21"/>
        <v>INDGAS</v>
      </c>
      <c r="N72" s="48" t="str">
        <f t="shared" si="21"/>
        <v>INDCOG</v>
      </c>
      <c r="O72" s="48" t="str">
        <f t="shared" si="21"/>
        <v>INDBFG</v>
      </c>
      <c r="P72" s="48" t="str">
        <f t="shared" si="21"/>
        <v>INDSOL</v>
      </c>
      <c r="Q72" s="48" t="str">
        <f t="shared" si="21"/>
        <v>INDGEO</v>
      </c>
      <c r="R72" s="48" t="str">
        <f t="shared" si="21"/>
        <v>INDBIO</v>
      </c>
      <c r="S72" s="48" t="str">
        <f t="shared" si="21"/>
        <v>INDWASS</v>
      </c>
      <c r="T72" s="48" t="str">
        <f t="shared" si="21"/>
        <v>INDWASL</v>
      </c>
      <c r="U72" s="48" t="str">
        <f t="shared" si="21"/>
        <v>INDELC</v>
      </c>
      <c r="V72" s="48" t="str">
        <f t="shared" si="21"/>
        <v>INDHTH</v>
      </c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</row>
    <row r="73" spans="1:32">
      <c r="A73" s="369" t="s">
        <v>307</v>
      </c>
      <c r="B73" s="342"/>
      <c r="C73" s="370">
        <f t="shared" ref="C73:V73" si="22">C38*C52</f>
        <v>0</v>
      </c>
      <c r="D73" s="370">
        <f t="shared" si="22"/>
        <v>0</v>
      </c>
      <c r="E73" s="370">
        <f t="shared" si="22"/>
        <v>0</v>
      </c>
      <c r="F73" s="370">
        <f t="shared" si="22"/>
        <v>0</v>
      </c>
      <c r="G73" s="370">
        <f t="shared" si="22"/>
        <v>0</v>
      </c>
      <c r="H73" s="370">
        <f t="shared" si="22"/>
        <v>0.25189941559023471</v>
      </c>
      <c r="I73" s="370">
        <f t="shared" si="22"/>
        <v>0.10421439676213322</v>
      </c>
      <c r="J73" s="370">
        <f t="shared" si="22"/>
        <v>0</v>
      </c>
      <c r="K73" s="370">
        <f t="shared" si="22"/>
        <v>4.3537175224000003E-2</v>
      </c>
      <c r="L73" s="370">
        <f t="shared" si="22"/>
        <v>0</v>
      </c>
      <c r="M73" s="370">
        <f t="shared" si="22"/>
        <v>17.680641010586502</v>
      </c>
      <c r="N73" s="370">
        <f t="shared" si="22"/>
        <v>0</v>
      </c>
      <c r="O73" s="370">
        <f t="shared" si="22"/>
        <v>0</v>
      </c>
      <c r="P73" s="370">
        <f t="shared" si="22"/>
        <v>0</v>
      </c>
      <c r="Q73" s="370">
        <f t="shared" si="22"/>
        <v>0</v>
      </c>
      <c r="R73" s="370">
        <f t="shared" si="22"/>
        <v>0</v>
      </c>
      <c r="S73" s="370">
        <f t="shared" si="22"/>
        <v>0</v>
      </c>
      <c r="T73" s="370">
        <f t="shared" si="22"/>
        <v>0</v>
      </c>
      <c r="U73" s="370">
        <f t="shared" si="22"/>
        <v>2.9656597537313885</v>
      </c>
      <c r="V73" s="370">
        <f t="shared" si="22"/>
        <v>0</v>
      </c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</row>
    <row r="74" spans="1:32">
      <c r="A74" s="342"/>
      <c r="B74" s="33" t="s">
        <v>308</v>
      </c>
      <c r="C74" s="363"/>
      <c r="D74" s="362"/>
      <c r="E74" s="362"/>
      <c r="F74" s="363"/>
      <c r="G74" s="362"/>
      <c r="H74" s="367">
        <v>1</v>
      </c>
      <c r="I74" s="367">
        <v>1</v>
      </c>
      <c r="J74" s="362"/>
      <c r="K74" s="363">
        <v>1</v>
      </c>
      <c r="L74" s="362"/>
      <c r="M74" s="363">
        <v>1</v>
      </c>
      <c r="N74" s="362"/>
      <c r="O74" s="362"/>
      <c r="P74" s="362"/>
      <c r="Q74" s="362"/>
      <c r="R74" s="363"/>
      <c r="S74" s="362"/>
      <c r="T74" s="362"/>
      <c r="U74" s="363"/>
      <c r="V74" s="363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</row>
    <row r="75" spans="1:32">
      <c r="A75" s="342"/>
      <c r="B75" s="33" t="s">
        <v>309</v>
      </c>
      <c r="C75" s="363"/>
      <c r="D75" s="362"/>
      <c r="E75" s="362"/>
      <c r="F75" s="363"/>
      <c r="G75" s="362"/>
      <c r="H75" s="363"/>
      <c r="I75" s="363"/>
      <c r="J75" s="362"/>
      <c r="K75" s="363"/>
      <c r="L75" s="362"/>
      <c r="M75" s="363"/>
      <c r="N75" s="362"/>
      <c r="O75" s="362"/>
      <c r="P75" s="362"/>
      <c r="Q75" s="362"/>
      <c r="R75" s="363"/>
      <c r="S75" s="362"/>
      <c r="T75" s="362"/>
      <c r="U75" s="363"/>
      <c r="V75" s="362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</row>
    <row r="76" spans="1:32">
      <c r="A76" s="342"/>
      <c r="B76" s="33" t="s">
        <v>310</v>
      </c>
      <c r="C76" s="363"/>
      <c r="D76" s="362"/>
      <c r="E76" s="362"/>
      <c r="F76" s="363"/>
      <c r="G76" s="362"/>
      <c r="H76" s="363"/>
      <c r="I76" s="363"/>
      <c r="J76" s="362"/>
      <c r="K76" s="363"/>
      <c r="L76" s="362"/>
      <c r="M76" s="363"/>
      <c r="N76" s="362"/>
      <c r="O76" s="362"/>
      <c r="P76" s="362"/>
      <c r="Q76" s="362"/>
      <c r="R76" s="363"/>
      <c r="S76" s="362"/>
      <c r="T76" s="362"/>
      <c r="U76" s="363">
        <v>1</v>
      </c>
      <c r="V76" s="362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</row>
    <row r="77" spans="1:32">
      <c r="A77" s="342"/>
      <c r="B77" s="342" t="s">
        <v>311</v>
      </c>
      <c r="C77" s="362"/>
      <c r="D77" s="362"/>
      <c r="E77" s="362"/>
      <c r="F77" s="362"/>
      <c r="G77" s="362"/>
      <c r="H77" s="362"/>
      <c r="I77" s="362"/>
      <c r="J77" s="362"/>
      <c r="K77" s="362"/>
      <c r="L77" s="362"/>
      <c r="M77" s="362"/>
      <c r="N77" s="362"/>
      <c r="O77" s="362"/>
      <c r="P77" s="362"/>
      <c r="Q77" s="362"/>
      <c r="R77" s="362"/>
      <c r="S77" s="362"/>
      <c r="T77" s="362"/>
      <c r="U77" s="363"/>
      <c r="V77" s="362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</row>
    <row r="78" spans="1:32">
      <c r="A78" s="342"/>
      <c r="B78" s="33" t="s">
        <v>312</v>
      </c>
      <c r="C78" s="363"/>
      <c r="D78" s="363"/>
      <c r="E78" s="363"/>
      <c r="F78" s="363"/>
      <c r="G78" s="362"/>
      <c r="H78" s="363"/>
      <c r="I78" s="363"/>
      <c r="J78" s="362"/>
      <c r="K78" s="363"/>
      <c r="L78" s="362"/>
      <c r="M78" s="363"/>
      <c r="N78" s="362"/>
      <c r="O78" s="362"/>
      <c r="P78" s="362"/>
      <c r="Q78" s="362"/>
      <c r="R78" s="363"/>
      <c r="S78" s="362"/>
      <c r="T78" s="363"/>
      <c r="U78" s="363"/>
      <c r="V78" s="362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</row>
    <row r="79" spans="1:32">
      <c r="A79" s="364" t="s">
        <v>202</v>
      </c>
      <c r="B79" s="364"/>
      <c r="C79" s="365" t="str">
        <f t="shared" ref="C79:N79" si="23">IF(C73=0,"",IF(SUM(C74:C78)&lt;&gt;1,"ERR: " &amp; SUM(C74:C78),SUM(C74:C78)))</f>
        <v/>
      </c>
      <c r="D79" s="365" t="str">
        <f t="shared" si="23"/>
        <v/>
      </c>
      <c r="E79" s="365" t="str">
        <f t="shared" si="23"/>
        <v/>
      </c>
      <c r="F79" s="365" t="str">
        <f t="shared" si="23"/>
        <v/>
      </c>
      <c r="G79" s="365" t="str">
        <f t="shared" si="23"/>
        <v/>
      </c>
      <c r="H79" s="365">
        <f t="shared" si="23"/>
        <v>1</v>
      </c>
      <c r="I79" s="365">
        <f t="shared" si="23"/>
        <v>1</v>
      </c>
      <c r="J79" s="365" t="str">
        <f t="shared" si="23"/>
        <v/>
      </c>
      <c r="K79" s="365">
        <f t="shared" si="23"/>
        <v>1</v>
      </c>
      <c r="L79" s="365" t="str">
        <f t="shared" si="23"/>
        <v/>
      </c>
      <c r="M79" s="365">
        <f t="shared" si="23"/>
        <v>1</v>
      </c>
      <c r="N79" s="365" t="str">
        <f t="shared" si="23"/>
        <v/>
      </c>
      <c r="O79" s="365"/>
      <c r="P79" s="365"/>
      <c r="Q79" s="365"/>
      <c r="R79" s="365" t="str">
        <f>IF(R73=0,"",IF(SUM(R74:R78)&lt;&gt;1,"ERR: " &amp; SUM(R74:R78),SUM(R74:R78)))</f>
        <v/>
      </c>
      <c r="S79" s="365"/>
      <c r="T79" s="365" t="str">
        <f>IF(T73=0,"",IF(SUM(T74:T78)&lt;&gt;1,"ERR: " &amp; SUM(T74:T78),SUM(T74:T78)))</f>
        <v/>
      </c>
      <c r="U79" s="365">
        <f>IF(U73=0,"",IF(SUM(U74:U78)&lt;&gt;1,"ERR: " &amp; SUM(U74:U78),SUM(U74:U78)))</f>
        <v>1</v>
      </c>
      <c r="V79" s="365" t="str">
        <f>IF(V73=0,"",IF(SUM(V74:V78)&lt;&gt;1,"ERR: " &amp; SUM(V74:V78),SUM(V74:V78)))</f>
        <v/>
      </c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</row>
    <row r="80" spans="1:32">
      <c r="A80" s="342" t="s">
        <v>313</v>
      </c>
      <c r="B80" s="342"/>
      <c r="C80" s="370">
        <f t="shared" ref="C80:V80" si="24">C39*C57</f>
        <v>0</v>
      </c>
      <c r="D80" s="370">
        <f t="shared" si="24"/>
        <v>0</v>
      </c>
      <c r="E80" s="370">
        <f t="shared" si="24"/>
        <v>0</v>
      </c>
      <c r="F80" s="370">
        <f t="shared" si="24"/>
        <v>0</v>
      </c>
      <c r="G80" s="370">
        <f t="shared" si="24"/>
        <v>0</v>
      </c>
      <c r="H80" s="370">
        <f t="shared" si="24"/>
        <v>0.13684501123760154</v>
      </c>
      <c r="I80" s="370">
        <f t="shared" si="24"/>
        <v>0.86160932796462297</v>
      </c>
      <c r="J80" s="370">
        <f t="shared" si="24"/>
        <v>0</v>
      </c>
      <c r="K80" s="370">
        <f t="shared" si="24"/>
        <v>0.16128869235273877</v>
      </c>
      <c r="L80" s="370">
        <f t="shared" si="24"/>
        <v>0</v>
      </c>
      <c r="M80" s="370">
        <f>M39*M57</f>
        <v>0.58994121161597679</v>
      </c>
      <c r="N80" s="370">
        <f t="shared" si="24"/>
        <v>0</v>
      </c>
      <c r="O80" s="370">
        <f t="shared" si="24"/>
        <v>0</v>
      </c>
      <c r="P80" s="370">
        <f t="shared" si="24"/>
        <v>0</v>
      </c>
      <c r="Q80" s="370">
        <f t="shared" si="24"/>
        <v>0</v>
      </c>
      <c r="R80" s="370">
        <f t="shared" si="24"/>
        <v>0</v>
      </c>
      <c r="S80" s="370">
        <f t="shared" si="24"/>
        <v>0</v>
      </c>
      <c r="T80" s="370">
        <f t="shared" si="24"/>
        <v>0</v>
      </c>
      <c r="U80" s="370">
        <f t="shared" si="24"/>
        <v>7.1523206245497821</v>
      </c>
      <c r="V80" s="370">
        <f t="shared" si="24"/>
        <v>1.8003086004756379</v>
      </c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</row>
    <row r="81" spans="1:32">
      <c r="A81" s="342"/>
      <c r="B81" s="33" t="s">
        <v>308</v>
      </c>
      <c r="C81" s="363"/>
      <c r="D81" s="362"/>
      <c r="E81" s="362"/>
      <c r="F81" s="363"/>
      <c r="G81" s="362"/>
      <c r="H81" s="363">
        <v>1</v>
      </c>
      <c r="I81" s="363">
        <v>1</v>
      </c>
      <c r="J81" s="362"/>
      <c r="K81" s="363">
        <v>1</v>
      </c>
      <c r="L81" s="362"/>
      <c r="M81" s="363">
        <v>1</v>
      </c>
      <c r="N81" s="362"/>
      <c r="O81" s="362"/>
      <c r="P81" s="362"/>
      <c r="Q81" s="362"/>
      <c r="R81" s="363"/>
      <c r="S81" s="362"/>
      <c r="T81" s="362"/>
      <c r="U81" s="363"/>
      <c r="V81" s="367">
        <v>1</v>
      </c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</row>
    <row r="82" spans="1:32">
      <c r="A82" s="342"/>
      <c r="B82" s="33" t="s">
        <v>309</v>
      </c>
      <c r="C82" s="363"/>
      <c r="D82" s="362"/>
      <c r="E82" s="362"/>
      <c r="F82" s="363"/>
      <c r="G82" s="362"/>
      <c r="H82" s="363"/>
      <c r="I82" s="363"/>
      <c r="J82" s="362"/>
      <c r="K82" s="363"/>
      <c r="L82" s="362"/>
      <c r="M82" s="363"/>
      <c r="N82" s="362"/>
      <c r="O82" s="362"/>
      <c r="P82" s="362"/>
      <c r="Q82" s="362"/>
      <c r="R82" s="363"/>
      <c r="S82" s="362"/>
      <c r="T82" s="362"/>
      <c r="U82" s="363"/>
      <c r="V82" s="362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</row>
    <row r="83" spans="1:32">
      <c r="A83" s="342"/>
      <c r="B83" s="33" t="s">
        <v>310</v>
      </c>
      <c r="C83" s="363"/>
      <c r="D83" s="362"/>
      <c r="E83" s="362"/>
      <c r="F83" s="363"/>
      <c r="G83" s="362"/>
      <c r="H83" s="363"/>
      <c r="I83" s="363"/>
      <c r="J83" s="362"/>
      <c r="K83" s="363"/>
      <c r="L83" s="362"/>
      <c r="M83" s="363"/>
      <c r="N83" s="362"/>
      <c r="O83" s="362"/>
      <c r="P83" s="362"/>
      <c r="Q83" s="362"/>
      <c r="R83" s="363"/>
      <c r="S83" s="362"/>
      <c r="T83" s="362"/>
      <c r="U83" s="363">
        <v>1</v>
      </c>
      <c r="V83" s="362"/>
      <c r="W83" s="257"/>
      <c r="X83" s="257"/>
      <c r="Y83" s="257"/>
      <c r="Z83" s="257"/>
      <c r="AA83" s="257"/>
      <c r="AB83" s="257"/>
      <c r="AC83" s="257"/>
      <c r="AD83" s="257"/>
      <c r="AE83" s="257"/>
      <c r="AF83" s="257"/>
    </row>
    <row r="84" spans="1:32">
      <c r="A84" s="342"/>
      <c r="B84" s="342" t="s">
        <v>311</v>
      </c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2"/>
      <c r="N84" s="362"/>
      <c r="O84" s="362"/>
      <c r="P84" s="362"/>
      <c r="Q84" s="362"/>
      <c r="R84" s="362"/>
      <c r="S84" s="362"/>
      <c r="T84" s="362"/>
      <c r="U84" s="363"/>
      <c r="V84" s="362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</row>
    <row r="85" spans="1:32">
      <c r="A85" s="342"/>
      <c r="B85" s="33" t="s">
        <v>312</v>
      </c>
      <c r="C85" s="363"/>
      <c r="D85" s="363"/>
      <c r="E85" s="363"/>
      <c r="F85" s="363"/>
      <c r="G85" s="363"/>
      <c r="H85" s="363"/>
      <c r="I85" s="363"/>
      <c r="J85" s="363"/>
      <c r="K85" s="363"/>
      <c r="L85" s="362"/>
      <c r="M85" s="363"/>
      <c r="N85" s="363"/>
      <c r="O85" s="362"/>
      <c r="P85" s="362"/>
      <c r="Q85" s="362"/>
      <c r="R85" s="363"/>
      <c r="S85" s="362"/>
      <c r="T85" s="363"/>
      <c r="U85" s="363"/>
      <c r="V85" s="363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</row>
    <row r="86" spans="1:32">
      <c r="A86" s="364" t="s">
        <v>202</v>
      </c>
      <c r="B86" s="364"/>
      <c r="C86" s="365" t="str">
        <f t="shared" ref="C86:I86" si="25">IF(C80=0,"",IF(SUM(C81:C85)&lt;&gt;1,"ERR: " &amp; SUM(C81:C85),SUM(C81:C85)))</f>
        <v/>
      </c>
      <c r="D86" s="365" t="str">
        <f t="shared" si="25"/>
        <v/>
      </c>
      <c r="E86" s="365" t="str">
        <f t="shared" si="25"/>
        <v/>
      </c>
      <c r="F86" s="365" t="str">
        <f t="shared" si="25"/>
        <v/>
      </c>
      <c r="G86" s="365" t="str">
        <f t="shared" si="25"/>
        <v/>
      </c>
      <c r="H86" s="365">
        <f t="shared" si="25"/>
        <v>1</v>
      </c>
      <c r="I86" s="365">
        <f t="shared" si="25"/>
        <v>1</v>
      </c>
      <c r="J86" s="365"/>
      <c r="K86" s="365">
        <f>IF(K80=0,"",IF(SUM(K81:K85)&lt;&gt;1,"ERR: " &amp; SUM(K81:K85),SUM(K81:K85)))</f>
        <v>1</v>
      </c>
      <c r="L86" s="365"/>
      <c r="M86" s="365">
        <f>IF(M80=0,"",IF(SUM(M81:M85)&lt;&gt;1,"ERR: " &amp; SUM(M81:M85),SUM(M81:M85)))</f>
        <v>1</v>
      </c>
      <c r="N86" s="365" t="str">
        <f>IF(N80=0,"",IF(SUM(N81:N85)&lt;&gt;1,"ERR: " &amp; SUM(N81:N85),SUM(N81:N85)))</f>
        <v/>
      </c>
      <c r="O86" s="365"/>
      <c r="P86" s="365"/>
      <c r="Q86" s="365"/>
      <c r="R86" s="365" t="str">
        <f>IF(R80=0,"",IF(SUM(R81:R85)&lt;&gt;1,"ERR: " &amp; SUM(R81:R85),SUM(R81:R85)))</f>
        <v/>
      </c>
      <c r="S86" s="365"/>
      <c r="T86" s="365" t="str">
        <f>IF(T80=0,"",IF(SUM(T81:T85)&lt;&gt;1,"ERR: " &amp; SUM(T81:T85),SUM(T81:T85)))</f>
        <v/>
      </c>
      <c r="U86" s="365">
        <f>IF(U80=0,"",IF(SUM(U81:U85)&lt;&gt;1,"ERR: " &amp; SUM(U81:U85),SUM(U81:U85)))</f>
        <v>1</v>
      </c>
      <c r="V86" s="365">
        <f>IF(V80=0,"",IF(SUM(V81:V85)&lt;&gt;1,"ERR: " &amp; SUM(V81:V85),SUM(V81:V85)))</f>
        <v>1</v>
      </c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</row>
    <row r="87" spans="1:32">
      <c r="A87" s="369" t="s">
        <v>314</v>
      </c>
      <c r="B87" s="342"/>
      <c r="C87" s="370">
        <f t="shared" ref="C87:V87" si="26">C40*C64</f>
        <v>0</v>
      </c>
      <c r="D87" s="370">
        <f t="shared" si="26"/>
        <v>0</v>
      </c>
      <c r="E87" s="370">
        <f t="shared" si="26"/>
        <v>0</v>
      </c>
      <c r="F87" s="370">
        <f t="shared" si="26"/>
        <v>0</v>
      </c>
      <c r="G87" s="370">
        <f t="shared" si="26"/>
        <v>0</v>
      </c>
      <c r="H87" s="370">
        <f t="shared" si="26"/>
        <v>6.1594782128177331E-2</v>
      </c>
      <c r="I87" s="370">
        <f t="shared" si="26"/>
        <v>1.8869261085604554</v>
      </c>
      <c r="J87" s="370">
        <f t="shared" si="26"/>
        <v>0</v>
      </c>
      <c r="K87" s="370">
        <f t="shared" si="26"/>
        <v>0.21069874767889088</v>
      </c>
      <c r="L87" s="370">
        <f t="shared" si="26"/>
        <v>0</v>
      </c>
      <c r="M87" s="370">
        <f t="shared" si="26"/>
        <v>0.7496971002864834</v>
      </c>
      <c r="N87" s="370">
        <f t="shared" si="26"/>
        <v>0</v>
      </c>
      <c r="O87" s="370">
        <f t="shared" si="26"/>
        <v>0</v>
      </c>
      <c r="P87" s="370">
        <f t="shared" si="26"/>
        <v>0</v>
      </c>
      <c r="Q87" s="370">
        <f t="shared" si="26"/>
        <v>0</v>
      </c>
      <c r="R87" s="370">
        <f t="shared" si="26"/>
        <v>0</v>
      </c>
      <c r="S87" s="370">
        <f t="shared" si="26"/>
        <v>0</v>
      </c>
      <c r="T87" s="370">
        <f t="shared" si="26"/>
        <v>0</v>
      </c>
      <c r="U87" s="370">
        <f t="shared" si="26"/>
        <v>0.75125220430879447</v>
      </c>
      <c r="V87" s="370">
        <f t="shared" si="26"/>
        <v>0</v>
      </c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</row>
    <row r="88" spans="1:32">
      <c r="A88" s="342"/>
      <c r="B88" s="33" t="s">
        <v>308</v>
      </c>
      <c r="C88" s="363">
        <v>1</v>
      </c>
      <c r="D88" s="362"/>
      <c r="E88" s="362"/>
      <c r="F88" s="363"/>
      <c r="G88" s="362"/>
      <c r="H88" s="363">
        <v>1</v>
      </c>
      <c r="I88" s="363">
        <v>1</v>
      </c>
      <c r="J88" s="362"/>
      <c r="K88" s="363">
        <v>1</v>
      </c>
      <c r="L88" s="362"/>
      <c r="M88" s="363">
        <v>1</v>
      </c>
      <c r="N88" s="362"/>
      <c r="O88" s="362"/>
      <c r="P88" s="362"/>
      <c r="Q88" s="362"/>
      <c r="R88" s="363"/>
      <c r="S88" s="362"/>
      <c r="T88" s="362"/>
      <c r="U88" s="363"/>
      <c r="V88" s="363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</row>
    <row r="89" spans="1:32">
      <c r="A89" s="342"/>
      <c r="B89" s="33" t="s">
        <v>309</v>
      </c>
      <c r="C89" s="363"/>
      <c r="D89" s="362"/>
      <c r="E89" s="362"/>
      <c r="F89" s="363"/>
      <c r="G89" s="362"/>
      <c r="H89" s="363"/>
      <c r="I89" s="363"/>
      <c r="J89" s="362"/>
      <c r="K89" s="363"/>
      <c r="L89" s="362"/>
      <c r="M89" s="363"/>
      <c r="N89" s="362"/>
      <c r="O89" s="362"/>
      <c r="P89" s="362"/>
      <c r="Q89" s="362"/>
      <c r="R89" s="363"/>
      <c r="S89" s="362"/>
      <c r="T89" s="362"/>
      <c r="U89" s="363"/>
      <c r="V89" s="362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</row>
    <row r="90" spans="1:32">
      <c r="A90" s="342"/>
      <c r="B90" s="33" t="s">
        <v>310</v>
      </c>
      <c r="C90" s="363"/>
      <c r="D90" s="362"/>
      <c r="E90" s="362"/>
      <c r="F90" s="363"/>
      <c r="G90" s="362"/>
      <c r="H90" s="363"/>
      <c r="I90" s="363"/>
      <c r="J90" s="362"/>
      <c r="K90" s="363"/>
      <c r="L90" s="362"/>
      <c r="M90" s="363"/>
      <c r="N90" s="362"/>
      <c r="O90" s="362"/>
      <c r="P90" s="362"/>
      <c r="Q90" s="362"/>
      <c r="R90" s="363"/>
      <c r="S90" s="362"/>
      <c r="T90" s="362"/>
      <c r="U90" s="363">
        <v>1</v>
      </c>
      <c r="V90" s="362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</row>
    <row r="91" spans="1:32">
      <c r="A91" s="342"/>
      <c r="B91" s="342" t="s">
        <v>311</v>
      </c>
      <c r="C91" s="362"/>
      <c r="D91" s="362"/>
      <c r="E91" s="362"/>
      <c r="F91" s="362"/>
      <c r="G91" s="362"/>
      <c r="H91" s="362"/>
      <c r="I91" s="362"/>
      <c r="J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3"/>
      <c r="V91" s="362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</row>
    <row r="92" spans="1:32">
      <c r="A92" s="342"/>
      <c r="B92" s="33" t="s">
        <v>312</v>
      </c>
      <c r="C92" s="363"/>
      <c r="D92" s="363"/>
      <c r="E92" s="363"/>
      <c r="F92" s="363"/>
      <c r="G92" s="362"/>
      <c r="H92" s="363"/>
      <c r="I92" s="363"/>
      <c r="J92" s="362"/>
      <c r="K92" s="363"/>
      <c r="L92" s="362"/>
      <c r="M92" s="363"/>
      <c r="N92" s="363"/>
      <c r="O92" s="363"/>
      <c r="P92" s="362"/>
      <c r="Q92" s="362"/>
      <c r="R92" s="363"/>
      <c r="S92" s="362"/>
      <c r="T92" s="363"/>
      <c r="U92" s="363"/>
      <c r="V92" s="363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</row>
    <row r="93" spans="1:32">
      <c r="A93" s="364" t="s">
        <v>202</v>
      </c>
      <c r="B93" s="364"/>
      <c r="C93" s="365" t="str">
        <f t="shared" ref="C93:I93" si="27">IF(C87=0,"",IF(SUM(C88:C92)&lt;&gt;1,"ERR: " &amp; SUM(C88:C92),SUM(C88:C92)))</f>
        <v/>
      </c>
      <c r="D93" s="365" t="str">
        <f t="shared" si="27"/>
        <v/>
      </c>
      <c r="E93" s="365" t="str">
        <f t="shared" si="27"/>
        <v/>
      </c>
      <c r="F93" s="365" t="str">
        <f t="shared" si="27"/>
        <v/>
      </c>
      <c r="G93" s="365" t="str">
        <f t="shared" si="27"/>
        <v/>
      </c>
      <c r="H93" s="365">
        <f t="shared" si="27"/>
        <v>1</v>
      </c>
      <c r="I93" s="365">
        <f t="shared" si="27"/>
        <v>1</v>
      </c>
      <c r="J93" s="365"/>
      <c r="K93" s="365">
        <f>IF(K87=0,"",IF(SUM(K88:K92)&lt;&gt;1,"ERR: " &amp; SUM(K88:K92),SUM(K88:K92)))</f>
        <v>1</v>
      </c>
      <c r="L93" s="365"/>
      <c r="M93" s="365">
        <f>IF(M87=0,"",IF(SUM(M88:M92)&lt;&gt;1,"ERR: " &amp; SUM(M88:M92),SUM(M88:M92)))</f>
        <v>1</v>
      </c>
      <c r="N93" s="365" t="str">
        <f>IF(N87=0,"",IF(SUM(N88:N92)&lt;&gt;1,"ERR: " &amp; SUM(N88:N92),SUM(N88:N92)))</f>
        <v/>
      </c>
      <c r="O93" s="365"/>
      <c r="P93" s="365"/>
      <c r="Q93" s="365"/>
      <c r="R93" s="365" t="str">
        <f>IF(R87=0,"",IF(SUM(R88:R92)&lt;&gt;1,"ERR: " &amp; SUM(R88:R92),SUM(R88:R92)))</f>
        <v/>
      </c>
      <c r="S93" s="365"/>
      <c r="T93" s="365" t="str">
        <f>IF(T87=0,"",IF(SUM(T88:T92)&lt;&gt;1,"ERR: " &amp; SUM(T88:T92),SUM(T88:T92)))</f>
        <v/>
      </c>
      <c r="U93" s="365">
        <f>IF(U87=0,"",IF(SUM(U88:U92)&lt;&gt;1,"ERR: " &amp; SUM(U88:U92),SUM(U88:U92)))</f>
        <v>1</v>
      </c>
      <c r="V93" s="365" t="str">
        <f>IF(V87=0,"",IF(SUM(V88:V92)&lt;&gt;1,"ERR: " &amp; SUM(V88:V92),SUM(V88:V92)))</f>
        <v/>
      </c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</row>
    <row r="94" spans="1:32">
      <c r="A94" s="342" t="str">
        <f>A42</f>
        <v>Other industries</v>
      </c>
      <c r="B94" s="342"/>
      <c r="C94" s="371">
        <f t="shared" ref="C94:V94" si="28">C42</f>
        <v>0.77478814002240015</v>
      </c>
      <c r="D94" s="371">
        <f t="shared" si="28"/>
        <v>3.4736360778010081E-2</v>
      </c>
      <c r="E94" s="371">
        <f t="shared" si="28"/>
        <v>0</v>
      </c>
      <c r="F94" s="371">
        <f t="shared" si="28"/>
        <v>0</v>
      </c>
      <c r="G94" s="371">
        <f t="shared" si="28"/>
        <v>0</v>
      </c>
      <c r="H94" s="371">
        <f t="shared" si="28"/>
        <v>4.8314133585351939</v>
      </c>
      <c r="I94" s="371">
        <f t="shared" si="28"/>
        <v>6.0593208385712423</v>
      </c>
      <c r="J94" s="371">
        <f t="shared" si="28"/>
        <v>0</v>
      </c>
      <c r="K94" s="371">
        <f t="shared" si="28"/>
        <v>0.89397675260820431</v>
      </c>
      <c r="L94" s="371">
        <f t="shared" si="28"/>
        <v>0</v>
      </c>
      <c r="M94" s="371">
        <f t="shared" si="28"/>
        <v>2.4657826182215956</v>
      </c>
      <c r="N94" s="371">
        <f t="shared" si="28"/>
        <v>0</v>
      </c>
      <c r="O94" s="371">
        <f t="shared" si="28"/>
        <v>0</v>
      </c>
      <c r="P94" s="371">
        <f t="shared" si="28"/>
        <v>0</v>
      </c>
      <c r="Q94" s="371">
        <f t="shared" si="28"/>
        <v>0</v>
      </c>
      <c r="R94" s="371">
        <f t="shared" si="28"/>
        <v>6.5077414988789251</v>
      </c>
      <c r="S94" s="371">
        <f t="shared" si="28"/>
        <v>0</v>
      </c>
      <c r="T94" s="371">
        <f t="shared" si="28"/>
        <v>0</v>
      </c>
      <c r="U94" s="371">
        <f t="shared" si="28"/>
        <v>25.656565695496251</v>
      </c>
      <c r="V94" s="371">
        <f t="shared" si="28"/>
        <v>7.2735167971174999</v>
      </c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</row>
    <row r="95" spans="1:32">
      <c r="A95" s="342"/>
      <c r="B95" s="33" t="s">
        <v>308</v>
      </c>
      <c r="C95" s="363">
        <v>1</v>
      </c>
      <c r="D95" s="362"/>
      <c r="E95" s="362"/>
      <c r="F95" s="363"/>
      <c r="G95" s="362"/>
      <c r="H95" s="363">
        <v>1</v>
      </c>
      <c r="I95" s="363">
        <v>1</v>
      </c>
      <c r="J95" s="362"/>
      <c r="K95" s="363">
        <v>1</v>
      </c>
      <c r="L95" s="362"/>
      <c r="M95" s="363">
        <v>1</v>
      </c>
      <c r="N95" s="362"/>
      <c r="O95" s="362"/>
      <c r="P95" s="362"/>
      <c r="Q95" s="362"/>
      <c r="R95" s="363">
        <v>1</v>
      </c>
      <c r="S95" s="362"/>
      <c r="T95" s="362"/>
      <c r="U95" s="363"/>
      <c r="V95" s="367">
        <v>1</v>
      </c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</row>
    <row r="96" spans="1:32">
      <c r="A96" s="342"/>
      <c r="B96" s="33" t="s">
        <v>309</v>
      </c>
      <c r="C96" s="363"/>
      <c r="D96" s="362"/>
      <c r="E96" s="362"/>
      <c r="F96" s="363"/>
      <c r="G96" s="362"/>
      <c r="H96" s="363"/>
      <c r="I96" s="363"/>
      <c r="J96" s="362"/>
      <c r="K96" s="363"/>
      <c r="L96" s="362"/>
      <c r="M96" s="363"/>
      <c r="N96" s="362"/>
      <c r="O96" s="362"/>
      <c r="P96" s="362"/>
      <c r="Q96" s="362"/>
      <c r="R96" s="363"/>
      <c r="S96" s="362"/>
      <c r="T96" s="362"/>
      <c r="U96" s="363"/>
      <c r="V96" s="362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</row>
    <row r="97" spans="1:32">
      <c r="A97" s="342"/>
      <c r="B97" s="33" t="s">
        <v>310</v>
      </c>
      <c r="C97" s="363"/>
      <c r="D97" s="362"/>
      <c r="E97" s="362"/>
      <c r="F97" s="363"/>
      <c r="G97" s="362"/>
      <c r="H97" s="363"/>
      <c r="I97" s="363"/>
      <c r="J97" s="362"/>
      <c r="K97" s="363"/>
      <c r="L97" s="362"/>
      <c r="M97" s="363"/>
      <c r="N97" s="362"/>
      <c r="O97" s="362"/>
      <c r="P97" s="362"/>
      <c r="Q97" s="362"/>
      <c r="R97" s="363"/>
      <c r="S97" s="362"/>
      <c r="T97" s="362"/>
      <c r="U97" s="363">
        <v>1</v>
      </c>
      <c r="V97" s="362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</row>
    <row r="98" spans="1:32">
      <c r="A98" s="342"/>
      <c r="B98" s="342" t="s">
        <v>311</v>
      </c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3"/>
      <c r="V98" s="362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</row>
    <row r="99" spans="1:32">
      <c r="A99" s="342"/>
      <c r="B99" s="33" t="s">
        <v>312</v>
      </c>
      <c r="C99" s="363"/>
      <c r="D99" s="363"/>
      <c r="E99" s="363"/>
      <c r="F99" s="363"/>
      <c r="G99" s="363"/>
      <c r="H99" s="363"/>
      <c r="I99" s="363"/>
      <c r="J99" s="362"/>
      <c r="K99" s="363"/>
      <c r="L99" s="362"/>
      <c r="M99" s="363"/>
      <c r="N99" s="363"/>
      <c r="O99" s="362"/>
      <c r="P99" s="362"/>
      <c r="Q99" s="362"/>
      <c r="R99" s="363"/>
      <c r="S99" s="362"/>
      <c r="T99" s="363"/>
      <c r="U99" s="363"/>
      <c r="V99" s="363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</row>
    <row r="100" spans="1:32">
      <c r="A100" s="364" t="s">
        <v>202</v>
      </c>
      <c r="B100" s="364"/>
      <c r="C100" s="365">
        <f t="shared" ref="C100:I100" si="29">IF(C94=0,"",IF(SUM(C95:C99)&lt;&gt;1,"ERR: " &amp; SUM(C95:C99),SUM(C95:C99)))</f>
        <v>1</v>
      </c>
      <c r="D100" s="365" t="str">
        <f t="shared" si="29"/>
        <v>ERR: 0</v>
      </c>
      <c r="E100" s="365" t="str">
        <f t="shared" si="29"/>
        <v/>
      </c>
      <c r="F100" s="365" t="str">
        <f t="shared" si="29"/>
        <v/>
      </c>
      <c r="G100" s="365" t="str">
        <f t="shared" si="29"/>
        <v/>
      </c>
      <c r="H100" s="365">
        <f t="shared" si="29"/>
        <v>1</v>
      </c>
      <c r="I100" s="365">
        <f t="shared" si="29"/>
        <v>1</v>
      </c>
      <c r="J100" s="365"/>
      <c r="K100" s="365">
        <f>IF(K94=0,"",IF(SUM(K95:K99)&lt;&gt;1,"ERR: " &amp; SUM(K95:K99),SUM(K95:K99)))</f>
        <v>1</v>
      </c>
      <c r="L100" s="365"/>
      <c r="M100" s="365">
        <f>IF(M94=0,"",IF(SUM(M95:M99)&lt;&gt;1,"ERR: " &amp; SUM(M95:M99),SUM(M95:M99)))</f>
        <v>1</v>
      </c>
      <c r="N100" s="365" t="str">
        <f>IF(N94=0,"",IF(SUM(N95:N99)&lt;&gt;1,"ERR: " &amp; SUM(N95:N99),SUM(N95:N99)))</f>
        <v/>
      </c>
      <c r="O100" s="365"/>
      <c r="P100" s="365"/>
      <c r="Q100" s="365"/>
      <c r="R100" s="365">
        <f>IF(R94=0,"",IF(SUM(R95:R99)&lt;&gt;1,"ERR: " &amp; SUM(R95:R99),SUM(R95:R99)))</f>
        <v>1</v>
      </c>
      <c r="S100" s="365"/>
      <c r="T100" s="365" t="str">
        <f>IF(T94=0,"",IF(SUM(T95:T99)&lt;&gt;1,"ERR: " &amp; SUM(T95:T99),SUM(T95:T99)))</f>
        <v/>
      </c>
      <c r="U100" s="365">
        <f>IF(U94=0,"",IF(SUM(U95:U99)&lt;&gt;1,"ERR: " &amp; SUM(U95:U99),SUM(U95:U99)))</f>
        <v>1</v>
      </c>
      <c r="V100" s="365">
        <f>IF(V94=0,"",IF(SUM(V95:V99)&lt;&gt;1,"ERR: " &amp; SUM(V95:V99),SUM(V95:V99)))</f>
        <v>1</v>
      </c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</row>
    <row r="101" spans="1:32">
      <c r="A101" s="257"/>
      <c r="B101" s="257"/>
      <c r="C101" s="257"/>
      <c r="D101" s="257"/>
      <c r="E101" s="257"/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</row>
    <row r="102" spans="1:32" ht="18.75">
      <c r="A102" s="263" t="s">
        <v>315</v>
      </c>
      <c r="B102" s="264"/>
      <c r="C102" s="264"/>
      <c r="D102" s="257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</row>
    <row r="103" spans="1:32" ht="13.5" thickBot="1">
      <c r="A103" s="47"/>
      <c r="B103" s="47"/>
      <c r="C103" s="48" t="str">
        <f t="shared" ref="C103:V103" si="30">C$44</f>
        <v>INDCOA</v>
      </c>
      <c r="D103" s="48" t="str">
        <f t="shared" si="30"/>
        <v>INDPEA</v>
      </c>
      <c r="E103" s="48" t="str">
        <f t="shared" si="30"/>
        <v>INDCOH</v>
      </c>
      <c r="F103" s="48" t="str">
        <f t="shared" si="30"/>
        <v>INDCOK</v>
      </c>
      <c r="G103" s="48" t="str">
        <f t="shared" si="30"/>
        <v>INDRFG</v>
      </c>
      <c r="H103" s="48" t="str">
        <f t="shared" si="30"/>
        <v>INDLPG</v>
      </c>
      <c r="I103" s="48" t="str">
        <f t="shared" si="30"/>
        <v>INDLFO</v>
      </c>
      <c r="J103" s="48" t="str">
        <f t="shared" si="30"/>
        <v>INDNAP</v>
      </c>
      <c r="K103" s="48" t="str">
        <f t="shared" si="30"/>
        <v>INDHFO</v>
      </c>
      <c r="L103" s="48" t="str">
        <f t="shared" si="30"/>
        <v>INDNEU</v>
      </c>
      <c r="M103" s="48" t="str">
        <f t="shared" si="30"/>
        <v>INDGAS</v>
      </c>
      <c r="N103" s="48" t="str">
        <f t="shared" si="30"/>
        <v>INDCOG</v>
      </c>
      <c r="O103" s="48" t="str">
        <f t="shared" si="30"/>
        <v>INDBFG</v>
      </c>
      <c r="P103" s="48" t="str">
        <f t="shared" si="30"/>
        <v>INDSOL</v>
      </c>
      <c r="Q103" s="48" t="str">
        <f t="shared" si="30"/>
        <v>INDGEO</v>
      </c>
      <c r="R103" s="48" t="str">
        <f t="shared" si="30"/>
        <v>INDBIO</v>
      </c>
      <c r="S103" s="48" t="str">
        <f t="shared" si="30"/>
        <v>INDWASS</v>
      </c>
      <c r="T103" s="48" t="str">
        <f t="shared" si="30"/>
        <v>INDWASL</v>
      </c>
      <c r="U103" s="48" t="str">
        <f t="shared" si="30"/>
        <v>INDELC</v>
      </c>
      <c r="V103" s="48" t="str">
        <f t="shared" si="30"/>
        <v>INDHTH</v>
      </c>
      <c r="W103" s="93" t="s">
        <v>161</v>
      </c>
      <c r="X103" s="257"/>
      <c r="Y103" s="257"/>
      <c r="Z103" s="257"/>
      <c r="AA103" s="257"/>
      <c r="AB103" s="257"/>
      <c r="AC103" s="257"/>
      <c r="AD103" s="257"/>
      <c r="AE103" s="257"/>
      <c r="AF103" s="257"/>
    </row>
    <row r="104" spans="1:32">
      <c r="A104" s="342" t="str">
        <f>IND_Commodities!D84</f>
        <v>Iron and Steel Demand</v>
      </c>
      <c r="B104" s="33" t="str">
        <f>IND_Commodities!C84</f>
        <v>IIS</v>
      </c>
      <c r="C104" s="372">
        <f t="shared" ref="C104:U104" si="31">C37</f>
        <v>0</v>
      </c>
      <c r="D104" s="372">
        <f t="shared" si="31"/>
        <v>0</v>
      </c>
      <c r="E104" s="372">
        <f t="shared" si="31"/>
        <v>0</v>
      </c>
      <c r="F104" s="372">
        <f t="shared" si="31"/>
        <v>0</v>
      </c>
      <c r="G104" s="372">
        <f t="shared" si="31"/>
        <v>0</v>
      </c>
      <c r="H104" s="372">
        <f t="shared" si="31"/>
        <v>0</v>
      </c>
      <c r="I104" s="372">
        <f t="shared" si="31"/>
        <v>0</v>
      </c>
      <c r="J104" s="372">
        <f t="shared" si="31"/>
        <v>0</v>
      </c>
      <c r="K104" s="372">
        <f t="shared" si="31"/>
        <v>0</v>
      </c>
      <c r="L104" s="372">
        <f t="shared" si="31"/>
        <v>0</v>
      </c>
      <c r="M104" s="372">
        <f t="shared" si="31"/>
        <v>0</v>
      </c>
      <c r="N104" s="372">
        <f t="shared" si="31"/>
        <v>0</v>
      </c>
      <c r="O104" s="372">
        <f t="shared" si="31"/>
        <v>0</v>
      </c>
      <c r="P104" s="372">
        <f t="shared" si="31"/>
        <v>0</v>
      </c>
      <c r="Q104" s="372">
        <f t="shared" si="31"/>
        <v>0</v>
      </c>
      <c r="R104" s="372">
        <f t="shared" si="31"/>
        <v>0</v>
      </c>
      <c r="S104" s="372">
        <f t="shared" si="31"/>
        <v>0</v>
      </c>
      <c r="T104" s="372">
        <f t="shared" si="31"/>
        <v>0</v>
      </c>
      <c r="U104" s="372">
        <f t="shared" si="31"/>
        <v>0</v>
      </c>
      <c r="V104" s="372">
        <f>V37</f>
        <v>0</v>
      </c>
      <c r="W104" s="373">
        <f t="shared" ref="W104:W141" si="32">SUM(C104:V104)</f>
        <v>0</v>
      </c>
      <c r="X104" s="257"/>
      <c r="Y104" s="257"/>
      <c r="Z104" s="257"/>
      <c r="AA104" s="257"/>
      <c r="AB104" s="257"/>
      <c r="AC104" s="257"/>
      <c r="AD104" s="257"/>
      <c r="AE104" s="257"/>
      <c r="AF104" s="257"/>
    </row>
    <row r="105" spans="1:32">
      <c r="A105" s="342" t="str">
        <f>IND_Commodities!D85</f>
        <v>Aluminium Demand</v>
      </c>
      <c r="B105" s="33" t="str">
        <f>IND_Commodities!C85</f>
        <v>IAL</v>
      </c>
      <c r="C105" s="372">
        <f>C$49*C50</f>
        <v>0</v>
      </c>
      <c r="D105" s="372">
        <f t="shared" ref="D105:V105" si="33">D$38*D50</f>
        <v>0</v>
      </c>
      <c r="E105" s="372">
        <f t="shared" si="33"/>
        <v>0</v>
      </c>
      <c r="F105" s="372">
        <f t="shared" si="33"/>
        <v>0</v>
      </c>
      <c r="G105" s="372">
        <f t="shared" si="33"/>
        <v>0</v>
      </c>
      <c r="H105" s="372">
        <f t="shared" si="33"/>
        <v>0</v>
      </c>
      <c r="I105" s="372">
        <f t="shared" si="33"/>
        <v>0</v>
      </c>
      <c r="J105" s="372">
        <f t="shared" si="33"/>
        <v>0</v>
      </c>
      <c r="K105" s="372">
        <f t="shared" si="33"/>
        <v>0</v>
      </c>
      <c r="L105" s="372">
        <f t="shared" si="33"/>
        <v>0</v>
      </c>
      <c r="M105" s="372">
        <f t="shared" si="33"/>
        <v>0</v>
      </c>
      <c r="N105" s="372">
        <f t="shared" si="33"/>
        <v>0</v>
      </c>
      <c r="O105" s="372">
        <f t="shared" si="33"/>
        <v>0</v>
      </c>
      <c r="P105" s="372">
        <f t="shared" si="33"/>
        <v>0</v>
      </c>
      <c r="Q105" s="372">
        <f t="shared" si="33"/>
        <v>0</v>
      </c>
      <c r="R105" s="372">
        <f t="shared" si="33"/>
        <v>0</v>
      </c>
      <c r="S105" s="372">
        <f t="shared" si="33"/>
        <v>0</v>
      </c>
      <c r="T105" s="372">
        <f t="shared" si="33"/>
        <v>0</v>
      </c>
      <c r="U105" s="372">
        <f t="shared" si="33"/>
        <v>0</v>
      </c>
      <c r="V105" s="372">
        <f t="shared" si="33"/>
        <v>0</v>
      </c>
      <c r="W105" s="373">
        <f t="shared" si="32"/>
        <v>0</v>
      </c>
      <c r="X105" s="257"/>
      <c r="Y105" s="257"/>
      <c r="Z105" s="257"/>
      <c r="AA105" s="257"/>
      <c r="AB105" s="257"/>
      <c r="AC105" s="257"/>
      <c r="AD105" s="257"/>
      <c r="AE105" s="257"/>
      <c r="AF105" s="257"/>
    </row>
    <row r="106" spans="1:32">
      <c r="A106" s="342" t="str">
        <f>IND_Commodities!D86</f>
        <v>Copper Demand</v>
      </c>
      <c r="B106" s="33" t="str">
        <f>IND_Commodities!C86</f>
        <v>ICU</v>
      </c>
      <c r="C106" s="372">
        <f>C$49*C51</f>
        <v>0</v>
      </c>
      <c r="D106" s="372">
        <f t="shared" ref="D106:V106" si="34">D$38*D51</f>
        <v>0</v>
      </c>
      <c r="E106" s="372">
        <f t="shared" si="34"/>
        <v>0</v>
      </c>
      <c r="F106" s="372">
        <f t="shared" si="34"/>
        <v>0</v>
      </c>
      <c r="G106" s="372">
        <f t="shared" si="34"/>
        <v>0</v>
      </c>
      <c r="H106" s="372">
        <f t="shared" si="34"/>
        <v>0</v>
      </c>
      <c r="I106" s="372">
        <f t="shared" si="34"/>
        <v>0</v>
      </c>
      <c r="J106" s="372">
        <f t="shared" si="34"/>
        <v>0</v>
      </c>
      <c r="K106" s="372">
        <f t="shared" si="34"/>
        <v>0</v>
      </c>
      <c r="L106" s="372">
        <f t="shared" si="34"/>
        <v>0</v>
      </c>
      <c r="M106" s="372">
        <f t="shared" si="34"/>
        <v>0</v>
      </c>
      <c r="N106" s="372">
        <f t="shared" si="34"/>
        <v>0</v>
      </c>
      <c r="O106" s="372">
        <f t="shared" si="34"/>
        <v>0</v>
      </c>
      <c r="P106" s="372">
        <f t="shared" si="34"/>
        <v>0</v>
      </c>
      <c r="Q106" s="372">
        <f t="shared" si="34"/>
        <v>0</v>
      </c>
      <c r="R106" s="372">
        <f t="shared" si="34"/>
        <v>0</v>
      </c>
      <c r="S106" s="372">
        <f t="shared" si="34"/>
        <v>0</v>
      </c>
      <c r="T106" s="372">
        <f t="shared" si="34"/>
        <v>0</v>
      </c>
      <c r="U106" s="372">
        <f t="shared" si="34"/>
        <v>0</v>
      </c>
      <c r="V106" s="372">
        <f t="shared" si="34"/>
        <v>0</v>
      </c>
      <c r="W106" s="373">
        <f t="shared" si="32"/>
        <v>0</v>
      </c>
      <c r="X106" s="257"/>
      <c r="Y106" s="257"/>
      <c r="Z106" s="257"/>
      <c r="AA106" s="257"/>
      <c r="AB106" s="257"/>
      <c r="AC106" s="257"/>
      <c r="AD106" s="257"/>
      <c r="AE106" s="257"/>
      <c r="AF106" s="257"/>
    </row>
    <row r="107" spans="1:32">
      <c r="A107" s="342" t="str">
        <f>IND_Commodities!D87</f>
        <v>Other Non Ferrous Metals Demand</v>
      </c>
      <c r="B107" s="33" t="str">
        <f>IND_Commodities!C87</f>
        <v>INF</v>
      </c>
      <c r="C107" s="372">
        <f>C$49*C52</f>
        <v>0</v>
      </c>
      <c r="D107" s="372">
        <f t="shared" ref="D107:V107" si="35">D$38*D52</f>
        <v>0</v>
      </c>
      <c r="E107" s="372">
        <f t="shared" si="35"/>
        <v>0</v>
      </c>
      <c r="F107" s="372">
        <f t="shared" si="35"/>
        <v>0</v>
      </c>
      <c r="G107" s="372">
        <f t="shared" si="35"/>
        <v>0</v>
      </c>
      <c r="H107" s="372">
        <f t="shared" si="35"/>
        <v>0.25189941559023471</v>
      </c>
      <c r="I107" s="372">
        <f t="shared" si="35"/>
        <v>0.10421439676213322</v>
      </c>
      <c r="J107" s="372">
        <f t="shared" si="35"/>
        <v>0</v>
      </c>
      <c r="K107" s="372">
        <f t="shared" si="35"/>
        <v>4.3537175224000003E-2</v>
      </c>
      <c r="L107" s="372">
        <f t="shared" si="35"/>
        <v>0</v>
      </c>
      <c r="M107" s="372">
        <f t="shared" si="35"/>
        <v>17.680641010586502</v>
      </c>
      <c r="N107" s="372">
        <f t="shared" si="35"/>
        <v>0</v>
      </c>
      <c r="O107" s="372">
        <f t="shared" si="35"/>
        <v>0</v>
      </c>
      <c r="P107" s="372">
        <f t="shared" si="35"/>
        <v>0</v>
      </c>
      <c r="Q107" s="372">
        <f t="shared" si="35"/>
        <v>0</v>
      </c>
      <c r="R107" s="372">
        <f t="shared" si="35"/>
        <v>0</v>
      </c>
      <c r="S107" s="372">
        <f t="shared" si="35"/>
        <v>0</v>
      </c>
      <c r="T107" s="372">
        <f t="shared" si="35"/>
        <v>0</v>
      </c>
      <c r="U107" s="372">
        <f t="shared" si="35"/>
        <v>2.9656597537313885</v>
      </c>
      <c r="V107" s="372">
        <f t="shared" si="35"/>
        <v>0</v>
      </c>
      <c r="W107" s="373">
        <f t="shared" si="32"/>
        <v>21.045951751894258</v>
      </c>
      <c r="X107" s="257"/>
      <c r="Y107" s="257"/>
      <c r="Z107" s="257"/>
      <c r="AA107" s="257"/>
      <c r="AB107" s="257"/>
      <c r="AC107" s="257"/>
      <c r="AD107" s="257"/>
      <c r="AE107" s="257"/>
      <c r="AF107" s="257"/>
    </row>
    <row r="108" spans="1:32">
      <c r="A108" s="342" t="str">
        <f>IND_Commodities!D88</f>
        <v>Ammonia Demand</v>
      </c>
      <c r="B108" s="33" t="str">
        <f>IND_Commodities!C88</f>
        <v>IAM</v>
      </c>
      <c r="C108" s="372">
        <f>C$54*C55</f>
        <v>0</v>
      </c>
      <c r="D108" s="372">
        <f t="shared" ref="D108:V108" si="36">D$39*D55</f>
        <v>0</v>
      </c>
      <c r="E108" s="372">
        <f t="shared" si="36"/>
        <v>0</v>
      </c>
      <c r="F108" s="372">
        <f t="shared" si="36"/>
        <v>0</v>
      </c>
      <c r="G108" s="372">
        <f t="shared" si="36"/>
        <v>0</v>
      </c>
      <c r="H108" s="372">
        <f t="shared" si="36"/>
        <v>0</v>
      </c>
      <c r="I108" s="372">
        <f t="shared" si="36"/>
        <v>0</v>
      </c>
      <c r="J108" s="372">
        <f t="shared" si="36"/>
        <v>0</v>
      </c>
      <c r="K108" s="372">
        <f t="shared" si="36"/>
        <v>0</v>
      </c>
      <c r="L108" s="372">
        <f t="shared" si="36"/>
        <v>0</v>
      </c>
      <c r="M108" s="372">
        <f t="shared" si="36"/>
        <v>0</v>
      </c>
      <c r="N108" s="372">
        <f t="shared" si="36"/>
        <v>0</v>
      </c>
      <c r="O108" s="372">
        <f t="shared" si="36"/>
        <v>0</v>
      </c>
      <c r="P108" s="372">
        <f t="shared" si="36"/>
        <v>0</v>
      </c>
      <c r="Q108" s="372">
        <f t="shared" si="36"/>
        <v>0</v>
      </c>
      <c r="R108" s="372">
        <f t="shared" si="36"/>
        <v>0</v>
      </c>
      <c r="S108" s="372">
        <f t="shared" si="36"/>
        <v>0</v>
      </c>
      <c r="T108" s="372">
        <f t="shared" si="36"/>
        <v>0</v>
      </c>
      <c r="U108" s="372">
        <f t="shared" si="36"/>
        <v>0</v>
      </c>
      <c r="V108" s="372">
        <f t="shared" si="36"/>
        <v>0</v>
      </c>
      <c r="W108" s="373">
        <f t="shared" si="32"/>
        <v>0</v>
      </c>
      <c r="X108" s="257"/>
      <c r="Y108" s="257"/>
      <c r="Z108" s="257"/>
      <c r="AA108" s="257"/>
      <c r="AB108" s="257"/>
      <c r="AC108" s="257"/>
      <c r="AD108" s="257"/>
      <c r="AE108" s="257"/>
      <c r="AF108" s="257"/>
    </row>
    <row r="109" spans="1:32">
      <c r="A109" s="342" t="str">
        <f>IND_Commodities!D89</f>
        <v>Chlorine Demand</v>
      </c>
      <c r="B109" s="33" t="str">
        <f>IND_Commodities!C89</f>
        <v>ICL</v>
      </c>
      <c r="C109" s="372">
        <f>C$54*C56</f>
        <v>0</v>
      </c>
      <c r="D109" s="372">
        <f t="shared" ref="D109:V109" si="37">D$39*D56</f>
        <v>0</v>
      </c>
      <c r="E109" s="372">
        <f t="shared" si="37"/>
        <v>0</v>
      </c>
      <c r="F109" s="372">
        <f t="shared" si="37"/>
        <v>0</v>
      </c>
      <c r="G109" s="372">
        <f t="shared" si="37"/>
        <v>0</v>
      </c>
      <c r="H109" s="372">
        <f t="shared" si="37"/>
        <v>0</v>
      </c>
      <c r="I109" s="372">
        <f t="shared" si="37"/>
        <v>0</v>
      </c>
      <c r="J109" s="372">
        <f t="shared" si="37"/>
        <v>0</v>
      </c>
      <c r="K109" s="372">
        <f t="shared" si="37"/>
        <v>0</v>
      </c>
      <c r="L109" s="372">
        <f t="shared" si="37"/>
        <v>0</v>
      </c>
      <c r="M109" s="372">
        <f t="shared" si="37"/>
        <v>0</v>
      </c>
      <c r="N109" s="372">
        <f t="shared" si="37"/>
        <v>0</v>
      </c>
      <c r="O109" s="372">
        <f t="shared" si="37"/>
        <v>0</v>
      </c>
      <c r="P109" s="372">
        <f t="shared" si="37"/>
        <v>0</v>
      </c>
      <c r="Q109" s="372">
        <f t="shared" si="37"/>
        <v>0</v>
      </c>
      <c r="R109" s="372">
        <f t="shared" si="37"/>
        <v>0</v>
      </c>
      <c r="S109" s="372">
        <f t="shared" si="37"/>
        <v>0</v>
      </c>
      <c r="T109" s="372">
        <f t="shared" si="37"/>
        <v>0</v>
      </c>
      <c r="U109" s="372">
        <f t="shared" si="37"/>
        <v>0</v>
      </c>
      <c r="V109" s="372">
        <f t="shared" si="37"/>
        <v>0</v>
      </c>
      <c r="W109" s="373">
        <f t="shared" si="32"/>
        <v>0</v>
      </c>
      <c r="X109" s="257"/>
      <c r="Y109" s="257"/>
      <c r="Z109" s="257"/>
      <c r="AA109" s="257"/>
      <c r="AB109" s="257"/>
      <c r="AC109" s="257"/>
      <c r="AD109" s="257"/>
      <c r="AE109" s="257"/>
      <c r="AF109" s="257"/>
    </row>
    <row r="110" spans="1:32">
      <c r="A110" s="342" t="str">
        <f>IND_Commodities!D90</f>
        <v>Other Chemicals Demand</v>
      </c>
      <c r="B110" s="33" t="str">
        <f>IND_Commodities!C90</f>
        <v>ICH</v>
      </c>
      <c r="C110" s="372">
        <f>C$54*C57</f>
        <v>0</v>
      </c>
      <c r="D110" s="372">
        <f t="shared" ref="D110:V110" si="38">D$39*D57</f>
        <v>0</v>
      </c>
      <c r="E110" s="372">
        <f t="shared" si="38"/>
        <v>0</v>
      </c>
      <c r="F110" s="372">
        <f t="shared" si="38"/>
        <v>0</v>
      </c>
      <c r="G110" s="372">
        <f t="shared" si="38"/>
        <v>0</v>
      </c>
      <c r="H110" s="372">
        <f t="shared" si="38"/>
        <v>0.13684501123760154</v>
      </c>
      <c r="I110" s="372">
        <f t="shared" si="38"/>
        <v>0.86160932796462297</v>
      </c>
      <c r="J110" s="372">
        <f t="shared" si="38"/>
        <v>0</v>
      </c>
      <c r="K110" s="372">
        <f t="shared" si="38"/>
        <v>0.16128869235273877</v>
      </c>
      <c r="L110" s="372">
        <f t="shared" si="38"/>
        <v>0</v>
      </c>
      <c r="M110" s="372">
        <f t="shared" si="38"/>
        <v>0.58994121161597679</v>
      </c>
      <c r="N110" s="372">
        <f t="shared" si="38"/>
        <v>0</v>
      </c>
      <c r="O110" s="372">
        <f t="shared" si="38"/>
        <v>0</v>
      </c>
      <c r="P110" s="372">
        <f t="shared" si="38"/>
        <v>0</v>
      </c>
      <c r="Q110" s="372">
        <f t="shared" si="38"/>
        <v>0</v>
      </c>
      <c r="R110" s="372">
        <f t="shared" si="38"/>
        <v>0</v>
      </c>
      <c r="S110" s="372">
        <f t="shared" si="38"/>
        <v>0</v>
      </c>
      <c r="T110" s="372">
        <f t="shared" si="38"/>
        <v>0</v>
      </c>
      <c r="U110" s="372">
        <f t="shared" si="38"/>
        <v>7.1523206245497821</v>
      </c>
      <c r="V110" s="372">
        <f t="shared" si="38"/>
        <v>1.8003086004756379</v>
      </c>
      <c r="W110" s="373">
        <f t="shared" si="32"/>
        <v>10.70231346819636</v>
      </c>
      <c r="X110" s="257"/>
      <c r="Y110" s="257"/>
      <c r="Z110" s="257"/>
      <c r="AA110" s="257"/>
      <c r="AB110" s="257"/>
      <c r="AC110" s="257"/>
      <c r="AD110" s="257"/>
      <c r="AE110" s="257"/>
      <c r="AF110" s="257"/>
    </row>
    <row r="111" spans="1:32">
      <c r="A111" s="342" t="str">
        <f>IND_Commodities!D91</f>
        <v>Cement Demand</v>
      </c>
      <c r="B111" s="33" t="str">
        <f>IND_Commodities!C91</f>
        <v>ICM</v>
      </c>
      <c r="C111" s="372">
        <f>C$59*C60</f>
        <v>3.6391268900700005</v>
      </c>
      <c r="D111" s="372">
        <f t="shared" ref="D111:V111" si="39">D$40*D60</f>
        <v>0</v>
      </c>
      <c r="E111" s="372">
        <f t="shared" si="39"/>
        <v>0</v>
      </c>
      <c r="F111" s="372">
        <f t="shared" si="39"/>
        <v>0</v>
      </c>
      <c r="G111" s="372">
        <f t="shared" si="39"/>
        <v>0</v>
      </c>
      <c r="H111" s="372">
        <f t="shared" si="39"/>
        <v>0</v>
      </c>
      <c r="I111" s="372">
        <f t="shared" si="39"/>
        <v>0.12472219480890004</v>
      </c>
      <c r="J111" s="372">
        <f t="shared" si="39"/>
        <v>0</v>
      </c>
      <c r="K111" s="372">
        <f t="shared" si="39"/>
        <v>5.8092654717179855</v>
      </c>
      <c r="L111" s="372">
        <f t="shared" si="39"/>
        <v>0</v>
      </c>
      <c r="M111" s="372">
        <f t="shared" si="39"/>
        <v>0</v>
      </c>
      <c r="N111" s="372">
        <f t="shared" si="39"/>
        <v>0</v>
      </c>
      <c r="O111" s="372">
        <f t="shared" si="39"/>
        <v>0</v>
      </c>
      <c r="P111" s="372">
        <f t="shared" si="39"/>
        <v>0</v>
      </c>
      <c r="Q111" s="372">
        <f t="shared" si="39"/>
        <v>0</v>
      </c>
      <c r="R111" s="372">
        <f t="shared" si="39"/>
        <v>1.7969192236068419</v>
      </c>
      <c r="S111" s="372">
        <f t="shared" si="39"/>
        <v>0</v>
      </c>
      <c r="T111" s="372">
        <f t="shared" si="39"/>
        <v>2.2911400353810554</v>
      </c>
      <c r="U111" s="372">
        <f t="shared" si="39"/>
        <v>1.7529218100538537</v>
      </c>
      <c r="V111" s="372">
        <f t="shared" si="39"/>
        <v>0</v>
      </c>
      <c r="W111" s="373">
        <f t="shared" si="32"/>
        <v>15.414095625638637</v>
      </c>
      <c r="X111" s="257"/>
      <c r="Y111" s="257"/>
      <c r="Z111" s="257"/>
      <c r="AA111" s="257"/>
      <c r="AB111" s="257"/>
      <c r="AC111" s="257"/>
      <c r="AD111" s="257"/>
      <c r="AE111" s="257"/>
      <c r="AF111" s="257"/>
    </row>
    <row r="112" spans="1:32">
      <c r="A112" s="342" t="str">
        <f>IND_Commodities!D92</f>
        <v>Lime Demand</v>
      </c>
      <c r="B112" s="33" t="str">
        <f>IND_Commodities!C92</f>
        <v>ILM</v>
      </c>
      <c r="C112" s="372">
        <f>C$59*C61</f>
        <v>0</v>
      </c>
      <c r="D112" s="372">
        <f t="shared" ref="D112:V112" si="40">D$40*D61</f>
        <v>0</v>
      </c>
      <c r="E112" s="372">
        <f t="shared" si="40"/>
        <v>0</v>
      </c>
      <c r="F112" s="372">
        <f t="shared" si="40"/>
        <v>0</v>
      </c>
      <c r="G112" s="372">
        <f t="shared" si="40"/>
        <v>0</v>
      </c>
      <c r="H112" s="372">
        <f t="shared" si="40"/>
        <v>0</v>
      </c>
      <c r="I112" s="372">
        <f t="shared" si="40"/>
        <v>0</v>
      </c>
      <c r="J112" s="372">
        <f t="shared" si="40"/>
        <v>0</v>
      </c>
      <c r="K112" s="372">
        <f t="shared" si="40"/>
        <v>0</v>
      </c>
      <c r="L112" s="372">
        <f t="shared" si="40"/>
        <v>0</v>
      </c>
      <c r="M112" s="372">
        <f t="shared" si="40"/>
        <v>0</v>
      </c>
      <c r="N112" s="372">
        <f t="shared" si="40"/>
        <v>0</v>
      </c>
      <c r="O112" s="372">
        <f t="shared" si="40"/>
        <v>0</v>
      </c>
      <c r="P112" s="372">
        <f t="shared" si="40"/>
        <v>0</v>
      </c>
      <c r="Q112" s="372">
        <f t="shared" si="40"/>
        <v>0</v>
      </c>
      <c r="R112" s="372">
        <f t="shared" si="40"/>
        <v>0</v>
      </c>
      <c r="S112" s="372">
        <f t="shared" si="40"/>
        <v>0</v>
      </c>
      <c r="T112" s="372">
        <f t="shared" si="40"/>
        <v>0</v>
      </c>
      <c r="U112" s="372">
        <f t="shared" si="40"/>
        <v>0</v>
      </c>
      <c r="V112" s="372">
        <f t="shared" si="40"/>
        <v>0</v>
      </c>
      <c r="W112" s="373">
        <f t="shared" si="32"/>
        <v>0</v>
      </c>
      <c r="X112" s="257"/>
      <c r="Y112" s="257"/>
      <c r="Z112" s="257"/>
      <c r="AA112" s="257"/>
      <c r="AB112" s="257"/>
      <c r="AC112" s="257"/>
      <c r="AD112" s="257"/>
      <c r="AE112" s="257"/>
      <c r="AF112" s="257"/>
    </row>
    <row r="113" spans="1:32">
      <c r="A113" s="342" t="str">
        <f>IND_Commodities!D93</f>
        <v>Glass Hollow Demand</v>
      </c>
      <c r="B113" s="33" t="str">
        <f>IND_Commodities!C93</f>
        <v>IGH</v>
      </c>
      <c r="C113" s="372">
        <f>C$59*C62</f>
        <v>0</v>
      </c>
      <c r="D113" s="372">
        <f t="shared" ref="D113:V113" si="41">D$40*D62</f>
        <v>0</v>
      </c>
      <c r="E113" s="372">
        <f t="shared" si="41"/>
        <v>0</v>
      </c>
      <c r="F113" s="372">
        <f t="shared" si="41"/>
        <v>0</v>
      </c>
      <c r="G113" s="372">
        <f t="shared" si="41"/>
        <v>0</v>
      </c>
      <c r="H113" s="372">
        <f t="shared" si="41"/>
        <v>0</v>
      </c>
      <c r="I113" s="372">
        <f t="shared" si="41"/>
        <v>0</v>
      </c>
      <c r="J113" s="372">
        <f t="shared" si="41"/>
        <v>0</v>
      </c>
      <c r="K113" s="372">
        <f t="shared" si="41"/>
        <v>0</v>
      </c>
      <c r="L113" s="372">
        <f t="shared" si="41"/>
        <v>0</v>
      </c>
      <c r="M113" s="372">
        <f t="shared" si="41"/>
        <v>0</v>
      </c>
      <c r="N113" s="372">
        <f t="shared" si="41"/>
        <v>0</v>
      </c>
      <c r="O113" s="372">
        <f t="shared" si="41"/>
        <v>0</v>
      </c>
      <c r="P113" s="372">
        <f t="shared" si="41"/>
        <v>0</v>
      </c>
      <c r="Q113" s="372">
        <f t="shared" si="41"/>
        <v>0</v>
      </c>
      <c r="R113" s="372">
        <f t="shared" si="41"/>
        <v>0</v>
      </c>
      <c r="S113" s="372">
        <f t="shared" si="41"/>
        <v>0</v>
      </c>
      <c r="T113" s="372">
        <f t="shared" si="41"/>
        <v>0</v>
      </c>
      <c r="U113" s="372">
        <f t="shared" si="41"/>
        <v>0</v>
      </c>
      <c r="V113" s="372">
        <f t="shared" si="41"/>
        <v>0</v>
      </c>
      <c r="W113" s="373">
        <f t="shared" si="32"/>
        <v>0</v>
      </c>
      <c r="X113" s="257"/>
      <c r="Y113" s="257"/>
      <c r="Z113" s="257"/>
      <c r="AA113" s="257"/>
      <c r="AB113" s="257"/>
      <c r="AC113" s="257"/>
      <c r="AD113" s="257"/>
      <c r="AE113" s="257"/>
      <c r="AF113" s="257"/>
    </row>
    <row r="114" spans="1:32">
      <c r="A114" s="342" t="str">
        <f>IND_Commodities!D94</f>
        <v>Glass Flat Demand</v>
      </c>
      <c r="B114" s="33" t="str">
        <f>IND_Commodities!C94</f>
        <v>IGF</v>
      </c>
      <c r="C114" s="372">
        <f>C$59*C63</f>
        <v>0</v>
      </c>
      <c r="D114" s="372">
        <f t="shared" ref="D114:V114" si="42">D$40*D63</f>
        <v>0</v>
      </c>
      <c r="E114" s="372">
        <f t="shared" si="42"/>
        <v>0</v>
      </c>
      <c r="F114" s="372">
        <f t="shared" si="42"/>
        <v>0</v>
      </c>
      <c r="G114" s="372">
        <f t="shared" si="42"/>
        <v>0</v>
      </c>
      <c r="H114" s="372">
        <f t="shared" si="42"/>
        <v>0</v>
      </c>
      <c r="I114" s="372">
        <f t="shared" si="42"/>
        <v>0</v>
      </c>
      <c r="J114" s="372">
        <f t="shared" si="42"/>
        <v>0</v>
      </c>
      <c r="K114" s="372">
        <f t="shared" si="42"/>
        <v>0</v>
      </c>
      <c r="L114" s="372">
        <f t="shared" si="42"/>
        <v>0</v>
      </c>
      <c r="M114" s="372">
        <f t="shared" si="42"/>
        <v>0</v>
      </c>
      <c r="N114" s="372">
        <f t="shared" si="42"/>
        <v>0</v>
      </c>
      <c r="O114" s="372">
        <f t="shared" si="42"/>
        <v>0</v>
      </c>
      <c r="P114" s="372">
        <f t="shared" si="42"/>
        <v>0</v>
      </c>
      <c r="Q114" s="372">
        <f t="shared" si="42"/>
        <v>0</v>
      </c>
      <c r="R114" s="372">
        <f t="shared" si="42"/>
        <v>0</v>
      </c>
      <c r="S114" s="372">
        <f t="shared" si="42"/>
        <v>0</v>
      </c>
      <c r="T114" s="372">
        <f t="shared" si="42"/>
        <v>0</v>
      </c>
      <c r="U114" s="372">
        <f t="shared" si="42"/>
        <v>0</v>
      </c>
      <c r="V114" s="372">
        <f t="shared" si="42"/>
        <v>0</v>
      </c>
      <c r="W114" s="373">
        <f t="shared" si="32"/>
        <v>0</v>
      </c>
      <c r="X114" s="257"/>
      <c r="Y114" s="257"/>
      <c r="Z114" s="257"/>
      <c r="AA114" s="257"/>
      <c r="AB114" s="257"/>
      <c r="AC114" s="257"/>
      <c r="AD114" s="257"/>
      <c r="AE114" s="257"/>
      <c r="AF114" s="257"/>
    </row>
    <row r="115" spans="1:32">
      <c r="A115" s="342" t="str">
        <f>IND_Commodities!D95</f>
        <v>Other Non Metallic Minerals Demand</v>
      </c>
      <c r="B115" s="33" t="str">
        <f>IND_Commodities!C95</f>
        <v>INM</v>
      </c>
      <c r="C115" s="372">
        <f>C$59*C64</f>
        <v>0</v>
      </c>
      <c r="D115" s="372">
        <f t="shared" ref="D115:V115" si="43">D$40*D64</f>
        <v>0</v>
      </c>
      <c r="E115" s="372">
        <f t="shared" si="43"/>
        <v>0</v>
      </c>
      <c r="F115" s="372">
        <f t="shared" si="43"/>
        <v>0</v>
      </c>
      <c r="G115" s="372">
        <f t="shared" si="43"/>
        <v>0</v>
      </c>
      <c r="H115" s="372">
        <f t="shared" si="43"/>
        <v>6.1594782128177331E-2</v>
      </c>
      <c r="I115" s="372">
        <f t="shared" si="43"/>
        <v>1.8869261085604554</v>
      </c>
      <c r="J115" s="372">
        <f t="shared" si="43"/>
        <v>0</v>
      </c>
      <c r="K115" s="372">
        <f t="shared" si="43"/>
        <v>0.21069874767889088</v>
      </c>
      <c r="L115" s="372">
        <f t="shared" si="43"/>
        <v>0</v>
      </c>
      <c r="M115" s="372">
        <f t="shared" si="43"/>
        <v>0.7496971002864834</v>
      </c>
      <c r="N115" s="372">
        <f t="shared" si="43"/>
        <v>0</v>
      </c>
      <c r="O115" s="372">
        <f t="shared" si="43"/>
        <v>0</v>
      </c>
      <c r="P115" s="372">
        <f t="shared" si="43"/>
        <v>0</v>
      </c>
      <c r="Q115" s="372">
        <f t="shared" si="43"/>
        <v>0</v>
      </c>
      <c r="R115" s="372">
        <f t="shared" si="43"/>
        <v>0</v>
      </c>
      <c r="S115" s="372">
        <f t="shared" si="43"/>
        <v>0</v>
      </c>
      <c r="T115" s="372">
        <f t="shared" si="43"/>
        <v>0</v>
      </c>
      <c r="U115" s="372">
        <f t="shared" si="43"/>
        <v>0.75125220430879447</v>
      </c>
      <c r="V115" s="372">
        <f t="shared" si="43"/>
        <v>0</v>
      </c>
      <c r="W115" s="373">
        <f t="shared" si="32"/>
        <v>3.6601689429628013</v>
      </c>
      <c r="X115" s="257"/>
      <c r="Y115" s="257"/>
      <c r="Z115" s="257"/>
      <c r="AA115" s="257"/>
      <c r="AB115" s="257"/>
      <c r="AC115" s="257"/>
      <c r="AD115" s="257"/>
      <c r="AE115" s="257"/>
      <c r="AF115" s="257"/>
    </row>
    <row r="116" spans="1:32">
      <c r="A116" s="342" t="str">
        <f>IND_Commodities!D96</f>
        <v>High Quality Paper Demand</v>
      </c>
      <c r="B116" s="33" t="str">
        <f>IND_Commodities!C96</f>
        <v>IPH</v>
      </c>
      <c r="C116" s="372">
        <f>C$66*C67</f>
        <v>0</v>
      </c>
      <c r="D116" s="372">
        <f t="shared" ref="D116:V116" si="44">D$41*D67</f>
        <v>0</v>
      </c>
      <c r="E116" s="372">
        <f t="shared" si="44"/>
        <v>0</v>
      </c>
      <c r="F116" s="372">
        <f t="shared" si="44"/>
        <v>0</v>
      </c>
      <c r="G116" s="372">
        <f t="shared" si="44"/>
        <v>0</v>
      </c>
      <c r="H116" s="372">
        <f t="shared" si="44"/>
        <v>5.8108285026582393E-3</v>
      </c>
      <c r="I116" s="372">
        <f t="shared" si="44"/>
        <v>4.895328363930055E-2</v>
      </c>
      <c r="J116" s="372">
        <f t="shared" si="44"/>
        <v>0</v>
      </c>
      <c r="K116" s="372">
        <f t="shared" si="44"/>
        <v>6.2944815750061939E-3</v>
      </c>
      <c r="L116" s="372">
        <f t="shared" si="44"/>
        <v>0</v>
      </c>
      <c r="M116" s="372">
        <f t="shared" si="44"/>
        <v>7.4881093350127464E-2</v>
      </c>
      <c r="N116" s="372">
        <f t="shared" si="44"/>
        <v>0</v>
      </c>
      <c r="O116" s="372">
        <f t="shared" si="44"/>
        <v>0</v>
      </c>
      <c r="P116" s="372">
        <f t="shared" si="44"/>
        <v>0</v>
      </c>
      <c r="Q116" s="372">
        <f t="shared" si="44"/>
        <v>0</v>
      </c>
      <c r="R116" s="372">
        <f t="shared" si="44"/>
        <v>0</v>
      </c>
      <c r="S116" s="372">
        <f t="shared" si="44"/>
        <v>0</v>
      </c>
      <c r="T116" s="372">
        <f t="shared" si="44"/>
        <v>0</v>
      </c>
      <c r="U116" s="372">
        <f t="shared" si="44"/>
        <v>0.46078320961901609</v>
      </c>
      <c r="V116" s="372">
        <f t="shared" si="44"/>
        <v>0</v>
      </c>
      <c r="W116" s="373">
        <f t="shared" si="32"/>
        <v>0.59672289668610856</v>
      </c>
      <c r="X116" s="257"/>
      <c r="Y116" s="257"/>
      <c r="Z116" s="257"/>
      <c r="AA116" s="257"/>
      <c r="AB116" s="257"/>
      <c r="AC116" s="257"/>
      <c r="AD116" s="257"/>
      <c r="AE116" s="257"/>
      <c r="AF116" s="257"/>
    </row>
    <row r="117" spans="1:32">
      <c r="A117" s="342" t="str">
        <f>IND_Commodities!D97</f>
        <v>Low Quality Paper Demand</v>
      </c>
      <c r="B117" s="33" t="str">
        <f>IND_Commodities!C97</f>
        <v>IPL</v>
      </c>
      <c r="C117" s="372">
        <f>C$66*C68</f>
        <v>0</v>
      </c>
      <c r="D117" s="372">
        <f t="shared" ref="D117:V117" si="45">D$41*D68</f>
        <v>0</v>
      </c>
      <c r="E117" s="372">
        <f t="shared" si="45"/>
        <v>0</v>
      </c>
      <c r="F117" s="372">
        <f t="shared" si="45"/>
        <v>0</v>
      </c>
      <c r="G117" s="372">
        <f t="shared" si="45"/>
        <v>0</v>
      </c>
      <c r="H117" s="372">
        <f t="shared" si="45"/>
        <v>5.8108285026582393E-3</v>
      </c>
      <c r="I117" s="372">
        <f t="shared" si="45"/>
        <v>4.895328363930055E-2</v>
      </c>
      <c r="J117" s="372">
        <f t="shared" si="45"/>
        <v>0</v>
      </c>
      <c r="K117" s="372">
        <f t="shared" si="45"/>
        <v>6.2944815750061939E-3</v>
      </c>
      <c r="L117" s="372">
        <f t="shared" si="45"/>
        <v>0</v>
      </c>
      <c r="M117" s="372">
        <f t="shared" si="45"/>
        <v>7.4881093350127464E-2</v>
      </c>
      <c r="N117" s="372">
        <f t="shared" si="45"/>
        <v>0</v>
      </c>
      <c r="O117" s="372">
        <f t="shared" si="45"/>
        <v>0</v>
      </c>
      <c r="P117" s="372">
        <f t="shared" si="45"/>
        <v>0</v>
      </c>
      <c r="Q117" s="372">
        <f t="shared" si="45"/>
        <v>0</v>
      </c>
      <c r="R117" s="372">
        <f t="shared" si="45"/>
        <v>0</v>
      </c>
      <c r="S117" s="372">
        <f t="shared" si="45"/>
        <v>0</v>
      </c>
      <c r="T117" s="372">
        <f t="shared" si="45"/>
        <v>0</v>
      </c>
      <c r="U117" s="372">
        <f t="shared" si="45"/>
        <v>0.46078320961901609</v>
      </c>
      <c r="V117" s="372">
        <f t="shared" si="45"/>
        <v>0</v>
      </c>
      <c r="W117" s="373">
        <f t="shared" si="32"/>
        <v>0.59672289668610856</v>
      </c>
      <c r="X117" s="257"/>
      <c r="Y117" s="257"/>
      <c r="Z117" s="257"/>
      <c r="AA117" s="257"/>
      <c r="AB117" s="257"/>
      <c r="AC117" s="257"/>
      <c r="AD117" s="257"/>
      <c r="AE117" s="257"/>
      <c r="AF117" s="257"/>
    </row>
    <row r="118" spans="1:32">
      <c r="A118" s="374" t="str">
        <f>IND_Commodities!D87</f>
        <v>Other Non Ferrous Metals Demand</v>
      </c>
      <c r="B118" s="375" t="str">
        <f>IND_Commodities!C87</f>
        <v>INF</v>
      </c>
      <c r="C118" s="376">
        <f t="shared" ref="C118:V118" si="46">C$73</f>
        <v>0</v>
      </c>
      <c r="D118" s="376">
        <f t="shared" si="46"/>
        <v>0</v>
      </c>
      <c r="E118" s="376">
        <f t="shared" si="46"/>
        <v>0</v>
      </c>
      <c r="F118" s="376">
        <f t="shared" si="46"/>
        <v>0</v>
      </c>
      <c r="G118" s="376">
        <f t="shared" si="46"/>
        <v>0</v>
      </c>
      <c r="H118" s="376">
        <f t="shared" si="46"/>
        <v>0.25189941559023471</v>
      </c>
      <c r="I118" s="376">
        <f t="shared" si="46"/>
        <v>0.10421439676213322</v>
      </c>
      <c r="J118" s="376">
        <f t="shared" si="46"/>
        <v>0</v>
      </c>
      <c r="K118" s="376">
        <f t="shared" si="46"/>
        <v>4.3537175224000003E-2</v>
      </c>
      <c r="L118" s="376">
        <f t="shared" si="46"/>
        <v>0</v>
      </c>
      <c r="M118" s="376">
        <f t="shared" si="46"/>
        <v>17.680641010586502</v>
      </c>
      <c r="N118" s="376">
        <f t="shared" si="46"/>
        <v>0</v>
      </c>
      <c r="O118" s="376">
        <f t="shared" si="46"/>
        <v>0</v>
      </c>
      <c r="P118" s="376">
        <f t="shared" si="46"/>
        <v>0</v>
      </c>
      <c r="Q118" s="376">
        <f t="shared" si="46"/>
        <v>0</v>
      </c>
      <c r="R118" s="376">
        <f t="shared" si="46"/>
        <v>0</v>
      </c>
      <c r="S118" s="376">
        <f t="shared" si="46"/>
        <v>0</v>
      </c>
      <c r="T118" s="376">
        <f t="shared" si="46"/>
        <v>0</v>
      </c>
      <c r="U118" s="376">
        <f t="shared" si="46"/>
        <v>2.9656597537313885</v>
      </c>
      <c r="V118" s="376">
        <f t="shared" si="46"/>
        <v>0</v>
      </c>
      <c r="W118" s="377">
        <f t="shared" si="32"/>
        <v>21.045951751894258</v>
      </c>
      <c r="X118" s="257"/>
      <c r="Y118" s="257"/>
      <c r="Z118" s="257"/>
      <c r="AA118" s="257"/>
      <c r="AB118" s="257"/>
      <c r="AC118" s="257"/>
      <c r="AD118" s="257"/>
      <c r="AE118" s="257"/>
      <c r="AF118" s="257"/>
    </row>
    <row r="119" spans="1:32">
      <c r="A119" s="342" t="str">
        <f>IND_Commodities!D101</f>
        <v>Other Non Ferrous Metals.Steam.</v>
      </c>
      <c r="B119" s="342" t="str">
        <f>IND_Commodities!C101</f>
        <v>INFSTM</v>
      </c>
      <c r="C119" s="372">
        <f t="shared" ref="C119:V119" si="47">C$73*C74</f>
        <v>0</v>
      </c>
      <c r="D119" s="372">
        <f t="shared" si="47"/>
        <v>0</v>
      </c>
      <c r="E119" s="372">
        <f t="shared" si="47"/>
        <v>0</v>
      </c>
      <c r="F119" s="372">
        <f t="shared" si="47"/>
        <v>0</v>
      </c>
      <c r="G119" s="372">
        <f t="shared" si="47"/>
        <v>0</v>
      </c>
      <c r="H119" s="372">
        <f t="shared" si="47"/>
        <v>0.25189941559023471</v>
      </c>
      <c r="I119" s="372">
        <f t="shared" si="47"/>
        <v>0.10421439676213322</v>
      </c>
      <c r="J119" s="372">
        <f t="shared" si="47"/>
        <v>0</v>
      </c>
      <c r="K119" s="372">
        <f t="shared" si="47"/>
        <v>4.3537175224000003E-2</v>
      </c>
      <c r="L119" s="372">
        <f t="shared" si="47"/>
        <v>0</v>
      </c>
      <c r="M119" s="372">
        <f t="shared" si="47"/>
        <v>17.680641010586502</v>
      </c>
      <c r="N119" s="372">
        <f t="shared" si="47"/>
        <v>0</v>
      </c>
      <c r="O119" s="372">
        <f t="shared" si="47"/>
        <v>0</v>
      </c>
      <c r="P119" s="372">
        <f t="shared" si="47"/>
        <v>0</v>
      </c>
      <c r="Q119" s="372">
        <f t="shared" si="47"/>
        <v>0</v>
      </c>
      <c r="R119" s="372">
        <f t="shared" si="47"/>
        <v>0</v>
      </c>
      <c r="S119" s="372">
        <f t="shared" si="47"/>
        <v>0</v>
      </c>
      <c r="T119" s="372">
        <f t="shared" si="47"/>
        <v>0</v>
      </c>
      <c r="U119" s="372">
        <f t="shared" si="47"/>
        <v>0</v>
      </c>
      <c r="V119" s="372">
        <f t="shared" si="47"/>
        <v>0</v>
      </c>
      <c r="W119" s="373">
        <f t="shared" si="32"/>
        <v>18.08029199816287</v>
      </c>
      <c r="X119" s="257"/>
      <c r="Y119" s="257"/>
      <c r="Z119" s="257"/>
      <c r="AA119" s="257"/>
      <c r="AB119" s="257"/>
      <c r="AC119" s="257"/>
      <c r="AD119" s="257"/>
      <c r="AE119" s="257"/>
      <c r="AF119" s="257"/>
    </row>
    <row r="120" spans="1:32">
      <c r="A120" s="342" t="str">
        <f>IND_Commodities!D102</f>
        <v>Other Non Ferrous Metals.Process Heat.</v>
      </c>
      <c r="B120" s="342" t="str">
        <f>IND_Commodities!C102</f>
        <v>INFPRC</v>
      </c>
      <c r="C120" s="372">
        <f t="shared" ref="C120:V120" si="48">C$73*C75</f>
        <v>0</v>
      </c>
      <c r="D120" s="372">
        <f t="shared" si="48"/>
        <v>0</v>
      </c>
      <c r="E120" s="372">
        <f t="shared" si="48"/>
        <v>0</v>
      </c>
      <c r="F120" s="372">
        <f t="shared" si="48"/>
        <v>0</v>
      </c>
      <c r="G120" s="372">
        <f t="shared" si="48"/>
        <v>0</v>
      </c>
      <c r="H120" s="372">
        <f t="shared" si="48"/>
        <v>0</v>
      </c>
      <c r="I120" s="372">
        <f t="shared" si="48"/>
        <v>0</v>
      </c>
      <c r="J120" s="372">
        <f t="shared" si="48"/>
        <v>0</v>
      </c>
      <c r="K120" s="372">
        <f t="shared" si="48"/>
        <v>0</v>
      </c>
      <c r="L120" s="372">
        <f t="shared" si="48"/>
        <v>0</v>
      </c>
      <c r="M120" s="372">
        <f t="shared" si="48"/>
        <v>0</v>
      </c>
      <c r="N120" s="372">
        <f t="shared" si="48"/>
        <v>0</v>
      </c>
      <c r="O120" s="372">
        <f t="shared" si="48"/>
        <v>0</v>
      </c>
      <c r="P120" s="372">
        <f t="shared" si="48"/>
        <v>0</v>
      </c>
      <c r="Q120" s="372">
        <f t="shared" si="48"/>
        <v>0</v>
      </c>
      <c r="R120" s="372">
        <f t="shared" si="48"/>
        <v>0</v>
      </c>
      <c r="S120" s="372">
        <f t="shared" si="48"/>
        <v>0</v>
      </c>
      <c r="T120" s="372">
        <f t="shared" si="48"/>
        <v>0</v>
      </c>
      <c r="U120" s="372">
        <f t="shared" si="48"/>
        <v>0</v>
      </c>
      <c r="V120" s="372">
        <f t="shared" si="48"/>
        <v>0</v>
      </c>
      <c r="W120" s="373">
        <f t="shared" si="32"/>
        <v>0</v>
      </c>
      <c r="X120" s="257"/>
      <c r="Y120" s="257"/>
      <c r="Z120" s="257"/>
      <c r="AA120" s="257"/>
      <c r="AB120" s="257"/>
      <c r="AC120" s="257"/>
      <c r="AD120" s="257"/>
      <c r="AE120" s="257"/>
      <c r="AF120" s="257"/>
    </row>
    <row r="121" spans="1:32">
      <c r="A121" s="342" t="str">
        <f>IND_Commodities!D103</f>
        <v>Other Non Ferrous Metals.Machine Drive.</v>
      </c>
      <c r="B121" s="342" t="str">
        <f>IND_Commodities!C103</f>
        <v>INFMCH</v>
      </c>
      <c r="C121" s="372">
        <f t="shared" ref="C121:V121" si="49">C$73*C76</f>
        <v>0</v>
      </c>
      <c r="D121" s="372">
        <f t="shared" si="49"/>
        <v>0</v>
      </c>
      <c r="E121" s="372">
        <f t="shared" si="49"/>
        <v>0</v>
      </c>
      <c r="F121" s="372">
        <f t="shared" si="49"/>
        <v>0</v>
      </c>
      <c r="G121" s="372">
        <f t="shared" si="49"/>
        <v>0</v>
      </c>
      <c r="H121" s="372">
        <f t="shared" si="49"/>
        <v>0</v>
      </c>
      <c r="I121" s="372">
        <f t="shared" si="49"/>
        <v>0</v>
      </c>
      <c r="J121" s="372">
        <f t="shared" si="49"/>
        <v>0</v>
      </c>
      <c r="K121" s="372">
        <f t="shared" si="49"/>
        <v>0</v>
      </c>
      <c r="L121" s="372">
        <f t="shared" si="49"/>
        <v>0</v>
      </c>
      <c r="M121" s="372">
        <f t="shared" si="49"/>
        <v>0</v>
      </c>
      <c r="N121" s="372">
        <f t="shared" si="49"/>
        <v>0</v>
      </c>
      <c r="O121" s="372">
        <f t="shared" si="49"/>
        <v>0</v>
      </c>
      <c r="P121" s="372">
        <f t="shared" si="49"/>
        <v>0</v>
      </c>
      <c r="Q121" s="372">
        <f t="shared" si="49"/>
        <v>0</v>
      </c>
      <c r="R121" s="372">
        <f t="shared" si="49"/>
        <v>0</v>
      </c>
      <c r="S121" s="372">
        <f t="shared" si="49"/>
        <v>0</v>
      </c>
      <c r="T121" s="372">
        <f t="shared" si="49"/>
        <v>0</v>
      </c>
      <c r="U121" s="372">
        <f t="shared" si="49"/>
        <v>2.9656597537313885</v>
      </c>
      <c r="V121" s="372">
        <f t="shared" si="49"/>
        <v>0</v>
      </c>
      <c r="W121" s="373">
        <f t="shared" si="32"/>
        <v>2.9656597537313885</v>
      </c>
      <c r="X121" s="257"/>
      <c r="Y121" s="257"/>
      <c r="Z121" s="257"/>
      <c r="AA121" s="257"/>
      <c r="AB121" s="257"/>
      <c r="AC121" s="257"/>
      <c r="AD121" s="257"/>
      <c r="AE121" s="257"/>
      <c r="AF121" s="257"/>
    </row>
    <row r="122" spans="1:32">
      <c r="A122" s="342" t="str">
        <f>IND_Commodities!D104</f>
        <v>Other Non Ferrous Metals.Electro-Chemicals.</v>
      </c>
      <c r="B122" s="342" t="str">
        <f>IND_Commodities!C104</f>
        <v>INFELE</v>
      </c>
      <c r="C122" s="372">
        <f t="shared" ref="C122:V122" si="50">C$73*C77</f>
        <v>0</v>
      </c>
      <c r="D122" s="372">
        <f t="shared" si="50"/>
        <v>0</v>
      </c>
      <c r="E122" s="372">
        <f t="shared" si="50"/>
        <v>0</v>
      </c>
      <c r="F122" s="372">
        <f t="shared" si="50"/>
        <v>0</v>
      </c>
      <c r="G122" s="372">
        <f t="shared" si="50"/>
        <v>0</v>
      </c>
      <c r="H122" s="372">
        <f t="shared" si="50"/>
        <v>0</v>
      </c>
      <c r="I122" s="372">
        <f t="shared" si="50"/>
        <v>0</v>
      </c>
      <c r="J122" s="372">
        <f t="shared" si="50"/>
        <v>0</v>
      </c>
      <c r="K122" s="372">
        <f t="shared" si="50"/>
        <v>0</v>
      </c>
      <c r="L122" s="372">
        <f t="shared" si="50"/>
        <v>0</v>
      </c>
      <c r="M122" s="372">
        <f t="shared" si="50"/>
        <v>0</v>
      </c>
      <c r="N122" s="372">
        <f t="shared" si="50"/>
        <v>0</v>
      </c>
      <c r="O122" s="372">
        <f t="shared" si="50"/>
        <v>0</v>
      </c>
      <c r="P122" s="372">
        <f t="shared" si="50"/>
        <v>0</v>
      </c>
      <c r="Q122" s="372">
        <f t="shared" si="50"/>
        <v>0</v>
      </c>
      <c r="R122" s="372">
        <f t="shared" si="50"/>
        <v>0</v>
      </c>
      <c r="S122" s="372">
        <f t="shared" si="50"/>
        <v>0</v>
      </c>
      <c r="T122" s="372">
        <f t="shared" si="50"/>
        <v>0</v>
      </c>
      <c r="U122" s="372">
        <f t="shared" si="50"/>
        <v>0</v>
      </c>
      <c r="V122" s="372">
        <f t="shared" si="50"/>
        <v>0</v>
      </c>
      <c r="W122" s="373">
        <f t="shared" si="32"/>
        <v>0</v>
      </c>
      <c r="X122" s="257"/>
      <c r="Y122" s="257"/>
      <c r="Z122" s="257"/>
      <c r="AA122" s="257"/>
      <c r="AB122" s="257"/>
      <c r="AC122" s="257"/>
      <c r="AD122" s="257"/>
      <c r="AE122" s="257"/>
      <c r="AF122" s="257"/>
    </row>
    <row r="123" spans="1:32">
      <c r="A123" s="342" t="str">
        <f>IND_Commodities!D105</f>
        <v>Other Non Ferrous Metals.Other Processes.</v>
      </c>
      <c r="B123" s="342" t="str">
        <f>IND_Commodities!C105</f>
        <v>INFOTH</v>
      </c>
      <c r="C123" s="372">
        <f t="shared" ref="C123:V123" si="51">C$73*C78</f>
        <v>0</v>
      </c>
      <c r="D123" s="372">
        <f t="shared" si="51"/>
        <v>0</v>
      </c>
      <c r="E123" s="372">
        <f t="shared" si="51"/>
        <v>0</v>
      </c>
      <c r="F123" s="372">
        <f t="shared" si="51"/>
        <v>0</v>
      </c>
      <c r="G123" s="372">
        <f t="shared" si="51"/>
        <v>0</v>
      </c>
      <c r="H123" s="372">
        <f t="shared" si="51"/>
        <v>0</v>
      </c>
      <c r="I123" s="372">
        <f t="shared" si="51"/>
        <v>0</v>
      </c>
      <c r="J123" s="372">
        <f t="shared" si="51"/>
        <v>0</v>
      </c>
      <c r="K123" s="372">
        <f t="shared" si="51"/>
        <v>0</v>
      </c>
      <c r="L123" s="372">
        <f t="shared" si="51"/>
        <v>0</v>
      </c>
      <c r="M123" s="372">
        <f t="shared" si="51"/>
        <v>0</v>
      </c>
      <c r="N123" s="372">
        <f t="shared" si="51"/>
        <v>0</v>
      </c>
      <c r="O123" s="372">
        <f t="shared" si="51"/>
        <v>0</v>
      </c>
      <c r="P123" s="372">
        <f t="shared" si="51"/>
        <v>0</v>
      </c>
      <c r="Q123" s="372">
        <f t="shared" si="51"/>
        <v>0</v>
      </c>
      <c r="R123" s="372">
        <f t="shared" si="51"/>
        <v>0</v>
      </c>
      <c r="S123" s="372">
        <f t="shared" si="51"/>
        <v>0</v>
      </c>
      <c r="T123" s="372">
        <f t="shared" si="51"/>
        <v>0</v>
      </c>
      <c r="U123" s="372">
        <f t="shared" si="51"/>
        <v>0</v>
      </c>
      <c r="V123" s="372">
        <f t="shared" si="51"/>
        <v>0</v>
      </c>
      <c r="W123" s="373">
        <f t="shared" si="32"/>
        <v>0</v>
      </c>
      <c r="X123" s="257"/>
      <c r="Y123" s="257"/>
      <c r="Z123" s="257"/>
      <c r="AA123" s="257"/>
      <c r="AB123" s="257"/>
      <c r="AC123" s="257"/>
      <c r="AD123" s="257"/>
      <c r="AE123" s="257"/>
      <c r="AF123" s="257"/>
    </row>
    <row r="124" spans="1:32">
      <c r="A124" s="374" t="str">
        <f>IND_Commodities!D90</f>
        <v>Other Chemicals Demand</v>
      </c>
      <c r="B124" s="375" t="str">
        <f>IND_Commodities!C90</f>
        <v>ICH</v>
      </c>
      <c r="C124" s="376">
        <f t="shared" ref="C124:V124" si="52">C$80</f>
        <v>0</v>
      </c>
      <c r="D124" s="376">
        <f t="shared" si="52"/>
        <v>0</v>
      </c>
      <c r="E124" s="376">
        <f t="shared" si="52"/>
        <v>0</v>
      </c>
      <c r="F124" s="376">
        <f t="shared" si="52"/>
        <v>0</v>
      </c>
      <c r="G124" s="376">
        <f t="shared" si="52"/>
        <v>0</v>
      </c>
      <c r="H124" s="376">
        <f t="shared" si="52"/>
        <v>0.13684501123760154</v>
      </c>
      <c r="I124" s="376">
        <f t="shared" si="52"/>
        <v>0.86160932796462297</v>
      </c>
      <c r="J124" s="376">
        <f t="shared" si="52"/>
        <v>0</v>
      </c>
      <c r="K124" s="376">
        <f t="shared" si="52"/>
        <v>0.16128869235273877</v>
      </c>
      <c r="L124" s="376">
        <f t="shared" si="52"/>
        <v>0</v>
      </c>
      <c r="M124" s="376">
        <f t="shared" si="52"/>
        <v>0.58994121161597679</v>
      </c>
      <c r="N124" s="376">
        <f t="shared" si="52"/>
        <v>0</v>
      </c>
      <c r="O124" s="376">
        <f t="shared" si="52"/>
        <v>0</v>
      </c>
      <c r="P124" s="376">
        <f t="shared" si="52"/>
        <v>0</v>
      </c>
      <c r="Q124" s="376">
        <f t="shared" si="52"/>
        <v>0</v>
      </c>
      <c r="R124" s="376">
        <f t="shared" si="52"/>
        <v>0</v>
      </c>
      <c r="S124" s="376">
        <f t="shared" si="52"/>
        <v>0</v>
      </c>
      <c r="T124" s="376">
        <f t="shared" si="52"/>
        <v>0</v>
      </c>
      <c r="U124" s="376">
        <f t="shared" si="52"/>
        <v>7.1523206245497821</v>
      </c>
      <c r="V124" s="376">
        <f t="shared" si="52"/>
        <v>1.8003086004756379</v>
      </c>
      <c r="W124" s="377">
        <f t="shared" si="32"/>
        <v>10.70231346819636</v>
      </c>
      <c r="X124" s="257"/>
      <c r="Y124" s="257"/>
      <c r="Z124" s="257"/>
      <c r="AA124" s="257"/>
      <c r="AB124" s="257"/>
      <c r="AC124" s="257"/>
      <c r="AD124" s="257"/>
      <c r="AE124" s="257"/>
      <c r="AF124" s="257"/>
    </row>
    <row r="125" spans="1:32">
      <c r="A125" s="342" t="str">
        <f>IND_Commodities!D106</f>
        <v>Other Chemicals.Steam.</v>
      </c>
      <c r="B125" s="342" t="str">
        <f>IND_Commodities!C106</f>
        <v>ICHSTM</v>
      </c>
      <c r="C125" s="372">
        <f t="shared" ref="C125:U125" si="53">C$80*C81</f>
        <v>0</v>
      </c>
      <c r="D125" s="372">
        <f t="shared" si="53"/>
        <v>0</v>
      </c>
      <c r="E125" s="372">
        <f t="shared" si="53"/>
        <v>0</v>
      </c>
      <c r="F125" s="372">
        <f t="shared" si="53"/>
        <v>0</v>
      </c>
      <c r="G125" s="372">
        <f t="shared" si="53"/>
        <v>0</v>
      </c>
      <c r="H125" s="372">
        <f t="shared" si="53"/>
        <v>0.13684501123760154</v>
      </c>
      <c r="I125" s="372">
        <f t="shared" si="53"/>
        <v>0.86160932796462297</v>
      </c>
      <c r="J125" s="372">
        <f t="shared" si="53"/>
        <v>0</v>
      </c>
      <c r="K125" s="372">
        <f t="shared" si="53"/>
        <v>0.16128869235273877</v>
      </c>
      <c r="L125" s="372">
        <f t="shared" si="53"/>
        <v>0</v>
      </c>
      <c r="M125" s="372">
        <f t="shared" si="53"/>
        <v>0.58994121161597679</v>
      </c>
      <c r="N125" s="372">
        <f t="shared" si="53"/>
        <v>0</v>
      </c>
      <c r="O125" s="372">
        <f t="shared" si="53"/>
        <v>0</v>
      </c>
      <c r="P125" s="372">
        <f t="shared" si="53"/>
        <v>0</v>
      </c>
      <c r="Q125" s="372">
        <f t="shared" si="53"/>
        <v>0</v>
      </c>
      <c r="R125" s="372">
        <f t="shared" si="53"/>
        <v>0</v>
      </c>
      <c r="S125" s="372">
        <f t="shared" si="53"/>
        <v>0</v>
      </c>
      <c r="T125" s="372">
        <f t="shared" si="53"/>
        <v>0</v>
      </c>
      <c r="U125" s="372">
        <f t="shared" si="53"/>
        <v>0</v>
      </c>
      <c r="V125" s="372">
        <f>V$80*V81</f>
        <v>1.8003086004756379</v>
      </c>
      <c r="W125" s="373">
        <f t="shared" si="32"/>
        <v>3.549992843646578</v>
      </c>
      <c r="X125" s="257"/>
      <c r="Y125" s="257"/>
      <c r="Z125" s="257"/>
      <c r="AA125" s="257"/>
      <c r="AB125" s="257"/>
      <c r="AC125" s="257"/>
      <c r="AD125" s="257"/>
      <c r="AE125" s="257"/>
      <c r="AF125" s="257"/>
    </row>
    <row r="126" spans="1:32">
      <c r="A126" s="342" t="str">
        <f>IND_Commodities!D107</f>
        <v>Other Chemicals.Process Heat.</v>
      </c>
      <c r="B126" s="342" t="str">
        <f>IND_Commodities!C107</f>
        <v>ICHPRC</v>
      </c>
      <c r="C126" s="372">
        <f t="shared" ref="C126:V126" si="54">C$80*C82</f>
        <v>0</v>
      </c>
      <c r="D126" s="372">
        <f t="shared" si="54"/>
        <v>0</v>
      </c>
      <c r="E126" s="372">
        <f t="shared" si="54"/>
        <v>0</v>
      </c>
      <c r="F126" s="372">
        <f t="shared" si="54"/>
        <v>0</v>
      </c>
      <c r="G126" s="372">
        <f t="shared" si="54"/>
        <v>0</v>
      </c>
      <c r="H126" s="372">
        <f t="shared" si="54"/>
        <v>0</v>
      </c>
      <c r="I126" s="372">
        <f t="shared" si="54"/>
        <v>0</v>
      </c>
      <c r="J126" s="372">
        <f t="shared" si="54"/>
        <v>0</v>
      </c>
      <c r="K126" s="372">
        <f t="shared" si="54"/>
        <v>0</v>
      </c>
      <c r="L126" s="372">
        <f t="shared" si="54"/>
        <v>0</v>
      </c>
      <c r="M126" s="372">
        <f t="shared" si="54"/>
        <v>0</v>
      </c>
      <c r="N126" s="372">
        <f t="shared" si="54"/>
        <v>0</v>
      </c>
      <c r="O126" s="372">
        <f t="shared" si="54"/>
        <v>0</v>
      </c>
      <c r="P126" s="372">
        <f t="shared" si="54"/>
        <v>0</v>
      </c>
      <c r="Q126" s="372">
        <f t="shared" si="54"/>
        <v>0</v>
      </c>
      <c r="R126" s="372">
        <f t="shared" si="54"/>
        <v>0</v>
      </c>
      <c r="S126" s="372">
        <f t="shared" si="54"/>
        <v>0</v>
      </c>
      <c r="T126" s="372">
        <f t="shared" si="54"/>
        <v>0</v>
      </c>
      <c r="U126" s="372">
        <f t="shared" si="54"/>
        <v>0</v>
      </c>
      <c r="V126" s="372">
        <f t="shared" si="54"/>
        <v>0</v>
      </c>
      <c r="W126" s="373">
        <f t="shared" si="32"/>
        <v>0</v>
      </c>
      <c r="X126" s="257"/>
      <c r="Y126" s="257"/>
      <c r="Z126" s="257"/>
      <c r="AA126" s="257"/>
      <c r="AB126" s="257"/>
      <c r="AC126" s="257"/>
      <c r="AD126" s="257"/>
      <c r="AE126" s="257"/>
      <c r="AF126" s="257"/>
    </row>
    <row r="127" spans="1:32">
      <c r="A127" s="342" t="str">
        <f>IND_Commodities!D108</f>
        <v>Other Chemicals.Machine Drive.</v>
      </c>
      <c r="B127" s="342" t="str">
        <f>IND_Commodities!C108</f>
        <v>ICHMCH</v>
      </c>
      <c r="C127" s="372">
        <f t="shared" ref="C127:V127" si="55">C$80*C83</f>
        <v>0</v>
      </c>
      <c r="D127" s="372">
        <f t="shared" si="55"/>
        <v>0</v>
      </c>
      <c r="E127" s="372">
        <f t="shared" si="55"/>
        <v>0</v>
      </c>
      <c r="F127" s="372">
        <f t="shared" si="55"/>
        <v>0</v>
      </c>
      <c r="G127" s="372">
        <f t="shared" si="55"/>
        <v>0</v>
      </c>
      <c r="H127" s="372">
        <f t="shared" si="55"/>
        <v>0</v>
      </c>
      <c r="I127" s="372">
        <f t="shared" si="55"/>
        <v>0</v>
      </c>
      <c r="J127" s="372">
        <f t="shared" si="55"/>
        <v>0</v>
      </c>
      <c r="K127" s="372">
        <f t="shared" si="55"/>
        <v>0</v>
      </c>
      <c r="L127" s="372">
        <f t="shared" si="55"/>
        <v>0</v>
      </c>
      <c r="M127" s="372">
        <f t="shared" si="55"/>
        <v>0</v>
      </c>
      <c r="N127" s="372">
        <f t="shared" si="55"/>
        <v>0</v>
      </c>
      <c r="O127" s="372">
        <f t="shared" si="55"/>
        <v>0</v>
      </c>
      <c r="P127" s="372">
        <f t="shared" si="55"/>
        <v>0</v>
      </c>
      <c r="Q127" s="372">
        <f t="shared" si="55"/>
        <v>0</v>
      </c>
      <c r="R127" s="372">
        <f t="shared" si="55"/>
        <v>0</v>
      </c>
      <c r="S127" s="372">
        <f t="shared" si="55"/>
        <v>0</v>
      </c>
      <c r="T127" s="372">
        <f t="shared" si="55"/>
        <v>0</v>
      </c>
      <c r="U127" s="372">
        <f t="shared" si="55"/>
        <v>7.1523206245497821</v>
      </c>
      <c r="V127" s="372">
        <f t="shared" si="55"/>
        <v>0</v>
      </c>
      <c r="W127" s="373">
        <f t="shared" si="32"/>
        <v>7.1523206245497821</v>
      </c>
      <c r="X127" s="257"/>
      <c r="Y127" s="257"/>
      <c r="Z127" s="257"/>
      <c r="AA127" s="257"/>
      <c r="AB127" s="257"/>
      <c r="AC127" s="257"/>
      <c r="AD127" s="257"/>
      <c r="AE127" s="257"/>
      <c r="AF127" s="257"/>
    </row>
    <row r="128" spans="1:32">
      <c r="A128" s="342" t="str">
        <f>IND_Commodities!D109</f>
        <v>Other Chemicals.Electro-Chemicals.</v>
      </c>
      <c r="B128" s="342" t="str">
        <f>IND_Commodities!C109</f>
        <v>ICHELE</v>
      </c>
      <c r="C128" s="372">
        <f t="shared" ref="C128:V128" si="56">C$80*C84</f>
        <v>0</v>
      </c>
      <c r="D128" s="372">
        <f t="shared" si="56"/>
        <v>0</v>
      </c>
      <c r="E128" s="372">
        <f t="shared" si="56"/>
        <v>0</v>
      </c>
      <c r="F128" s="372">
        <f t="shared" si="56"/>
        <v>0</v>
      </c>
      <c r="G128" s="372">
        <f t="shared" si="56"/>
        <v>0</v>
      </c>
      <c r="H128" s="372">
        <f t="shared" si="56"/>
        <v>0</v>
      </c>
      <c r="I128" s="372">
        <f t="shared" si="56"/>
        <v>0</v>
      </c>
      <c r="J128" s="372">
        <f t="shared" si="56"/>
        <v>0</v>
      </c>
      <c r="K128" s="372">
        <f t="shared" si="56"/>
        <v>0</v>
      </c>
      <c r="L128" s="372">
        <f t="shared" si="56"/>
        <v>0</v>
      </c>
      <c r="M128" s="372">
        <f t="shared" si="56"/>
        <v>0</v>
      </c>
      <c r="N128" s="372">
        <f t="shared" si="56"/>
        <v>0</v>
      </c>
      <c r="O128" s="372">
        <f t="shared" si="56"/>
        <v>0</v>
      </c>
      <c r="P128" s="372">
        <f t="shared" si="56"/>
        <v>0</v>
      </c>
      <c r="Q128" s="372">
        <f t="shared" si="56"/>
        <v>0</v>
      </c>
      <c r="R128" s="372">
        <f t="shared" si="56"/>
        <v>0</v>
      </c>
      <c r="S128" s="372">
        <f t="shared" si="56"/>
        <v>0</v>
      </c>
      <c r="T128" s="372">
        <f t="shared" si="56"/>
        <v>0</v>
      </c>
      <c r="U128" s="372">
        <f t="shared" si="56"/>
        <v>0</v>
      </c>
      <c r="V128" s="372">
        <f t="shared" si="56"/>
        <v>0</v>
      </c>
      <c r="W128" s="373">
        <f t="shared" si="32"/>
        <v>0</v>
      </c>
      <c r="X128" s="257"/>
      <c r="Y128" s="257"/>
      <c r="Z128" s="257"/>
      <c r="AA128" s="257"/>
      <c r="AB128" s="257"/>
      <c r="AC128" s="257"/>
      <c r="AD128" s="257"/>
      <c r="AE128" s="257"/>
      <c r="AF128" s="257"/>
    </row>
    <row r="129" spans="1:32">
      <c r="A129" s="342" t="str">
        <f>IND_Commodities!D110</f>
        <v>Other Chemicals.Other Processes.</v>
      </c>
      <c r="B129" s="342" t="str">
        <f>IND_Commodities!C110</f>
        <v>ICHOTH</v>
      </c>
      <c r="C129" s="372">
        <f t="shared" ref="C129:V129" si="57">C$80*C85</f>
        <v>0</v>
      </c>
      <c r="D129" s="372">
        <f t="shared" si="57"/>
        <v>0</v>
      </c>
      <c r="E129" s="372">
        <f t="shared" si="57"/>
        <v>0</v>
      </c>
      <c r="F129" s="372">
        <f t="shared" si="57"/>
        <v>0</v>
      </c>
      <c r="G129" s="372">
        <f t="shared" si="57"/>
        <v>0</v>
      </c>
      <c r="H129" s="372">
        <f t="shared" si="57"/>
        <v>0</v>
      </c>
      <c r="I129" s="372">
        <f t="shared" si="57"/>
        <v>0</v>
      </c>
      <c r="J129" s="372">
        <f t="shared" si="57"/>
        <v>0</v>
      </c>
      <c r="K129" s="372">
        <f t="shared" si="57"/>
        <v>0</v>
      </c>
      <c r="L129" s="372">
        <f t="shared" si="57"/>
        <v>0</v>
      </c>
      <c r="M129" s="372">
        <f t="shared" si="57"/>
        <v>0</v>
      </c>
      <c r="N129" s="372">
        <f t="shared" si="57"/>
        <v>0</v>
      </c>
      <c r="O129" s="372">
        <f t="shared" si="57"/>
        <v>0</v>
      </c>
      <c r="P129" s="372">
        <f t="shared" si="57"/>
        <v>0</v>
      </c>
      <c r="Q129" s="372">
        <f t="shared" si="57"/>
        <v>0</v>
      </c>
      <c r="R129" s="372">
        <f t="shared" si="57"/>
        <v>0</v>
      </c>
      <c r="S129" s="372">
        <f t="shared" si="57"/>
        <v>0</v>
      </c>
      <c r="T129" s="372">
        <f t="shared" si="57"/>
        <v>0</v>
      </c>
      <c r="U129" s="372">
        <f t="shared" si="57"/>
        <v>0</v>
      </c>
      <c r="V129" s="372">
        <f t="shared" si="57"/>
        <v>0</v>
      </c>
      <c r="W129" s="373">
        <f t="shared" si="32"/>
        <v>0</v>
      </c>
      <c r="X129" s="257"/>
      <c r="Y129" s="257"/>
      <c r="Z129" s="257"/>
      <c r="AA129" s="257"/>
      <c r="AB129" s="257"/>
      <c r="AC129" s="257"/>
      <c r="AD129" s="257"/>
      <c r="AE129" s="257"/>
      <c r="AF129" s="257"/>
    </row>
    <row r="130" spans="1:32">
      <c r="A130" s="374" t="str">
        <f>IND_Commodities!D95</f>
        <v>Other Non Metallic Minerals Demand</v>
      </c>
      <c r="B130" s="375" t="str">
        <f>IND_Commodities!C95</f>
        <v>INM</v>
      </c>
      <c r="C130" s="376">
        <f t="shared" ref="C130:V130" si="58">C$87</f>
        <v>0</v>
      </c>
      <c r="D130" s="376">
        <f t="shared" si="58"/>
        <v>0</v>
      </c>
      <c r="E130" s="376">
        <f t="shared" si="58"/>
        <v>0</v>
      </c>
      <c r="F130" s="376">
        <f t="shared" si="58"/>
        <v>0</v>
      </c>
      <c r="G130" s="376">
        <f t="shared" si="58"/>
        <v>0</v>
      </c>
      <c r="H130" s="376">
        <f t="shared" si="58"/>
        <v>6.1594782128177331E-2</v>
      </c>
      <c r="I130" s="376">
        <f t="shared" si="58"/>
        <v>1.8869261085604554</v>
      </c>
      <c r="J130" s="376">
        <f t="shared" si="58"/>
        <v>0</v>
      </c>
      <c r="K130" s="376">
        <f t="shared" si="58"/>
        <v>0.21069874767889088</v>
      </c>
      <c r="L130" s="376">
        <f t="shared" si="58"/>
        <v>0</v>
      </c>
      <c r="M130" s="376">
        <f t="shared" si="58"/>
        <v>0.7496971002864834</v>
      </c>
      <c r="N130" s="376">
        <f t="shared" si="58"/>
        <v>0</v>
      </c>
      <c r="O130" s="376">
        <f t="shared" si="58"/>
        <v>0</v>
      </c>
      <c r="P130" s="376">
        <f t="shared" si="58"/>
        <v>0</v>
      </c>
      <c r="Q130" s="376">
        <f t="shared" si="58"/>
        <v>0</v>
      </c>
      <c r="R130" s="376">
        <f t="shared" si="58"/>
        <v>0</v>
      </c>
      <c r="S130" s="376">
        <f t="shared" si="58"/>
        <v>0</v>
      </c>
      <c r="T130" s="376">
        <f t="shared" si="58"/>
        <v>0</v>
      </c>
      <c r="U130" s="376">
        <f t="shared" si="58"/>
        <v>0.75125220430879447</v>
      </c>
      <c r="V130" s="376">
        <f t="shared" si="58"/>
        <v>0</v>
      </c>
      <c r="W130" s="377">
        <f t="shared" si="32"/>
        <v>3.6601689429628013</v>
      </c>
      <c r="X130" s="257"/>
      <c r="Y130" s="257"/>
      <c r="Z130" s="257"/>
      <c r="AA130" s="257"/>
      <c r="AB130" s="257"/>
      <c r="AC130" s="257"/>
      <c r="AD130" s="257"/>
      <c r="AE130" s="257"/>
      <c r="AF130" s="257"/>
    </row>
    <row r="131" spans="1:32">
      <c r="A131" s="342" t="str">
        <f>IND_Commodities!D111</f>
        <v>Other Non Metallic Minerals.Steam.</v>
      </c>
      <c r="B131" s="342" t="str">
        <f>IND_Commodities!C111</f>
        <v>INMSTM</v>
      </c>
      <c r="C131" s="372">
        <f>C$87*C88</f>
        <v>0</v>
      </c>
      <c r="D131" s="372">
        <f t="shared" ref="D131:V131" si="59">D$87*D88</f>
        <v>0</v>
      </c>
      <c r="E131" s="372">
        <f t="shared" si="59"/>
        <v>0</v>
      </c>
      <c r="F131" s="372">
        <f t="shared" si="59"/>
        <v>0</v>
      </c>
      <c r="G131" s="372">
        <f t="shared" si="59"/>
        <v>0</v>
      </c>
      <c r="H131" s="372">
        <f t="shared" si="59"/>
        <v>6.1594782128177331E-2</v>
      </c>
      <c r="I131" s="372">
        <f t="shared" si="59"/>
        <v>1.8869261085604554</v>
      </c>
      <c r="J131" s="372">
        <f t="shared" si="59"/>
        <v>0</v>
      </c>
      <c r="K131" s="372">
        <f t="shared" si="59"/>
        <v>0.21069874767889088</v>
      </c>
      <c r="L131" s="372">
        <f t="shared" si="59"/>
        <v>0</v>
      </c>
      <c r="M131" s="372">
        <f t="shared" si="59"/>
        <v>0.7496971002864834</v>
      </c>
      <c r="N131" s="372">
        <f t="shared" si="59"/>
        <v>0</v>
      </c>
      <c r="O131" s="372">
        <f t="shared" si="59"/>
        <v>0</v>
      </c>
      <c r="P131" s="372">
        <f t="shared" si="59"/>
        <v>0</v>
      </c>
      <c r="Q131" s="372">
        <f t="shared" si="59"/>
        <v>0</v>
      </c>
      <c r="R131" s="372">
        <f t="shared" si="59"/>
        <v>0</v>
      </c>
      <c r="S131" s="372">
        <f t="shared" si="59"/>
        <v>0</v>
      </c>
      <c r="T131" s="372">
        <f t="shared" si="59"/>
        <v>0</v>
      </c>
      <c r="U131" s="372">
        <f t="shared" si="59"/>
        <v>0</v>
      </c>
      <c r="V131" s="372">
        <f t="shared" si="59"/>
        <v>0</v>
      </c>
      <c r="W131" s="373">
        <f t="shared" si="32"/>
        <v>2.9089167386540069</v>
      </c>
      <c r="X131" s="257"/>
      <c r="Y131" s="257"/>
      <c r="Z131" s="257"/>
      <c r="AA131" s="257"/>
      <c r="AB131" s="257"/>
      <c r="AC131" s="257"/>
      <c r="AD131" s="257"/>
      <c r="AE131" s="257"/>
      <c r="AF131" s="257"/>
    </row>
    <row r="132" spans="1:32">
      <c r="A132" s="342" t="str">
        <f>IND_Commodities!D112</f>
        <v>Other Non Metallic Minerals.Process Heat.</v>
      </c>
      <c r="B132" s="342" t="str">
        <f>IND_Commodities!C112</f>
        <v>INMPRC</v>
      </c>
      <c r="C132" s="372">
        <f t="shared" ref="C132:V132" si="60">C$87*C89</f>
        <v>0</v>
      </c>
      <c r="D132" s="372">
        <f t="shared" si="60"/>
        <v>0</v>
      </c>
      <c r="E132" s="372">
        <f t="shared" si="60"/>
        <v>0</v>
      </c>
      <c r="F132" s="372">
        <f t="shared" si="60"/>
        <v>0</v>
      </c>
      <c r="G132" s="372">
        <f t="shared" si="60"/>
        <v>0</v>
      </c>
      <c r="H132" s="372">
        <f t="shared" si="60"/>
        <v>0</v>
      </c>
      <c r="I132" s="372">
        <f t="shared" si="60"/>
        <v>0</v>
      </c>
      <c r="J132" s="372">
        <f t="shared" si="60"/>
        <v>0</v>
      </c>
      <c r="K132" s="372">
        <f t="shared" si="60"/>
        <v>0</v>
      </c>
      <c r="L132" s="372">
        <f t="shared" si="60"/>
        <v>0</v>
      </c>
      <c r="M132" s="372">
        <f t="shared" si="60"/>
        <v>0</v>
      </c>
      <c r="N132" s="372">
        <f t="shared" si="60"/>
        <v>0</v>
      </c>
      <c r="O132" s="372">
        <f t="shared" si="60"/>
        <v>0</v>
      </c>
      <c r="P132" s="372">
        <f t="shared" si="60"/>
        <v>0</v>
      </c>
      <c r="Q132" s="372">
        <f t="shared" si="60"/>
        <v>0</v>
      </c>
      <c r="R132" s="372">
        <f t="shared" si="60"/>
        <v>0</v>
      </c>
      <c r="S132" s="372">
        <f t="shared" si="60"/>
        <v>0</v>
      </c>
      <c r="T132" s="372">
        <f t="shared" si="60"/>
        <v>0</v>
      </c>
      <c r="U132" s="372">
        <f t="shared" si="60"/>
        <v>0</v>
      </c>
      <c r="V132" s="372">
        <f t="shared" si="60"/>
        <v>0</v>
      </c>
      <c r="W132" s="373">
        <f t="shared" si="32"/>
        <v>0</v>
      </c>
      <c r="X132" s="257"/>
      <c r="Y132" s="257"/>
      <c r="Z132" s="257"/>
      <c r="AA132" s="257"/>
      <c r="AB132" s="257"/>
      <c r="AC132" s="257"/>
      <c r="AD132" s="257"/>
      <c r="AE132" s="257"/>
      <c r="AF132" s="257"/>
    </row>
    <row r="133" spans="1:32">
      <c r="A133" s="342" t="str">
        <f>IND_Commodities!D113</f>
        <v>Other Non Metallic Minerals.Machine Drive.</v>
      </c>
      <c r="B133" s="342" t="str">
        <f>IND_Commodities!C113</f>
        <v>INMMCH</v>
      </c>
      <c r="C133" s="372">
        <f t="shared" ref="C133:V133" si="61">C$87*C90</f>
        <v>0</v>
      </c>
      <c r="D133" s="372">
        <f t="shared" si="61"/>
        <v>0</v>
      </c>
      <c r="E133" s="372">
        <f t="shared" si="61"/>
        <v>0</v>
      </c>
      <c r="F133" s="372">
        <f t="shared" si="61"/>
        <v>0</v>
      </c>
      <c r="G133" s="372">
        <f t="shared" si="61"/>
        <v>0</v>
      </c>
      <c r="H133" s="372">
        <f t="shared" si="61"/>
        <v>0</v>
      </c>
      <c r="I133" s="372">
        <f t="shared" si="61"/>
        <v>0</v>
      </c>
      <c r="J133" s="372">
        <f t="shared" si="61"/>
        <v>0</v>
      </c>
      <c r="K133" s="372">
        <f t="shared" si="61"/>
        <v>0</v>
      </c>
      <c r="L133" s="372">
        <f t="shared" si="61"/>
        <v>0</v>
      </c>
      <c r="M133" s="372">
        <f t="shared" si="61"/>
        <v>0</v>
      </c>
      <c r="N133" s="372">
        <f t="shared" si="61"/>
        <v>0</v>
      </c>
      <c r="O133" s="372">
        <f t="shared" si="61"/>
        <v>0</v>
      </c>
      <c r="P133" s="372">
        <f t="shared" si="61"/>
        <v>0</v>
      </c>
      <c r="Q133" s="372">
        <f t="shared" si="61"/>
        <v>0</v>
      </c>
      <c r="R133" s="372">
        <f t="shared" si="61"/>
        <v>0</v>
      </c>
      <c r="S133" s="372">
        <f t="shared" si="61"/>
        <v>0</v>
      </c>
      <c r="T133" s="372">
        <f t="shared" si="61"/>
        <v>0</v>
      </c>
      <c r="U133" s="372">
        <f t="shared" si="61"/>
        <v>0.75125220430879447</v>
      </c>
      <c r="V133" s="372">
        <f t="shared" si="61"/>
        <v>0</v>
      </c>
      <c r="W133" s="373">
        <f t="shared" si="32"/>
        <v>0.75125220430879447</v>
      </c>
      <c r="X133" s="257"/>
      <c r="Y133" s="257"/>
      <c r="Z133" s="257"/>
      <c r="AA133" s="257"/>
      <c r="AB133" s="257"/>
      <c r="AC133" s="257"/>
      <c r="AD133" s="257"/>
      <c r="AE133" s="257"/>
      <c r="AF133" s="257"/>
    </row>
    <row r="134" spans="1:32">
      <c r="A134" s="342" t="str">
        <f>IND_Commodities!D114</f>
        <v>Other Non Metallic Minerals.Electro-Chemicals.</v>
      </c>
      <c r="B134" s="342" t="str">
        <f>IND_Commodities!C114</f>
        <v>INMELE</v>
      </c>
      <c r="C134" s="372">
        <f t="shared" ref="C134:V134" si="62">C$87*C91</f>
        <v>0</v>
      </c>
      <c r="D134" s="372">
        <f t="shared" si="62"/>
        <v>0</v>
      </c>
      <c r="E134" s="372">
        <f t="shared" si="62"/>
        <v>0</v>
      </c>
      <c r="F134" s="372">
        <f t="shared" si="62"/>
        <v>0</v>
      </c>
      <c r="G134" s="372">
        <f t="shared" si="62"/>
        <v>0</v>
      </c>
      <c r="H134" s="372">
        <f t="shared" si="62"/>
        <v>0</v>
      </c>
      <c r="I134" s="372">
        <f t="shared" si="62"/>
        <v>0</v>
      </c>
      <c r="J134" s="372">
        <f t="shared" si="62"/>
        <v>0</v>
      </c>
      <c r="K134" s="372">
        <f t="shared" si="62"/>
        <v>0</v>
      </c>
      <c r="L134" s="372">
        <f t="shared" si="62"/>
        <v>0</v>
      </c>
      <c r="M134" s="372">
        <f t="shared" si="62"/>
        <v>0</v>
      </c>
      <c r="N134" s="372">
        <f t="shared" si="62"/>
        <v>0</v>
      </c>
      <c r="O134" s="372">
        <f t="shared" si="62"/>
        <v>0</v>
      </c>
      <c r="P134" s="372">
        <f t="shared" si="62"/>
        <v>0</v>
      </c>
      <c r="Q134" s="372">
        <f t="shared" si="62"/>
        <v>0</v>
      </c>
      <c r="R134" s="372">
        <f t="shared" si="62"/>
        <v>0</v>
      </c>
      <c r="S134" s="372">
        <f t="shared" si="62"/>
        <v>0</v>
      </c>
      <c r="T134" s="372">
        <f t="shared" si="62"/>
        <v>0</v>
      </c>
      <c r="U134" s="372">
        <f t="shared" si="62"/>
        <v>0</v>
      </c>
      <c r="V134" s="372">
        <f t="shared" si="62"/>
        <v>0</v>
      </c>
      <c r="W134" s="373">
        <f t="shared" si="32"/>
        <v>0</v>
      </c>
      <c r="X134" s="257"/>
      <c r="Y134" s="257"/>
      <c r="Z134" s="257"/>
      <c r="AA134" s="257"/>
      <c r="AB134" s="257"/>
      <c r="AC134" s="257"/>
      <c r="AD134" s="257"/>
      <c r="AE134" s="257"/>
      <c r="AF134" s="257"/>
    </row>
    <row r="135" spans="1:32">
      <c r="A135" s="342" t="str">
        <f>IND_Commodities!D115</f>
        <v>Other Non Metallic Minerals.Other Processes.</v>
      </c>
      <c r="B135" s="342" t="str">
        <f>IND_Commodities!C115</f>
        <v>INMOTH</v>
      </c>
      <c r="C135" s="372">
        <f t="shared" ref="C135:V135" si="63">C$87*C92</f>
        <v>0</v>
      </c>
      <c r="D135" s="372">
        <f t="shared" si="63"/>
        <v>0</v>
      </c>
      <c r="E135" s="372">
        <f t="shared" si="63"/>
        <v>0</v>
      </c>
      <c r="F135" s="372">
        <f t="shared" si="63"/>
        <v>0</v>
      </c>
      <c r="G135" s="372">
        <f t="shared" si="63"/>
        <v>0</v>
      </c>
      <c r="H135" s="372">
        <f t="shared" si="63"/>
        <v>0</v>
      </c>
      <c r="I135" s="372">
        <f t="shared" si="63"/>
        <v>0</v>
      </c>
      <c r="J135" s="372">
        <f t="shared" si="63"/>
        <v>0</v>
      </c>
      <c r="K135" s="372">
        <f t="shared" si="63"/>
        <v>0</v>
      </c>
      <c r="L135" s="372">
        <f t="shared" si="63"/>
        <v>0</v>
      </c>
      <c r="M135" s="372">
        <f t="shared" si="63"/>
        <v>0</v>
      </c>
      <c r="N135" s="372">
        <f t="shared" si="63"/>
        <v>0</v>
      </c>
      <c r="O135" s="372">
        <f t="shared" si="63"/>
        <v>0</v>
      </c>
      <c r="P135" s="372">
        <f t="shared" si="63"/>
        <v>0</v>
      </c>
      <c r="Q135" s="372">
        <f t="shared" si="63"/>
        <v>0</v>
      </c>
      <c r="R135" s="372">
        <f t="shared" si="63"/>
        <v>0</v>
      </c>
      <c r="S135" s="372">
        <f t="shared" si="63"/>
        <v>0</v>
      </c>
      <c r="T135" s="372">
        <f t="shared" si="63"/>
        <v>0</v>
      </c>
      <c r="U135" s="372">
        <f t="shared" si="63"/>
        <v>0</v>
      </c>
      <c r="V135" s="372">
        <f t="shared" si="63"/>
        <v>0</v>
      </c>
      <c r="W135" s="373">
        <f t="shared" si="32"/>
        <v>0</v>
      </c>
      <c r="X135" s="257"/>
      <c r="Y135" s="257"/>
      <c r="Z135" s="257"/>
      <c r="AA135" s="257"/>
      <c r="AB135" s="257"/>
      <c r="AC135" s="257"/>
      <c r="AD135" s="257"/>
      <c r="AE135" s="257"/>
      <c r="AF135" s="257"/>
    </row>
    <row r="136" spans="1:32">
      <c r="A136" s="374" t="str">
        <f>IND_Commodities!D98</f>
        <v>Other Industries</v>
      </c>
      <c r="B136" s="375" t="str">
        <f>IND_Commodities!C98</f>
        <v>IOI</v>
      </c>
      <c r="C136" s="376">
        <f t="shared" ref="C136:V136" si="64">C$94</f>
        <v>0.77478814002240015</v>
      </c>
      <c r="D136" s="376">
        <f t="shared" si="64"/>
        <v>3.4736360778010081E-2</v>
      </c>
      <c r="E136" s="376">
        <f t="shared" si="64"/>
        <v>0</v>
      </c>
      <c r="F136" s="376">
        <f t="shared" si="64"/>
        <v>0</v>
      </c>
      <c r="G136" s="376">
        <f t="shared" si="64"/>
        <v>0</v>
      </c>
      <c r="H136" s="376">
        <f t="shared" si="64"/>
        <v>4.8314133585351939</v>
      </c>
      <c r="I136" s="376">
        <f t="shared" si="64"/>
        <v>6.0593208385712423</v>
      </c>
      <c r="J136" s="376">
        <f t="shared" si="64"/>
        <v>0</v>
      </c>
      <c r="K136" s="376">
        <f t="shared" si="64"/>
        <v>0.89397675260820431</v>
      </c>
      <c r="L136" s="376">
        <f t="shared" si="64"/>
        <v>0</v>
      </c>
      <c r="M136" s="376">
        <f t="shared" si="64"/>
        <v>2.4657826182215956</v>
      </c>
      <c r="N136" s="376">
        <f t="shared" si="64"/>
        <v>0</v>
      </c>
      <c r="O136" s="376">
        <f t="shared" si="64"/>
        <v>0</v>
      </c>
      <c r="P136" s="376">
        <f t="shared" si="64"/>
        <v>0</v>
      </c>
      <c r="Q136" s="376">
        <f t="shared" si="64"/>
        <v>0</v>
      </c>
      <c r="R136" s="376">
        <f t="shared" si="64"/>
        <v>6.5077414988789251</v>
      </c>
      <c r="S136" s="376">
        <f t="shared" si="64"/>
        <v>0</v>
      </c>
      <c r="T136" s="376">
        <f t="shared" si="64"/>
        <v>0</v>
      </c>
      <c r="U136" s="376">
        <f t="shared" si="64"/>
        <v>25.656565695496251</v>
      </c>
      <c r="V136" s="376">
        <f t="shared" si="64"/>
        <v>7.2735167971174999</v>
      </c>
      <c r="W136" s="377">
        <f t="shared" si="32"/>
        <v>54.497842060229324</v>
      </c>
      <c r="X136" s="257"/>
      <c r="Y136" s="257"/>
      <c r="Z136" s="257"/>
      <c r="AA136" s="257"/>
      <c r="AB136" s="257"/>
      <c r="AC136" s="257"/>
      <c r="AD136" s="257"/>
      <c r="AE136" s="257"/>
      <c r="AF136" s="257"/>
    </row>
    <row r="137" spans="1:32">
      <c r="A137" s="342" t="str">
        <f>IND_Commodities!D116</f>
        <v>Other Industries.Steam.</v>
      </c>
      <c r="B137" s="33" t="str">
        <f>IND_Commodities!C116</f>
        <v>IOISTM</v>
      </c>
      <c r="C137" s="372">
        <f t="shared" ref="C137:V137" si="65">C$94*C95</f>
        <v>0.77478814002240015</v>
      </c>
      <c r="D137" s="372">
        <f t="shared" si="65"/>
        <v>0</v>
      </c>
      <c r="E137" s="372">
        <f t="shared" si="65"/>
        <v>0</v>
      </c>
      <c r="F137" s="372">
        <f t="shared" si="65"/>
        <v>0</v>
      </c>
      <c r="G137" s="372">
        <f t="shared" si="65"/>
        <v>0</v>
      </c>
      <c r="H137" s="372">
        <f t="shared" si="65"/>
        <v>4.8314133585351939</v>
      </c>
      <c r="I137" s="372">
        <f t="shared" si="65"/>
        <v>6.0593208385712423</v>
      </c>
      <c r="J137" s="372">
        <f t="shared" si="65"/>
        <v>0</v>
      </c>
      <c r="K137" s="372">
        <f t="shared" si="65"/>
        <v>0.89397675260820431</v>
      </c>
      <c r="L137" s="372">
        <f t="shared" si="65"/>
        <v>0</v>
      </c>
      <c r="M137" s="372">
        <f t="shared" si="65"/>
        <v>2.4657826182215956</v>
      </c>
      <c r="N137" s="372">
        <f t="shared" si="65"/>
        <v>0</v>
      </c>
      <c r="O137" s="372">
        <f t="shared" si="65"/>
        <v>0</v>
      </c>
      <c r="P137" s="372">
        <f t="shared" si="65"/>
        <v>0</v>
      </c>
      <c r="Q137" s="372">
        <f t="shared" si="65"/>
        <v>0</v>
      </c>
      <c r="R137" s="372">
        <f t="shared" si="65"/>
        <v>6.5077414988789251</v>
      </c>
      <c r="S137" s="372">
        <f t="shared" si="65"/>
        <v>0</v>
      </c>
      <c r="T137" s="372">
        <f t="shared" si="65"/>
        <v>0</v>
      </c>
      <c r="U137" s="372">
        <f t="shared" si="65"/>
        <v>0</v>
      </c>
      <c r="V137" s="372">
        <f t="shared" si="65"/>
        <v>7.2735167971174999</v>
      </c>
      <c r="W137" s="373">
        <f t="shared" si="32"/>
        <v>28.806540003955064</v>
      </c>
      <c r="X137" s="257"/>
      <c r="Y137" s="257"/>
      <c r="Z137" s="257"/>
      <c r="AA137" s="257"/>
      <c r="AB137" s="257"/>
      <c r="AC137" s="257"/>
      <c r="AD137" s="257"/>
      <c r="AE137" s="257"/>
      <c r="AF137" s="257"/>
    </row>
    <row r="138" spans="1:32">
      <c r="A138" s="342" t="str">
        <f>IND_Commodities!D117</f>
        <v>Other Industries.Process Heat.</v>
      </c>
      <c r="B138" s="33" t="str">
        <f>IND_Commodities!C117</f>
        <v>IOIPRC</v>
      </c>
      <c r="C138" s="372">
        <f t="shared" ref="C138:V138" si="66">C$94*C96</f>
        <v>0</v>
      </c>
      <c r="D138" s="372">
        <f t="shared" si="66"/>
        <v>0</v>
      </c>
      <c r="E138" s="372">
        <f t="shared" si="66"/>
        <v>0</v>
      </c>
      <c r="F138" s="372">
        <f t="shared" si="66"/>
        <v>0</v>
      </c>
      <c r="G138" s="372">
        <f t="shared" si="66"/>
        <v>0</v>
      </c>
      <c r="H138" s="372">
        <f t="shared" si="66"/>
        <v>0</v>
      </c>
      <c r="I138" s="372">
        <f t="shared" si="66"/>
        <v>0</v>
      </c>
      <c r="J138" s="372">
        <f t="shared" si="66"/>
        <v>0</v>
      </c>
      <c r="K138" s="372">
        <f t="shared" si="66"/>
        <v>0</v>
      </c>
      <c r="L138" s="372">
        <f t="shared" si="66"/>
        <v>0</v>
      </c>
      <c r="M138" s="372">
        <f t="shared" si="66"/>
        <v>0</v>
      </c>
      <c r="N138" s="372">
        <f t="shared" si="66"/>
        <v>0</v>
      </c>
      <c r="O138" s="372">
        <f t="shared" si="66"/>
        <v>0</v>
      </c>
      <c r="P138" s="372">
        <f t="shared" si="66"/>
        <v>0</v>
      </c>
      <c r="Q138" s="372">
        <f t="shared" si="66"/>
        <v>0</v>
      </c>
      <c r="R138" s="372">
        <f t="shared" si="66"/>
        <v>0</v>
      </c>
      <c r="S138" s="372">
        <f t="shared" si="66"/>
        <v>0</v>
      </c>
      <c r="T138" s="372">
        <f t="shared" si="66"/>
        <v>0</v>
      </c>
      <c r="U138" s="372">
        <f t="shared" si="66"/>
        <v>0</v>
      </c>
      <c r="V138" s="372">
        <f t="shared" si="66"/>
        <v>0</v>
      </c>
      <c r="W138" s="373">
        <f t="shared" si="32"/>
        <v>0</v>
      </c>
      <c r="X138" s="257"/>
      <c r="Y138" s="257"/>
      <c r="Z138" s="257"/>
      <c r="AA138" s="257"/>
      <c r="AB138" s="257"/>
      <c r="AC138" s="257"/>
      <c r="AD138" s="257"/>
      <c r="AE138" s="257"/>
      <c r="AF138" s="257"/>
    </row>
    <row r="139" spans="1:32">
      <c r="A139" s="342" t="str">
        <f>IND_Commodities!D118</f>
        <v>Other Industries.Machine Drive.</v>
      </c>
      <c r="B139" s="33" t="str">
        <f>IND_Commodities!C118</f>
        <v>IOIMCH</v>
      </c>
      <c r="C139" s="372">
        <f t="shared" ref="C139:V139" si="67">C$94*C97</f>
        <v>0</v>
      </c>
      <c r="D139" s="372">
        <f t="shared" si="67"/>
        <v>0</v>
      </c>
      <c r="E139" s="372">
        <f t="shared" si="67"/>
        <v>0</v>
      </c>
      <c r="F139" s="372">
        <f t="shared" si="67"/>
        <v>0</v>
      </c>
      <c r="G139" s="372">
        <f t="shared" si="67"/>
        <v>0</v>
      </c>
      <c r="H139" s="372">
        <f t="shared" si="67"/>
        <v>0</v>
      </c>
      <c r="I139" s="372">
        <f t="shared" si="67"/>
        <v>0</v>
      </c>
      <c r="J139" s="372">
        <f t="shared" si="67"/>
        <v>0</v>
      </c>
      <c r="K139" s="372">
        <f t="shared" si="67"/>
        <v>0</v>
      </c>
      <c r="L139" s="372">
        <f t="shared" si="67"/>
        <v>0</v>
      </c>
      <c r="M139" s="372">
        <f t="shared" si="67"/>
        <v>0</v>
      </c>
      <c r="N139" s="372">
        <f t="shared" si="67"/>
        <v>0</v>
      </c>
      <c r="O139" s="372">
        <f t="shared" si="67"/>
        <v>0</v>
      </c>
      <c r="P139" s="372">
        <f t="shared" si="67"/>
        <v>0</v>
      </c>
      <c r="Q139" s="372">
        <f t="shared" si="67"/>
        <v>0</v>
      </c>
      <c r="R139" s="372">
        <f t="shared" si="67"/>
        <v>0</v>
      </c>
      <c r="S139" s="372">
        <f t="shared" si="67"/>
        <v>0</v>
      </c>
      <c r="T139" s="372">
        <f t="shared" si="67"/>
        <v>0</v>
      </c>
      <c r="U139" s="372">
        <f t="shared" si="67"/>
        <v>25.656565695496251</v>
      </c>
      <c r="V139" s="372">
        <f t="shared" si="67"/>
        <v>0</v>
      </c>
      <c r="W139" s="373">
        <f t="shared" si="32"/>
        <v>25.656565695496251</v>
      </c>
      <c r="X139" s="257"/>
      <c r="Y139" s="257"/>
      <c r="Z139" s="257"/>
      <c r="AA139" s="257"/>
      <c r="AB139" s="257"/>
      <c r="AC139" s="257"/>
      <c r="AD139" s="257"/>
      <c r="AE139" s="257"/>
      <c r="AF139" s="257"/>
    </row>
    <row r="140" spans="1:32">
      <c r="A140" s="342" t="str">
        <f>IND_Commodities!D119</f>
        <v>Other Industries.Electro-Chemicals.</v>
      </c>
      <c r="B140" s="33" t="str">
        <f>IND_Commodities!C119</f>
        <v>IOIELE</v>
      </c>
      <c r="C140" s="372">
        <f t="shared" ref="C140:V140" si="68">C$94*C98</f>
        <v>0</v>
      </c>
      <c r="D140" s="372">
        <f t="shared" si="68"/>
        <v>0</v>
      </c>
      <c r="E140" s="372">
        <f t="shared" si="68"/>
        <v>0</v>
      </c>
      <c r="F140" s="372">
        <f t="shared" si="68"/>
        <v>0</v>
      </c>
      <c r="G140" s="372">
        <f t="shared" si="68"/>
        <v>0</v>
      </c>
      <c r="H140" s="372">
        <f t="shared" si="68"/>
        <v>0</v>
      </c>
      <c r="I140" s="372">
        <f t="shared" si="68"/>
        <v>0</v>
      </c>
      <c r="J140" s="372">
        <f t="shared" si="68"/>
        <v>0</v>
      </c>
      <c r="K140" s="372">
        <f t="shared" si="68"/>
        <v>0</v>
      </c>
      <c r="L140" s="372">
        <f t="shared" si="68"/>
        <v>0</v>
      </c>
      <c r="M140" s="372">
        <f t="shared" si="68"/>
        <v>0</v>
      </c>
      <c r="N140" s="372">
        <f t="shared" si="68"/>
        <v>0</v>
      </c>
      <c r="O140" s="372">
        <f t="shared" si="68"/>
        <v>0</v>
      </c>
      <c r="P140" s="372">
        <f t="shared" si="68"/>
        <v>0</v>
      </c>
      <c r="Q140" s="372">
        <f t="shared" si="68"/>
        <v>0</v>
      </c>
      <c r="R140" s="372">
        <f t="shared" si="68"/>
        <v>0</v>
      </c>
      <c r="S140" s="372">
        <f t="shared" si="68"/>
        <v>0</v>
      </c>
      <c r="T140" s="372">
        <f t="shared" si="68"/>
        <v>0</v>
      </c>
      <c r="U140" s="372">
        <f t="shared" si="68"/>
        <v>0</v>
      </c>
      <c r="V140" s="372">
        <f t="shared" si="68"/>
        <v>0</v>
      </c>
      <c r="W140" s="373">
        <f t="shared" si="32"/>
        <v>0</v>
      </c>
      <c r="X140" s="257"/>
      <c r="Y140" s="257"/>
      <c r="Z140" s="257"/>
      <c r="AA140" s="257"/>
      <c r="AB140" s="257"/>
      <c r="AC140" s="257"/>
      <c r="AD140" s="257"/>
      <c r="AE140" s="257"/>
      <c r="AF140" s="257"/>
    </row>
    <row r="141" spans="1:32">
      <c r="A141" s="342" t="str">
        <f>IND_Commodities!D120</f>
        <v>Other Industries.Other Processes.</v>
      </c>
      <c r="B141" s="33" t="str">
        <f>IND_Commodities!C120</f>
        <v>IOIOTH</v>
      </c>
      <c r="C141" s="372">
        <f t="shared" ref="C141:V141" si="69">C$94*C99</f>
        <v>0</v>
      </c>
      <c r="D141" s="372">
        <f t="shared" si="69"/>
        <v>0</v>
      </c>
      <c r="E141" s="372">
        <f t="shared" si="69"/>
        <v>0</v>
      </c>
      <c r="F141" s="372">
        <f t="shared" si="69"/>
        <v>0</v>
      </c>
      <c r="G141" s="372">
        <f t="shared" si="69"/>
        <v>0</v>
      </c>
      <c r="H141" s="372">
        <f t="shared" si="69"/>
        <v>0</v>
      </c>
      <c r="I141" s="372">
        <f t="shared" si="69"/>
        <v>0</v>
      </c>
      <c r="J141" s="372">
        <f t="shared" si="69"/>
        <v>0</v>
      </c>
      <c r="K141" s="372">
        <f t="shared" si="69"/>
        <v>0</v>
      </c>
      <c r="L141" s="372">
        <f t="shared" si="69"/>
        <v>0</v>
      </c>
      <c r="M141" s="372">
        <f t="shared" si="69"/>
        <v>0</v>
      </c>
      <c r="N141" s="372">
        <f t="shared" si="69"/>
        <v>0</v>
      </c>
      <c r="O141" s="372">
        <f t="shared" si="69"/>
        <v>0</v>
      </c>
      <c r="P141" s="372">
        <f t="shared" si="69"/>
        <v>0</v>
      </c>
      <c r="Q141" s="372">
        <f t="shared" si="69"/>
        <v>0</v>
      </c>
      <c r="R141" s="372">
        <f t="shared" si="69"/>
        <v>0</v>
      </c>
      <c r="S141" s="372">
        <f t="shared" si="69"/>
        <v>0</v>
      </c>
      <c r="T141" s="372">
        <f t="shared" si="69"/>
        <v>0</v>
      </c>
      <c r="U141" s="372">
        <f t="shared" si="69"/>
        <v>0</v>
      </c>
      <c r="V141" s="372">
        <f t="shared" si="69"/>
        <v>0</v>
      </c>
      <c r="W141" s="373">
        <f t="shared" si="32"/>
        <v>0</v>
      </c>
      <c r="X141" s="257"/>
      <c r="Y141" s="257"/>
      <c r="Z141" s="257"/>
      <c r="AA141" s="257"/>
      <c r="AB141" s="257"/>
      <c r="AC141" s="257"/>
      <c r="AD141" s="257"/>
      <c r="AE141" s="257"/>
      <c r="AF141" s="257"/>
    </row>
    <row r="142" spans="1:32" ht="13.5" thickBot="1">
      <c r="A142" s="47" t="s">
        <v>161</v>
      </c>
      <c r="B142" s="47"/>
      <c r="C142" s="354">
        <f t="shared" ref="C142:W142" si="70">SUM(C104:C117)+C136</f>
        <v>4.4139150300924008</v>
      </c>
      <c r="D142" s="354">
        <f t="shared" si="70"/>
        <v>3.4736360778010081E-2</v>
      </c>
      <c r="E142" s="354">
        <f t="shared" si="70"/>
        <v>0</v>
      </c>
      <c r="F142" s="354">
        <f t="shared" si="70"/>
        <v>0</v>
      </c>
      <c r="G142" s="354">
        <f t="shared" si="70"/>
        <v>0</v>
      </c>
      <c r="H142" s="354">
        <f t="shared" si="70"/>
        <v>5.2933742244965236</v>
      </c>
      <c r="I142" s="354">
        <f t="shared" si="70"/>
        <v>9.1346994339459542</v>
      </c>
      <c r="J142" s="354">
        <f t="shared" si="70"/>
        <v>0</v>
      </c>
      <c r="K142" s="354">
        <f t="shared" si="70"/>
        <v>7.1313558027318322</v>
      </c>
      <c r="L142" s="354">
        <f t="shared" si="70"/>
        <v>0</v>
      </c>
      <c r="M142" s="354">
        <f t="shared" si="70"/>
        <v>21.635824127410814</v>
      </c>
      <c r="N142" s="354">
        <f t="shared" si="70"/>
        <v>0</v>
      </c>
      <c r="O142" s="354">
        <f t="shared" si="70"/>
        <v>0</v>
      </c>
      <c r="P142" s="354">
        <f t="shared" si="70"/>
        <v>0</v>
      </c>
      <c r="Q142" s="354">
        <f t="shared" si="70"/>
        <v>0</v>
      </c>
      <c r="R142" s="354">
        <f t="shared" si="70"/>
        <v>8.3046607224857674</v>
      </c>
      <c r="S142" s="354">
        <f t="shared" si="70"/>
        <v>0</v>
      </c>
      <c r="T142" s="354">
        <f t="shared" si="70"/>
        <v>2.2911400353810554</v>
      </c>
      <c r="U142" s="354">
        <f t="shared" si="70"/>
        <v>39.200286507378102</v>
      </c>
      <c r="V142" s="354">
        <f>SUM(V104:V117)+V124+V136</f>
        <v>10.874133998068775</v>
      </c>
      <c r="W142" s="354">
        <f t="shared" si="70"/>
        <v>106.51381764229359</v>
      </c>
      <c r="X142" s="257"/>
      <c r="Y142" s="257"/>
      <c r="Z142" s="257"/>
      <c r="AA142" s="257"/>
      <c r="AB142" s="257"/>
      <c r="AC142" s="257"/>
      <c r="AD142" s="257"/>
      <c r="AE142" s="257"/>
      <c r="AF142" s="257"/>
    </row>
    <row r="143" spans="1:32">
      <c r="A143" s="356"/>
      <c r="B143" s="257"/>
      <c r="C143" s="257"/>
      <c r="D143" s="257"/>
      <c r="E143" s="257"/>
      <c r="F143" s="257"/>
      <c r="G143" s="257"/>
      <c r="H143" s="257"/>
      <c r="I143" s="257"/>
      <c r="J143" s="257"/>
      <c r="K143" s="257"/>
      <c r="L143" s="257"/>
      <c r="M143" s="257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57"/>
    </row>
    <row r="144" spans="1:32">
      <c r="A144" s="257"/>
      <c r="B144" s="257"/>
      <c r="C144" s="257"/>
      <c r="D144" s="257"/>
      <c r="E144" s="257"/>
      <c r="F144" s="257"/>
      <c r="G144" s="257"/>
      <c r="H144" s="257"/>
      <c r="I144" s="257"/>
      <c r="J144" s="257"/>
      <c r="K144" s="257"/>
      <c r="L144" s="257"/>
      <c r="M144" s="257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57"/>
    </row>
    <row r="145" spans="1:32">
      <c r="A145" s="257"/>
      <c r="B145" s="257"/>
      <c r="C145" s="378"/>
      <c r="D145" s="257"/>
      <c r="E145" s="257"/>
      <c r="F145" s="257"/>
      <c r="G145" s="257"/>
      <c r="H145" s="257"/>
      <c r="I145" s="257"/>
      <c r="J145" s="257"/>
      <c r="K145" s="257"/>
      <c r="L145" s="257"/>
      <c r="M145" s="257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57"/>
    </row>
    <row r="146" spans="1:32">
      <c r="A146" s="257"/>
      <c r="B146" s="257"/>
      <c r="C146" s="257"/>
      <c r="D146" s="257"/>
      <c r="E146" s="257"/>
      <c r="F146" s="257"/>
      <c r="G146" s="257"/>
      <c r="H146" s="257"/>
      <c r="I146" s="257"/>
      <c r="J146" s="257"/>
      <c r="K146" s="257"/>
      <c r="L146" s="257"/>
      <c r="M146" s="257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57"/>
    </row>
    <row r="147" spans="1:32">
      <c r="A147" s="257"/>
      <c r="B147" s="257"/>
      <c r="C147" s="257"/>
      <c r="D147" s="257"/>
      <c r="E147" s="257"/>
      <c r="F147" s="257"/>
      <c r="G147" s="257"/>
      <c r="H147" s="257"/>
      <c r="I147" s="257"/>
      <c r="J147" s="257"/>
      <c r="K147" s="257"/>
      <c r="L147" s="257"/>
      <c r="M147" s="257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57"/>
    </row>
    <row r="148" spans="1:32">
      <c r="A148" s="257"/>
      <c r="B148" s="257"/>
      <c r="C148" s="257"/>
      <c r="D148" s="257"/>
      <c r="E148" s="257"/>
      <c r="F148" s="257"/>
      <c r="G148" s="257"/>
      <c r="H148" s="257"/>
      <c r="I148" s="257"/>
      <c r="J148" s="257"/>
      <c r="K148" s="257"/>
      <c r="L148" s="257"/>
      <c r="M148" s="257"/>
      <c r="N148" s="257"/>
      <c r="O148" s="257"/>
      <c r="P148" s="257"/>
      <c r="Q148" s="257"/>
      <c r="R148" s="257"/>
      <c r="S148" s="257"/>
      <c r="T148" s="257"/>
      <c r="U148" s="257"/>
      <c r="V148" s="257"/>
      <c r="W148" s="257"/>
      <c r="X148" s="257"/>
      <c r="Y148" s="257"/>
      <c r="Z148" s="257"/>
      <c r="AA148" s="257"/>
      <c r="AB148" s="257"/>
      <c r="AC148" s="257"/>
      <c r="AD148" s="257"/>
      <c r="AE148" s="257"/>
      <c r="AF148" s="257"/>
    </row>
    <row r="149" spans="1:32">
      <c r="A149" s="257"/>
      <c r="B149" s="257"/>
      <c r="C149" s="257"/>
      <c r="D149" s="257"/>
      <c r="E149" s="257"/>
      <c r="F149" s="257"/>
      <c r="G149" s="257"/>
      <c r="H149" s="257"/>
      <c r="I149" s="257"/>
      <c r="J149" s="257"/>
      <c r="K149" s="257"/>
      <c r="L149" s="257"/>
      <c r="M149" s="257"/>
      <c r="N149" s="257"/>
      <c r="O149" s="257"/>
      <c r="P149" s="257"/>
      <c r="Q149" s="257"/>
      <c r="R149" s="257"/>
      <c r="S149" s="257"/>
      <c r="T149" s="257"/>
      <c r="U149" s="257"/>
      <c r="V149" s="257"/>
      <c r="W149" s="257"/>
      <c r="X149" s="257"/>
      <c r="Y149" s="257"/>
      <c r="Z149" s="257"/>
      <c r="AA149" s="257"/>
      <c r="AB149" s="257"/>
      <c r="AC149" s="257"/>
      <c r="AD149" s="257"/>
      <c r="AE149" s="257"/>
      <c r="AF149" s="257"/>
    </row>
    <row r="150" spans="1:32">
      <c r="A150" s="257"/>
      <c r="B150" s="257"/>
      <c r="C150" s="257"/>
      <c r="D150" s="257"/>
      <c r="E150" s="257"/>
      <c r="F150" s="257"/>
      <c r="G150" s="257"/>
      <c r="H150" s="257"/>
      <c r="I150" s="257"/>
      <c r="J150" s="257"/>
      <c r="K150" s="257"/>
      <c r="L150" s="257"/>
      <c r="M150" s="257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57"/>
    </row>
    <row r="151" spans="1:32">
      <c r="A151" s="257"/>
      <c r="B151" s="257"/>
      <c r="C151" s="257"/>
      <c r="D151" s="257"/>
      <c r="E151" s="257"/>
      <c r="F151" s="257"/>
      <c r="G151" s="257"/>
      <c r="H151" s="257"/>
      <c r="I151" s="257"/>
      <c r="J151" s="257"/>
      <c r="K151" s="257"/>
      <c r="L151" s="257"/>
      <c r="M151" s="257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57"/>
    </row>
    <row r="152" spans="1:32">
      <c r="A152" s="257"/>
      <c r="B152" s="257"/>
      <c r="C152" s="257"/>
      <c r="D152" s="257"/>
      <c r="E152" s="257"/>
      <c r="F152" s="257"/>
      <c r="G152" s="257"/>
      <c r="H152" s="257"/>
      <c r="I152" s="257"/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57"/>
    </row>
    <row r="153" spans="1:32">
      <c r="A153" s="379"/>
      <c r="B153" s="380"/>
      <c r="C153" s="380"/>
      <c r="D153" s="380"/>
      <c r="E153" s="257"/>
      <c r="F153" s="257"/>
      <c r="G153" s="257"/>
      <c r="H153" s="257"/>
      <c r="I153" s="257"/>
      <c r="J153" s="257"/>
      <c r="K153" s="257"/>
      <c r="L153" s="257"/>
      <c r="M153" s="257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57"/>
    </row>
    <row r="154" spans="1:32">
      <c r="A154" s="381"/>
      <c r="B154" s="382"/>
      <c r="C154" s="381" t="s">
        <v>316</v>
      </c>
      <c r="D154" s="382"/>
      <c r="E154" s="257"/>
      <c r="F154" s="257"/>
      <c r="G154" s="257"/>
      <c r="H154" s="257"/>
      <c r="I154" s="257"/>
      <c r="J154" s="257"/>
      <c r="K154" s="257"/>
      <c r="L154" s="257"/>
      <c r="M154" s="257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57"/>
    </row>
    <row r="155" spans="1:32">
      <c r="A155" s="383" t="s">
        <v>317</v>
      </c>
      <c r="B155" s="383" t="s">
        <v>318</v>
      </c>
      <c r="C155" s="383" t="s">
        <v>319</v>
      </c>
      <c r="D155" s="384">
        <v>2012</v>
      </c>
      <c r="E155" s="257"/>
      <c r="F155" s="257"/>
      <c r="G155" s="257"/>
      <c r="H155" s="257"/>
      <c r="I155" s="257"/>
      <c r="J155" s="257"/>
      <c r="K155" s="257"/>
      <c r="L155" s="257"/>
      <c r="M155" s="257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57"/>
    </row>
    <row r="156" spans="1:32">
      <c r="A156" s="44" t="s">
        <v>320</v>
      </c>
      <c r="B156" s="44" t="s">
        <v>321</v>
      </c>
      <c r="C156" s="44" t="s">
        <v>284</v>
      </c>
      <c r="D156" s="385">
        <f>R43</f>
        <v>8.3046607224857674</v>
      </c>
      <c r="E156" s="257"/>
      <c r="F156" s="257" t="str">
        <f>R36</f>
        <v>Biomass</v>
      </c>
      <c r="G156" s="257"/>
      <c r="H156" s="257"/>
      <c r="I156" s="257"/>
      <c r="J156" s="257"/>
      <c r="K156" s="257"/>
      <c r="L156" s="257"/>
      <c r="M156" s="257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57"/>
    </row>
    <row r="157" spans="1:32">
      <c r="A157" s="360" t="s">
        <v>320</v>
      </c>
      <c r="B157" s="360" t="s">
        <v>321</v>
      </c>
      <c r="C157" s="360" t="s">
        <v>269</v>
      </c>
      <c r="D157" s="386">
        <f>C43</f>
        <v>4.4139150300924008</v>
      </c>
      <c r="E157" s="257"/>
      <c r="F157" s="257" t="str">
        <f>C36</f>
        <v>Bituminous Coal</v>
      </c>
      <c r="G157" s="257"/>
      <c r="H157" s="257"/>
      <c r="I157" s="257"/>
      <c r="J157" s="257"/>
      <c r="K157" s="257"/>
      <c r="L157" s="257"/>
      <c r="M157" s="257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57"/>
    </row>
    <row r="158" spans="1:32">
      <c r="A158" s="360" t="s">
        <v>320</v>
      </c>
      <c r="B158" s="360" t="s">
        <v>321</v>
      </c>
      <c r="C158" s="360" t="s">
        <v>272</v>
      </c>
      <c r="D158" s="386">
        <f>F43+D29</f>
        <v>0</v>
      </c>
      <c r="E158" s="257"/>
      <c r="F158" s="257" t="str">
        <f>F36</f>
        <v>Coke</v>
      </c>
      <c r="G158" s="387" t="str">
        <f>D9</f>
        <v xml:space="preserve">Coke
</v>
      </c>
      <c r="H158" s="257"/>
      <c r="I158" s="257"/>
      <c r="J158" s="257"/>
      <c r="K158" s="257"/>
      <c r="L158" s="257"/>
      <c r="M158" s="257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57"/>
    </row>
    <row r="159" spans="1:32">
      <c r="A159" s="360" t="s">
        <v>320</v>
      </c>
      <c r="B159" s="360" t="s">
        <v>321</v>
      </c>
      <c r="C159" s="360" t="s">
        <v>290</v>
      </c>
      <c r="D159" s="386">
        <f>D43+E43+F43</f>
        <v>3.4736360778010081E-2</v>
      </c>
      <c r="E159" s="257"/>
      <c r="F159" s="257" t="str">
        <f>D36</f>
        <v>Peat</v>
      </c>
      <c r="G159" s="257" t="str">
        <f>E36</f>
        <v xml:space="preserve">Hard Coal / Antracite </v>
      </c>
      <c r="H159" s="257"/>
      <c r="I159" s="257"/>
      <c r="J159" s="257"/>
      <c r="K159" s="257"/>
      <c r="L159" s="257"/>
      <c r="M159" s="257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57"/>
    </row>
    <row r="160" spans="1:32">
      <c r="A160" s="360" t="s">
        <v>320</v>
      </c>
      <c r="B160" s="360" t="s">
        <v>321</v>
      </c>
      <c r="C160" s="360" t="s">
        <v>279</v>
      </c>
      <c r="D160" s="386">
        <f>M43+N43</f>
        <v>21.63582412741081</v>
      </c>
      <c r="E160" s="257"/>
      <c r="F160" s="257" t="str">
        <f>M36</f>
        <v>Natural Gas</v>
      </c>
      <c r="G160" s="257" t="str">
        <f>N36</f>
        <v>Coke-Oven Gas</v>
      </c>
      <c r="H160" s="257"/>
      <c r="I160" s="257"/>
      <c r="J160" s="257"/>
      <c r="K160" s="257"/>
      <c r="L160" s="257"/>
      <c r="M160" s="257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57"/>
    </row>
    <row r="161" spans="1:32">
      <c r="A161" s="360" t="s">
        <v>320</v>
      </c>
      <c r="B161" s="360" t="s">
        <v>321</v>
      </c>
      <c r="C161" s="360" t="s">
        <v>275</v>
      </c>
      <c r="D161" s="386">
        <f>H43+I43</f>
        <v>14.428073658442479</v>
      </c>
      <c r="E161" s="257"/>
      <c r="F161" s="257" t="str">
        <f>H36</f>
        <v>LPG</v>
      </c>
      <c r="G161" s="257" t="str">
        <f>I36</f>
        <v>Light Fuel Oil</v>
      </c>
      <c r="H161" s="257"/>
      <c r="I161" s="257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257"/>
      <c r="U161" s="257"/>
      <c r="V161" s="257"/>
      <c r="W161" s="257"/>
      <c r="X161" s="257"/>
      <c r="Y161" s="257"/>
      <c r="Z161" s="257"/>
      <c r="AA161" s="257"/>
      <c r="AB161" s="257"/>
      <c r="AC161" s="257"/>
      <c r="AD161" s="257"/>
      <c r="AE161" s="257"/>
      <c r="AF161" s="257"/>
    </row>
    <row r="162" spans="1:32">
      <c r="A162" s="360" t="s">
        <v>320</v>
      </c>
      <c r="B162" s="360" t="s">
        <v>321</v>
      </c>
      <c r="C162" s="360" t="s">
        <v>277</v>
      </c>
      <c r="D162" s="386">
        <f>K43</f>
        <v>7.1313558027318322</v>
      </c>
      <c r="E162" s="257"/>
      <c r="F162" s="257" t="str">
        <f>K36</f>
        <v>Heavy Fuel Oil</v>
      </c>
      <c r="G162" s="257"/>
      <c r="H162" s="257"/>
      <c r="I162" s="257"/>
      <c r="J162" s="257"/>
      <c r="K162" s="257"/>
      <c r="L162" s="257"/>
      <c r="M162" s="257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57"/>
    </row>
    <row r="163" spans="1:32">
      <c r="A163" s="360" t="s">
        <v>320</v>
      </c>
      <c r="B163" s="360" t="s">
        <v>321</v>
      </c>
      <c r="C163" s="360" t="s">
        <v>274</v>
      </c>
      <c r="D163" s="386">
        <f>H43</f>
        <v>5.2933742244965236</v>
      </c>
      <c r="E163" s="257"/>
      <c r="F163" s="257" t="str">
        <f>H36</f>
        <v>LPG</v>
      </c>
      <c r="G163" s="257"/>
      <c r="H163" s="257"/>
      <c r="I163" s="257"/>
      <c r="J163" s="257"/>
      <c r="K163" s="257"/>
      <c r="L163" s="257"/>
      <c r="M163" s="257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57"/>
    </row>
    <row r="164" spans="1:32">
      <c r="A164" s="360" t="s">
        <v>320</v>
      </c>
      <c r="B164" s="360" t="s">
        <v>321</v>
      </c>
      <c r="C164" s="360" t="s">
        <v>293</v>
      </c>
      <c r="D164" s="386">
        <f>S43+T43</f>
        <v>2.2911400353810554</v>
      </c>
      <c r="E164" s="257"/>
      <c r="F164" s="257" t="str">
        <f>S36</f>
        <v>Industrial Solid Wastes</v>
      </c>
      <c r="G164" s="257" t="str">
        <f>T36</f>
        <v>Industrial Liquid Wastes</v>
      </c>
      <c r="H164" s="257"/>
      <c r="I164" s="257"/>
      <c r="J164" s="257"/>
      <c r="K164" s="257"/>
      <c r="L164" s="257"/>
      <c r="M164" s="257"/>
      <c r="N164" s="257"/>
      <c r="O164" s="257"/>
      <c r="P164" s="257"/>
      <c r="Q164" s="257"/>
      <c r="R164" s="257"/>
      <c r="S164" s="257"/>
      <c r="T164" s="257"/>
      <c r="U164" s="257"/>
      <c r="V164" s="257"/>
      <c r="W164" s="257"/>
      <c r="X164" s="257"/>
      <c r="Y164" s="257"/>
      <c r="Z164" s="257"/>
      <c r="AA164" s="257"/>
      <c r="AB164" s="257"/>
      <c r="AC164" s="257"/>
      <c r="AD164" s="257"/>
      <c r="AE164" s="257"/>
      <c r="AF164" s="257"/>
    </row>
    <row r="165" spans="1:32">
      <c r="A165" s="257"/>
      <c r="B165" s="257"/>
      <c r="C165" s="257"/>
      <c r="D165" s="388"/>
      <c r="E165" s="257"/>
      <c r="F165" s="257"/>
      <c r="G165" s="257"/>
      <c r="H165" s="257"/>
      <c r="I165" s="257"/>
      <c r="J165" s="257"/>
      <c r="K165" s="257"/>
      <c r="L165" s="257"/>
      <c r="M165" s="257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57"/>
    </row>
    <row r="166" spans="1:32">
      <c r="A166" s="257"/>
      <c r="B166" s="257"/>
      <c r="C166" s="257"/>
      <c r="D166" s="388">
        <f>SUM(D156:D164)</f>
        <v>63.533079961818878</v>
      </c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57"/>
    </row>
    <row r="167" spans="1:32">
      <c r="A167" s="257"/>
      <c r="B167" s="257"/>
      <c r="C167" s="257"/>
      <c r="D167" s="257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57"/>
    </row>
    <row r="168" spans="1:32">
      <c r="A168" s="257"/>
      <c r="B168" s="257"/>
      <c r="C168" s="257"/>
      <c r="D168" s="257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57"/>
    </row>
    <row r="169" spans="1:32">
      <c r="A169" s="257"/>
      <c r="B169" s="257"/>
      <c r="C169" s="257"/>
      <c r="D169" s="257"/>
      <c r="E169" s="257"/>
      <c r="F169" s="257"/>
      <c r="G169" s="257"/>
      <c r="H169" s="257"/>
      <c r="I169" s="257"/>
      <c r="J169" s="257"/>
      <c r="K169" s="257"/>
      <c r="L169" s="257"/>
      <c r="M169" s="257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57"/>
    </row>
    <row r="170" spans="1:32">
      <c r="A170" s="257"/>
      <c r="B170" s="257"/>
      <c r="C170" s="257"/>
      <c r="D170" s="257"/>
      <c r="E170" s="257" t="s">
        <v>322</v>
      </c>
      <c r="F170" s="257"/>
      <c r="G170" s="257" t="s">
        <v>273</v>
      </c>
      <c r="H170" s="257" t="s">
        <v>276</v>
      </c>
      <c r="I170" s="257" t="s">
        <v>278</v>
      </c>
      <c r="J170" s="257"/>
      <c r="K170" s="257"/>
      <c r="L170" s="257"/>
      <c r="M170" s="257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57"/>
    </row>
    <row r="171" spans="1:32">
      <c r="A171" s="257"/>
      <c r="B171" s="257"/>
      <c r="C171" s="257"/>
      <c r="D171" s="257"/>
      <c r="E171" s="257"/>
      <c r="F171" s="257"/>
      <c r="G171" s="257"/>
      <c r="H171" s="257"/>
      <c r="I171" s="257"/>
      <c r="J171" s="257"/>
      <c r="K171" s="257"/>
      <c r="L171" s="257"/>
      <c r="M171" s="257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57"/>
    </row>
    <row r="172" spans="1:32">
      <c r="A172" s="257"/>
      <c r="B172" s="257"/>
      <c r="C172" s="257"/>
      <c r="D172" s="257"/>
      <c r="E172" s="257" t="s">
        <v>323</v>
      </c>
      <c r="F172" s="257"/>
      <c r="G172" s="257" t="s">
        <v>274</v>
      </c>
      <c r="H172" s="257"/>
      <c r="I172" s="257"/>
      <c r="J172" s="257"/>
      <c r="K172" s="257"/>
      <c r="L172" s="257"/>
      <c r="M172" s="257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57"/>
    </row>
    <row r="173" spans="1:32">
      <c r="A173" s="257"/>
      <c r="B173" s="257"/>
      <c r="C173" s="257"/>
      <c r="D173" s="257"/>
      <c r="E173" s="257"/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</row>
    <row r="174" spans="1:32">
      <c r="A174" s="257"/>
      <c r="B174" s="257"/>
      <c r="C174" s="257"/>
      <c r="D174" s="257"/>
      <c r="E174" s="387" t="s">
        <v>324</v>
      </c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</row>
  </sheetData>
  <phoneticPr fontId="0" type="noConversion"/>
  <conditionalFormatting sqref="C37:V42">
    <cfRule type="cellIs" dxfId="4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B3:I205"/>
  <sheetViews>
    <sheetView topLeftCell="A142" zoomScale="75" zoomScaleNormal="75" workbookViewId="0">
      <selection activeCell="B206" sqref="B206:F206"/>
    </sheetView>
  </sheetViews>
  <sheetFormatPr defaultColWidth="9.140625" defaultRowHeight="12.75"/>
  <cols>
    <col min="1" max="2" width="9.140625" style="470"/>
    <col min="3" max="3" width="15.42578125" style="470" bestFit="1" customWidth="1"/>
    <col min="4" max="4" width="58.28515625" style="470" bestFit="1" customWidth="1"/>
    <col min="5" max="16384" width="9.140625" style="470"/>
  </cols>
  <sheetData>
    <row r="3" spans="2:9">
      <c r="B3" s="246" t="s">
        <v>325</v>
      </c>
      <c r="C3" s="247"/>
      <c r="D3" s="247"/>
      <c r="E3" s="247"/>
      <c r="F3" s="247"/>
      <c r="G3" s="247"/>
      <c r="H3" s="247"/>
      <c r="I3" s="247"/>
    </row>
    <row r="4" spans="2:9">
      <c r="B4" s="250" t="s">
        <v>326</v>
      </c>
      <c r="C4" s="251" t="s">
        <v>318</v>
      </c>
      <c r="D4" s="251" t="s">
        <v>327</v>
      </c>
      <c r="E4" s="251" t="s">
        <v>328</v>
      </c>
      <c r="F4" s="251" t="s">
        <v>329</v>
      </c>
      <c r="G4" s="251" t="s">
        <v>330</v>
      </c>
      <c r="H4" s="251" t="s">
        <v>331</v>
      </c>
      <c r="I4" s="252" t="s">
        <v>332</v>
      </c>
    </row>
    <row r="5" spans="2:9">
      <c r="B5" s="469" t="s">
        <v>333</v>
      </c>
      <c r="C5" s="469" t="s">
        <v>334</v>
      </c>
      <c r="D5" s="469" t="s">
        <v>321</v>
      </c>
      <c r="E5" s="469" t="s">
        <v>166</v>
      </c>
      <c r="F5" s="469" t="s">
        <v>335</v>
      </c>
      <c r="G5" s="469"/>
      <c r="H5" s="469"/>
      <c r="I5" s="469"/>
    </row>
    <row r="6" spans="2:9">
      <c r="B6" s="253" t="s">
        <v>336</v>
      </c>
      <c r="C6" s="253" t="s">
        <v>337</v>
      </c>
      <c r="D6" s="253" t="s">
        <v>338</v>
      </c>
      <c r="E6" s="253" t="s">
        <v>339</v>
      </c>
      <c r="F6" s="253" t="s">
        <v>340</v>
      </c>
      <c r="G6" s="253" t="s">
        <v>341</v>
      </c>
      <c r="H6" s="253" t="s">
        <v>341</v>
      </c>
      <c r="I6" s="253" t="s">
        <v>341</v>
      </c>
    </row>
    <row r="7" spans="2:9">
      <c r="B7" s="254" t="s">
        <v>342</v>
      </c>
      <c r="C7" s="254" t="s">
        <v>343</v>
      </c>
      <c r="D7" s="254" t="s">
        <v>344</v>
      </c>
      <c r="E7" s="254" t="s">
        <v>339</v>
      </c>
      <c r="F7" s="254" t="s">
        <v>340</v>
      </c>
      <c r="G7" s="254"/>
      <c r="H7" s="254"/>
      <c r="I7" s="254"/>
    </row>
    <row r="8" spans="2:9">
      <c r="B8" s="254" t="s">
        <v>342</v>
      </c>
      <c r="C8" s="254" t="s">
        <v>345</v>
      </c>
      <c r="D8" s="254" t="s">
        <v>346</v>
      </c>
      <c r="E8" s="254" t="s">
        <v>339</v>
      </c>
      <c r="F8" s="254" t="s">
        <v>340</v>
      </c>
      <c r="G8" s="254"/>
      <c r="H8" s="254"/>
      <c r="I8" s="254"/>
    </row>
    <row r="9" spans="2:9">
      <c r="B9" s="254" t="s">
        <v>342</v>
      </c>
      <c r="C9" s="254" t="s">
        <v>347</v>
      </c>
      <c r="D9" s="254" t="s">
        <v>348</v>
      </c>
      <c r="E9" s="254" t="s">
        <v>339</v>
      </c>
      <c r="F9" s="254" t="s">
        <v>340</v>
      </c>
      <c r="G9" s="254"/>
      <c r="H9" s="254"/>
      <c r="I9" s="254"/>
    </row>
    <row r="10" spans="2:9">
      <c r="B10" s="467" t="s">
        <v>342</v>
      </c>
      <c r="C10" s="467" t="s">
        <v>349</v>
      </c>
      <c r="D10" s="467" t="s">
        <v>350</v>
      </c>
      <c r="E10" s="467" t="s">
        <v>339</v>
      </c>
      <c r="F10" s="467" t="s">
        <v>340</v>
      </c>
      <c r="G10" s="467"/>
      <c r="H10" s="467"/>
      <c r="I10" s="467"/>
    </row>
    <row r="11" spans="2:9">
      <c r="B11" s="253" t="s">
        <v>336</v>
      </c>
      <c r="C11" s="254" t="s">
        <v>351</v>
      </c>
      <c r="D11" s="254" t="s">
        <v>352</v>
      </c>
      <c r="E11" s="254" t="s">
        <v>339</v>
      </c>
      <c r="F11" s="254" t="s">
        <v>340</v>
      </c>
      <c r="G11" s="254"/>
      <c r="H11" s="254"/>
      <c r="I11" s="254"/>
    </row>
    <row r="12" spans="2:9">
      <c r="B12" s="253" t="s">
        <v>336</v>
      </c>
      <c r="C12" s="254" t="s">
        <v>353</v>
      </c>
      <c r="D12" s="254" t="s">
        <v>354</v>
      </c>
      <c r="E12" s="254" t="s">
        <v>339</v>
      </c>
      <c r="F12" s="254" t="s">
        <v>340</v>
      </c>
      <c r="G12" s="254"/>
      <c r="H12" s="254"/>
      <c r="I12" s="254"/>
    </row>
    <row r="13" spans="2:9">
      <c r="B13" s="468" t="s">
        <v>336</v>
      </c>
      <c r="C13" s="467" t="s">
        <v>355</v>
      </c>
      <c r="D13" s="467" t="s">
        <v>356</v>
      </c>
      <c r="E13" s="467" t="s">
        <v>339</v>
      </c>
      <c r="F13" s="467" t="s">
        <v>340</v>
      </c>
      <c r="G13" s="467"/>
      <c r="H13" s="467"/>
      <c r="I13" s="467"/>
    </row>
    <row r="14" spans="2:9">
      <c r="B14" s="253" t="s">
        <v>357</v>
      </c>
      <c r="C14" s="254" t="s">
        <v>358</v>
      </c>
      <c r="D14" s="254" t="s">
        <v>359</v>
      </c>
      <c r="E14" s="254" t="s">
        <v>166</v>
      </c>
      <c r="F14" s="254" t="s">
        <v>335</v>
      </c>
      <c r="G14" s="254"/>
      <c r="H14" s="254"/>
      <c r="I14" s="254"/>
    </row>
    <row r="15" spans="2:9">
      <c r="B15" s="254" t="s">
        <v>342</v>
      </c>
      <c r="C15" s="254" t="s">
        <v>360</v>
      </c>
      <c r="D15" s="254" t="s">
        <v>361</v>
      </c>
      <c r="E15" s="254" t="s">
        <v>166</v>
      </c>
      <c r="F15" s="254" t="s">
        <v>335</v>
      </c>
      <c r="G15" s="254"/>
      <c r="H15" s="254"/>
      <c r="I15" s="254"/>
    </row>
    <row r="16" spans="2:9">
      <c r="B16" s="254" t="s">
        <v>362</v>
      </c>
      <c r="C16" s="254" t="s">
        <v>363</v>
      </c>
      <c r="D16" s="254" t="s">
        <v>364</v>
      </c>
      <c r="E16" s="254" t="s">
        <v>166</v>
      </c>
      <c r="F16" s="254" t="s">
        <v>335</v>
      </c>
      <c r="G16" s="254"/>
      <c r="H16" s="254"/>
      <c r="I16" s="254"/>
    </row>
    <row r="17" spans="2:9">
      <c r="B17" s="254" t="s">
        <v>362</v>
      </c>
      <c r="C17" s="254" t="s">
        <v>365</v>
      </c>
      <c r="D17" s="254" t="s">
        <v>366</v>
      </c>
      <c r="E17" s="254" t="s">
        <v>166</v>
      </c>
      <c r="F17" s="254" t="s">
        <v>335</v>
      </c>
      <c r="G17" s="254"/>
      <c r="H17" s="254"/>
      <c r="I17" s="254"/>
    </row>
    <row r="18" spans="2:9">
      <c r="B18" s="254" t="s">
        <v>362</v>
      </c>
      <c r="C18" s="254" t="s">
        <v>367</v>
      </c>
      <c r="D18" s="254" t="s">
        <v>368</v>
      </c>
      <c r="E18" s="254" t="s">
        <v>166</v>
      </c>
      <c r="F18" s="254" t="s">
        <v>335</v>
      </c>
      <c r="G18" s="254"/>
      <c r="H18" s="254"/>
      <c r="I18" s="254"/>
    </row>
    <row r="19" spans="2:9">
      <c r="B19" s="254" t="s">
        <v>362</v>
      </c>
      <c r="C19" s="254" t="s">
        <v>369</v>
      </c>
      <c r="D19" s="254" t="s">
        <v>370</v>
      </c>
      <c r="E19" s="254" t="s">
        <v>166</v>
      </c>
      <c r="F19" s="254" t="s">
        <v>335</v>
      </c>
      <c r="G19" s="254"/>
      <c r="H19" s="254"/>
      <c r="I19" s="254"/>
    </row>
    <row r="20" spans="2:9">
      <c r="B20" s="254" t="s">
        <v>362</v>
      </c>
      <c r="C20" s="254" t="s">
        <v>371</v>
      </c>
      <c r="D20" s="254" t="s">
        <v>372</v>
      </c>
      <c r="E20" s="254" t="s">
        <v>166</v>
      </c>
      <c r="F20" s="254" t="s">
        <v>335</v>
      </c>
      <c r="G20" s="254"/>
      <c r="H20" s="254"/>
      <c r="I20" s="254"/>
    </row>
    <row r="21" spans="2:9">
      <c r="B21" s="254" t="s">
        <v>362</v>
      </c>
      <c r="C21" s="254" t="s">
        <v>373</v>
      </c>
      <c r="D21" s="254" t="s">
        <v>374</v>
      </c>
      <c r="E21" s="254" t="s">
        <v>166</v>
      </c>
      <c r="F21" s="254" t="s">
        <v>335</v>
      </c>
      <c r="G21" s="254"/>
      <c r="H21" s="254"/>
      <c r="I21" s="254"/>
    </row>
    <row r="22" spans="2:9">
      <c r="B22" s="254" t="s">
        <v>362</v>
      </c>
      <c r="C22" s="254" t="s">
        <v>375</v>
      </c>
      <c r="D22" s="254" t="s">
        <v>376</v>
      </c>
      <c r="E22" s="254" t="s">
        <v>166</v>
      </c>
      <c r="F22" s="254" t="s">
        <v>335</v>
      </c>
      <c r="G22" s="254"/>
      <c r="H22" s="254"/>
      <c r="I22" s="254"/>
    </row>
    <row r="23" spans="2:9">
      <c r="B23" s="254" t="s">
        <v>362</v>
      </c>
      <c r="C23" s="254" t="s">
        <v>377</v>
      </c>
      <c r="D23" s="254" t="s">
        <v>378</v>
      </c>
      <c r="E23" s="254" t="s">
        <v>166</v>
      </c>
      <c r="F23" s="254" t="s">
        <v>335</v>
      </c>
      <c r="G23" s="254"/>
      <c r="H23" s="254"/>
      <c r="I23" s="254"/>
    </row>
    <row r="24" spans="2:9">
      <c r="B24" s="254" t="s">
        <v>342</v>
      </c>
      <c r="C24" s="254" t="s">
        <v>379</v>
      </c>
      <c r="D24" s="254" t="s">
        <v>380</v>
      </c>
      <c r="E24" s="254" t="s">
        <v>166</v>
      </c>
      <c r="F24" s="254" t="s">
        <v>335</v>
      </c>
      <c r="G24" s="254"/>
      <c r="H24" s="254"/>
      <c r="I24" s="254"/>
    </row>
    <row r="25" spans="2:9">
      <c r="B25" s="254" t="s">
        <v>342</v>
      </c>
      <c r="C25" s="254" t="s">
        <v>381</v>
      </c>
      <c r="D25" s="254" t="s">
        <v>382</v>
      </c>
      <c r="E25" s="254" t="s">
        <v>166</v>
      </c>
      <c r="F25" s="254" t="s">
        <v>335</v>
      </c>
      <c r="G25" s="254"/>
      <c r="H25" s="254"/>
      <c r="I25" s="254"/>
    </row>
    <row r="26" spans="2:9">
      <c r="B26" s="254" t="s">
        <v>342</v>
      </c>
      <c r="C26" s="254" t="s">
        <v>383</v>
      </c>
      <c r="D26" s="254" t="s">
        <v>384</v>
      </c>
      <c r="E26" s="254" t="s">
        <v>166</v>
      </c>
      <c r="F26" s="254" t="s">
        <v>335</v>
      </c>
      <c r="G26" s="254"/>
      <c r="H26" s="254"/>
      <c r="I26" s="254"/>
    </row>
    <row r="27" spans="2:9">
      <c r="B27" s="254" t="s">
        <v>342</v>
      </c>
      <c r="C27" s="466" t="s">
        <v>385</v>
      </c>
      <c r="D27" s="466" t="s">
        <v>386</v>
      </c>
      <c r="E27" s="466" t="s">
        <v>166</v>
      </c>
      <c r="F27" s="466" t="s">
        <v>335</v>
      </c>
      <c r="G27" s="466"/>
      <c r="H27" s="466"/>
      <c r="I27" s="466"/>
    </row>
    <row r="28" spans="2:9">
      <c r="B28" s="254" t="s">
        <v>342</v>
      </c>
      <c r="C28" s="254" t="s">
        <v>387</v>
      </c>
      <c r="D28" s="254" t="s">
        <v>388</v>
      </c>
      <c r="E28" s="254" t="s">
        <v>166</v>
      </c>
      <c r="F28" s="254" t="s">
        <v>335</v>
      </c>
      <c r="G28" s="254"/>
      <c r="H28" s="254"/>
      <c r="I28" s="254"/>
    </row>
    <row r="29" spans="2:9">
      <c r="B29" s="254" t="s">
        <v>342</v>
      </c>
      <c r="C29" s="254" t="s">
        <v>389</v>
      </c>
      <c r="D29" s="254" t="s">
        <v>390</v>
      </c>
      <c r="E29" s="254" t="s">
        <v>166</v>
      </c>
      <c r="F29" s="254" t="s">
        <v>335</v>
      </c>
      <c r="G29" s="254"/>
      <c r="H29" s="254"/>
      <c r="I29" s="254"/>
    </row>
    <row r="30" spans="2:9">
      <c r="B30" s="254" t="s">
        <v>342</v>
      </c>
      <c r="C30" s="254" t="s">
        <v>391</v>
      </c>
      <c r="D30" s="254" t="s">
        <v>392</v>
      </c>
      <c r="E30" s="254" t="s">
        <v>166</v>
      </c>
      <c r="F30" s="254" t="s">
        <v>335</v>
      </c>
      <c r="G30" s="254"/>
      <c r="H30" s="254"/>
      <c r="I30" s="254"/>
    </row>
    <row r="31" spans="2:9">
      <c r="B31" s="254" t="s">
        <v>342</v>
      </c>
      <c r="C31" s="254" t="s">
        <v>393</v>
      </c>
      <c r="D31" s="254" t="s">
        <v>394</v>
      </c>
      <c r="E31" s="254" t="s">
        <v>166</v>
      </c>
      <c r="F31" s="254" t="s">
        <v>335</v>
      </c>
      <c r="G31" s="254"/>
      <c r="H31" s="254"/>
      <c r="I31" s="254"/>
    </row>
    <row r="32" spans="2:9">
      <c r="B32" s="254" t="s">
        <v>342</v>
      </c>
      <c r="C32" s="254" t="s">
        <v>395</v>
      </c>
      <c r="D32" s="254" t="s">
        <v>396</v>
      </c>
      <c r="E32" s="254" t="s">
        <v>166</v>
      </c>
      <c r="F32" s="254" t="s">
        <v>335</v>
      </c>
      <c r="G32" s="254"/>
      <c r="H32" s="254"/>
      <c r="I32" s="254"/>
    </row>
    <row r="33" spans="2:9">
      <c r="B33" s="254" t="s">
        <v>397</v>
      </c>
      <c r="C33" s="254" t="s">
        <v>398</v>
      </c>
      <c r="D33" s="254" t="s">
        <v>399</v>
      </c>
      <c r="E33" s="254" t="s">
        <v>166</v>
      </c>
      <c r="F33" s="254" t="s">
        <v>400</v>
      </c>
      <c r="G33" s="254"/>
      <c r="H33" s="254"/>
      <c r="I33" s="254"/>
    </row>
    <row r="34" spans="2:9">
      <c r="B34" s="254" t="s">
        <v>397</v>
      </c>
      <c r="C34" s="254" t="s">
        <v>401</v>
      </c>
      <c r="D34" s="254" t="s">
        <v>402</v>
      </c>
      <c r="E34" s="254" t="s">
        <v>166</v>
      </c>
      <c r="F34" s="254" t="s">
        <v>400</v>
      </c>
      <c r="G34" s="254"/>
      <c r="H34" s="254"/>
      <c r="I34" s="254"/>
    </row>
    <row r="35" spans="2:9">
      <c r="B35" s="254" t="s">
        <v>397</v>
      </c>
      <c r="C35" s="254" t="s">
        <v>403</v>
      </c>
      <c r="D35" s="254" t="s">
        <v>404</v>
      </c>
      <c r="E35" s="254" t="s">
        <v>166</v>
      </c>
      <c r="F35" s="254" t="s">
        <v>400</v>
      </c>
      <c r="G35" s="254"/>
      <c r="H35" s="254"/>
      <c r="I35" s="254"/>
    </row>
    <row r="36" spans="2:9">
      <c r="B36" s="254" t="s">
        <v>397</v>
      </c>
      <c r="C36" s="254" t="s">
        <v>405</v>
      </c>
      <c r="D36" s="254" t="s">
        <v>406</v>
      </c>
      <c r="E36" s="254" t="s">
        <v>166</v>
      </c>
      <c r="F36" s="254" t="s">
        <v>400</v>
      </c>
      <c r="G36" s="254"/>
      <c r="H36" s="254"/>
      <c r="I36" s="254"/>
    </row>
    <row r="37" spans="2:9">
      <c r="B37" s="254" t="s">
        <v>397</v>
      </c>
      <c r="C37" s="254" t="s">
        <v>407</v>
      </c>
      <c r="D37" s="254" t="s">
        <v>408</v>
      </c>
      <c r="E37" s="254" t="s">
        <v>166</v>
      </c>
      <c r="F37" s="254" t="s">
        <v>400</v>
      </c>
      <c r="G37" s="254"/>
      <c r="H37" s="254"/>
      <c r="I37" s="254"/>
    </row>
    <row r="38" spans="2:9">
      <c r="B38" s="254" t="s">
        <v>397</v>
      </c>
      <c r="C38" s="254" t="s">
        <v>409</v>
      </c>
      <c r="D38" s="254" t="s">
        <v>410</v>
      </c>
      <c r="E38" s="254" t="s">
        <v>166</v>
      </c>
      <c r="F38" s="254" t="s">
        <v>400</v>
      </c>
      <c r="G38" s="254"/>
      <c r="H38" s="254"/>
      <c r="I38" s="254"/>
    </row>
    <row r="39" spans="2:9">
      <c r="B39" s="254" t="s">
        <v>397</v>
      </c>
      <c r="C39" s="254" t="s">
        <v>411</v>
      </c>
      <c r="D39" s="254" t="s">
        <v>412</v>
      </c>
      <c r="E39" s="254" t="s">
        <v>166</v>
      </c>
      <c r="F39" s="254" t="s">
        <v>400</v>
      </c>
      <c r="G39" s="254"/>
      <c r="H39" s="254"/>
      <c r="I39" s="254"/>
    </row>
    <row r="40" spans="2:9">
      <c r="B40" s="254" t="s">
        <v>397</v>
      </c>
      <c r="C40" s="254" t="s">
        <v>413</v>
      </c>
      <c r="D40" s="254" t="s">
        <v>414</v>
      </c>
      <c r="E40" s="254" t="s">
        <v>166</v>
      </c>
      <c r="F40" s="254" t="s">
        <v>400</v>
      </c>
      <c r="G40" s="254"/>
      <c r="H40" s="254"/>
      <c r="I40" s="254"/>
    </row>
    <row r="41" spans="2:9">
      <c r="B41" s="467" t="s">
        <v>397</v>
      </c>
      <c r="C41" s="467" t="s">
        <v>415</v>
      </c>
      <c r="D41" s="467" t="s">
        <v>416</v>
      </c>
      <c r="E41" s="467" t="s">
        <v>166</v>
      </c>
      <c r="F41" s="467" t="s">
        <v>400</v>
      </c>
      <c r="G41" s="467"/>
      <c r="H41" s="467"/>
      <c r="I41" s="467"/>
    </row>
    <row r="42" spans="2:9">
      <c r="B42" s="253" t="s">
        <v>336</v>
      </c>
      <c r="C42" s="254" t="s">
        <v>417</v>
      </c>
      <c r="D42" s="254" t="s">
        <v>418</v>
      </c>
      <c r="E42" s="254" t="s">
        <v>339</v>
      </c>
      <c r="F42" s="254" t="s">
        <v>340</v>
      </c>
      <c r="G42" s="254"/>
      <c r="H42" s="254"/>
      <c r="I42" s="254"/>
    </row>
    <row r="43" spans="2:9">
      <c r="B43" s="254" t="s">
        <v>342</v>
      </c>
      <c r="C43" s="254" t="s">
        <v>419</v>
      </c>
      <c r="D43" s="254" t="s">
        <v>420</v>
      </c>
      <c r="E43" s="254" t="s">
        <v>339</v>
      </c>
      <c r="F43" s="254" t="s">
        <v>340</v>
      </c>
      <c r="G43" s="254"/>
      <c r="H43" s="254"/>
      <c r="I43" s="254"/>
    </row>
    <row r="44" spans="2:9">
      <c r="B44" s="253" t="s">
        <v>336</v>
      </c>
      <c r="C44" s="254" t="s">
        <v>421</v>
      </c>
      <c r="D44" s="254" t="s">
        <v>422</v>
      </c>
      <c r="E44" s="254" t="s">
        <v>339</v>
      </c>
      <c r="F44" s="254" t="s">
        <v>340</v>
      </c>
      <c r="G44" s="254"/>
      <c r="H44" s="254"/>
      <c r="I44" s="254"/>
    </row>
    <row r="45" spans="2:9">
      <c r="B45" s="253" t="s">
        <v>336</v>
      </c>
      <c r="C45" s="254" t="s">
        <v>423</v>
      </c>
      <c r="D45" s="254" t="s">
        <v>424</v>
      </c>
      <c r="E45" s="254" t="s">
        <v>339</v>
      </c>
      <c r="F45" s="254" t="s">
        <v>340</v>
      </c>
      <c r="G45" s="254"/>
      <c r="H45" s="254"/>
      <c r="I45" s="254"/>
    </row>
    <row r="46" spans="2:9">
      <c r="B46" s="468" t="s">
        <v>336</v>
      </c>
      <c r="C46" s="467" t="s">
        <v>425</v>
      </c>
      <c r="D46" s="467" t="s">
        <v>426</v>
      </c>
      <c r="E46" s="467" t="s">
        <v>339</v>
      </c>
      <c r="F46" s="467" t="s">
        <v>340</v>
      </c>
      <c r="G46" s="467"/>
      <c r="H46" s="467"/>
      <c r="I46" s="467"/>
    </row>
    <row r="47" spans="2:9">
      <c r="B47" s="254" t="s">
        <v>362</v>
      </c>
      <c r="C47" s="254" t="s">
        <v>427</v>
      </c>
      <c r="D47" s="254" t="s">
        <v>428</v>
      </c>
      <c r="E47" s="254" t="s">
        <v>339</v>
      </c>
      <c r="F47" s="254" t="s">
        <v>340</v>
      </c>
      <c r="G47" s="254"/>
      <c r="H47" s="254"/>
      <c r="I47" s="254"/>
    </row>
    <row r="48" spans="2:9">
      <c r="B48" s="253" t="s">
        <v>357</v>
      </c>
      <c r="C48" s="254" t="s">
        <v>429</v>
      </c>
      <c r="D48" s="254" t="s">
        <v>430</v>
      </c>
      <c r="E48" s="254" t="s">
        <v>339</v>
      </c>
      <c r="F48" s="254" t="s">
        <v>340</v>
      </c>
      <c r="G48" s="254"/>
      <c r="H48" s="254"/>
      <c r="I48" s="254"/>
    </row>
    <row r="49" spans="2:9">
      <c r="B49" s="254" t="s">
        <v>362</v>
      </c>
      <c r="C49" s="254" t="s">
        <v>431</v>
      </c>
      <c r="D49" s="254" t="s">
        <v>432</v>
      </c>
      <c r="E49" s="254" t="s">
        <v>166</v>
      </c>
      <c r="F49" s="254" t="s">
        <v>335</v>
      </c>
      <c r="G49" s="254"/>
      <c r="H49" s="254"/>
      <c r="I49" s="254"/>
    </row>
    <row r="50" spans="2:9">
      <c r="B50" s="254" t="s">
        <v>362</v>
      </c>
      <c r="C50" s="254" t="s">
        <v>433</v>
      </c>
      <c r="D50" s="254" t="s">
        <v>434</v>
      </c>
      <c r="E50" s="254" t="s">
        <v>166</v>
      </c>
      <c r="F50" s="254" t="s">
        <v>335</v>
      </c>
      <c r="G50" s="254"/>
      <c r="H50" s="254"/>
      <c r="I50" s="254"/>
    </row>
    <row r="51" spans="2:9">
      <c r="B51" s="254" t="s">
        <v>362</v>
      </c>
      <c r="C51" s="254" t="s">
        <v>435</v>
      </c>
      <c r="D51" s="254" t="s">
        <v>436</v>
      </c>
      <c r="E51" s="254" t="s">
        <v>166</v>
      </c>
      <c r="F51" s="254" t="s">
        <v>335</v>
      </c>
      <c r="G51" s="254"/>
      <c r="H51" s="254"/>
      <c r="I51" s="254"/>
    </row>
    <row r="52" spans="2:9">
      <c r="B52" s="467" t="s">
        <v>362</v>
      </c>
      <c r="C52" s="467" t="s">
        <v>437</v>
      </c>
      <c r="D52" s="467" t="s">
        <v>438</v>
      </c>
      <c r="E52" s="467" t="s">
        <v>339</v>
      </c>
      <c r="F52" s="467" t="s">
        <v>340</v>
      </c>
      <c r="G52" s="467"/>
      <c r="H52" s="467"/>
      <c r="I52" s="467"/>
    </row>
    <row r="53" spans="2:9">
      <c r="B53" s="465" t="s">
        <v>336</v>
      </c>
      <c r="C53" s="464" t="s">
        <v>439</v>
      </c>
      <c r="D53" s="464" t="s">
        <v>440</v>
      </c>
      <c r="E53" s="464" t="s">
        <v>339</v>
      </c>
      <c r="F53" s="464" t="s">
        <v>340</v>
      </c>
      <c r="G53" s="464"/>
      <c r="H53" s="464"/>
      <c r="I53" s="464"/>
    </row>
    <row r="54" spans="2:9">
      <c r="B54" s="466" t="s">
        <v>342</v>
      </c>
      <c r="C54" s="466" t="s">
        <v>441</v>
      </c>
      <c r="D54" s="466" t="s">
        <v>442</v>
      </c>
      <c r="E54" s="466" t="s">
        <v>339</v>
      </c>
      <c r="F54" s="466" t="s">
        <v>340</v>
      </c>
      <c r="G54" s="466"/>
      <c r="H54" s="466"/>
      <c r="I54" s="466"/>
    </row>
    <row r="55" spans="2:9">
      <c r="B55" s="467" t="s">
        <v>342</v>
      </c>
      <c r="C55" s="467" t="s">
        <v>443</v>
      </c>
      <c r="D55" s="467" t="s">
        <v>444</v>
      </c>
      <c r="E55" s="467" t="s">
        <v>339</v>
      </c>
      <c r="F55" s="467" t="s">
        <v>340</v>
      </c>
      <c r="G55" s="467"/>
      <c r="H55" s="467"/>
      <c r="I55" s="467"/>
    </row>
    <row r="56" spans="2:9">
      <c r="B56" s="253" t="s">
        <v>357</v>
      </c>
      <c r="C56" s="254" t="s">
        <v>445</v>
      </c>
      <c r="D56" s="254" t="s">
        <v>446</v>
      </c>
      <c r="E56" s="254" t="s">
        <v>339</v>
      </c>
      <c r="F56" s="254" t="s">
        <v>340</v>
      </c>
      <c r="G56" s="254"/>
      <c r="H56" s="254"/>
      <c r="I56" s="254"/>
    </row>
    <row r="57" spans="2:9">
      <c r="B57" s="253" t="s">
        <v>357</v>
      </c>
      <c r="C57" s="254" t="s">
        <v>447</v>
      </c>
      <c r="D57" s="254" t="s">
        <v>448</v>
      </c>
      <c r="E57" s="254" t="s">
        <v>339</v>
      </c>
      <c r="F57" s="254" t="s">
        <v>340</v>
      </c>
      <c r="G57" s="254"/>
      <c r="H57" s="254"/>
      <c r="I57" s="254"/>
    </row>
    <row r="58" spans="2:9">
      <c r="B58" s="468" t="s">
        <v>357</v>
      </c>
      <c r="C58" s="467" t="s">
        <v>449</v>
      </c>
      <c r="D58" s="467" t="s">
        <v>450</v>
      </c>
      <c r="E58" s="467" t="s">
        <v>339</v>
      </c>
      <c r="F58" s="467" t="s">
        <v>340</v>
      </c>
      <c r="G58" s="467"/>
      <c r="H58" s="467"/>
      <c r="I58" s="467"/>
    </row>
    <row r="59" spans="2:9">
      <c r="B59" s="466" t="s">
        <v>342</v>
      </c>
      <c r="C59" s="254" t="s">
        <v>451</v>
      </c>
      <c r="D59" s="254" t="s">
        <v>452</v>
      </c>
      <c r="E59" s="254" t="s">
        <v>339</v>
      </c>
      <c r="F59" s="254" t="s">
        <v>340</v>
      </c>
      <c r="G59" s="254"/>
      <c r="H59" s="254"/>
      <c r="I59" s="254"/>
    </row>
    <row r="60" spans="2:9">
      <c r="B60" s="466" t="s">
        <v>342</v>
      </c>
      <c r="C60" s="254" t="s">
        <v>453</v>
      </c>
      <c r="D60" s="254" t="s">
        <v>454</v>
      </c>
      <c r="E60" s="254" t="s">
        <v>339</v>
      </c>
      <c r="F60" s="254" t="s">
        <v>340</v>
      </c>
      <c r="G60" s="254"/>
      <c r="H60" s="254" t="s">
        <v>455</v>
      </c>
      <c r="I60" s="254"/>
    </row>
    <row r="61" spans="2:9">
      <c r="B61" s="466" t="s">
        <v>342</v>
      </c>
      <c r="C61" s="254" t="s">
        <v>456</v>
      </c>
      <c r="D61" s="254" t="s">
        <v>457</v>
      </c>
      <c r="E61" s="254" t="s">
        <v>339</v>
      </c>
      <c r="F61" s="254" t="s">
        <v>340</v>
      </c>
      <c r="G61" s="254"/>
      <c r="H61" s="254"/>
      <c r="I61" s="254"/>
    </row>
    <row r="62" spans="2:9">
      <c r="B62" s="466" t="s">
        <v>342</v>
      </c>
      <c r="C62" s="254" t="s">
        <v>458</v>
      </c>
      <c r="D62" s="254" t="s">
        <v>459</v>
      </c>
      <c r="E62" s="254" t="s">
        <v>339</v>
      </c>
      <c r="F62" s="254" t="s">
        <v>340</v>
      </c>
      <c r="G62" s="254"/>
      <c r="H62" s="254"/>
      <c r="I62" s="254"/>
    </row>
    <row r="63" spans="2:9">
      <c r="B63" s="466" t="s">
        <v>342</v>
      </c>
      <c r="C63" s="254" t="s">
        <v>460</v>
      </c>
      <c r="D63" s="254" t="s">
        <v>461</v>
      </c>
      <c r="E63" s="254" t="s">
        <v>339</v>
      </c>
      <c r="F63" s="254" t="s">
        <v>340</v>
      </c>
      <c r="G63" s="254"/>
      <c r="H63" s="254" t="s">
        <v>455</v>
      </c>
      <c r="I63" s="254"/>
    </row>
    <row r="64" spans="2:9">
      <c r="B64" s="466" t="s">
        <v>342</v>
      </c>
      <c r="C64" s="254" t="s">
        <v>462</v>
      </c>
      <c r="D64" s="254" t="s">
        <v>463</v>
      </c>
      <c r="E64" s="254" t="s">
        <v>339</v>
      </c>
      <c r="F64" s="254" t="s">
        <v>340</v>
      </c>
      <c r="G64" s="254"/>
      <c r="H64" s="254"/>
      <c r="I64" s="254"/>
    </row>
    <row r="65" spans="2:9">
      <c r="B65" s="466" t="s">
        <v>342</v>
      </c>
      <c r="C65" s="254" t="s">
        <v>464</v>
      </c>
      <c r="D65" s="254" t="s">
        <v>465</v>
      </c>
      <c r="E65" s="254" t="s">
        <v>339</v>
      </c>
      <c r="F65" s="254" t="s">
        <v>340</v>
      </c>
      <c r="G65" s="254"/>
      <c r="H65" s="254" t="s">
        <v>455</v>
      </c>
      <c r="I65" s="254"/>
    </row>
    <row r="66" spans="2:9">
      <c r="B66" s="466" t="s">
        <v>342</v>
      </c>
      <c r="C66" s="254" t="s">
        <v>466</v>
      </c>
      <c r="D66" s="254" t="s">
        <v>467</v>
      </c>
      <c r="E66" s="254" t="s">
        <v>339</v>
      </c>
      <c r="F66" s="254" t="s">
        <v>340</v>
      </c>
      <c r="G66" s="254"/>
      <c r="H66" s="254"/>
      <c r="I66" s="254"/>
    </row>
    <row r="67" spans="2:9">
      <c r="B67" s="466" t="s">
        <v>342</v>
      </c>
      <c r="C67" s="254" t="s">
        <v>468</v>
      </c>
      <c r="D67" s="254" t="s">
        <v>469</v>
      </c>
      <c r="E67" s="254" t="s">
        <v>339</v>
      </c>
      <c r="F67" s="254" t="s">
        <v>340</v>
      </c>
      <c r="G67" s="254"/>
      <c r="H67" s="254"/>
      <c r="I67" s="254"/>
    </row>
    <row r="68" spans="2:9">
      <c r="B68" s="466" t="s">
        <v>342</v>
      </c>
      <c r="C68" s="254" t="s">
        <v>470</v>
      </c>
      <c r="D68" s="254" t="s">
        <v>471</v>
      </c>
      <c r="E68" s="254" t="s">
        <v>339</v>
      </c>
      <c r="F68" s="254" t="s">
        <v>340</v>
      </c>
      <c r="G68" s="254"/>
      <c r="H68" s="254"/>
      <c r="I68" s="254"/>
    </row>
    <row r="69" spans="2:9">
      <c r="B69" s="466" t="s">
        <v>342</v>
      </c>
      <c r="C69" s="254" t="s">
        <v>472</v>
      </c>
      <c r="D69" s="254" t="s">
        <v>473</v>
      </c>
      <c r="E69" s="254" t="s">
        <v>339</v>
      </c>
      <c r="F69" s="254" t="s">
        <v>340</v>
      </c>
      <c r="G69" s="254"/>
      <c r="H69" s="254" t="s">
        <v>474</v>
      </c>
      <c r="I69" s="254"/>
    </row>
    <row r="70" spans="2:9">
      <c r="B70" s="466" t="s">
        <v>336</v>
      </c>
      <c r="C70" s="254" t="s">
        <v>475</v>
      </c>
      <c r="D70" s="254" t="s">
        <v>476</v>
      </c>
      <c r="E70" s="254" t="s">
        <v>339</v>
      </c>
      <c r="F70" s="254" t="s">
        <v>340</v>
      </c>
      <c r="G70" s="254"/>
      <c r="H70" s="254"/>
      <c r="I70" s="254"/>
    </row>
    <row r="71" spans="2:9">
      <c r="B71" s="466" t="s">
        <v>342</v>
      </c>
      <c r="C71" s="254" t="s">
        <v>477</v>
      </c>
      <c r="D71" s="254" t="s">
        <v>478</v>
      </c>
      <c r="E71" s="254" t="s">
        <v>339</v>
      </c>
      <c r="F71" s="254" t="s">
        <v>340</v>
      </c>
      <c r="G71" s="254"/>
      <c r="H71" s="254"/>
      <c r="I71" s="254"/>
    </row>
    <row r="72" spans="2:9">
      <c r="B72" s="467" t="s">
        <v>342</v>
      </c>
      <c r="C72" s="467" t="s">
        <v>479</v>
      </c>
      <c r="D72" s="467" t="s">
        <v>480</v>
      </c>
      <c r="E72" s="467" t="s">
        <v>339</v>
      </c>
      <c r="F72" s="467" t="s">
        <v>340</v>
      </c>
      <c r="G72" s="467"/>
      <c r="H72" s="467"/>
      <c r="I72" s="467"/>
    </row>
    <row r="73" spans="2:9">
      <c r="B73" s="254" t="s">
        <v>362</v>
      </c>
      <c r="C73" s="254" t="s">
        <v>481</v>
      </c>
      <c r="D73" s="254" t="s">
        <v>482</v>
      </c>
      <c r="E73" s="254" t="s">
        <v>166</v>
      </c>
      <c r="F73" s="254" t="s">
        <v>335</v>
      </c>
      <c r="G73" s="254"/>
      <c r="H73" s="254"/>
      <c r="I73" s="254"/>
    </row>
    <row r="74" spans="2:9">
      <c r="B74" s="254" t="s">
        <v>362</v>
      </c>
      <c r="C74" s="254" t="s">
        <v>483</v>
      </c>
      <c r="D74" s="254" t="s">
        <v>484</v>
      </c>
      <c r="E74" s="254" t="s">
        <v>166</v>
      </c>
      <c r="F74" s="254" t="s">
        <v>335</v>
      </c>
      <c r="G74" s="254"/>
      <c r="H74" s="254"/>
      <c r="I74" s="254"/>
    </row>
    <row r="75" spans="2:9">
      <c r="B75" s="254" t="s">
        <v>362</v>
      </c>
      <c r="C75" s="254" t="s">
        <v>485</v>
      </c>
      <c r="D75" s="254" t="s">
        <v>486</v>
      </c>
      <c r="E75" s="254" t="s">
        <v>166</v>
      </c>
      <c r="F75" s="254" t="s">
        <v>335</v>
      </c>
      <c r="G75" s="254"/>
      <c r="H75" s="254"/>
      <c r="I75" s="254"/>
    </row>
    <row r="76" spans="2:9">
      <c r="B76" s="254" t="s">
        <v>362</v>
      </c>
      <c r="C76" s="466" t="s">
        <v>487</v>
      </c>
      <c r="D76" s="466" t="s">
        <v>488</v>
      </c>
      <c r="E76" s="466" t="s">
        <v>166</v>
      </c>
      <c r="F76" s="466" t="s">
        <v>335</v>
      </c>
      <c r="G76" s="466"/>
      <c r="H76" s="466"/>
      <c r="I76" s="466"/>
    </row>
    <row r="77" spans="2:9">
      <c r="B77" s="468" t="s">
        <v>357</v>
      </c>
      <c r="C77" s="467" t="s">
        <v>489</v>
      </c>
      <c r="D77" s="467" t="s">
        <v>490</v>
      </c>
      <c r="E77" s="467" t="s">
        <v>339</v>
      </c>
      <c r="F77" s="467" t="s">
        <v>340</v>
      </c>
      <c r="G77" s="467"/>
      <c r="H77" s="467"/>
      <c r="I77" s="467"/>
    </row>
    <row r="78" spans="2:9">
      <c r="B78" s="254" t="s">
        <v>362</v>
      </c>
      <c r="C78" s="254" t="str">
        <f>IND_Fuel!B39</f>
        <v>INDBIO_INF</v>
      </c>
      <c r="D78" s="254" t="str">
        <f>IND_Fuel!C39</f>
        <v>Fuel Tech - Biomass (IND)</v>
      </c>
      <c r="E78" s="254" t="s">
        <v>166</v>
      </c>
      <c r="F78" s="254" t="s">
        <v>335</v>
      </c>
      <c r="G78" s="254"/>
      <c r="H78" s="254"/>
      <c r="I78" s="254"/>
    </row>
    <row r="79" spans="2:9">
      <c r="B79" s="254" t="s">
        <v>362</v>
      </c>
      <c r="C79" s="254" t="str">
        <f>IND_Fuel!B6</f>
        <v>INDCOA_INF</v>
      </c>
      <c r="D79" s="254" t="str">
        <f>IND_Fuel!C6</f>
        <v>Fuel Tech - Hard Coal (IND)</v>
      </c>
      <c r="E79" s="254" t="s">
        <v>166</v>
      </c>
      <c r="F79" s="254" t="s">
        <v>335</v>
      </c>
      <c r="G79" s="254"/>
      <c r="H79" s="254"/>
      <c r="I79" s="254"/>
    </row>
    <row r="80" spans="2:9">
      <c r="B80" s="254" t="s">
        <v>362</v>
      </c>
      <c r="C80" s="254" t="str">
        <f>IND_Fuel!B10</f>
        <v>INDCOH_INF</v>
      </c>
      <c r="D80" s="254" t="str">
        <f>IND_Fuel!C10</f>
        <v>Fuel Tech - Brown Coal (IND)</v>
      </c>
      <c r="E80" s="254" t="s">
        <v>166</v>
      </c>
      <c r="F80" s="254" t="s">
        <v>335</v>
      </c>
      <c r="G80" s="254"/>
      <c r="H80" s="254"/>
      <c r="I80" s="254"/>
    </row>
    <row r="81" spans="2:9">
      <c r="B81" s="254" t="s">
        <v>362</v>
      </c>
      <c r="C81" s="254" t="str">
        <f>IND_Fuel!B12</f>
        <v>INDCOK_INF</v>
      </c>
      <c r="D81" s="254" t="str">
        <f>IND_Fuel!C12</f>
        <v>Fuel Tech - Coke (IND)</v>
      </c>
      <c r="E81" s="254" t="s">
        <v>166</v>
      </c>
      <c r="F81" s="254" t="s">
        <v>335</v>
      </c>
      <c r="G81" s="254"/>
      <c r="H81" s="254"/>
      <c r="I81" s="254"/>
    </row>
    <row r="82" spans="2:9">
      <c r="B82" s="254" t="s">
        <v>362</v>
      </c>
      <c r="C82" s="466" t="str">
        <f>IND_Fuel!B106</f>
        <v>INDELC_INF</v>
      </c>
      <c r="D82" s="466" t="str">
        <f>IND_Fuel!C106</f>
        <v>Fuel Tech - Electricity (IND)</v>
      </c>
      <c r="E82" s="466" t="s">
        <v>166</v>
      </c>
      <c r="F82" s="466" t="s">
        <v>400</v>
      </c>
      <c r="G82" s="466" t="s">
        <v>491</v>
      </c>
      <c r="H82" s="466"/>
      <c r="I82" s="466"/>
    </row>
    <row r="83" spans="2:9">
      <c r="B83" s="254" t="s">
        <v>362</v>
      </c>
      <c r="C83" s="254" t="str">
        <f>IND_Fuel!B29</f>
        <v>INDGAS_INF</v>
      </c>
      <c r="D83" s="254" t="str">
        <f>IND_Fuel!C29</f>
        <v>Fuel Tech - Natural Gas (IND)</v>
      </c>
      <c r="E83" s="254" t="s">
        <v>166</v>
      </c>
      <c r="F83" s="254" t="s">
        <v>335</v>
      </c>
      <c r="G83" s="254" t="s">
        <v>492</v>
      </c>
      <c r="H83" s="254"/>
      <c r="I83" s="254"/>
    </row>
    <row r="84" spans="2:9">
      <c r="B84" s="254" t="s">
        <v>362</v>
      </c>
      <c r="C84" s="254" t="str">
        <f>IND_Fuel!B37</f>
        <v>INDGEO_INF</v>
      </c>
      <c r="D84" s="254" t="str">
        <f>IND_Fuel!C37</f>
        <v>Fuel Tech - Geothermal (IND)</v>
      </c>
      <c r="E84" s="254" t="s">
        <v>166</v>
      </c>
      <c r="F84" s="254" t="s">
        <v>335</v>
      </c>
      <c r="G84" s="254"/>
      <c r="H84" s="254"/>
      <c r="I84" s="254"/>
    </row>
    <row r="85" spans="2:9">
      <c r="B85" s="254" t="s">
        <v>362</v>
      </c>
      <c r="C85" s="466" t="str">
        <f>IND_Fuel!B113</f>
        <v>INDHET_INF</v>
      </c>
      <c r="D85" s="466" t="str">
        <f>IND_Fuel!C113</f>
        <v>Fuel Tech Base-year- High Temperature Heat (IND)</v>
      </c>
      <c r="E85" s="466" t="s">
        <v>166</v>
      </c>
      <c r="F85" s="466" t="s">
        <v>400</v>
      </c>
      <c r="G85" s="466" t="s">
        <v>492</v>
      </c>
      <c r="H85" s="466"/>
      <c r="I85" s="466"/>
    </row>
    <row r="86" spans="2:9">
      <c r="B86" s="254" t="s">
        <v>362</v>
      </c>
      <c r="C86" s="254" t="str">
        <f>IND_Fuel!B24</f>
        <v>INDHFO_INF</v>
      </c>
      <c r="D86" s="254" t="str">
        <f>IND_Fuel!C24</f>
        <v>Fuel Tech - Heavy Fuel Oil (IND)</v>
      </c>
      <c r="E86" s="254" t="s">
        <v>166</v>
      </c>
      <c r="F86" s="254" t="s">
        <v>335</v>
      </c>
      <c r="G86" s="254"/>
      <c r="H86" s="254"/>
      <c r="I86" s="254"/>
    </row>
    <row r="87" spans="2:9">
      <c r="B87" s="254" t="s">
        <v>362</v>
      </c>
      <c r="C87" s="254" t="str">
        <f>IND_Fuel!B18</f>
        <v>INDLFO_INF</v>
      </c>
      <c r="D87" s="254" t="str">
        <f>IND_Fuel!C18</f>
        <v>Fuel Tech - Light Fuel Oil (IND)</v>
      </c>
      <c r="E87" s="254" t="s">
        <v>166</v>
      </c>
      <c r="F87" s="254" t="s">
        <v>335</v>
      </c>
      <c r="G87" s="254"/>
      <c r="H87" s="254"/>
      <c r="I87" s="254"/>
    </row>
    <row r="88" spans="2:9">
      <c r="B88" s="466" t="s">
        <v>362</v>
      </c>
      <c r="C88" s="466" t="str">
        <f>IND_Fuel!B16</f>
        <v>INDLPG_INF</v>
      </c>
      <c r="D88" s="466" t="str">
        <f>IND_Fuel!C16</f>
        <v>Fuel Tech - Liquified Petroleum Gas (IND)</v>
      </c>
      <c r="E88" s="466" t="s">
        <v>166</v>
      </c>
      <c r="F88" s="466" t="s">
        <v>335</v>
      </c>
      <c r="G88" s="466"/>
      <c r="H88" s="466"/>
      <c r="I88" s="466"/>
    </row>
    <row r="89" spans="2:9">
      <c r="B89" s="466" t="s">
        <v>362</v>
      </c>
      <c r="C89" s="466" t="str">
        <f>IND_Fuel!B22</f>
        <v>INDNAP_INF</v>
      </c>
      <c r="D89" s="466" t="str">
        <f>IND_Fuel!C22</f>
        <v>Fuel Tech - Naphtha (IND)</v>
      </c>
      <c r="E89" s="466" t="s">
        <v>166</v>
      </c>
      <c r="F89" s="466" t="s">
        <v>335</v>
      </c>
      <c r="G89" s="466"/>
      <c r="H89" s="466"/>
      <c r="I89" s="466"/>
    </row>
    <row r="90" spans="2:9">
      <c r="B90" s="466" t="s">
        <v>362</v>
      </c>
      <c r="C90" s="466" t="str">
        <f>IND_Fuel!B27</f>
        <v>INDNEU_INF</v>
      </c>
      <c r="D90" s="466" t="str">
        <f>IND_Fuel!C27</f>
        <v>Fuel Tech - Non Energy (IND)</v>
      </c>
      <c r="E90" s="466" t="s">
        <v>166</v>
      </c>
      <c r="F90" s="466" t="s">
        <v>335</v>
      </c>
      <c r="G90" s="466"/>
      <c r="H90" s="466"/>
      <c r="I90" s="466"/>
    </row>
    <row r="91" spans="2:9">
      <c r="B91" s="254" t="s">
        <v>362</v>
      </c>
      <c r="C91" s="254" t="str">
        <f>IND_Fuel!B8</f>
        <v>INDPEA_INF</v>
      </c>
      <c r="D91" s="254" t="str">
        <f>IND_Fuel!C8</f>
        <v>Fuel Tech - Lignite (IND)</v>
      </c>
      <c r="E91" s="254" t="s">
        <v>166</v>
      </c>
      <c r="F91" s="254" t="s">
        <v>335</v>
      </c>
      <c r="G91" s="254"/>
      <c r="H91" s="254"/>
      <c r="I91" s="254"/>
    </row>
    <row r="92" spans="2:9">
      <c r="B92" s="254" t="s">
        <v>362</v>
      </c>
      <c r="C92" s="254" t="str">
        <f>IND_Fuel!B14</f>
        <v>INDRFG_INF</v>
      </c>
      <c r="D92" s="254" t="str">
        <f>IND_Fuel!C14</f>
        <v>Fuel Tech - Refinery Gas (IND)</v>
      </c>
      <c r="E92" s="254" t="s">
        <v>166</v>
      </c>
      <c r="F92" s="254" t="s">
        <v>335</v>
      </c>
      <c r="G92" s="254"/>
      <c r="H92" s="254"/>
      <c r="I92" s="254"/>
    </row>
    <row r="93" spans="2:9">
      <c r="B93" s="466" t="s">
        <v>362</v>
      </c>
      <c r="C93" s="466" t="str">
        <f>IND_Fuel!B35</f>
        <v>INDSOL_INF</v>
      </c>
      <c r="D93" s="466" t="str">
        <f>IND_Fuel!C35</f>
        <v>Fuel Tech - Solar (IND)</v>
      </c>
      <c r="E93" s="466" t="s">
        <v>166</v>
      </c>
      <c r="F93" s="466" t="s">
        <v>335</v>
      </c>
      <c r="G93" s="466"/>
      <c r="H93" s="466"/>
      <c r="I93" s="466"/>
    </row>
    <row r="94" spans="2:9">
      <c r="B94" s="466" t="s">
        <v>362</v>
      </c>
      <c r="C94" s="466" t="str">
        <f>IND_Fuel!B44</f>
        <v>INDWASL_INF</v>
      </c>
      <c r="D94" s="466" t="str">
        <f>IND_Fuel!C44</f>
        <v>Fuel Tech - Industrial Waste-Sludge (IND)</v>
      </c>
      <c r="E94" s="466" t="s">
        <v>166</v>
      </c>
      <c r="F94" s="466" t="s">
        <v>335</v>
      </c>
      <c r="G94" s="466"/>
      <c r="H94" s="466"/>
      <c r="I94" s="466"/>
    </row>
    <row r="95" spans="2:9">
      <c r="B95" s="467" t="s">
        <v>362</v>
      </c>
      <c r="C95" s="467" t="str">
        <f>IND_Fuel!B42</f>
        <v>INDWASS_INF</v>
      </c>
      <c r="D95" s="467" t="str">
        <f>IND_Fuel!C42</f>
        <v>Fuel Tech - Solid Waste (IND)</v>
      </c>
      <c r="E95" s="467" t="s">
        <v>166</v>
      </c>
      <c r="F95" s="467" t="s">
        <v>335</v>
      </c>
      <c r="G95" s="467"/>
      <c r="H95" s="467"/>
      <c r="I95" s="467"/>
    </row>
    <row r="96" spans="2:9">
      <c r="B96" s="253" t="s">
        <v>357</v>
      </c>
      <c r="C96" s="254" t="s">
        <v>493</v>
      </c>
      <c r="D96" s="254" t="s">
        <v>494</v>
      </c>
      <c r="E96" s="254" t="s">
        <v>166</v>
      </c>
      <c r="F96" s="254" t="s">
        <v>335</v>
      </c>
      <c r="G96" s="254"/>
      <c r="H96" s="254"/>
      <c r="I96" s="254"/>
    </row>
    <row r="97" spans="2:9">
      <c r="B97" s="254" t="s">
        <v>342</v>
      </c>
      <c r="C97" s="254" t="s">
        <v>495</v>
      </c>
      <c r="D97" s="254" t="s">
        <v>496</v>
      </c>
      <c r="E97" s="254" t="s">
        <v>166</v>
      </c>
      <c r="F97" s="254" t="s">
        <v>335</v>
      </c>
      <c r="G97" s="254"/>
      <c r="H97" s="254"/>
      <c r="I97" s="254"/>
    </row>
    <row r="98" spans="2:9">
      <c r="B98" s="254" t="s">
        <v>362</v>
      </c>
      <c r="C98" s="254" t="s">
        <v>497</v>
      </c>
      <c r="D98" s="254" t="s">
        <v>498</v>
      </c>
      <c r="E98" s="254" t="s">
        <v>166</v>
      </c>
      <c r="F98" s="254" t="s">
        <v>335</v>
      </c>
      <c r="G98" s="254"/>
      <c r="H98" s="254"/>
      <c r="I98" s="254"/>
    </row>
    <row r="99" spans="2:9">
      <c r="B99" s="254" t="s">
        <v>362</v>
      </c>
      <c r="C99" s="254" t="s">
        <v>499</v>
      </c>
      <c r="D99" s="254" t="s">
        <v>500</v>
      </c>
      <c r="E99" s="254" t="s">
        <v>166</v>
      </c>
      <c r="F99" s="254" t="s">
        <v>335</v>
      </c>
      <c r="G99" s="254"/>
      <c r="H99" s="254"/>
      <c r="I99" s="254"/>
    </row>
    <row r="100" spans="2:9">
      <c r="B100" s="254" t="s">
        <v>362</v>
      </c>
      <c r="C100" s="254" t="s">
        <v>501</v>
      </c>
      <c r="D100" s="254" t="s">
        <v>502</v>
      </c>
      <c r="E100" s="254" t="s">
        <v>166</v>
      </c>
      <c r="F100" s="254" t="s">
        <v>335</v>
      </c>
      <c r="G100" s="254"/>
      <c r="H100" s="254"/>
      <c r="I100" s="254"/>
    </row>
    <row r="101" spans="2:9">
      <c r="B101" s="254" t="s">
        <v>362</v>
      </c>
      <c r="C101" s="254" t="s">
        <v>503</v>
      </c>
      <c r="D101" s="254" t="s">
        <v>504</v>
      </c>
      <c r="E101" s="254" t="s">
        <v>166</v>
      </c>
      <c r="F101" s="254" t="s">
        <v>335</v>
      </c>
      <c r="G101" s="254"/>
      <c r="H101" s="254"/>
      <c r="I101" s="254"/>
    </row>
    <row r="102" spans="2:9">
      <c r="B102" s="254" t="s">
        <v>362</v>
      </c>
      <c r="C102" s="254" t="s">
        <v>505</v>
      </c>
      <c r="D102" s="254" t="s">
        <v>506</v>
      </c>
      <c r="E102" s="254" t="s">
        <v>166</v>
      </c>
      <c r="F102" s="254" t="s">
        <v>335</v>
      </c>
      <c r="G102" s="254"/>
      <c r="H102" s="254"/>
      <c r="I102" s="254"/>
    </row>
    <row r="103" spans="2:9">
      <c r="B103" s="254" t="s">
        <v>362</v>
      </c>
      <c r="C103" s="254" t="s">
        <v>507</v>
      </c>
      <c r="D103" s="254" t="s">
        <v>508</v>
      </c>
      <c r="E103" s="254" t="s">
        <v>166</v>
      </c>
      <c r="F103" s="254" t="s">
        <v>335</v>
      </c>
      <c r="G103" s="254"/>
      <c r="H103" s="254"/>
      <c r="I103" s="254"/>
    </row>
    <row r="104" spans="2:9">
      <c r="B104" s="254" t="s">
        <v>362</v>
      </c>
      <c r="C104" s="254" t="s">
        <v>509</v>
      </c>
      <c r="D104" s="254" t="s">
        <v>510</v>
      </c>
      <c r="E104" s="254" t="s">
        <v>166</v>
      </c>
      <c r="F104" s="254" t="s">
        <v>335</v>
      </c>
      <c r="G104" s="254"/>
      <c r="H104" s="254"/>
      <c r="I104" s="254"/>
    </row>
    <row r="105" spans="2:9">
      <c r="B105" s="254" t="s">
        <v>362</v>
      </c>
      <c r="C105" s="254" t="s">
        <v>511</v>
      </c>
      <c r="D105" s="254" t="s">
        <v>512</v>
      </c>
      <c r="E105" s="254" t="s">
        <v>166</v>
      </c>
      <c r="F105" s="254" t="s">
        <v>335</v>
      </c>
      <c r="G105" s="254"/>
      <c r="H105" s="254"/>
      <c r="I105" s="254"/>
    </row>
    <row r="106" spans="2:9">
      <c r="B106" s="466" t="s">
        <v>342</v>
      </c>
      <c r="C106" s="466" t="s">
        <v>513</v>
      </c>
      <c r="D106" s="466" t="s">
        <v>514</v>
      </c>
      <c r="E106" s="466" t="s">
        <v>166</v>
      </c>
      <c r="F106" s="466" t="s">
        <v>335</v>
      </c>
      <c r="G106" s="466"/>
      <c r="H106" s="466"/>
      <c r="I106" s="466"/>
    </row>
    <row r="107" spans="2:9">
      <c r="B107" s="466" t="s">
        <v>342</v>
      </c>
      <c r="C107" s="466" t="s">
        <v>515</v>
      </c>
      <c r="D107" s="466" t="s">
        <v>516</v>
      </c>
      <c r="E107" s="466" t="s">
        <v>166</v>
      </c>
      <c r="F107" s="466" t="s">
        <v>335</v>
      </c>
      <c r="G107" s="466"/>
      <c r="H107" s="466"/>
      <c r="I107" s="466"/>
    </row>
    <row r="108" spans="2:9">
      <c r="B108" s="466" t="s">
        <v>342</v>
      </c>
      <c r="C108" s="466" t="s">
        <v>517</v>
      </c>
      <c r="D108" s="466" t="s">
        <v>518</v>
      </c>
      <c r="E108" s="466" t="s">
        <v>166</v>
      </c>
      <c r="F108" s="466" t="s">
        <v>335</v>
      </c>
      <c r="G108" s="466"/>
      <c r="H108" s="466"/>
      <c r="I108" s="466"/>
    </row>
    <row r="109" spans="2:9">
      <c r="B109" s="466" t="s">
        <v>342</v>
      </c>
      <c r="C109" s="254" t="s">
        <v>519</v>
      </c>
      <c r="D109" s="254" t="s">
        <v>520</v>
      </c>
      <c r="E109" s="254" t="s">
        <v>166</v>
      </c>
      <c r="F109" s="254" t="s">
        <v>335</v>
      </c>
      <c r="G109" s="254"/>
      <c r="H109" s="254"/>
      <c r="I109" s="254"/>
    </row>
    <row r="110" spans="2:9">
      <c r="B110" s="466" t="s">
        <v>342</v>
      </c>
      <c r="C110" s="254" t="s">
        <v>521</v>
      </c>
      <c r="D110" s="254" t="s">
        <v>522</v>
      </c>
      <c r="E110" s="254" t="s">
        <v>166</v>
      </c>
      <c r="F110" s="254" t="s">
        <v>335</v>
      </c>
      <c r="G110" s="254"/>
      <c r="H110" s="254"/>
      <c r="I110" s="254"/>
    </row>
    <row r="111" spans="2:9">
      <c r="B111" s="466" t="s">
        <v>342</v>
      </c>
      <c r="C111" s="254" t="s">
        <v>523</v>
      </c>
      <c r="D111" s="254" t="s">
        <v>524</v>
      </c>
      <c r="E111" s="254" t="s">
        <v>166</v>
      </c>
      <c r="F111" s="254" t="s">
        <v>335</v>
      </c>
      <c r="G111" s="254"/>
      <c r="H111" s="254"/>
      <c r="I111" s="254"/>
    </row>
    <row r="112" spans="2:9">
      <c r="B112" s="466" t="s">
        <v>342</v>
      </c>
      <c r="C112" s="254" t="s">
        <v>525</v>
      </c>
      <c r="D112" s="254" t="s">
        <v>526</v>
      </c>
      <c r="E112" s="254" t="s">
        <v>166</v>
      </c>
      <c r="F112" s="254" t="s">
        <v>335</v>
      </c>
      <c r="G112" s="254"/>
      <c r="H112" s="254"/>
      <c r="I112" s="254"/>
    </row>
    <row r="113" spans="2:9">
      <c r="B113" s="466" t="s">
        <v>342</v>
      </c>
      <c r="C113" s="254" t="s">
        <v>527</v>
      </c>
      <c r="D113" s="254" t="s">
        <v>528</v>
      </c>
      <c r="E113" s="254" t="s">
        <v>166</v>
      </c>
      <c r="F113" s="254" t="s">
        <v>335</v>
      </c>
      <c r="G113" s="254"/>
      <c r="H113" s="254"/>
      <c r="I113" s="254"/>
    </row>
    <row r="114" spans="2:9">
      <c r="B114" s="466" t="s">
        <v>342</v>
      </c>
      <c r="C114" s="254" t="s">
        <v>529</v>
      </c>
      <c r="D114" s="254" t="s">
        <v>530</v>
      </c>
      <c r="E114" s="254" t="s">
        <v>166</v>
      </c>
      <c r="F114" s="254" t="s">
        <v>335</v>
      </c>
      <c r="G114" s="254"/>
      <c r="H114" s="254"/>
      <c r="I114" s="254"/>
    </row>
    <row r="115" spans="2:9">
      <c r="B115" s="254" t="s">
        <v>397</v>
      </c>
      <c r="C115" s="254" t="s">
        <v>531</v>
      </c>
      <c r="D115" s="254" t="s">
        <v>532</v>
      </c>
      <c r="E115" s="254" t="s">
        <v>166</v>
      </c>
      <c r="F115" s="254" t="s">
        <v>400</v>
      </c>
      <c r="G115" s="254"/>
      <c r="H115" s="254"/>
      <c r="I115" s="254"/>
    </row>
    <row r="116" spans="2:9">
      <c r="B116" s="254" t="s">
        <v>397</v>
      </c>
      <c r="C116" s="254" t="s">
        <v>533</v>
      </c>
      <c r="D116" s="254" t="s">
        <v>534</v>
      </c>
      <c r="E116" s="254" t="s">
        <v>166</v>
      </c>
      <c r="F116" s="254" t="s">
        <v>400</v>
      </c>
      <c r="G116" s="254"/>
      <c r="H116" s="254"/>
      <c r="I116" s="254"/>
    </row>
    <row r="117" spans="2:9">
      <c r="B117" s="254" t="s">
        <v>397</v>
      </c>
      <c r="C117" s="254" t="s">
        <v>535</v>
      </c>
      <c r="D117" s="254" t="s">
        <v>536</v>
      </c>
      <c r="E117" s="254" t="s">
        <v>166</v>
      </c>
      <c r="F117" s="254" t="s">
        <v>400</v>
      </c>
      <c r="G117" s="254"/>
      <c r="H117" s="254"/>
      <c r="I117" s="254"/>
    </row>
    <row r="118" spans="2:9">
      <c r="B118" s="254" t="s">
        <v>397</v>
      </c>
      <c r="C118" s="254" t="s">
        <v>537</v>
      </c>
      <c r="D118" s="254" t="s">
        <v>538</v>
      </c>
      <c r="E118" s="254" t="s">
        <v>166</v>
      </c>
      <c r="F118" s="254" t="s">
        <v>400</v>
      </c>
      <c r="G118" s="254"/>
      <c r="H118" s="254"/>
      <c r="I118" s="254"/>
    </row>
    <row r="119" spans="2:9">
      <c r="B119" s="254" t="s">
        <v>397</v>
      </c>
      <c r="C119" s="254" t="s">
        <v>539</v>
      </c>
      <c r="D119" s="254" t="s">
        <v>540</v>
      </c>
      <c r="E119" s="254" t="s">
        <v>166</v>
      </c>
      <c r="F119" s="254" t="s">
        <v>400</v>
      </c>
      <c r="G119" s="254"/>
      <c r="H119" s="254"/>
      <c r="I119" s="254"/>
    </row>
    <row r="120" spans="2:9">
      <c r="B120" s="254" t="s">
        <v>397</v>
      </c>
      <c r="C120" s="254" t="s">
        <v>541</v>
      </c>
      <c r="D120" s="254" t="s">
        <v>542</v>
      </c>
      <c r="E120" s="254" t="s">
        <v>166</v>
      </c>
      <c r="F120" s="254" t="s">
        <v>400</v>
      </c>
      <c r="G120" s="254"/>
      <c r="H120" s="254"/>
      <c r="I120" s="254"/>
    </row>
    <row r="121" spans="2:9">
      <c r="B121" s="254" t="s">
        <v>397</v>
      </c>
      <c r="C121" s="254" t="s">
        <v>543</v>
      </c>
      <c r="D121" s="254" t="s">
        <v>544</v>
      </c>
      <c r="E121" s="254" t="s">
        <v>166</v>
      </c>
      <c r="F121" s="254" t="s">
        <v>400</v>
      </c>
      <c r="G121" s="254"/>
      <c r="H121" s="254"/>
      <c r="I121" s="254"/>
    </row>
    <row r="122" spans="2:9">
      <c r="B122" s="254" t="s">
        <v>397</v>
      </c>
      <c r="C122" s="254" t="s">
        <v>545</v>
      </c>
      <c r="D122" s="254" t="s">
        <v>546</v>
      </c>
      <c r="E122" s="254" t="s">
        <v>166</v>
      </c>
      <c r="F122" s="254" t="s">
        <v>400</v>
      </c>
      <c r="G122" s="254"/>
      <c r="H122" s="254"/>
      <c r="I122" s="254"/>
    </row>
    <row r="123" spans="2:9">
      <c r="B123" s="467" t="s">
        <v>397</v>
      </c>
      <c r="C123" s="467" t="s">
        <v>547</v>
      </c>
      <c r="D123" s="467" t="s">
        <v>548</v>
      </c>
      <c r="E123" s="467" t="s">
        <v>166</v>
      </c>
      <c r="F123" s="467" t="s">
        <v>400</v>
      </c>
      <c r="G123" s="467"/>
      <c r="H123" s="467"/>
      <c r="I123" s="467"/>
    </row>
    <row r="124" spans="2:9">
      <c r="B124" s="253" t="s">
        <v>357</v>
      </c>
      <c r="C124" s="254" t="s">
        <v>549</v>
      </c>
      <c r="D124" s="254" t="s">
        <v>550</v>
      </c>
      <c r="E124" s="254" t="s">
        <v>166</v>
      </c>
      <c r="F124" s="254" t="s">
        <v>335</v>
      </c>
      <c r="G124" s="254"/>
      <c r="H124" s="254"/>
      <c r="I124" s="254"/>
    </row>
    <row r="125" spans="2:9">
      <c r="B125" s="466" t="s">
        <v>342</v>
      </c>
      <c r="C125" s="254" t="s">
        <v>551</v>
      </c>
      <c r="D125" s="254" t="s">
        <v>552</v>
      </c>
      <c r="E125" s="254" t="s">
        <v>166</v>
      </c>
      <c r="F125" s="254" t="s">
        <v>335</v>
      </c>
      <c r="G125" s="254" t="s">
        <v>491</v>
      </c>
      <c r="H125" s="254"/>
      <c r="I125" s="254"/>
    </row>
    <row r="126" spans="2:9">
      <c r="B126" s="254" t="s">
        <v>362</v>
      </c>
      <c r="C126" s="254" t="s">
        <v>553</v>
      </c>
      <c r="D126" s="254" t="s">
        <v>554</v>
      </c>
      <c r="E126" s="254" t="s">
        <v>166</v>
      </c>
      <c r="F126" s="254" t="s">
        <v>335</v>
      </c>
      <c r="G126" s="254"/>
      <c r="H126" s="254"/>
      <c r="I126" s="254"/>
    </row>
    <row r="127" spans="2:9">
      <c r="B127" s="254" t="s">
        <v>362</v>
      </c>
      <c r="C127" s="254" t="s">
        <v>555</v>
      </c>
      <c r="D127" s="254" t="s">
        <v>556</v>
      </c>
      <c r="E127" s="254" t="s">
        <v>166</v>
      </c>
      <c r="F127" s="254" t="s">
        <v>335</v>
      </c>
      <c r="G127" s="254"/>
      <c r="H127" s="254"/>
      <c r="I127" s="254"/>
    </row>
    <row r="128" spans="2:9">
      <c r="B128" s="254" t="s">
        <v>362</v>
      </c>
      <c r="C128" s="254" t="s">
        <v>557</v>
      </c>
      <c r="D128" s="254" t="s">
        <v>558</v>
      </c>
      <c r="E128" s="254" t="s">
        <v>166</v>
      </c>
      <c r="F128" s="254" t="s">
        <v>335</v>
      </c>
      <c r="G128" s="254"/>
      <c r="H128" s="254"/>
      <c r="I128" s="254"/>
    </row>
    <row r="129" spans="2:9">
      <c r="B129" s="254" t="s">
        <v>362</v>
      </c>
      <c r="C129" s="254" t="s">
        <v>559</v>
      </c>
      <c r="D129" s="254" t="s">
        <v>560</v>
      </c>
      <c r="E129" s="254" t="s">
        <v>166</v>
      </c>
      <c r="F129" s="254" t="s">
        <v>335</v>
      </c>
      <c r="G129" s="254"/>
      <c r="H129" s="254"/>
      <c r="I129" s="254"/>
    </row>
    <row r="130" spans="2:9">
      <c r="B130" s="254" t="s">
        <v>362</v>
      </c>
      <c r="C130" s="254" t="s">
        <v>561</v>
      </c>
      <c r="D130" s="254" t="s">
        <v>562</v>
      </c>
      <c r="E130" s="254" t="s">
        <v>166</v>
      </c>
      <c r="F130" s="254" t="s">
        <v>335</v>
      </c>
      <c r="G130" s="254"/>
      <c r="H130" s="254"/>
      <c r="I130" s="254"/>
    </row>
    <row r="131" spans="2:9">
      <c r="B131" s="254" t="s">
        <v>362</v>
      </c>
      <c r="C131" s="254" t="s">
        <v>563</v>
      </c>
      <c r="D131" s="254" t="s">
        <v>564</v>
      </c>
      <c r="E131" s="254" t="s">
        <v>166</v>
      </c>
      <c r="F131" s="254" t="s">
        <v>335</v>
      </c>
      <c r="G131" s="254"/>
      <c r="H131" s="254"/>
      <c r="I131" s="254"/>
    </row>
    <row r="132" spans="2:9">
      <c r="B132" s="254" t="s">
        <v>362</v>
      </c>
      <c r="C132" s="254" t="s">
        <v>565</v>
      </c>
      <c r="D132" s="254" t="s">
        <v>566</v>
      </c>
      <c r="E132" s="254" t="s">
        <v>166</v>
      </c>
      <c r="F132" s="254" t="s">
        <v>335</v>
      </c>
      <c r="G132" s="254"/>
      <c r="H132" s="254"/>
      <c r="I132" s="254"/>
    </row>
    <row r="133" spans="2:9">
      <c r="B133" s="254" t="s">
        <v>362</v>
      </c>
      <c r="C133" s="254" t="s">
        <v>567</v>
      </c>
      <c r="D133" s="254" t="s">
        <v>568</v>
      </c>
      <c r="E133" s="254" t="s">
        <v>166</v>
      </c>
      <c r="F133" s="254" t="s">
        <v>335</v>
      </c>
      <c r="G133" s="254"/>
      <c r="H133" s="254"/>
      <c r="I133" s="254"/>
    </row>
    <row r="134" spans="2:9">
      <c r="B134" s="466" t="s">
        <v>342</v>
      </c>
      <c r="C134" s="254" t="s">
        <v>569</v>
      </c>
      <c r="D134" s="254" t="s">
        <v>570</v>
      </c>
      <c r="E134" s="254" t="s">
        <v>166</v>
      </c>
      <c r="F134" s="254" t="s">
        <v>335</v>
      </c>
      <c r="G134" s="254"/>
      <c r="H134" s="254"/>
      <c r="I134" s="254"/>
    </row>
    <row r="135" spans="2:9">
      <c r="B135" s="466" t="s">
        <v>342</v>
      </c>
      <c r="C135" s="254" t="s">
        <v>571</v>
      </c>
      <c r="D135" s="254" t="s">
        <v>572</v>
      </c>
      <c r="E135" s="254" t="s">
        <v>166</v>
      </c>
      <c r="F135" s="254" t="s">
        <v>335</v>
      </c>
      <c r="G135" s="254"/>
      <c r="H135" s="254"/>
      <c r="I135" s="254"/>
    </row>
    <row r="136" spans="2:9">
      <c r="B136" s="466" t="s">
        <v>342</v>
      </c>
      <c r="C136" s="254" t="s">
        <v>573</v>
      </c>
      <c r="D136" s="254" t="s">
        <v>574</v>
      </c>
      <c r="E136" s="254" t="s">
        <v>166</v>
      </c>
      <c r="F136" s="254" t="s">
        <v>335</v>
      </c>
      <c r="G136" s="254"/>
      <c r="H136" s="254"/>
      <c r="I136" s="254"/>
    </row>
    <row r="137" spans="2:9">
      <c r="B137" s="466" t="s">
        <v>342</v>
      </c>
      <c r="C137" s="254" t="s">
        <v>575</v>
      </c>
      <c r="D137" s="254" t="s">
        <v>576</v>
      </c>
      <c r="E137" s="254" t="s">
        <v>166</v>
      </c>
      <c r="F137" s="254" t="s">
        <v>335</v>
      </c>
      <c r="G137" s="254"/>
      <c r="H137" s="254"/>
      <c r="I137" s="254"/>
    </row>
    <row r="138" spans="2:9">
      <c r="B138" s="466" t="s">
        <v>342</v>
      </c>
      <c r="C138" s="254" t="s">
        <v>577</v>
      </c>
      <c r="D138" s="254" t="s">
        <v>578</v>
      </c>
      <c r="E138" s="254" t="s">
        <v>166</v>
      </c>
      <c r="F138" s="254" t="s">
        <v>335</v>
      </c>
      <c r="G138" s="254"/>
      <c r="H138" s="254"/>
      <c r="I138" s="254"/>
    </row>
    <row r="139" spans="2:9">
      <c r="B139" s="466" t="s">
        <v>342</v>
      </c>
      <c r="C139" s="254" t="s">
        <v>579</v>
      </c>
      <c r="D139" s="254" t="s">
        <v>580</v>
      </c>
      <c r="E139" s="254" t="s">
        <v>166</v>
      </c>
      <c r="F139" s="254" t="s">
        <v>335</v>
      </c>
      <c r="G139" s="254"/>
      <c r="H139" s="254"/>
      <c r="I139" s="254"/>
    </row>
    <row r="140" spans="2:9">
      <c r="B140" s="466" t="s">
        <v>342</v>
      </c>
      <c r="C140" s="254" t="s">
        <v>581</v>
      </c>
      <c r="D140" s="254" t="s">
        <v>582</v>
      </c>
      <c r="E140" s="254" t="s">
        <v>166</v>
      </c>
      <c r="F140" s="254" t="s">
        <v>335</v>
      </c>
      <c r="G140" s="254"/>
      <c r="H140" s="254"/>
      <c r="I140" s="254"/>
    </row>
    <row r="141" spans="2:9">
      <c r="B141" s="466" t="s">
        <v>342</v>
      </c>
      <c r="C141" s="254" t="s">
        <v>583</v>
      </c>
      <c r="D141" s="254" t="s">
        <v>584</v>
      </c>
      <c r="E141" s="254" t="s">
        <v>166</v>
      </c>
      <c r="F141" s="254" t="s">
        <v>335</v>
      </c>
      <c r="G141" s="254"/>
      <c r="H141" s="254"/>
      <c r="I141" s="254"/>
    </row>
    <row r="142" spans="2:9">
      <c r="B142" s="466" t="s">
        <v>342</v>
      </c>
      <c r="C142" s="254" t="s">
        <v>585</v>
      </c>
      <c r="D142" s="254" t="s">
        <v>586</v>
      </c>
      <c r="E142" s="254" t="s">
        <v>166</v>
      </c>
      <c r="F142" s="254" t="s">
        <v>335</v>
      </c>
      <c r="G142" s="254"/>
      <c r="H142" s="254"/>
      <c r="I142" s="254"/>
    </row>
    <row r="143" spans="2:9">
      <c r="B143" s="254" t="s">
        <v>397</v>
      </c>
      <c r="C143" s="254" t="s">
        <v>587</v>
      </c>
      <c r="D143" s="254" t="s">
        <v>588</v>
      </c>
      <c r="E143" s="254" t="s">
        <v>166</v>
      </c>
      <c r="F143" s="254" t="s">
        <v>400</v>
      </c>
      <c r="G143" s="254"/>
      <c r="H143" s="254"/>
      <c r="I143" s="254"/>
    </row>
    <row r="144" spans="2:9">
      <c r="B144" s="254" t="s">
        <v>397</v>
      </c>
      <c r="C144" s="254" t="s">
        <v>589</v>
      </c>
      <c r="D144" s="254" t="s">
        <v>590</v>
      </c>
      <c r="E144" s="254" t="s">
        <v>166</v>
      </c>
      <c r="F144" s="254" t="s">
        <v>400</v>
      </c>
      <c r="G144" s="254"/>
      <c r="H144" s="254"/>
      <c r="I144" s="254"/>
    </row>
    <row r="145" spans="2:9">
      <c r="B145" s="254" t="s">
        <v>397</v>
      </c>
      <c r="C145" s="254" t="s">
        <v>591</v>
      </c>
      <c r="D145" s="254" t="s">
        <v>592</v>
      </c>
      <c r="E145" s="254" t="s">
        <v>166</v>
      </c>
      <c r="F145" s="254" t="s">
        <v>400</v>
      </c>
      <c r="G145" s="254"/>
      <c r="H145" s="254"/>
      <c r="I145" s="254"/>
    </row>
    <row r="146" spans="2:9">
      <c r="B146" s="254" t="s">
        <v>397</v>
      </c>
      <c r="C146" s="254" t="s">
        <v>593</v>
      </c>
      <c r="D146" s="254" t="s">
        <v>594</v>
      </c>
      <c r="E146" s="254" t="s">
        <v>166</v>
      </c>
      <c r="F146" s="254" t="s">
        <v>400</v>
      </c>
      <c r="G146" s="254"/>
      <c r="H146" s="254"/>
      <c r="I146" s="254"/>
    </row>
    <row r="147" spans="2:9">
      <c r="B147" s="254" t="s">
        <v>397</v>
      </c>
      <c r="C147" s="254" t="s">
        <v>595</v>
      </c>
      <c r="D147" s="254" t="s">
        <v>596</v>
      </c>
      <c r="E147" s="254" t="s">
        <v>166</v>
      </c>
      <c r="F147" s="254" t="s">
        <v>400</v>
      </c>
      <c r="G147" s="254"/>
      <c r="H147" s="254"/>
      <c r="I147" s="254"/>
    </row>
    <row r="148" spans="2:9">
      <c r="B148" s="254" t="s">
        <v>397</v>
      </c>
      <c r="C148" s="254" t="s">
        <v>597</v>
      </c>
      <c r="D148" s="254" t="s">
        <v>598</v>
      </c>
      <c r="E148" s="254" t="s">
        <v>166</v>
      </c>
      <c r="F148" s="254" t="s">
        <v>400</v>
      </c>
      <c r="G148" s="254"/>
      <c r="H148" s="254"/>
      <c r="I148" s="254"/>
    </row>
    <row r="149" spans="2:9">
      <c r="B149" s="254" t="s">
        <v>397</v>
      </c>
      <c r="C149" s="254" t="s">
        <v>599</v>
      </c>
      <c r="D149" s="254" t="s">
        <v>600</v>
      </c>
      <c r="E149" s="254" t="s">
        <v>166</v>
      </c>
      <c r="F149" s="254" t="s">
        <v>400</v>
      </c>
      <c r="G149" s="254"/>
      <c r="H149" s="254"/>
      <c r="I149" s="254"/>
    </row>
    <row r="150" spans="2:9">
      <c r="B150" s="254" t="s">
        <v>397</v>
      </c>
      <c r="C150" s="254" t="s">
        <v>601</v>
      </c>
      <c r="D150" s="254" t="s">
        <v>602</v>
      </c>
      <c r="E150" s="254" t="s">
        <v>166</v>
      </c>
      <c r="F150" s="254" t="s">
        <v>400</v>
      </c>
      <c r="G150" s="254"/>
      <c r="H150" s="254"/>
      <c r="I150" s="254"/>
    </row>
    <row r="151" spans="2:9">
      <c r="B151" s="467" t="s">
        <v>397</v>
      </c>
      <c r="C151" s="467" t="s">
        <v>603</v>
      </c>
      <c r="D151" s="467" t="s">
        <v>604</v>
      </c>
      <c r="E151" s="467" t="s">
        <v>166</v>
      </c>
      <c r="F151" s="467" t="s">
        <v>400</v>
      </c>
      <c r="G151" s="467"/>
      <c r="H151" s="467"/>
      <c r="I151" s="467"/>
    </row>
    <row r="152" spans="2:9">
      <c r="B152" s="253" t="s">
        <v>357</v>
      </c>
      <c r="C152" s="254" t="s">
        <v>605</v>
      </c>
      <c r="D152" s="254" t="s">
        <v>606</v>
      </c>
      <c r="E152" s="254" t="s">
        <v>166</v>
      </c>
      <c r="F152" s="254" t="s">
        <v>335</v>
      </c>
      <c r="G152" s="254"/>
      <c r="H152" s="254"/>
      <c r="I152" s="254"/>
    </row>
    <row r="153" spans="2:9">
      <c r="B153" s="466" t="s">
        <v>342</v>
      </c>
      <c r="C153" s="254" t="s">
        <v>607</v>
      </c>
      <c r="D153" s="254" t="s">
        <v>608</v>
      </c>
      <c r="E153" s="254" t="s">
        <v>166</v>
      </c>
      <c r="F153" s="254" t="s">
        <v>335</v>
      </c>
      <c r="G153" s="254"/>
      <c r="H153" s="254"/>
      <c r="I153" s="254"/>
    </row>
    <row r="154" spans="2:9">
      <c r="B154" s="254" t="s">
        <v>362</v>
      </c>
      <c r="C154" s="254" t="s">
        <v>609</v>
      </c>
      <c r="D154" s="254" t="s">
        <v>610</v>
      </c>
      <c r="E154" s="254" t="s">
        <v>166</v>
      </c>
      <c r="F154" s="254" t="s">
        <v>335</v>
      </c>
      <c r="G154" s="254"/>
      <c r="H154" s="254"/>
      <c r="I154" s="254"/>
    </row>
    <row r="155" spans="2:9">
      <c r="B155" s="254" t="s">
        <v>362</v>
      </c>
      <c r="C155" s="254" t="s">
        <v>611</v>
      </c>
      <c r="D155" s="254" t="s">
        <v>612</v>
      </c>
      <c r="E155" s="254" t="s">
        <v>166</v>
      </c>
      <c r="F155" s="254" t="s">
        <v>335</v>
      </c>
      <c r="G155" s="254"/>
      <c r="H155" s="254"/>
      <c r="I155" s="254"/>
    </row>
    <row r="156" spans="2:9">
      <c r="B156" s="254" t="s">
        <v>362</v>
      </c>
      <c r="C156" s="254" t="s">
        <v>613</v>
      </c>
      <c r="D156" s="254" t="s">
        <v>614</v>
      </c>
      <c r="E156" s="254" t="s">
        <v>166</v>
      </c>
      <c r="F156" s="254" t="s">
        <v>335</v>
      </c>
      <c r="G156" s="254"/>
      <c r="H156" s="254"/>
      <c r="I156" s="254"/>
    </row>
    <row r="157" spans="2:9">
      <c r="B157" s="254" t="s">
        <v>362</v>
      </c>
      <c r="C157" s="254" t="s">
        <v>615</v>
      </c>
      <c r="D157" s="254" t="s">
        <v>616</v>
      </c>
      <c r="E157" s="254" t="s">
        <v>166</v>
      </c>
      <c r="F157" s="254" t="s">
        <v>335</v>
      </c>
      <c r="G157" s="254"/>
      <c r="H157" s="254"/>
      <c r="I157" s="254"/>
    </row>
    <row r="158" spans="2:9">
      <c r="B158" s="254" t="s">
        <v>362</v>
      </c>
      <c r="C158" s="254" t="s">
        <v>617</v>
      </c>
      <c r="D158" s="254" t="s">
        <v>618</v>
      </c>
      <c r="E158" s="254" t="s">
        <v>166</v>
      </c>
      <c r="F158" s="254" t="s">
        <v>335</v>
      </c>
      <c r="G158" s="254"/>
      <c r="H158" s="254"/>
      <c r="I158" s="254"/>
    </row>
    <row r="159" spans="2:9">
      <c r="B159" s="254" t="s">
        <v>362</v>
      </c>
      <c r="C159" s="254" t="s">
        <v>619</v>
      </c>
      <c r="D159" s="254" t="s">
        <v>620</v>
      </c>
      <c r="E159" s="254" t="s">
        <v>166</v>
      </c>
      <c r="F159" s="254" t="s">
        <v>335</v>
      </c>
      <c r="G159" s="254"/>
      <c r="H159" s="254"/>
      <c r="I159" s="254"/>
    </row>
    <row r="160" spans="2:9">
      <c r="B160" s="254" t="s">
        <v>362</v>
      </c>
      <c r="C160" s="254" t="s">
        <v>621</v>
      </c>
      <c r="D160" s="254" t="s">
        <v>622</v>
      </c>
      <c r="E160" s="254" t="s">
        <v>166</v>
      </c>
      <c r="F160" s="254" t="s">
        <v>335</v>
      </c>
      <c r="G160" s="254"/>
      <c r="H160" s="254"/>
      <c r="I160" s="254"/>
    </row>
    <row r="161" spans="2:9">
      <c r="B161" s="254" t="s">
        <v>362</v>
      </c>
      <c r="C161" s="254" t="s">
        <v>623</v>
      </c>
      <c r="D161" s="254" t="s">
        <v>624</v>
      </c>
      <c r="E161" s="254" t="s">
        <v>166</v>
      </c>
      <c r="F161" s="254" t="s">
        <v>335</v>
      </c>
      <c r="G161" s="254"/>
      <c r="H161" s="254"/>
      <c r="I161" s="254"/>
    </row>
    <row r="162" spans="2:9">
      <c r="B162" s="466" t="s">
        <v>342</v>
      </c>
      <c r="C162" s="254" t="s">
        <v>625</v>
      </c>
      <c r="D162" s="254" t="s">
        <v>626</v>
      </c>
      <c r="E162" s="254" t="s">
        <v>166</v>
      </c>
      <c r="F162" s="254" t="s">
        <v>335</v>
      </c>
      <c r="G162" s="254"/>
      <c r="H162" s="254"/>
      <c r="I162" s="254"/>
    </row>
    <row r="163" spans="2:9">
      <c r="B163" s="466" t="s">
        <v>342</v>
      </c>
      <c r="C163" s="254" t="s">
        <v>627</v>
      </c>
      <c r="D163" s="254" t="s">
        <v>628</v>
      </c>
      <c r="E163" s="254" t="s">
        <v>166</v>
      </c>
      <c r="F163" s="254" t="s">
        <v>335</v>
      </c>
      <c r="G163" s="254"/>
      <c r="H163" s="254"/>
      <c r="I163" s="254"/>
    </row>
    <row r="164" spans="2:9">
      <c r="B164" s="466" t="s">
        <v>342</v>
      </c>
      <c r="C164" s="254" t="s">
        <v>629</v>
      </c>
      <c r="D164" s="254" t="s">
        <v>630</v>
      </c>
      <c r="E164" s="254" t="s">
        <v>166</v>
      </c>
      <c r="F164" s="254" t="s">
        <v>335</v>
      </c>
      <c r="G164" s="254"/>
      <c r="H164" s="254"/>
      <c r="I164" s="254"/>
    </row>
    <row r="165" spans="2:9">
      <c r="B165" s="466" t="s">
        <v>342</v>
      </c>
      <c r="C165" s="254" t="s">
        <v>631</v>
      </c>
      <c r="D165" s="254" t="s">
        <v>632</v>
      </c>
      <c r="E165" s="254" t="s">
        <v>166</v>
      </c>
      <c r="F165" s="254" t="s">
        <v>335</v>
      </c>
      <c r="G165" s="254"/>
      <c r="H165" s="254"/>
      <c r="I165" s="254"/>
    </row>
    <row r="166" spans="2:9">
      <c r="B166" s="466" t="s">
        <v>342</v>
      </c>
      <c r="C166" s="254" t="s">
        <v>633</v>
      </c>
      <c r="D166" s="254" t="s">
        <v>634</v>
      </c>
      <c r="E166" s="254" t="s">
        <v>166</v>
      </c>
      <c r="F166" s="254" t="s">
        <v>335</v>
      </c>
      <c r="G166" s="254"/>
      <c r="H166" s="254"/>
      <c r="I166" s="254"/>
    </row>
    <row r="167" spans="2:9">
      <c r="B167" s="466" t="s">
        <v>342</v>
      </c>
      <c r="C167" s="254" t="s">
        <v>635</v>
      </c>
      <c r="D167" s="254" t="s">
        <v>636</v>
      </c>
      <c r="E167" s="254" t="s">
        <v>166</v>
      </c>
      <c r="F167" s="254" t="s">
        <v>335</v>
      </c>
      <c r="G167" s="254"/>
      <c r="H167" s="254"/>
      <c r="I167" s="254"/>
    </row>
    <row r="168" spans="2:9">
      <c r="B168" s="466" t="s">
        <v>342</v>
      </c>
      <c r="C168" s="254" t="s">
        <v>637</v>
      </c>
      <c r="D168" s="254" t="s">
        <v>638</v>
      </c>
      <c r="E168" s="254" t="s">
        <v>166</v>
      </c>
      <c r="F168" s="254" t="s">
        <v>335</v>
      </c>
      <c r="G168" s="254"/>
      <c r="H168" s="254"/>
      <c r="I168" s="254"/>
    </row>
    <row r="169" spans="2:9">
      <c r="B169" s="466" t="s">
        <v>342</v>
      </c>
      <c r="C169" s="254" t="s">
        <v>639</v>
      </c>
      <c r="D169" s="254" t="s">
        <v>640</v>
      </c>
      <c r="E169" s="254" t="s">
        <v>166</v>
      </c>
      <c r="F169" s="254" t="s">
        <v>335</v>
      </c>
      <c r="G169" s="254"/>
      <c r="H169" s="254"/>
      <c r="I169" s="254"/>
    </row>
    <row r="170" spans="2:9">
      <c r="B170" s="466" t="s">
        <v>342</v>
      </c>
      <c r="C170" s="254" t="s">
        <v>641</v>
      </c>
      <c r="D170" s="254" t="s">
        <v>642</v>
      </c>
      <c r="E170" s="254" t="s">
        <v>166</v>
      </c>
      <c r="F170" s="254" t="s">
        <v>335</v>
      </c>
      <c r="G170" s="254"/>
      <c r="H170" s="254"/>
      <c r="I170" s="254"/>
    </row>
    <row r="171" spans="2:9">
      <c r="B171" s="254" t="s">
        <v>397</v>
      </c>
      <c r="C171" s="254" t="s">
        <v>643</v>
      </c>
      <c r="D171" s="254" t="s">
        <v>644</v>
      </c>
      <c r="E171" s="254" t="s">
        <v>166</v>
      </c>
      <c r="F171" s="254" t="s">
        <v>400</v>
      </c>
      <c r="G171" s="254"/>
      <c r="H171" s="254"/>
      <c r="I171" s="254"/>
    </row>
    <row r="172" spans="2:9">
      <c r="B172" s="254" t="s">
        <v>397</v>
      </c>
      <c r="C172" s="254" t="s">
        <v>645</v>
      </c>
      <c r="D172" s="254" t="s">
        <v>646</v>
      </c>
      <c r="E172" s="254" t="s">
        <v>166</v>
      </c>
      <c r="F172" s="254" t="s">
        <v>400</v>
      </c>
      <c r="G172" s="254"/>
      <c r="H172" s="254"/>
      <c r="I172" s="254"/>
    </row>
    <row r="173" spans="2:9">
      <c r="B173" s="254" t="s">
        <v>397</v>
      </c>
      <c r="C173" s="254" t="s">
        <v>647</v>
      </c>
      <c r="D173" s="254" t="s">
        <v>648</v>
      </c>
      <c r="E173" s="254" t="s">
        <v>166</v>
      </c>
      <c r="F173" s="254" t="s">
        <v>400</v>
      </c>
      <c r="G173" s="254"/>
      <c r="H173" s="254"/>
      <c r="I173" s="254"/>
    </row>
    <row r="174" spans="2:9">
      <c r="B174" s="254" t="s">
        <v>397</v>
      </c>
      <c r="C174" s="254" t="s">
        <v>649</v>
      </c>
      <c r="D174" s="254" t="s">
        <v>650</v>
      </c>
      <c r="E174" s="254" t="s">
        <v>166</v>
      </c>
      <c r="F174" s="254" t="s">
        <v>400</v>
      </c>
      <c r="G174" s="254"/>
      <c r="H174" s="254"/>
      <c r="I174" s="254"/>
    </row>
    <row r="175" spans="2:9">
      <c r="B175" s="254" t="s">
        <v>397</v>
      </c>
      <c r="C175" s="254" t="s">
        <v>651</v>
      </c>
      <c r="D175" s="254" t="s">
        <v>652</v>
      </c>
      <c r="E175" s="254" t="s">
        <v>166</v>
      </c>
      <c r="F175" s="254" t="s">
        <v>400</v>
      </c>
      <c r="G175" s="254"/>
      <c r="H175" s="254"/>
      <c r="I175" s="254"/>
    </row>
    <row r="176" spans="2:9">
      <c r="B176" s="254" t="s">
        <v>397</v>
      </c>
      <c r="C176" s="254" t="s">
        <v>653</v>
      </c>
      <c r="D176" s="254" t="s">
        <v>654</v>
      </c>
      <c r="E176" s="254" t="s">
        <v>166</v>
      </c>
      <c r="F176" s="254" t="s">
        <v>400</v>
      </c>
      <c r="G176" s="254"/>
      <c r="H176" s="254"/>
      <c r="I176" s="254"/>
    </row>
    <row r="177" spans="2:9">
      <c r="B177" s="254" t="s">
        <v>397</v>
      </c>
      <c r="C177" s="254" t="s">
        <v>655</v>
      </c>
      <c r="D177" s="254" t="s">
        <v>656</v>
      </c>
      <c r="E177" s="254" t="s">
        <v>166</v>
      </c>
      <c r="F177" s="254" t="s">
        <v>400</v>
      </c>
      <c r="G177" s="254"/>
      <c r="H177" s="254"/>
      <c r="I177" s="254"/>
    </row>
    <row r="178" spans="2:9">
      <c r="B178" s="254" t="s">
        <v>397</v>
      </c>
      <c r="C178" s="254" t="s">
        <v>657</v>
      </c>
      <c r="D178" s="254" t="s">
        <v>658</v>
      </c>
      <c r="E178" s="254" t="s">
        <v>166</v>
      </c>
      <c r="F178" s="254" t="s">
        <v>400</v>
      </c>
      <c r="G178" s="254"/>
      <c r="H178" s="254"/>
      <c r="I178" s="254"/>
    </row>
    <row r="179" spans="2:9">
      <c r="B179" s="467" t="s">
        <v>397</v>
      </c>
      <c r="C179" s="467" t="s">
        <v>659</v>
      </c>
      <c r="D179" s="467" t="s">
        <v>660</v>
      </c>
      <c r="E179" s="467" t="s">
        <v>166</v>
      </c>
      <c r="F179" s="467" t="s">
        <v>400</v>
      </c>
      <c r="G179" s="467"/>
      <c r="H179" s="467"/>
      <c r="I179" s="467"/>
    </row>
    <row r="180" spans="2:9">
      <c r="B180" s="253" t="s">
        <v>357</v>
      </c>
      <c r="C180" s="254" t="s">
        <v>661</v>
      </c>
      <c r="D180" s="254" t="s">
        <v>662</v>
      </c>
      <c r="E180" s="254" t="s">
        <v>339</v>
      </c>
      <c r="F180" s="254" t="s">
        <v>340</v>
      </c>
      <c r="G180" s="254"/>
      <c r="H180" s="254"/>
      <c r="I180" s="254"/>
    </row>
    <row r="181" spans="2:9">
      <c r="B181" s="254" t="s">
        <v>362</v>
      </c>
      <c r="C181" s="254" t="s">
        <v>663</v>
      </c>
      <c r="D181" s="254" t="s">
        <v>664</v>
      </c>
      <c r="E181" s="254" t="s">
        <v>339</v>
      </c>
      <c r="F181" s="254" t="s">
        <v>340</v>
      </c>
      <c r="G181" s="254"/>
      <c r="H181" s="254"/>
      <c r="I181" s="254"/>
    </row>
    <row r="182" spans="2:9">
      <c r="B182" s="254" t="s">
        <v>362</v>
      </c>
      <c r="C182" s="254" t="s">
        <v>665</v>
      </c>
      <c r="D182" s="254" t="s">
        <v>666</v>
      </c>
      <c r="E182" s="254" t="s">
        <v>339</v>
      </c>
      <c r="F182" s="254" t="s">
        <v>340</v>
      </c>
      <c r="G182" s="254"/>
      <c r="H182" s="254"/>
      <c r="I182" s="254"/>
    </row>
    <row r="183" spans="2:9">
      <c r="B183" s="254" t="s">
        <v>362</v>
      </c>
      <c r="C183" s="254" t="s">
        <v>667</v>
      </c>
      <c r="D183" s="254" t="s">
        <v>668</v>
      </c>
      <c r="E183" s="254" t="s">
        <v>339</v>
      </c>
      <c r="F183" s="254" t="s">
        <v>340</v>
      </c>
      <c r="G183" s="254"/>
      <c r="H183" s="254"/>
      <c r="I183" s="254"/>
    </row>
    <row r="184" spans="2:9">
      <c r="B184" s="253" t="s">
        <v>357</v>
      </c>
      <c r="C184" s="254" t="s">
        <v>669</v>
      </c>
      <c r="D184" s="254" t="s">
        <v>670</v>
      </c>
      <c r="E184" s="254" t="s">
        <v>339</v>
      </c>
      <c r="F184" s="254" t="s">
        <v>340</v>
      </c>
      <c r="G184" s="254"/>
      <c r="H184" s="254"/>
      <c r="I184" s="254"/>
    </row>
    <row r="185" spans="2:9">
      <c r="B185" s="254" t="s">
        <v>362</v>
      </c>
      <c r="C185" s="254" t="s">
        <v>671</v>
      </c>
      <c r="D185" s="254" t="s">
        <v>672</v>
      </c>
      <c r="E185" s="254" t="s">
        <v>339</v>
      </c>
      <c r="F185" s="254" t="s">
        <v>340</v>
      </c>
      <c r="G185" s="254"/>
      <c r="H185" s="254" t="s">
        <v>673</v>
      </c>
      <c r="I185" s="254"/>
    </row>
    <row r="186" spans="2:9">
      <c r="B186" s="254" t="s">
        <v>362</v>
      </c>
      <c r="C186" s="254" t="s">
        <v>674</v>
      </c>
      <c r="D186" s="254" t="s">
        <v>675</v>
      </c>
      <c r="E186" s="254" t="s">
        <v>339</v>
      </c>
      <c r="F186" s="254" t="s">
        <v>340</v>
      </c>
      <c r="G186" s="254"/>
      <c r="H186" s="254"/>
      <c r="I186" s="254"/>
    </row>
    <row r="187" spans="2:9">
      <c r="B187" s="467" t="s">
        <v>362</v>
      </c>
      <c r="C187" s="467" t="s">
        <v>676</v>
      </c>
      <c r="D187" s="467" t="s">
        <v>677</v>
      </c>
      <c r="E187" s="467" t="s">
        <v>339</v>
      </c>
      <c r="F187" s="467" t="s">
        <v>340</v>
      </c>
      <c r="G187" s="467"/>
      <c r="H187" s="467"/>
      <c r="I187" s="467"/>
    </row>
    <row r="188" spans="2:9">
      <c r="B188" s="253" t="s">
        <v>336</v>
      </c>
      <c r="C188" s="254" t="s">
        <v>678</v>
      </c>
      <c r="D188" s="254" t="s">
        <v>679</v>
      </c>
      <c r="E188" s="254" t="s">
        <v>166</v>
      </c>
      <c r="F188" s="254" t="s">
        <v>335</v>
      </c>
      <c r="G188" s="254"/>
      <c r="H188" s="254"/>
      <c r="I188" s="254"/>
    </row>
    <row r="189" spans="2:9">
      <c r="B189" s="468" t="s">
        <v>357</v>
      </c>
      <c r="C189" s="467" t="s">
        <v>680</v>
      </c>
      <c r="D189" s="467" t="s">
        <v>681</v>
      </c>
      <c r="E189" s="467" t="s">
        <v>166</v>
      </c>
      <c r="F189" s="467" t="s">
        <v>335</v>
      </c>
      <c r="G189" s="467"/>
      <c r="H189" s="467"/>
      <c r="I189" s="467"/>
    </row>
    <row r="190" spans="2:9">
      <c r="B190" s="470" t="s">
        <v>682</v>
      </c>
      <c r="C190" s="470" t="s">
        <v>683</v>
      </c>
      <c r="D190" s="470" t="s">
        <v>684</v>
      </c>
      <c r="E190" s="470" t="s">
        <v>685</v>
      </c>
    </row>
    <row r="191" spans="2:9">
      <c r="B191" s="470" t="s">
        <v>682</v>
      </c>
      <c r="C191" s="470" t="s">
        <v>686</v>
      </c>
      <c r="D191" s="470" t="s">
        <v>687</v>
      </c>
      <c r="E191" s="470" t="s">
        <v>685</v>
      </c>
    </row>
    <row r="192" spans="2:9">
      <c r="B192" s="470" t="s">
        <v>682</v>
      </c>
      <c r="C192" s="470" t="s">
        <v>688</v>
      </c>
      <c r="D192" s="470" t="s">
        <v>689</v>
      </c>
      <c r="E192" s="470" t="s">
        <v>685</v>
      </c>
    </row>
    <row r="193" spans="2:5">
      <c r="B193" s="470" t="s">
        <v>682</v>
      </c>
      <c r="C193" s="470" t="s">
        <v>690</v>
      </c>
      <c r="D193" s="470" t="s">
        <v>691</v>
      </c>
      <c r="E193" s="470" t="s">
        <v>685</v>
      </c>
    </row>
    <row r="194" spans="2:5">
      <c r="B194" s="470" t="s">
        <v>682</v>
      </c>
      <c r="C194" s="470" t="s">
        <v>692</v>
      </c>
      <c r="D194" s="470" t="s">
        <v>693</v>
      </c>
      <c r="E194" s="470" t="s">
        <v>685</v>
      </c>
    </row>
    <row r="195" spans="2:5">
      <c r="B195" s="470" t="s">
        <v>682</v>
      </c>
      <c r="C195" s="470" t="s">
        <v>694</v>
      </c>
      <c r="D195" s="470" t="s">
        <v>695</v>
      </c>
      <c r="E195" s="470" t="s">
        <v>685</v>
      </c>
    </row>
    <row r="196" spans="2:5">
      <c r="B196" s="470" t="s">
        <v>682</v>
      </c>
      <c r="C196" s="470" t="s">
        <v>696</v>
      </c>
      <c r="D196" s="470" t="s">
        <v>697</v>
      </c>
      <c r="E196" s="470" t="s">
        <v>685</v>
      </c>
    </row>
    <row r="197" spans="2:5">
      <c r="B197" s="470" t="s">
        <v>682</v>
      </c>
      <c r="C197" s="470" t="s">
        <v>698</v>
      </c>
      <c r="D197" s="470" t="s">
        <v>699</v>
      </c>
      <c r="E197" s="470" t="s">
        <v>685</v>
      </c>
    </row>
    <row r="198" spans="2:5">
      <c r="B198" s="470" t="s">
        <v>682</v>
      </c>
      <c r="C198" s="470" t="s">
        <v>700</v>
      </c>
      <c r="D198" s="470" t="s">
        <v>701</v>
      </c>
      <c r="E198" s="470" t="s">
        <v>685</v>
      </c>
    </row>
    <row r="199" spans="2:5">
      <c r="B199" s="470" t="s">
        <v>682</v>
      </c>
      <c r="C199" s="470" t="s">
        <v>702</v>
      </c>
      <c r="D199" s="470" t="s">
        <v>703</v>
      </c>
      <c r="E199" s="470" t="s">
        <v>685</v>
      </c>
    </row>
    <row r="200" spans="2:5">
      <c r="B200" s="470" t="s">
        <v>682</v>
      </c>
      <c r="C200" s="470" t="s">
        <v>704</v>
      </c>
      <c r="D200" s="470" t="s">
        <v>705</v>
      </c>
      <c r="E200" s="470" t="s">
        <v>685</v>
      </c>
    </row>
    <row r="201" spans="2:5">
      <c r="B201" s="470" t="s">
        <v>682</v>
      </c>
      <c r="C201" s="470" t="s">
        <v>706</v>
      </c>
      <c r="D201" s="470" t="s">
        <v>707</v>
      </c>
      <c r="E201" s="470" t="s">
        <v>685</v>
      </c>
    </row>
    <row r="202" spans="2:5">
      <c r="B202" s="470" t="s">
        <v>682</v>
      </c>
      <c r="C202" s="470" t="s">
        <v>708</v>
      </c>
      <c r="D202" s="470" t="s">
        <v>709</v>
      </c>
      <c r="E202" s="470" t="s">
        <v>685</v>
      </c>
    </row>
    <row r="203" spans="2:5">
      <c r="B203" s="470" t="s">
        <v>682</v>
      </c>
      <c r="C203" s="470" t="s">
        <v>710</v>
      </c>
      <c r="D203" s="470" t="s">
        <v>711</v>
      </c>
      <c r="E203" s="470" t="s">
        <v>685</v>
      </c>
    </row>
    <row r="204" spans="2:5">
      <c r="B204" s="470" t="s">
        <v>682</v>
      </c>
      <c r="C204" s="470" t="s">
        <v>712</v>
      </c>
      <c r="D204" s="470" t="s">
        <v>713</v>
      </c>
      <c r="E204" s="470" t="s">
        <v>685</v>
      </c>
    </row>
    <row r="205" spans="2:5">
      <c r="B205" s="470" t="s">
        <v>682</v>
      </c>
      <c r="C205" s="470" t="s">
        <v>714</v>
      </c>
      <c r="D205" s="470" t="s">
        <v>715</v>
      </c>
      <c r="E205" s="470" t="s">
        <v>685</v>
      </c>
    </row>
  </sheetData>
  <sortState xmlns:xlrd2="http://schemas.microsoft.com/office/spreadsheetml/2017/richdata2" ref="B5:I189">
    <sortCondition ref="C5:C189"/>
  </sortState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B1:S124"/>
  <sheetViews>
    <sheetView tabSelected="1" topLeftCell="A64" zoomScale="90" zoomScaleNormal="90" workbookViewId="0">
      <selection activeCell="I109" sqref="I109"/>
    </sheetView>
  </sheetViews>
  <sheetFormatPr defaultColWidth="9.140625" defaultRowHeight="12.75"/>
  <cols>
    <col min="1" max="1" width="9.140625" style="25"/>
    <col min="2" max="2" width="19.5703125" style="25" customWidth="1"/>
    <col min="3" max="3" width="41.5703125" style="25" customWidth="1"/>
    <col min="4" max="4" width="21.5703125" style="25" customWidth="1"/>
    <col min="5" max="5" width="19.5703125" style="25" customWidth="1"/>
    <col min="6" max="6" width="15.28515625" style="25" customWidth="1"/>
    <col min="7" max="15" width="19.5703125" style="25" customWidth="1"/>
    <col min="16" max="16384" width="9.140625" style="25"/>
  </cols>
  <sheetData>
    <row r="1" spans="2:19">
      <c r="B1" s="26"/>
      <c r="C1" s="26"/>
      <c r="D1" s="26"/>
      <c r="E1" s="40"/>
      <c r="F1" s="4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2:19">
      <c r="B2" s="26"/>
      <c r="C2" s="41"/>
      <c r="D2" s="26"/>
      <c r="E2" s="35"/>
      <c r="F2" s="40"/>
      <c r="G2" s="26"/>
      <c r="H2" s="26"/>
      <c r="I2" s="26"/>
      <c r="J2" s="26"/>
      <c r="K2" s="26"/>
      <c r="L2" s="26"/>
      <c r="M2" s="26"/>
      <c r="N2" s="42">
        <v>1.2</v>
      </c>
      <c r="O2" s="26"/>
      <c r="P2" s="26"/>
      <c r="Q2" s="26"/>
      <c r="R2" s="26"/>
      <c r="S2" s="26"/>
    </row>
    <row r="3" spans="2:19" ht="18.75">
      <c r="B3" s="43" t="s">
        <v>716</v>
      </c>
      <c r="C3" s="43"/>
      <c r="D3" s="43"/>
      <c r="E3" s="40" t="s">
        <v>717</v>
      </c>
      <c r="F3" s="40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2:19" ht="15.75" thickBot="1">
      <c r="B4" s="524" t="s">
        <v>318</v>
      </c>
      <c r="C4" s="524" t="s">
        <v>327</v>
      </c>
      <c r="D4" s="524" t="s">
        <v>718</v>
      </c>
      <c r="E4" s="524" t="s">
        <v>719</v>
      </c>
      <c r="F4" s="524" t="s">
        <v>720</v>
      </c>
      <c r="G4" s="784" t="s">
        <v>1197</v>
      </c>
      <c r="H4" s="784" t="s">
        <v>1198</v>
      </c>
      <c r="I4" s="790" t="s">
        <v>1200</v>
      </c>
      <c r="J4" s="524" t="s">
        <v>722</v>
      </c>
      <c r="K4" s="524" t="s">
        <v>723</v>
      </c>
      <c r="L4" s="524" t="s">
        <v>724</v>
      </c>
      <c r="M4" s="524" t="s">
        <v>725</v>
      </c>
      <c r="N4" s="784" t="s">
        <v>1196</v>
      </c>
      <c r="O4" s="524" t="s">
        <v>726</v>
      </c>
      <c r="P4" s="524" t="s">
        <v>727</v>
      </c>
      <c r="Q4" s="470"/>
      <c r="R4" s="26"/>
      <c r="S4" s="26"/>
    </row>
    <row r="5" spans="2:19" ht="15">
      <c r="B5" s="525"/>
      <c r="C5" s="525"/>
      <c r="D5" s="525"/>
      <c r="E5" s="525" t="s">
        <v>728</v>
      </c>
      <c r="F5" s="525"/>
      <c r="G5" s="525"/>
      <c r="H5" s="525"/>
      <c r="I5" s="791" t="s">
        <v>1201</v>
      </c>
      <c r="J5" s="525" t="s">
        <v>729</v>
      </c>
      <c r="K5" s="525" t="s">
        <v>730</v>
      </c>
      <c r="L5" s="525" t="s">
        <v>730</v>
      </c>
      <c r="M5" s="525" t="s">
        <v>729</v>
      </c>
      <c r="N5" s="525" t="s">
        <v>731</v>
      </c>
      <c r="O5" s="525" t="s">
        <v>731</v>
      </c>
      <c r="P5" s="525" t="s">
        <v>732</v>
      </c>
      <c r="Q5" s="470"/>
      <c r="R5" s="26"/>
      <c r="S5" s="26"/>
    </row>
    <row r="6" spans="2:19">
      <c r="B6" s="26" t="str">
        <f>CONCATENATE(E7,"_INF")</f>
        <v>INDCOA_INF</v>
      </c>
      <c r="C6" s="62" t="s">
        <v>733</v>
      </c>
      <c r="D6" s="26" t="str">
        <f>IND_Bal!$C$32</f>
        <v>COABIT</v>
      </c>
      <c r="E6" s="26"/>
      <c r="F6" s="26">
        <v>1</v>
      </c>
      <c r="G6" s="63"/>
      <c r="H6" s="63"/>
      <c r="I6" s="63"/>
      <c r="J6" s="63"/>
      <c r="K6" s="508"/>
      <c r="L6" s="26"/>
      <c r="M6" s="26"/>
      <c r="N6" s="63">
        <f>(SUM(IND_Bal!$C$43:$C$43)*IND_Fuel!$N$2)</f>
        <v>5.2966980361108806</v>
      </c>
      <c r="O6" s="63">
        <f>N6</f>
        <v>5.2966980361108806</v>
      </c>
      <c r="P6" s="63"/>
      <c r="Q6" s="470"/>
      <c r="R6" s="26"/>
      <c r="S6" s="26"/>
    </row>
    <row r="7" spans="2:19">
      <c r="B7" s="40"/>
      <c r="C7" s="62"/>
      <c r="D7" s="26"/>
      <c r="E7" s="509" t="str">
        <f>IND_Bal!$C$44</f>
        <v>INDCOA</v>
      </c>
      <c r="F7" s="509"/>
      <c r="G7" s="63"/>
      <c r="H7" s="26"/>
      <c r="I7" s="26"/>
      <c r="J7" s="26"/>
      <c r="K7" s="26"/>
      <c r="L7" s="26"/>
      <c r="M7" s="26"/>
      <c r="N7" s="26"/>
      <c r="O7" s="26"/>
      <c r="P7" s="26"/>
      <c r="Q7" s="470"/>
      <c r="R7" s="26"/>
      <c r="S7" s="26"/>
    </row>
    <row r="8" spans="2:19">
      <c r="B8" s="26" t="str">
        <f>CONCATENATE(E9,"_INF")</f>
        <v>INDPEA_INF</v>
      </c>
      <c r="C8" s="62" t="s">
        <v>734</v>
      </c>
      <c r="D8" s="26" t="str">
        <f>IND_Bal!$E$32</f>
        <v>PEAT</v>
      </c>
      <c r="E8" s="26"/>
      <c r="F8" s="26">
        <v>1</v>
      </c>
      <c r="G8" s="63"/>
      <c r="H8" s="26"/>
      <c r="I8" s="26"/>
      <c r="J8" s="26"/>
      <c r="K8" s="508"/>
      <c r="L8" s="26"/>
      <c r="M8" s="26"/>
      <c r="N8" s="508">
        <f>(SUM(IND_Bal!$D$43:$D$43)*IND_Fuel!$N$2)</f>
        <v>4.1683632933612096E-2</v>
      </c>
      <c r="O8" s="508"/>
      <c r="P8" s="26"/>
      <c r="Q8" s="470"/>
      <c r="R8" s="26"/>
      <c r="S8" s="26"/>
    </row>
    <row r="9" spans="2:19">
      <c r="B9" s="40"/>
      <c r="C9" s="62"/>
      <c r="D9" s="26"/>
      <c r="E9" s="509" t="str">
        <f>IND_Bal!$D$44</f>
        <v>INDPEA</v>
      </c>
      <c r="F9" s="509"/>
      <c r="G9" s="63"/>
      <c r="H9" s="26"/>
      <c r="I9" s="26"/>
      <c r="J9" s="26"/>
      <c r="K9" s="26"/>
      <c r="L9" s="26"/>
      <c r="M9" s="26"/>
      <c r="N9" s="26"/>
      <c r="O9" s="26"/>
      <c r="P9" s="26"/>
      <c r="Q9" s="470"/>
      <c r="R9" s="26"/>
      <c r="S9" s="26"/>
    </row>
    <row r="10" spans="2:19">
      <c r="B10" s="26" t="str">
        <f>CONCATENATE(E11,"_INF")</f>
        <v>INDCOH_INF</v>
      </c>
      <c r="C10" s="62" t="s">
        <v>735</v>
      </c>
      <c r="D10" s="26" t="str">
        <f>IND_Bal!$F$32</f>
        <v>COAHAR</v>
      </c>
      <c r="E10" s="26"/>
      <c r="F10" s="26">
        <v>1</v>
      </c>
      <c r="G10" s="63"/>
      <c r="H10" s="26"/>
      <c r="I10" s="26"/>
      <c r="J10" s="26"/>
      <c r="K10" s="508"/>
      <c r="L10" s="26"/>
      <c r="M10" s="26"/>
      <c r="N10" s="508">
        <f>(SUM(IND_Bal!$E$43:$E$43)*IND_Fuel!$N$2)</f>
        <v>0</v>
      </c>
      <c r="O10" s="508">
        <f>N10</f>
        <v>0</v>
      </c>
      <c r="P10" s="26"/>
      <c r="Q10" s="470"/>
      <c r="R10" s="26"/>
      <c r="S10" s="26"/>
    </row>
    <row r="11" spans="2:19">
      <c r="B11" s="40"/>
      <c r="C11" s="62"/>
      <c r="D11" s="26"/>
      <c r="E11" s="509" t="str">
        <f>IND_Bal!$E$44</f>
        <v>INDCOH</v>
      </c>
      <c r="F11" s="509"/>
      <c r="G11" s="63"/>
      <c r="H11" s="26"/>
      <c r="I11" s="26"/>
      <c r="J11" s="26"/>
      <c r="K11" s="26"/>
      <c r="L11" s="26"/>
      <c r="M11" s="26"/>
      <c r="N11" s="26"/>
      <c r="O11" s="26"/>
      <c r="P11" s="26"/>
      <c r="Q11" s="470"/>
      <c r="R11" s="26"/>
      <c r="S11" s="26"/>
    </row>
    <row r="12" spans="2:19">
      <c r="B12" s="26" t="str">
        <f>CONCATENATE(E13,"_INF")</f>
        <v>INDCOK_INF</v>
      </c>
      <c r="C12" s="62" t="s">
        <v>736</v>
      </c>
      <c r="D12" s="26" t="str">
        <f>IND_Bal!$D$32</f>
        <v>COACOK</v>
      </c>
      <c r="E12" s="26"/>
      <c r="F12" s="26">
        <v>1</v>
      </c>
      <c r="G12" s="63"/>
      <c r="H12" s="26"/>
      <c r="I12" s="26"/>
      <c r="J12" s="26"/>
      <c r="K12" s="508"/>
      <c r="L12" s="26"/>
      <c r="M12" s="26"/>
      <c r="N12" s="508">
        <f>(SUM(IND_Bal!$F$43:$F$43,IND_Bal!D29)*IND_Fuel!$N$2)</f>
        <v>0</v>
      </c>
      <c r="O12" s="508">
        <f>N12</f>
        <v>0</v>
      </c>
      <c r="P12" s="26"/>
      <c r="Q12" s="470"/>
      <c r="R12" s="26"/>
      <c r="S12" s="26"/>
    </row>
    <row r="13" spans="2:19">
      <c r="B13" s="40"/>
      <c r="C13" s="62"/>
      <c r="D13" s="26"/>
      <c r="E13" s="509" t="str">
        <f>IND_Bal!$F$44</f>
        <v>INDCOK</v>
      </c>
      <c r="F13" s="509"/>
      <c r="G13" s="63"/>
      <c r="H13" s="26"/>
      <c r="I13" s="26"/>
      <c r="J13" s="26"/>
      <c r="K13" s="26"/>
      <c r="L13" s="26"/>
      <c r="M13" s="26"/>
      <c r="N13" s="26"/>
      <c r="O13" s="26"/>
      <c r="P13" s="26"/>
      <c r="Q13" s="470"/>
      <c r="R13" s="26"/>
      <c r="S13" s="26"/>
    </row>
    <row r="14" spans="2:19">
      <c r="B14" s="26" t="str">
        <f>CONCATENATE(E15,"_INF")</f>
        <v>INDRFG_INF</v>
      </c>
      <c r="C14" s="62" t="s">
        <v>737</v>
      </c>
      <c r="D14" s="26" t="str">
        <f>IND_Bal!$G$32</f>
        <v>OILRFG</v>
      </c>
      <c r="E14" s="26"/>
      <c r="F14" s="26">
        <v>1</v>
      </c>
      <c r="G14" s="63"/>
      <c r="H14" s="26"/>
      <c r="I14" s="26"/>
      <c r="J14" s="26"/>
      <c r="K14" s="508"/>
      <c r="L14" s="26"/>
      <c r="M14" s="26"/>
      <c r="N14" s="508">
        <f>(SUM(IND_Bal!$G$43:$G$43)*IND_Fuel!$N$2)</f>
        <v>0</v>
      </c>
      <c r="O14" s="508">
        <f>N14</f>
        <v>0</v>
      </c>
      <c r="P14" s="26"/>
      <c r="Q14" s="470"/>
      <c r="R14" s="26"/>
      <c r="S14" s="26"/>
    </row>
    <row r="15" spans="2:19">
      <c r="B15" s="40"/>
      <c r="C15" s="62"/>
      <c r="D15" s="26"/>
      <c r="E15" s="509" t="str">
        <f>IND_Bal!$G$44</f>
        <v>INDRFG</v>
      </c>
      <c r="F15" s="509"/>
      <c r="G15" s="63"/>
      <c r="H15" s="26"/>
      <c r="I15" s="26"/>
      <c r="J15" s="26"/>
      <c r="K15" s="26"/>
      <c r="L15" s="26"/>
      <c r="M15" s="26"/>
      <c r="N15" s="26"/>
      <c r="O15" s="26"/>
      <c r="P15" s="26"/>
      <c r="Q15" s="470"/>
      <c r="R15" s="26"/>
      <c r="S15" s="26"/>
    </row>
    <row r="16" spans="2:19">
      <c r="B16" s="26" t="str">
        <f>CONCATENATE(E17,"_INF")</f>
        <v>INDLPG_INF</v>
      </c>
      <c r="C16" s="62" t="s">
        <v>738</v>
      </c>
      <c r="D16" s="26" t="str">
        <f>IND_Bal!$H$32</f>
        <v>OILLPG</v>
      </c>
      <c r="E16" s="26"/>
      <c r="F16" s="26">
        <v>1</v>
      </c>
      <c r="G16" s="63"/>
      <c r="H16" s="26"/>
      <c r="I16" s="26"/>
      <c r="J16" s="26"/>
      <c r="K16" s="508"/>
      <c r="L16" s="26"/>
      <c r="M16" s="26"/>
      <c r="N16" s="508">
        <f>(SUM(IND_Bal!$H$43:$H$43)*IND_Fuel!$N$2)</f>
        <v>6.3520490693958278</v>
      </c>
      <c r="O16" s="508">
        <f>N16</f>
        <v>6.3520490693958278</v>
      </c>
      <c r="P16" s="26"/>
      <c r="Q16" s="470"/>
      <c r="R16" s="26"/>
      <c r="S16" s="26"/>
    </row>
    <row r="17" spans="2:19">
      <c r="B17" s="40"/>
      <c r="C17" s="62"/>
      <c r="D17" s="26"/>
      <c r="E17" s="509" t="str">
        <f>IND_Bal!$H$44</f>
        <v>INDLPG</v>
      </c>
      <c r="F17" s="509"/>
      <c r="G17" s="63"/>
      <c r="H17" s="26"/>
      <c r="I17" s="26"/>
      <c r="J17" s="26"/>
      <c r="K17" s="26"/>
      <c r="L17" s="26"/>
      <c r="M17" s="26"/>
      <c r="N17" s="26"/>
      <c r="O17" s="26"/>
      <c r="P17" s="26"/>
      <c r="Q17" s="470"/>
      <c r="R17" s="26"/>
      <c r="S17" s="26"/>
    </row>
    <row r="18" spans="2:19">
      <c r="B18" s="26" t="str">
        <f>CONCATENATE(E21,"_INF")</f>
        <v>INDLFO_INF</v>
      </c>
      <c r="C18" s="62" t="s">
        <v>739</v>
      </c>
      <c r="D18" s="26" t="str">
        <f>IND_Bal!$I$32</f>
        <v>OILGSL</v>
      </c>
      <c r="E18" s="26"/>
      <c r="F18" s="26">
        <v>1</v>
      </c>
      <c r="G18" s="63">
        <f>IF(SUM(IND_Bal!$I$43)=0,0,SUM(IND_Bal!$I$24)/SUM(IND_Bal!$I$43))</f>
        <v>0</v>
      </c>
      <c r="H18" s="63">
        <f>G18</f>
        <v>0</v>
      </c>
      <c r="I18" s="508">
        <v>5</v>
      </c>
      <c r="J18" s="63"/>
      <c r="K18" s="508"/>
      <c r="L18" s="26"/>
      <c r="M18" s="26"/>
      <c r="N18" s="508">
        <f>(SUM(IND_Bal!$I$43:$I$43)*IND_Fuel!$N$2)</f>
        <v>10.961639320735145</v>
      </c>
      <c r="O18" s="508">
        <f>N18</f>
        <v>10.961639320735145</v>
      </c>
      <c r="P18" s="63"/>
      <c r="Q18" s="470"/>
      <c r="R18" s="26"/>
      <c r="S18" s="26"/>
    </row>
    <row r="19" spans="2:19">
      <c r="B19" s="26"/>
      <c r="C19" s="26"/>
      <c r="D19" s="26" t="str">
        <f>IND_Bal!$J$32</f>
        <v>OILKER</v>
      </c>
      <c r="E19" s="26"/>
      <c r="F19" s="26"/>
      <c r="G19" s="63">
        <f>IF(SUM(IND_Bal!$I$43)=0,0,SUM(IND_Bal!$J$24)/SUM(IND_Bal!$I$43))</f>
        <v>0.43388040042514575</v>
      </c>
      <c r="H19" s="63">
        <f>G19</f>
        <v>0.43388040042514575</v>
      </c>
      <c r="I19" s="508">
        <v>5</v>
      </c>
      <c r="J19" s="63"/>
      <c r="K19" s="26"/>
      <c r="L19" s="26"/>
      <c r="M19" s="26"/>
      <c r="N19" s="26"/>
      <c r="O19" s="26"/>
      <c r="P19" s="63"/>
      <c r="Q19" s="470"/>
      <c r="R19" s="26"/>
      <c r="S19" s="26"/>
    </row>
    <row r="20" spans="2:19">
      <c r="B20" s="26"/>
      <c r="C20" s="26"/>
      <c r="D20" s="26" t="str">
        <f>IND_Bal!$L$32</f>
        <v>OILDST</v>
      </c>
      <c r="E20" s="26"/>
      <c r="F20" s="26"/>
      <c r="G20" s="63">
        <f>1-G19-G18</f>
        <v>0.56611959957485425</v>
      </c>
      <c r="H20" s="63"/>
      <c r="I20" s="508"/>
      <c r="J20" s="63"/>
      <c r="K20" s="26"/>
      <c r="L20" s="26"/>
      <c r="M20" s="26"/>
      <c r="N20" s="26"/>
      <c r="O20" s="26"/>
      <c r="P20" s="63"/>
      <c r="Q20" s="470"/>
      <c r="R20" s="26"/>
      <c r="S20" s="26"/>
    </row>
    <row r="21" spans="2:19">
      <c r="B21" s="40"/>
      <c r="C21" s="62"/>
      <c r="D21" s="26"/>
      <c r="E21" s="509" t="str">
        <f>IND_Bal!$I$44</f>
        <v>INDLFO</v>
      </c>
      <c r="F21" s="509"/>
      <c r="G21" s="63"/>
      <c r="H21" s="26"/>
      <c r="I21" s="508"/>
      <c r="J21" s="26"/>
      <c r="K21" s="26"/>
      <c r="L21" s="26"/>
      <c r="M21" s="26"/>
      <c r="N21" s="26"/>
      <c r="O21" s="26"/>
      <c r="P21" s="26"/>
      <c r="Q21" s="470"/>
      <c r="R21" s="26"/>
      <c r="S21" s="26"/>
    </row>
    <row r="22" spans="2:19">
      <c r="B22" s="26" t="str">
        <f>CONCATENATE(E23,"_INF")</f>
        <v>INDNAP_INF</v>
      </c>
      <c r="C22" s="62" t="s">
        <v>740</v>
      </c>
      <c r="D22" s="26" t="str">
        <f>IND_Bal!$K$32</f>
        <v>OILNAP</v>
      </c>
      <c r="E22" s="26"/>
      <c r="F22" s="26">
        <v>1</v>
      </c>
      <c r="G22" s="63"/>
      <c r="H22" s="26"/>
      <c r="I22" s="508"/>
      <c r="J22" s="26"/>
      <c r="K22" s="508"/>
      <c r="L22" s="26"/>
      <c r="M22" s="26"/>
      <c r="N22" s="508">
        <f>(SUM(IND_Bal!$J$43:$J$43)*IND_Fuel!$N$2)</f>
        <v>0</v>
      </c>
      <c r="O22" s="508">
        <f>N22</f>
        <v>0</v>
      </c>
      <c r="P22" s="26"/>
      <c r="Q22" s="470"/>
      <c r="R22" s="26"/>
      <c r="S22" s="26"/>
    </row>
    <row r="23" spans="2:19">
      <c r="B23" s="40"/>
      <c r="C23" s="62"/>
      <c r="D23" s="26"/>
      <c r="E23" s="509" t="str">
        <f>IND_Bal!$J$44</f>
        <v>INDNAP</v>
      </c>
      <c r="F23" s="509"/>
      <c r="G23" s="63"/>
      <c r="H23" s="26"/>
      <c r="I23" s="508"/>
      <c r="J23" s="26"/>
      <c r="K23" s="26"/>
      <c r="L23" s="26"/>
      <c r="M23" s="26"/>
      <c r="N23" s="26"/>
      <c r="O23" s="26"/>
      <c r="P23" s="26"/>
      <c r="Q23" s="470"/>
      <c r="R23" s="26"/>
      <c r="S23" s="26"/>
    </row>
    <row r="24" spans="2:19">
      <c r="B24" s="26" t="str">
        <f>CONCATENATE(E26,"_INF")</f>
        <v>INDHFO_INF</v>
      </c>
      <c r="C24" s="62" t="s">
        <v>741</v>
      </c>
      <c r="D24" s="26" t="str">
        <f>IND_Bal!$M$32</f>
        <v>OILHFO</v>
      </c>
      <c r="E24" s="26"/>
      <c r="F24" s="26">
        <v>1</v>
      </c>
      <c r="G24" s="63"/>
      <c r="H24" s="26"/>
      <c r="I24" s="508"/>
      <c r="J24" s="26"/>
      <c r="K24" s="508"/>
      <c r="L24" s="26"/>
      <c r="M24" s="26"/>
      <c r="N24" s="63">
        <f>(SUM(IND_Bal!$K$43:$K$43)*IND_Fuel!$N$2)</f>
        <v>8.5576269632781976</v>
      </c>
      <c r="O24" s="63">
        <f>N24</f>
        <v>8.5576269632781976</v>
      </c>
      <c r="P24" s="26"/>
      <c r="Q24" s="470"/>
      <c r="R24" s="26"/>
      <c r="S24" s="26"/>
    </row>
    <row r="25" spans="2:19">
      <c r="B25" s="26"/>
      <c r="C25" s="26"/>
      <c r="D25" s="26" t="str">
        <f>IND_Bal!$O$32</f>
        <v>OILCOK</v>
      </c>
      <c r="E25" s="26"/>
      <c r="F25" s="26"/>
      <c r="G25" s="63">
        <f>IF(SUM(IND_Bal!$K$43)=0,0,SUM(IND_Bal!$O$24)/SUM(IND_Bal!$K$43))</f>
        <v>0.82844365363491335</v>
      </c>
      <c r="H25" s="26"/>
      <c r="I25" s="508"/>
      <c r="J25" s="26"/>
      <c r="K25" s="26"/>
      <c r="L25" s="26"/>
      <c r="M25" s="26"/>
      <c r="N25" s="26"/>
      <c r="O25" s="26"/>
      <c r="P25" s="26"/>
      <c r="Q25" s="470"/>
      <c r="R25" s="26"/>
      <c r="S25" s="26"/>
    </row>
    <row r="26" spans="2:19">
      <c r="B26" s="40"/>
      <c r="C26" s="62"/>
      <c r="D26" s="26"/>
      <c r="E26" s="509" t="str">
        <f>IND_Bal!$K$44</f>
        <v>INDHFO</v>
      </c>
      <c r="F26" s="509"/>
      <c r="G26" s="63"/>
      <c r="H26" s="26"/>
      <c r="I26" s="508"/>
      <c r="J26" s="26"/>
      <c r="K26" s="26"/>
      <c r="L26" s="26"/>
      <c r="M26" s="26"/>
      <c r="N26" s="26"/>
      <c r="O26" s="26"/>
      <c r="P26" s="26"/>
      <c r="Q26" s="470"/>
      <c r="R26" s="26"/>
      <c r="S26" s="26"/>
    </row>
    <row r="27" spans="2:19">
      <c r="B27" s="26" t="str">
        <f>CONCATENATE(E28,"_INF")</f>
        <v>INDNEU_INF</v>
      </c>
      <c r="C27" s="62" t="s">
        <v>742</v>
      </c>
      <c r="D27" s="26" t="str">
        <f>IND_Bal!$N$32</f>
        <v>OILNEU</v>
      </c>
      <c r="E27" s="26"/>
      <c r="F27" s="26">
        <v>1</v>
      </c>
      <c r="G27" s="63"/>
      <c r="H27" s="26"/>
      <c r="I27" s="508"/>
      <c r="J27" s="26"/>
      <c r="K27" s="508"/>
      <c r="L27" s="26"/>
      <c r="M27" s="26"/>
      <c r="N27" s="508">
        <f>(SUM(IND_Bal!$L$43:$L$43)*IND_Fuel!$N$2)</f>
        <v>0</v>
      </c>
      <c r="O27" s="508">
        <f>N27</f>
        <v>0</v>
      </c>
      <c r="P27" s="26"/>
      <c r="Q27" s="470"/>
      <c r="R27" s="26"/>
      <c r="S27" s="26"/>
    </row>
    <row r="28" spans="2:19">
      <c r="B28" s="40"/>
      <c r="C28" s="62"/>
      <c r="D28" s="26"/>
      <c r="E28" s="509" t="str">
        <f>IND_Bal!$L$44</f>
        <v>INDNEU</v>
      </c>
      <c r="F28" s="509"/>
      <c r="G28" s="63"/>
      <c r="H28" s="26"/>
      <c r="I28" s="508"/>
      <c r="J28" s="26"/>
      <c r="K28" s="26"/>
      <c r="L28" s="26"/>
      <c r="M28" s="26"/>
      <c r="N28" s="26"/>
      <c r="O28" s="26"/>
      <c r="P28" s="26"/>
      <c r="Q28" s="470"/>
      <c r="R28" s="26"/>
      <c r="S28" s="26"/>
    </row>
    <row r="29" spans="2:19">
      <c r="B29" s="26" t="str">
        <f>CONCATENATE(E30,"_INF")</f>
        <v>INDGAS_INF</v>
      </c>
      <c r="C29" s="62" t="s">
        <v>743</v>
      </c>
      <c r="D29" s="26" t="str">
        <f>IND_Bal!$P$32</f>
        <v>GASNAT</v>
      </c>
      <c r="E29" s="26"/>
      <c r="F29" s="26">
        <v>1</v>
      </c>
      <c r="G29" s="510"/>
      <c r="H29" s="63">
        <v>1</v>
      </c>
      <c r="I29" s="508">
        <v>5</v>
      </c>
      <c r="J29" s="63"/>
      <c r="K29" s="508"/>
      <c r="L29" s="26"/>
      <c r="M29" s="26"/>
      <c r="N29" s="508">
        <f>(SUM(IND_Bal!$M$43:$M$43)*IND_Fuel!$N$2)</f>
        <v>25.962988952892971</v>
      </c>
      <c r="O29" s="508">
        <f>N29</f>
        <v>25.962988952892971</v>
      </c>
      <c r="P29" s="63"/>
      <c r="Q29" s="470"/>
      <c r="R29" s="26"/>
      <c r="S29" s="26"/>
    </row>
    <row r="30" spans="2:19">
      <c r="B30" s="40"/>
      <c r="C30" s="62"/>
      <c r="D30" s="26"/>
      <c r="E30" s="509" t="str">
        <f>IND_Bal!$M$44</f>
        <v>INDGAS</v>
      </c>
      <c r="F30" s="509"/>
      <c r="G30" s="63"/>
      <c r="H30" s="26"/>
      <c r="I30" s="508"/>
      <c r="J30" s="26"/>
      <c r="K30" s="26"/>
      <c r="L30" s="26"/>
      <c r="M30" s="26"/>
      <c r="N30" s="26"/>
      <c r="O30" s="26"/>
      <c r="P30" s="26"/>
      <c r="Q30" s="470"/>
      <c r="R30" s="26"/>
      <c r="S30" s="26"/>
    </row>
    <row r="31" spans="2:19">
      <c r="B31" s="26" t="s">
        <v>744</v>
      </c>
      <c r="C31" s="62" t="s">
        <v>745</v>
      </c>
      <c r="D31" s="26" t="str">
        <f>IND_Bal!$Q$32</f>
        <v>GASCOG</v>
      </c>
      <c r="E31" s="26"/>
      <c r="F31" s="26">
        <v>1</v>
      </c>
      <c r="G31" s="63"/>
      <c r="H31" s="63"/>
      <c r="I31" s="508"/>
      <c r="J31" s="63"/>
      <c r="K31" s="508"/>
      <c r="L31" s="26"/>
      <c r="M31" s="26"/>
      <c r="N31" s="508">
        <f>(SUM(IND_Bal!$N$43:$N$43)*IND_Fuel!$N$2)</f>
        <v>0</v>
      </c>
      <c r="O31" s="508">
        <f>N31</f>
        <v>0</v>
      </c>
      <c r="P31" s="63"/>
      <c r="Q31" s="470"/>
      <c r="R31" s="26"/>
      <c r="S31" s="26"/>
    </row>
    <row r="32" spans="2:19">
      <c r="B32" s="511" t="s">
        <v>333</v>
      </c>
      <c r="C32" s="62"/>
      <c r="D32" s="26"/>
      <c r="E32" s="509" t="str">
        <f>IND_Bal!$N$44</f>
        <v>INDCOG</v>
      </c>
      <c r="F32" s="509"/>
      <c r="G32" s="63"/>
      <c r="H32" s="26"/>
      <c r="I32" s="508"/>
      <c r="J32" s="26"/>
      <c r="K32" s="26"/>
      <c r="L32" s="26"/>
      <c r="M32" s="26"/>
      <c r="N32" s="26"/>
      <c r="O32" s="26"/>
      <c r="P32" s="26"/>
      <c r="Q32" s="470"/>
      <c r="R32" s="26"/>
      <c r="S32" s="26"/>
    </row>
    <row r="33" spans="2:19">
      <c r="B33" s="26" t="s">
        <v>746</v>
      </c>
      <c r="C33" s="62" t="s">
        <v>747</v>
      </c>
      <c r="D33" s="26" t="str">
        <f>IND_Bal!$R$32</f>
        <v>GASBFG</v>
      </c>
      <c r="E33" s="26"/>
      <c r="F33" s="26">
        <v>1</v>
      </c>
      <c r="G33" s="63"/>
      <c r="H33" s="63"/>
      <c r="I33" s="508"/>
      <c r="J33" s="63"/>
      <c r="K33" s="508"/>
      <c r="L33" s="26"/>
      <c r="M33" s="26"/>
      <c r="N33" s="508">
        <f>(SUM(IND_Bal!$R$24)*IND_Fuel!$N$2)</f>
        <v>0</v>
      </c>
      <c r="O33" s="508">
        <f>N33</f>
        <v>0</v>
      </c>
      <c r="P33" s="63"/>
      <c r="Q33" s="470"/>
      <c r="R33" s="26"/>
      <c r="S33" s="26"/>
    </row>
    <row r="34" spans="2:19">
      <c r="B34" s="40" t="s">
        <v>333</v>
      </c>
      <c r="C34" s="62"/>
      <c r="D34" s="26"/>
      <c r="E34" s="509" t="str">
        <f>IND_Bal!$O$44</f>
        <v>INDBFG</v>
      </c>
      <c r="F34" s="509"/>
      <c r="G34" s="63"/>
      <c r="H34" s="26"/>
      <c r="I34" s="508"/>
      <c r="J34" s="26"/>
      <c r="K34" s="26"/>
      <c r="L34" s="26"/>
      <c r="M34" s="26"/>
      <c r="N34" s="26"/>
      <c r="O34" s="26"/>
      <c r="P34" s="26"/>
      <c r="Q34" s="470"/>
      <c r="R34" s="26"/>
      <c r="S34" s="26"/>
    </row>
    <row r="35" spans="2:19">
      <c r="B35" s="26" t="str">
        <f>CONCATENATE(E36,"_INF")</f>
        <v>INDSOL_INF</v>
      </c>
      <c r="C35" s="62" t="s">
        <v>748</v>
      </c>
      <c r="D35" s="26" t="str">
        <f>IND_Bal!$T$32</f>
        <v>RENSOL</v>
      </c>
      <c r="E35" s="26"/>
      <c r="F35" s="26">
        <v>1</v>
      </c>
      <c r="G35" s="63"/>
      <c r="H35" s="63"/>
      <c r="I35" s="508"/>
      <c r="J35" s="63"/>
      <c r="K35" s="508"/>
      <c r="L35" s="26"/>
      <c r="M35" s="26"/>
      <c r="N35" s="508">
        <f>(SUM(IND_Bal!$P$43:$P$43)*IND_Fuel!$N$2)</f>
        <v>0</v>
      </c>
      <c r="O35" s="508">
        <f>N35</f>
        <v>0</v>
      </c>
      <c r="P35" s="63"/>
      <c r="Q35" s="470"/>
      <c r="R35" s="26"/>
      <c r="S35" s="26"/>
    </row>
    <row r="36" spans="2:19">
      <c r="B36" s="40"/>
      <c r="C36" s="62"/>
      <c r="D36" s="26"/>
      <c r="E36" s="509" t="str">
        <f>IND_Bal!$P$44</f>
        <v>INDSOL</v>
      </c>
      <c r="F36" s="509"/>
      <c r="G36" s="63"/>
      <c r="H36" s="26"/>
      <c r="I36" s="508"/>
      <c r="J36" s="26"/>
      <c r="K36" s="26"/>
      <c r="L36" s="26"/>
      <c r="M36" s="26"/>
      <c r="N36" s="26"/>
      <c r="O36" s="26"/>
      <c r="P36" s="26"/>
      <c r="Q36" s="470"/>
      <c r="R36" s="26"/>
      <c r="S36" s="26"/>
    </row>
    <row r="37" spans="2:19">
      <c r="B37" s="26" t="str">
        <f>CONCATENATE(E38,"_INF")</f>
        <v>INDGEO_INF</v>
      </c>
      <c r="C37" s="62" t="s">
        <v>749</v>
      </c>
      <c r="D37" s="26" t="str">
        <f>IND_Bal!$X$32</f>
        <v>RENGEO</v>
      </c>
      <c r="E37" s="26"/>
      <c r="F37" s="26">
        <v>1</v>
      </c>
      <c r="G37" s="63"/>
      <c r="H37" s="63"/>
      <c r="I37" s="508"/>
      <c r="J37" s="63"/>
      <c r="K37" s="508"/>
      <c r="L37" s="26"/>
      <c r="M37" s="26"/>
      <c r="N37" s="508">
        <f>(SUM(IND_Bal!$Q$43:$Q$43)*IND_Fuel!$N$2)</f>
        <v>0</v>
      </c>
      <c r="O37" s="508">
        <f>N37</f>
        <v>0</v>
      </c>
      <c r="P37" s="63"/>
      <c r="Q37" s="470"/>
      <c r="R37" s="26"/>
      <c r="S37" s="26"/>
    </row>
    <row r="38" spans="2:19">
      <c r="B38" s="40"/>
      <c r="C38" s="62"/>
      <c r="D38" s="26"/>
      <c r="E38" s="509" t="str">
        <f>IND_Bal!$Q$44</f>
        <v>INDGEO</v>
      </c>
      <c r="F38" s="509"/>
      <c r="G38" s="63"/>
      <c r="H38" s="26"/>
      <c r="I38" s="508"/>
      <c r="J38" s="26"/>
      <c r="K38" s="26"/>
      <c r="L38" s="26"/>
      <c r="M38" s="26"/>
      <c r="N38" s="26"/>
      <c r="O38" s="26"/>
      <c r="P38" s="26"/>
      <c r="Q38" s="470"/>
      <c r="R38" s="26"/>
      <c r="S38" s="26"/>
    </row>
    <row r="39" spans="2:19">
      <c r="B39" s="26" t="str">
        <f>CONCATENATE(E41,"_INF")</f>
        <v>INDBIO_INF</v>
      </c>
      <c r="C39" s="62" t="s">
        <v>750</v>
      </c>
      <c r="D39" s="26" t="str">
        <f>IND_Bal!$U$32</f>
        <v>BIOWOO, BIOWCH, BIOWPE</v>
      </c>
      <c r="E39" s="26"/>
      <c r="F39" s="26">
        <v>1</v>
      </c>
      <c r="G39" s="510"/>
      <c r="H39" s="63">
        <v>1</v>
      </c>
      <c r="I39" s="508">
        <v>5</v>
      </c>
      <c r="J39" s="63"/>
      <c r="K39" s="508"/>
      <c r="L39" s="26"/>
      <c r="M39" s="26"/>
      <c r="N39" s="508">
        <f>(SUM(IND_Bal!$R$43:$R$43)*IND_Fuel!$N$2)</f>
        <v>9.9655928669829201</v>
      </c>
      <c r="O39" s="508">
        <f>N39</f>
        <v>9.9655928669829201</v>
      </c>
      <c r="P39" s="63"/>
      <c r="Q39" s="470"/>
      <c r="R39" s="26"/>
      <c r="S39" s="26"/>
    </row>
    <row r="40" spans="2:19">
      <c r="B40" s="26"/>
      <c r="C40" s="26"/>
      <c r="D40" s="26" t="str">
        <f>IND_Bal!$V$32</f>
        <v>BIOGAS1G, BIOGAS2G</v>
      </c>
      <c r="E40" s="26"/>
      <c r="F40" s="26"/>
      <c r="G40" s="63">
        <f>IF(SUM(IND_Bal!$R$43)=0,0,SUM(IND_Bal!$V$24)/SUM(IND_Bal!$R$43))</f>
        <v>1.127031652065218E-2</v>
      </c>
      <c r="H40" s="63">
        <f>G40</f>
        <v>1.127031652065218E-2</v>
      </c>
      <c r="I40" s="508">
        <v>5</v>
      </c>
      <c r="J40" s="63"/>
      <c r="K40" s="508"/>
      <c r="L40" s="26"/>
      <c r="M40" s="26"/>
      <c r="N40" s="508"/>
      <c r="O40" s="508"/>
      <c r="P40" s="63"/>
      <c r="Q40" s="470"/>
      <c r="R40" s="26"/>
      <c r="S40" s="26"/>
    </row>
    <row r="41" spans="2:19">
      <c r="B41" s="40"/>
      <c r="C41" s="62"/>
      <c r="D41" s="26"/>
      <c r="E41" s="509" t="str">
        <f>IND_Bal!$R$44</f>
        <v>INDBIO</v>
      </c>
      <c r="F41" s="509"/>
      <c r="G41" s="63"/>
      <c r="H41" s="26"/>
      <c r="I41" s="26"/>
      <c r="J41" s="26"/>
      <c r="K41" s="26"/>
      <c r="L41" s="26"/>
      <c r="M41" s="26"/>
      <c r="N41" s="26"/>
      <c r="O41" s="26"/>
      <c r="P41" s="26"/>
      <c r="Q41" s="470"/>
      <c r="R41" s="26"/>
      <c r="S41" s="26"/>
    </row>
    <row r="42" spans="2:19">
      <c r="B42" s="26" t="str">
        <f>CONCATENATE(E43,"_INF")</f>
        <v>INDWASS_INF</v>
      </c>
      <c r="C42" s="62" t="s">
        <v>751</v>
      </c>
      <c r="D42" s="26" t="s">
        <v>752</v>
      </c>
      <c r="E42" s="26"/>
      <c r="F42" s="26">
        <v>1</v>
      </c>
      <c r="G42" s="63"/>
      <c r="H42" s="63"/>
      <c r="I42" s="63"/>
      <c r="J42" s="63"/>
      <c r="K42" s="508"/>
      <c r="L42" s="26"/>
      <c r="M42" s="26"/>
      <c r="N42" s="508">
        <f>(SUM(IND_Bal!$S$43:$S$43)*IND_Fuel!$N$2)</f>
        <v>0</v>
      </c>
      <c r="O42" s="508">
        <f>N42</f>
        <v>0</v>
      </c>
      <c r="P42" s="63"/>
      <c r="Q42" s="470"/>
      <c r="R42" s="26"/>
      <c r="S42" s="26"/>
    </row>
    <row r="43" spans="2:19">
      <c r="B43" s="40"/>
      <c r="C43" s="62"/>
      <c r="D43" s="26"/>
      <c r="E43" s="509" t="str">
        <f>IND_Bal!$S$44</f>
        <v>INDWASS</v>
      </c>
      <c r="F43" s="509"/>
      <c r="G43" s="63"/>
      <c r="H43" s="26"/>
      <c r="I43" s="26"/>
      <c r="J43" s="26"/>
      <c r="K43" s="26"/>
      <c r="L43" s="26"/>
      <c r="M43" s="26"/>
      <c r="N43" s="26"/>
      <c r="O43" s="26"/>
      <c r="P43" s="26"/>
      <c r="Q43" s="470"/>
      <c r="R43" s="26"/>
      <c r="S43" s="26"/>
    </row>
    <row r="44" spans="2:19">
      <c r="B44" s="26" t="str">
        <f>CONCATENATE(E45,"_INF")</f>
        <v>INDWASL_INF</v>
      </c>
      <c r="C44" s="62" t="s">
        <v>753</v>
      </c>
      <c r="D44" s="26" t="s">
        <v>227</v>
      </c>
      <c r="E44" s="26"/>
      <c r="F44" s="26">
        <v>1</v>
      </c>
      <c r="G44" s="63"/>
      <c r="H44" s="63"/>
      <c r="I44" s="63"/>
      <c r="J44" s="63"/>
      <c r="K44" s="508"/>
      <c r="L44" s="26"/>
      <c r="M44" s="26"/>
      <c r="N44" s="508">
        <f>(SUM(IND_Bal!$T$43:$T$43)*IND_Fuel!$N$2)</f>
        <v>2.7493680424572662</v>
      </c>
      <c r="O44" s="508">
        <f>N44</f>
        <v>2.7493680424572662</v>
      </c>
      <c r="P44" s="63"/>
      <c r="Q44" s="470"/>
      <c r="R44" s="26"/>
      <c r="S44" s="26"/>
    </row>
    <row r="45" spans="2:19">
      <c r="B45" s="40"/>
      <c r="C45" s="62"/>
      <c r="D45" s="26"/>
      <c r="E45" s="509" t="str">
        <f>IND_Bal!$T$44</f>
        <v>INDWASL</v>
      </c>
      <c r="F45" s="509"/>
      <c r="G45" s="63"/>
      <c r="H45" s="26"/>
      <c r="I45" s="26"/>
      <c r="J45" s="26"/>
      <c r="K45" s="26"/>
      <c r="L45" s="26"/>
      <c r="M45" s="26"/>
      <c r="N45" s="26"/>
      <c r="O45" s="26"/>
      <c r="P45" s="26"/>
      <c r="Q45" s="470"/>
      <c r="R45" s="26"/>
      <c r="S45" s="26"/>
    </row>
    <row r="46" spans="2:19">
      <c r="B46" s="26" t="s">
        <v>754</v>
      </c>
      <c r="C46" s="512" t="s">
        <v>755</v>
      </c>
      <c r="D46" s="26" t="s">
        <v>756</v>
      </c>
      <c r="E46" s="26"/>
      <c r="F46" s="26">
        <v>1</v>
      </c>
      <c r="G46" s="63"/>
      <c r="H46" s="63"/>
      <c r="I46" s="63"/>
      <c r="J46" s="63"/>
      <c r="K46" s="508"/>
      <c r="L46" s="26"/>
      <c r="M46" s="26"/>
      <c r="N46" s="508"/>
      <c r="O46" s="508"/>
      <c r="P46" s="63"/>
      <c r="Q46" s="470"/>
      <c r="R46" s="26"/>
      <c r="S46" s="26"/>
    </row>
    <row r="47" spans="2:19">
      <c r="B47" s="40" t="s">
        <v>333</v>
      </c>
      <c r="C47" s="62"/>
      <c r="D47" s="26"/>
      <c r="E47" s="509" t="str">
        <f>IND_Commodities!C23</f>
        <v>INDHYD</v>
      </c>
      <c r="F47" s="509"/>
      <c r="G47" s="63"/>
      <c r="H47" s="26"/>
      <c r="I47" s="26"/>
      <c r="J47" s="26"/>
      <c r="K47" s="26"/>
      <c r="L47" s="26"/>
      <c r="M47" s="26"/>
      <c r="N47" s="26"/>
      <c r="O47" s="26"/>
      <c r="P47" s="26"/>
      <c r="Q47" s="470"/>
      <c r="R47" s="26"/>
      <c r="S47" s="26"/>
    </row>
    <row r="48" spans="2:19">
      <c r="B48" s="26" t="s">
        <v>757</v>
      </c>
      <c r="C48" s="512" t="s">
        <v>758</v>
      </c>
      <c r="D48" s="26" t="s">
        <v>759</v>
      </c>
      <c r="E48" s="26"/>
      <c r="F48" s="26">
        <v>1</v>
      </c>
      <c r="G48" s="63"/>
      <c r="H48" s="63"/>
      <c r="I48" s="63"/>
      <c r="J48" s="63"/>
      <c r="K48" s="508"/>
      <c r="L48" s="26"/>
      <c r="M48" s="26"/>
      <c r="N48" s="508"/>
      <c r="O48" s="508"/>
      <c r="P48" s="63"/>
      <c r="Q48" s="470"/>
      <c r="R48" s="26"/>
      <c r="S48" s="26"/>
    </row>
    <row r="49" spans="2:19">
      <c r="B49" s="40" t="s">
        <v>333</v>
      </c>
      <c r="C49" s="62"/>
      <c r="D49" s="26"/>
      <c r="E49" s="509" t="str">
        <f>IND_Commodities!C24</f>
        <v>INDWIN</v>
      </c>
      <c r="F49" s="509"/>
      <c r="G49" s="63"/>
      <c r="H49" s="26"/>
      <c r="I49" s="26"/>
      <c r="J49" s="26"/>
      <c r="K49" s="26"/>
      <c r="L49" s="26"/>
      <c r="M49" s="26"/>
      <c r="N49" s="26"/>
      <c r="O49" s="26"/>
      <c r="P49" s="26"/>
      <c r="Q49" s="470"/>
      <c r="R49" s="26"/>
      <c r="S49" s="26"/>
    </row>
    <row r="50" spans="2:19" ht="34.15" customHeight="1">
      <c r="B50" s="26"/>
      <c r="C50" s="62"/>
      <c r="D50" s="62"/>
      <c r="E50" s="26"/>
      <c r="F50" s="26"/>
      <c r="G50" s="63"/>
      <c r="H50" s="63"/>
      <c r="I50" s="63"/>
      <c r="J50" s="470"/>
      <c r="K50" s="64"/>
      <c r="L50" s="65"/>
      <c r="M50" s="26"/>
      <c r="N50" s="26"/>
      <c r="O50" s="26"/>
      <c r="P50" s="26"/>
      <c r="Q50" s="26"/>
      <c r="R50" s="26"/>
    </row>
    <row r="51" spans="2:19" ht="34.15" customHeight="1">
      <c r="B51" s="26"/>
      <c r="C51" s="62"/>
      <c r="D51" s="62"/>
      <c r="E51" s="40"/>
      <c r="F51" s="40"/>
      <c r="G51" s="63"/>
      <c r="H51" s="63"/>
      <c r="I51" s="64"/>
      <c r="J51" s="65"/>
      <c r="K51" s="26"/>
      <c r="L51" s="26"/>
      <c r="M51" s="26"/>
      <c r="N51" s="26"/>
      <c r="O51" s="26"/>
      <c r="P51" s="26"/>
      <c r="Q51" s="470"/>
      <c r="R51" s="470"/>
    </row>
    <row r="52" spans="2:19" ht="34.15" customHeight="1">
      <c r="B52" s="26"/>
      <c r="C52" s="62"/>
      <c r="D52" s="62"/>
      <c r="E52" s="35"/>
      <c r="F52" s="40"/>
      <c r="G52" s="63"/>
      <c r="H52" s="63"/>
      <c r="I52" s="64"/>
      <c r="J52" s="65"/>
      <c r="K52" s="26"/>
      <c r="L52" s="26"/>
      <c r="M52" s="26"/>
      <c r="N52" s="26"/>
      <c r="O52" s="26"/>
      <c r="P52" s="26"/>
      <c r="Q52" s="470"/>
      <c r="R52" s="470"/>
    </row>
    <row r="53" spans="2:19" ht="34.15" customHeight="1">
      <c r="B53" s="43" t="s">
        <v>760</v>
      </c>
      <c r="C53" s="43"/>
      <c r="D53" s="43"/>
      <c r="E53" s="40" t="s">
        <v>761</v>
      </c>
      <c r="F53" s="40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470"/>
      <c r="R53" s="470"/>
    </row>
    <row r="54" spans="2:19" ht="34.15" customHeight="1">
      <c r="B54" s="44" t="s">
        <v>318</v>
      </c>
      <c r="C54" s="44" t="s">
        <v>327</v>
      </c>
      <c r="D54" s="44" t="s">
        <v>718</v>
      </c>
      <c r="E54" s="44" t="s">
        <v>719</v>
      </c>
      <c r="F54" s="45" t="s">
        <v>720</v>
      </c>
      <c r="G54" s="66" t="s">
        <v>762</v>
      </c>
      <c r="H54" s="46" t="s">
        <v>1198</v>
      </c>
      <c r="I54" s="45" t="s">
        <v>722</v>
      </c>
      <c r="J54" s="45" t="s">
        <v>727</v>
      </c>
      <c r="K54" s="45" t="s">
        <v>723</v>
      </c>
      <c r="L54" s="45" t="s">
        <v>763</v>
      </c>
      <c r="M54" s="26"/>
      <c r="N54" s="26"/>
      <c r="O54" s="26"/>
      <c r="P54" s="26"/>
      <c r="Q54" s="470"/>
      <c r="R54" s="470"/>
    </row>
    <row r="55" spans="2:19" ht="34.15" customHeight="1" thickBot="1">
      <c r="B55" s="47"/>
      <c r="C55" s="47"/>
      <c r="D55" s="47"/>
      <c r="E55" s="47" t="s">
        <v>728</v>
      </c>
      <c r="F55" s="48"/>
      <c r="G55" s="48"/>
      <c r="H55" s="48"/>
      <c r="I55" s="48" t="s">
        <v>729</v>
      </c>
      <c r="J55" s="48" t="s">
        <v>732</v>
      </c>
      <c r="K55" s="48" t="s">
        <v>730</v>
      </c>
      <c r="L55" s="48"/>
      <c r="M55" s="26"/>
      <c r="N55" s="26"/>
      <c r="O55" s="26"/>
      <c r="P55" s="26"/>
      <c r="Q55" s="470"/>
      <c r="R55" s="470"/>
    </row>
    <row r="56" spans="2:19">
      <c r="B56" s="49" t="str">
        <f>CONCATENATE(E57,"01")</f>
        <v>INDCOA01</v>
      </c>
      <c r="C56" s="50" t="s">
        <v>764</v>
      </c>
      <c r="D56" s="49" t="str">
        <f>IND_Bal!$C$32</f>
        <v>COABIT</v>
      </c>
      <c r="E56" s="49"/>
      <c r="F56" s="49">
        <v>1</v>
      </c>
      <c r="G56" s="38"/>
      <c r="H56" s="38"/>
      <c r="I56" s="67"/>
      <c r="J56" s="67"/>
      <c r="K56" s="52"/>
      <c r="L56" s="68">
        <v>2013</v>
      </c>
      <c r="M56" s="26"/>
      <c r="N56" s="26"/>
      <c r="O56" s="26"/>
      <c r="P56" s="26"/>
      <c r="Q56" s="470"/>
      <c r="R56" s="470"/>
    </row>
    <row r="57" spans="2:19">
      <c r="B57" s="53"/>
      <c r="C57" s="54"/>
      <c r="D57" s="55"/>
      <c r="E57" s="56" t="str">
        <f>IND_Bal!$C$44</f>
        <v>INDCOA</v>
      </c>
      <c r="F57" s="56"/>
      <c r="G57" s="57"/>
      <c r="H57" s="55"/>
      <c r="I57" s="55"/>
      <c r="J57" s="55"/>
      <c r="K57" s="55"/>
      <c r="L57" s="56"/>
      <c r="M57" s="26"/>
      <c r="N57" s="26"/>
      <c r="O57" s="26"/>
      <c r="P57" s="26"/>
      <c r="Q57" s="470"/>
      <c r="R57" s="470"/>
    </row>
    <row r="58" spans="2:19">
      <c r="B58" s="49" t="str">
        <f>CONCATENATE(E59,"01")</f>
        <v>INDPEA01</v>
      </c>
      <c r="C58" s="50" t="s">
        <v>765</v>
      </c>
      <c r="D58" s="49" t="str">
        <f>IND_Bal!$E$32</f>
        <v>PEAT</v>
      </c>
      <c r="E58" s="49"/>
      <c r="F58" s="49">
        <v>1</v>
      </c>
      <c r="G58" s="38"/>
      <c r="H58" s="49"/>
      <c r="I58" s="67"/>
      <c r="J58" s="67"/>
      <c r="K58" s="52"/>
      <c r="L58" s="68">
        <v>2013</v>
      </c>
      <c r="M58" s="26"/>
      <c r="N58" s="26"/>
      <c r="O58" s="26"/>
      <c r="P58" s="26"/>
      <c r="Q58" s="470"/>
      <c r="R58" s="470"/>
    </row>
    <row r="59" spans="2:19">
      <c r="B59" s="53"/>
      <c r="C59" s="54"/>
      <c r="D59" s="55"/>
      <c r="E59" s="56" t="str">
        <f>IND_Bal!$D$44</f>
        <v>INDPEA</v>
      </c>
      <c r="F59" s="56"/>
      <c r="G59" s="57"/>
      <c r="H59" s="55"/>
      <c r="I59" s="55"/>
      <c r="J59" s="55"/>
      <c r="K59" s="55"/>
      <c r="L59" s="56"/>
      <c r="M59" s="26"/>
      <c r="N59" s="26"/>
      <c r="O59" s="26"/>
      <c r="P59" s="26"/>
      <c r="Q59" s="470"/>
      <c r="R59" s="470"/>
    </row>
    <row r="60" spans="2:19">
      <c r="B60" s="49" t="str">
        <f>CONCATENATE(E61,"01")</f>
        <v>INDCOH01</v>
      </c>
      <c r="C60" s="50" t="s">
        <v>766</v>
      </c>
      <c r="D60" s="49" t="str">
        <f>IND_Bal!$F$32</f>
        <v>COAHAR</v>
      </c>
      <c r="E60" s="49"/>
      <c r="F60" s="49">
        <v>1</v>
      </c>
      <c r="G60" s="38"/>
      <c r="H60" s="49"/>
      <c r="I60" s="67"/>
      <c r="J60" s="67"/>
      <c r="K60" s="52"/>
      <c r="L60" s="68">
        <v>2013</v>
      </c>
      <c r="M60" s="26"/>
      <c r="N60" s="26"/>
      <c r="O60" s="26"/>
      <c r="P60" s="26"/>
      <c r="Q60" s="470"/>
      <c r="R60" s="470"/>
    </row>
    <row r="61" spans="2:19">
      <c r="B61" s="53"/>
      <c r="C61" s="54"/>
      <c r="D61" s="55"/>
      <c r="E61" s="56" t="str">
        <f>IND_Bal!$E$44</f>
        <v>INDCOH</v>
      </c>
      <c r="F61" s="56"/>
      <c r="G61" s="57"/>
      <c r="H61" s="55"/>
      <c r="I61" s="55"/>
      <c r="J61" s="55"/>
      <c r="K61" s="55"/>
      <c r="L61" s="56"/>
      <c r="M61" s="26"/>
      <c r="N61" s="26"/>
      <c r="O61" s="26"/>
      <c r="P61" s="26"/>
      <c r="Q61" s="470"/>
      <c r="R61" s="470"/>
    </row>
    <row r="62" spans="2:19">
      <c r="B62" s="49" t="str">
        <f>CONCATENATE(E63,"01")</f>
        <v>INDCOK01</v>
      </c>
      <c r="C62" s="50" t="s">
        <v>767</v>
      </c>
      <c r="D62" s="49" t="str">
        <f>IND_Bal!$D$32</f>
        <v>COACOK</v>
      </c>
      <c r="E62" s="49"/>
      <c r="F62" s="49">
        <v>1</v>
      </c>
      <c r="G62" s="38"/>
      <c r="H62" s="49"/>
      <c r="I62" s="67"/>
      <c r="J62" s="67"/>
      <c r="K62" s="52"/>
      <c r="L62" s="68">
        <v>2013</v>
      </c>
      <c r="M62" s="26"/>
      <c r="N62" s="26"/>
      <c r="O62" s="26"/>
      <c r="P62" s="26"/>
      <c r="Q62" s="470"/>
      <c r="R62" s="470"/>
    </row>
    <row r="63" spans="2:19">
      <c r="B63" s="53"/>
      <c r="C63" s="54"/>
      <c r="D63" s="55"/>
      <c r="E63" s="56" t="str">
        <f>IND_Bal!$F$44</f>
        <v>INDCOK</v>
      </c>
      <c r="F63" s="56"/>
      <c r="G63" s="57"/>
      <c r="H63" s="55"/>
      <c r="I63" s="55"/>
      <c r="J63" s="55"/>
      <c r="K63" s="55"/>
      <c r="L63" s="56"/>
      <c r="M63" s="26"/>
      <c r="N63" s="26"/>
      <c r="O63" s="26"/>
      <c r="P63" s="26"/>
      <c r="Q63" s="470"/>
      <c r="R63" s="470"/>
    </row>
    <row r="64" spans="2:19">
      <c r="B64" s="49" t="str">
        <f>CONCATENATE(E65,"01")</f>
        <v>INDRFG01</v>
      </c>
      <c r="C64" s="50" t="s">
        <v>768</v>
      </c>
      <c r="D64" s="49" t="str">
        <f>IND_Bal!$G$32</f>
        <v>OILRFG</v>
      </c>
      <c r="E64" s="49"/>
      <c r="F64" s="49">
        <v>1</v>
      </c>
      <c r="G64" s="38"/>
      <c r="H64" s="49"/>
      <c r="I64" s="67"/>
      <c r="J64" s="67"/>
      <c r="K64" s="52"/>
      <c r="L64" s="68">
        <v>2013</v>
      </c>
      <c r="M64" s="26"/>
      <c r="N64" s="26"/>
      <c r="O64" s="26"/>
      <c r="P64" s="26"/>
      <c r="Q64" s="470"/>
      <c r="R64" s="470"/>
    </row>
    <row r="65" spans="2:16">
      <c r="B65" s="53"/>
      <c r="C65" s="54"/>
      <c r="D65" s="55"/>
      <c r="E65" s="56" t="str">
        <f>IND_Bal!$G$44</f>
        <v>INDRFG</v>
      </c>
      <c r="F65" s="56"/>
      <c r="G65" s="57"/>
      <c r="H65" s="55"/>
      <c r="I65" s="55"/>
      <c r="J65" s="55"/>
      <c r="K65" s="55"/>
      <c r="L65" s="56"/>
      <c r="M65" s="26"/>
      <c r="N65" s="26"/>
      <c r="O65" s="26"/>
      <c r="P65" s="26"/>
    </row>
    <row r="66" spans="2:16">
      <c r="B66" s="49" t="str">
        <f>CONCATENATE(E67,"01")</f>
        <v>INDLPG01</v>
      </c>
      <c r="C66" s="50" t="s">
        <v>769</v>
      </c>
      <c r="D66" s="49" t="str">
        <f>IND_Bal!$H$32</f>
        <v>OILLPG</v>
      </c>
      <c r="E66" s="49"/>
      <c r="F66" s="49">
        <v>1</v>
      </c>
      <c r="G66" s="38"/>
      <c r="H66" s="49"/>
      <c r="I66" s="67"/>
      <c r="J66" s="67"/>
      <c r="K66" s="52"/>
      <c r="L66" s="68">
        <v>2013</v>
      </c>
      <c r="M66" s="26"/>
      <c r="N66" s="26"/>
      <c r="O66" s="26"/>
      <c r="P66" s="26"/>
    </row>
    <row r="67" spans="2:16">
      <c r="B67" s="53"/>
      <c r="C67" s="54"/>
      <c r="D67" s="55"/>
      <c r="E67" s="56" t="str">
        <f>IND_Bal!$H$44</f>
        <v>INDLPG</v>
      </c>
      <c r="F67" s="56"/>
      <c r="G67" s="57"/>
      <c r="H67" s="55"/>
      <c r="I67" s="55"/>
      <c r="J67" s="55"/>
      <c r="K67" s="55"/>
      <c r="L67" s="56"/>
      <c r="M67" s="26"/>
      <c r="N67" s="26"/>
      <c r="O67" s="26"/>
      <c r="P67" s="26"/>
    </row>
    <row r="68" spans="2:16">
      <c r="B68" s="49" t="str">
        <f>CONCATENATE(E72,"01")</f>
        <v>INDLFO01</v>
      </c>
      <c r="C68" s="50" t="s">
        <v>770</v>
      </c>
      <c r="D68" s="49" t="str">
        <f>IND_Bal!$I$32</f>
        <v>OILGSL</v>
      </c>
      <c r="E68" s="49"/>
      <c r="F68" s="49">
        <v>1</v>
      </c>
      <c r="G68" s="59">
        <f>IF(SUM(IND_Bal!$I$43)=0,0,SUM(IND_Bal!$I$24)/SUM(IND_Bal!$I$43))</f>
        <v>0</v>
      </c>
      <c r="H68" s="60">
        <f>G68</f>
        <v>0</v>
      </c>
      <c r="I68" s="67"/>
      <c r="J68" s="67"/>
      <c r="K68" s="52"/>
      <c r="L68" s="68">
        <v>2013</v>
      </c>
      <c r="M68" s="26"/>
      <c r="N68" s="26"/>
      <c r="O68" s="26"/>
      <c r="P68" s="26"/>
    </row>
    <row r="69" spans="2:16">
      <c r="B69" s="49"/>
      <c r="C69" s="49"/>
      <c r="D69" s="49" t="str">
        <f>IND_Bal!$J$32</f>
        <v>OILKER</v>
      </c>
      <c r="E69" s="49"/>
      <c r="F69" s="49"/>
      <c r="G69" s="38">
        <f>IF(SUM(IND_Bal!$I$43)=0,0,SUM(IND_Bal!$J$24)/SUM(IND_Bal!$I$43))</f>
        <v>0.43388040042514575</v>
      </c>
      <c r="H69" s="60">
        <f>G69</f>
        <v>0.43388040042514575</v>
      </c>
      <c r="I69" s="49"/>
      <c r="J69" s="49"/>
      <c r="K69" s="49"/>
      <c r="L69" s="49"/>
      <c r="M69" s="26"/>
      <c r="N69" s="26"/>
      <c r="O69" s="26"/>
      <c r="P69" s="26"/>
    </row>
    <row r="70" spans="2:16">
      <c r="B70" s="49"/>
      <c r="C70" s="49"/>
      <c r="D70" s="49" t="str">
        <f>IND_Bal!$L$32</f>
        <v>OILDST</v>
      </c>
      <c r="E70" s="49"/>
      <c r="F70" s="49"/>
      <c r="G70" s="38"/>
      <c r="H70" s="60"/>
      <c r="I70" s="49"/>
      <c r="J70" s="49"/>
      <c r="K70" s="49"/>
      <c r="L70" s="49"/>
      <c r="M70" s="26"/>
      <c r="N70" s="26"/>
      <c r="O70" s="26"/>
      <c r="P70" s="26"/>
    </row>
    <row r="71" spans="2:16">
      <c r="B71" s="49"/>
      <c r="C71" s="55" t="s">
        <v>771</v>
      </c>
      <c r="D71" s="49" t="str">
        <f>IND_Bal!$O$32</f>
        <v>OILCOK</v>
      </c>
      <c r="E71" s="49"/>
      <c r="F71" s="49"/>
      <c r="G71" s="38">
        <f>IF(IND_Bal!$I$43=0,0.3,IND_Bal!$O$24/IND_Bal!$I$43)</f>
        <v>0.64675652431769481</v>
      </c>
      <c r="H71" s="60">
        <v>0.5</v>
      </c>
      <c r="I71" s="49"/>
      <c r="J71" s="49"/>
      <c r="K71" s="49"/>
      <c r="L71" s="49"/>
      <c r="M71" s="26"/>
      <c r="N71" s="26"/>
      <c r="O71" s="26"/>
      <c r="P71" s="26"/>
    </row>
    <row r="72" spans="2:16">
      <c r="B72" s="53"/>
      <c r="C72" s="54"/>
      <c r="D72" s="55"/>
      <c r="E72" s="56" t="str">
        <f>IND_Bal!$I$44</f>
        <v>INDLFO</v>
      </c>
      <c r="F72" s="56"/>
      <c r="G72" s="57"/>
      <c r="H72" s="55"/>
      <c r="I72" s="55"/>
      <c r="J72" s="55"/>
      <c r="K72" s="55"/>
      <c r="L72" s="56"/>
      <c r="M72" s="26"/>
      <c r="N72" s="26"/>
      <c r="O72" s="26"/>
      <c r="P72" s="26"/>
    </row>
    <row r="73" spans="2:16">
      <c r="B73" s="49" t="str">
        <f>CONCATENATE(E74,"01")</f>
        <v>INDNAP01</v>
      </c>
      <c r="C73" s="50" t="s">
        <v>772</v>
      </c>
      <c r="D73" s="49" t="str">
        <f>IND_Bal!$K$32</f>
        <v>OILNAP</v>
      </c>
      <c r="E73" s="49"/>
      <c r="F73" s="49">
        <v>1</v>
      </c>
      <c r="G73" s="38"/>
      <c r="H73" s="49"/>
      <c r="I73" s="67"/>
      <c r="J73" s="67"/>
      <c r="K73" s="52"/>
      <c r="L73" s="68">
        <v>2013</v>
      </c>
      <c r="M73" s="26"/>
      <c r="N73" s="26"/>
      <c r="O73" s="26"/>
      <c r="P73" s="26"/>
    </row>
    <row r="74" spans="2:16">
      <c r="B74" s="53"/>
      <c r="C74" s="54"/>
      <c r="D74" s="55"/>
      <c r="E74" s="56" t="str">
        <f>IND_Bal!$J$44</f>
        <v>INDNAP</v>
      </c>
      <c r="F74" s="56"/>
      <c r="G74" s="57"/>
      <c r="H74" s="55"/>
      <c r="I74" s="55"/>
      <c r="J74" s="55"/>
      <c r="K74" s="55"/>
      <c r="L74" s="56"/>
      <c r="M74" s="26"/>
      <c r="N74" s="26"/>
      <c r="O74" s="26"/>
      <c r="P74" s="26"/>
    </row>
    <row r="75" spans="2:16">
      <c r="B75" s="49" t="str">
        <f>CONCATENATE(E77,"01")</f>
        <v>INDHFO01</v>
      </c>
      <c r="C75" s="50" t="s">
        <v>773</v>
      </c>
      <c r="D75" s="49" t="str">
        <f>IND_Bal!$M$32</f>
        <v>OILHFO</v>
      </c>
      <c r="E75" s="49"/>
      <c r="F75" s="49">
        <v>1</v>
      </c>
      <c r="G75" s="59"/>
      <c r="H75" s="51"/>
      <c r="I75" s="67"/>
      <c r="J75" s="67"/>
      <c r="K75" s="52"/>
      <c r="L75" s="68">
        <v>2013</v>
      </c>
      <c r="M75" s="26"/>
      <c r="N75" s="26"/>
      <c r="O75" s="26"/>
      <c r="P75" s="26"/>
    </row>
    <row r="76" spans="2:16">
      <c r="B76" s="49"/>
      <c r="C76" s="49"/>
      <c r="D76" s="49" t="str">
        <f>IND_Bal!$O$32</f>
        <v>OILCOK</v>
      </c>
      <c r="E76" s="49"/>
      <c r="F76" s="49"/>
      <c r="G76" s="38">
        <f>IF(SUM(IND_Bal!$K$43)=0,0,SUM(IND_Bal!$O$24)/SUM(IND_Bal!$K$43))</f>
        <v>0.82844365363491335</v>
      </c>
      <c r="H76" s="60"/>
      <c r="I76" s="49"/>
      <c r="J76" s="49"/>
      <c r="K76" s="49"/>
      <c r="L76" s="49"/>
      <c r="M76" s="26"/>
      <c r="N76" s="26"/>
      <c r="O76" s="26"/>
      <c r="P76" s="26"/>
    </row>
    <row r="77" spans="2:16">
      <c r="B77" s="53"/>
      <c r="C77" s="54"/>
      <c r="D77" s="55"/>
      <c r="E77" s="56" t="str">
        <f>IND_Bal!$K$44</f>
        <v>INDHFO</v>
      </c>
      <c r="F77" s="56"/>
      <c r="G77" s="57"/>
      <c r="H77" s="55"/>
      <c r="I77" s="55"/>
      <c r="J77" s="55"/>
      <c r="K77" s="55"/>
      <c r="L77" s="56"/>
      <c r="M77" s="26"/>
      <c r="N77" s="26"/>
      <c r="O77" s="26"/>
      <c r="P77" s="26"/>
    </row>
    <row r="78" spans="2:16">
      <c r="B78" s="49" t="str">
        <f>CONCATENATE(E79,"01")</f>
        <v>INDNEU01</v>
      </c>
      <c r="C78" s="50" t="s">
        <v>774</v>
      </c>
      <c r="D78" s="49" t="str">
        <f>IND_Bal!$N$32</f>
        <v>OILNEU</v>
      </c>
      <c r="E78" s="49"/>
      <c r="F78" s="49">
        <v>1</v>
      </c>
      <c r="G78" s="38"/>
      <c r="H78" s="49"/>
      <c r="I78" s="67"/>
      <c r="J78" s="67"/>
      <c r="K78" s="52"/>
      <c r="L78" s="68">
        <v>2013</v>
      </c>
      <c r="M78" s="26"/>
      <c r="N78" s="26"/>
      <c r="O78" s="26"/>
      <c r="P78" s="26"/>
    </row>
    <row r="79" spans="2:16">
      <c r="B79" s="53"/>
      <c r="C79" s="54"/>
      <c r="D79" s="55"/>
      <c r="E79" s="56" t="str">
        <f>IND_Bal!$L$44</f>
        <v>INDNEU</v>
      </c>
      <c r="F79" s="56"/>
      <c r="G79" s="57"/>
      <c r="H79" s="55"/>
      <c r="I79" s="55"/>
      <c r="J79" s="55"/>
      <c r="K79" s="55"/>
      <c r="L79" s="56"/>
      <c r="M79" s="26"/>
      <c r="N79" s="26"/>
      <c r="O79" s="26"/>
      <c r="P79" s="26"/>
    </row>
    <row r="80" spans="2:16">
      <c r="B80" s="49" t="str">
        <f>CONCATENATE(E81,"01")</f>
        <v>INDGAS01</v>
      </c>
      <c r="C80" s="50" t="s">
        <v>775</v>
      </c>
      <c r="D80" s="49" t="str">
        <f>IND_Bal!$P$32</f>
        <v>GASNAT</v>
      </c>
      <c r="E80" s="49"/>
      <c r="F80" s="49">
        <v>1</v>
      </c>
      <c r="G80" s="59">
        <f>IF(SUM(IND_Bal!$M$43)=0,1,SUM(IND_Bal!$P$24)/SUM(IND_Bal!$M$43))</f>
        <v>1.528214223069553</v>
      </c>
      <c r="H80" s="60">
        <v>1</v>
      </c>
      <c r="I80" s="67"/>
      <c r="J80" s="67"/>
      <c r="K80" s="52"/>
      <c r="L80" s="68">
        <v>2013</v>
      </c>
      <c r="M80" s="26"/>
      <c r="N80" s="26"/>
      <c r="O80" s="26"/>
      <c r="P80" s="26"/>
    </row>
    <row r="81" spans="2:16">
      <c r="B81" s="53"/>
      <c r="C81" s="54"/>
      <c r="D81" s="55"/>
      <c r="E81" s="56" t="str">
        <f>IND_Bal!$M$44</f>
        <v>INDGAS</v>
      </c>
      <c r="F81" s="56"/>
      <c r="G81" s="57"/>
      <c r="H81" s="55"/>
      <c r="I81" s="55"/>
      <c r="J81" s="55"/>
      <c r="K81" s="55"/>
      <c r="L81" s="56"/>
      <c r="M81" s="26"/>
      <c r="N81" s="26"/>
      <c r="O81" s="26"/>
      <c r="P81" s="26"/>
    </row>
    <row r="82" spans="2:16">
      <c r="B82" s="49" t="s">
        <v>776</v>
      </c>
      <c r="C82" s="50" t="s">
        <v>777</v>
      </c>
      <c r="D82" s="49" t="str">
        <f>IND_Bal!$Q$32</f>
        <v>GASCOG</v>
      </c>
      <c r="E82" s="49"/>
      <c r="F82" s="49">
        <v>1</v>
      </c>
      <c r="G82" s="38"/>
      <c r="H82" s="38"/>
      <c r="I82" s="67"/>
      <c r="J82" s="67"/>
      <c r="K82" s="52"/>
      <c r="L82" s="68">
        <v>2013</v>
      </c>
      <c r="M82" s="26"/>
      <c r="N82" s="26"/>
      <c r="O82" s="26"/>
      <c r="P82" s="26"/>
    </row>
    <row r="83" spans="2:16">
      <c r="B83" s="53" t="s">
        <v>333</v>
      </c>
      <c r="C83" s="54"/>
      <c r="D83" s="55"/>
      <c r="E83" s="56" t="str">
        <f>IND_Bal!$N$44</f>
        <v>INDCOG</v>
      </c>
      <c r="F83" s="56"/>
      <c r="G83" s="57"/>
      <c r="H83" s="55"/>
      <c r="I83" s="55"/>
      <c r="J83" s="55"/>
      <c r="K83" s="55"/>
      <c r="L83" s="56"/>
      <c r="M83" s="26"/>
      <c r="N83" s="26"/>
      <c r="O83" s="26"/>
      <c r="P83" s="26"/>
    </row>
    <row r="84" spans="2:16">
      <c r="B84" s="49" t="s">
        <v>778</v>
      </c>
      <c r="C84" s="50" t="s">
        <v>779</v>
      </c>
      <c r="D84" s="49" t="str">
        <f>IND_Bal!$R$32</f>
        <v>GASBFG</v>
      </c>
      <c r="E84" s="49"/>
      <c r="F84" s="49">
        <v>1</v>
      </c>
      <c r="G84" s="38"/>
      <c r="H84" s="38"/>
      <c r="I84" s="67"/>
      <c r="J84" s="67"/>
      <c r="K84" s="52"/>
      <c r="L84" s="68">
        <v>2013</v>
      </c>
      <c r="M84" s="26"/>
      <c r="N84" s="26"/>
      <c r="O84" s="26"/>
      <c r="P84" s="26"/>
    </row>
    <row r="85" spans="2:16">
      <c r="B85" s="53" t="s">
        <v>333</v>
      </c>
      <c r="C85" s="54"/>
      <c r="D85" s="55"/>
      <c r="E85" s="56" t="str">
        <f>IND_Bal!$O$44</f>
        <v>INDBFG</v>
      </c>
      <c r="F85" s="56"/>
      <c r="G85" s="57"/>
      <c r="H85" s="55"/>
      <c r="I85" s="55"/>
      <c r="J85" s="55"/>
      <c r="K85" s="55"/>
      <c r="L85" s="56"/>
      <c r="M85" s="26"/>
      <c r="N85" s="26"/>
      <c r="O85" s="26"/>
      <c r="P85" s="26"/>
    </row>
    <row r="86" spans="2:16">
      <c r="B86" s="49" t="str">
        <f>CONCATENATE(E87,"01")</f>
        <v>INDSOL01</v>
      </c>
      <c r="C86" s="50" t="s">
        <v>780</v>
      </c>
      <c r="D86" s="49" t="str">
        <f>IND_Bal!$T$32</f>
        <v>RENSOL</v>
      </c>
      <c r="E86" s="49"/>
      <c r="F86" s="49">
        <v>1</v>
      </c>
      <c r="G86" s="38"/>
      <c r="H86" s="38"/>
      <c r="I86" s="67"/>
      <c r="J86" s="67"/>
      <c r="K86" s="52"/>
      <c r="L86" s="68">
        <v>2013</v>
      </c>
      <c r="M86" s="26"/>
      <c r="N86" s="26"/>
      <c r="O86" s="26"/>
      <c r="P86" s="26"/>
    </row>
    <row r="87" spans="2:16">
      <c r="B87" s="53"/>
      <c r="C87" s="54"/>
      <c r="D87" s="55"/>
      <c r="E87" s="56" t="str">
        <f>IND_Bal!$P$44</f>
        <v>INDSOL</v>
      </c>
      <c r="F87" s="56"/>
      <c r="G87" s="57"/>
      <c r="H87" s="55"/>
      <c r="I87" s="55"/>
      <c r="J87" s="55"/>
      <c r="K87" s="55"/>
      <c r="L87" s="56"/>
      <c r="M87" s="26"/>
      <c r="N87" s="26"/>
      <c r="O87" s="26"/>
      <c r="P87" s="26"/>
    </row>
    <row r="88" spans="2:16">
      <c r="B88" s="49" t="str">
        <f>CONCATENATE(E89,"01")</f>
        <v>INDGEO01</v>
      </c>
      <c r="C88" s="50" t="s">
        <v>781</v>
      </c>
      <c r="D88" s="49" t="str">
        <f>IND_Bal!$X$32</f>
        <v>RENGEO</v>
      </c>
      <c r="E88" s="49"/>
      <c r="F88" s="49">
        <v>1</v>
      </c>
      <c r="G88" s="38"/>
      <c r="H88" s="38"/>
      <c r="I88" s="67"/>
      <c r="J88" s="67"/>
      <c r="K88" s="52"/>
      <c r="L88" s="68">
        <v>2013</v>
      </c>
      <c r="M88" s="26"/>
      <c r="N88" s="26"/>
      <c r="O88" s="26"/>
      <c r="P88" s="26"/>
    </row>
    <row r="89" spans="2:16">
      <c r="B89" s="53"/>
      <c r="C89" s="54"/>
      <c r="D89" s="55"/>
      <c r="E89" s="56" t="str">
        <f>IND_Bal!$Q$44</f>
        <v>INDGEO</v>
      </c>
      <c r="F89" s="56"/>
      <c r="G89" s="57"/>
      <c r="H89" s="55"/>
      <c r="I89" s="55"/>
      <c r="J89" s="55"/>
      <c r="K89" s="55"/>
      <c r="L89" s="56"/>
      <c r="M89" s="26"/>
      <c r="N89" s="26"/>
      <c r="O89" s="26"/>
      <c r="P89" s="26"/>
    </row>
    <row r="90" spans="2:16">
      <c r="B90" s="49" t="str">
        <f>CONCATENATE(E92,"01")</f>
        <v>INDBIO01</v>
      </c>
      <c r="C90" s="50" t="s">
        <v>782</v>
      </c>
      <c r="D90" s="49" t="str">
        <f>IND_Bal!$U$32</f>
        <v>BIOWOO, BIOWCH, BIOWPE</v>
      </c>
      <c r="E90" s="49"/>
      <c r="F90" s="49">
        <v>1</v>
      </c>
      <c r="G90" s="59">
        <f>IF(SUM(IND_Bal!$R$43)=0,1,SUM(IND_Bal!$U$24)/SUM(IND_Bal!$R$43))</f>
        <v>0.98872968347934775</v>
      </c>
      <c r="H90" s="60">
        <v>1</v>
      </c>
      <c r="I90" s="67"/>
      <c r="J90" s="67"/>
      <c r="K90" s="52"/>
      <c r="L90" s="68">
        <v>2013</v>
      </c>
      <c r="M90" s="26"/>
      <c r="N90" s="26"/>
      <c r="O90" s="26"/>
      <c r="P90" s="26"/>
    </row>
    <row r="91" spans="2:16">
      <c r="B91" s="49"/>
      <c r="C91" s="49"/>
      <c r="D91" s="49" t="str">
        <f>IND_Bal!$V$32</f>
        <v>BIOGAS1G, BIOGAS2G</v>
      </c>
      <c r="E91" s="49"/>
      <c r="F91" s="49"/>
      <c r="G91" s="38">
        <f>IF(SUM(IND_Bal!$R$43)=0,0,SUM(IND_Bal!$V$24)/SUM(IND_Bal!$R$43))</f>
        <v>1.127031652065218E-2</v>
      </c>
      <c r="H91" s="60">
        <f>G91</f>
        <v>1.127031652065218E-2</v>
      </c>
      <c r="I91" s="49"/>
      <c r="J91" s="49"/>
      <c r="K91" s="58"/>
      <c r="L91" s="49"/>
      <c r="M91" s="26"/>
      <c r="N91" s="26"/>
      <c r="O91" s="26"/>
      <c r="P91" s="26"/>
    </row>
    <row r="92" spans="2:16">
      <c r="B92" s="53"/>
      <c r="C92" s="54"/>
      <c r="D92" s="55"/>
      <c r="E92" s="56" t="str">
        <f>IND_Bal!$R$44</f>
        <v>INDBIO</v>
      </c>
      <c r="F92" s="56"/>
      <c r="G92" s="57"/>
      <c r="H92" s="55"/>
      <c r="I92" s="55"/>
      <c r="J92" s="55"/>
      <c r="K92" s="55"/>
      <c r="L92" s="56"/>
      <c r="M92" s="26"/>
      <c r="N92" s="26"/>
      <c r="O92" s="26"/>
      <c r="P92" s="26"/>
    </row>
    <row r="93" spans="2:16">
      <c r="B93" s="49" t="s">
        <v>783</v>
      </c>
      <c r="C93" s="50" t="s">
        <v>784</v>
      </c>
      <c r="D93" s="49">
        <f>IND_Bal!$W$32</f>
        <v>0</v>
      </c>
      <c r="E93" s="49"/>
      <c r="F93" s="49">
        <v>1</v>
      </c>
      <c r="G93" s="38"/>
      <c r="H93" s="38"/>
      <c r="I93" s="67"/>
      <c r="J93" s="67"/>
      <c r="K93" s="52"/>
      <c r="L93" s="68">
        <v>2013</v>
      </c>
      <c r="M93" s="26"/>
      <c r="N93" s="26"/>
      <c r="O93" s="26"/>
      <c r="P93" s="26"/>
    </row>
    <row r="94" spans="2:16">
      <c r="B94" s="53" t="s">
        <v>333</v>
      </c>
      <c r="C94" s="54"/>
      <c r="D94" s="55"/>
      <c r="E94" s="56" t="str">
        <f>IND_Bal!$S$44</f>
        <v>INDWASS</v>
      </c>
      <c r="F94" s="56"/>
      <c r="G94" s="57"/>
      <c r="H94" s="55"/>
      <c r="I94" s="55"/>
      <c r="J94" s="55"/>
      <c r="K94" s="55"/>
      <c r="L94" s="56"/>
      <c r="M94" s="26"/>
      <c r="N94" s="26"/>
      <c r="O94" s="26"/>
      <c r="P94" s="26"/>
    </row>
    <row r="95" spans="2:16">
      <c r="B95" s="49" t="str">
        <f>CONCATENATE(E96,"01")</f>
        <v>INDWASL01</v>
      </c>
      <c r="C95" s="50" t="s">
        <v>785</v>
      </c>
      <c r="D95" s="49">
        <f>IND_Bal!$Z$32</f>
        <v>0</v>
      </c>
      <c r="E95" s="49"/>
      <c r="F95" s="49">
        <v>1</v>
      </c>
      <c r="G95" s="38"/>
      <c r="H95" s="38"/>
      <c r="I95" s="67"/>
      <c r="J95" s="67"/>
      <c r="K95" s="52"/>
      <c r="L95" s="68">
        <v>2013</v>
      </c>
      <c r="M95" s="26"/>
      <c r="N95" s="26"/>
      <c r="O95" s="26"/>
      <c r="P95" s="26"/>
    </row>
    <row r="96" spans="2:16">
      <c r="B96" s="53"/>
      <c r="C96" s="54"/>
      <c r="D96" s="55"/>
      <c r="E96" s="56" t="str">
        <f>IND_Bal!$T$44</f>
        <v>INDWASL</v>
      </c>
      <c r="F96" s="56"/>
      <c r="G96" s="57"/>
      <c r="H96" s="55"/>
      <c r="I96" s="55"/>
      <c r="J96" s="55"/>
      <c r="K96" s="55"/>
      <c r="L96" s="56"/>
      <c r="M96" s="26"/>
      <c r="N96" s="26"/>
      <c r="O96" s="26"/>
      <c r="P96" s="26"/>
    </row>
    <row r="97" spans="2:17">
      <c r="B97" s="49" t="str">
        <f>CONCATENATE(E98,"01")</f>
        <v>INDHYD01</v>
      </c>
      <c r="C97" s="61" t="s">
        <v>786</v>
      </c>
      <c r="D97" s="49" t="e">
        <f>#REF!</f>
        <v>#REF!</v>
      </c>
      <c r="E97" s="49"/>
      <c r="F97" s="49">
        <v>1</v>
      </c>
      <c r="G97" s="38"/>
      <c r="H97" s="38"/>
      <c r="I97" s="67"/>
      <c r="J97" s="67"/>
      <c r="K97" s="52"/>
      <c r="L97" s="68">
        <v>2013</v>
      </c>
      <c r="M97" s="26"/>
      <c r="N97" s="26"/>
      <c r="O97" s="26"/>
      <c r="P97" s="26"/>
    </row>
    <row r="98" spans="2:17">
      <c r="B98" s="53"/>
      <c r="C98" s="54"/>
      <c r="D98" s="55"/>
      <c r="E98" s="56" t="str">
        <f>IND_Commodities!C23</f>
        <v>INDHYD</v>
      </c>
      <c r="F98" s="56"/>
      <c r="G98" s="57"/>
      <c r="H98" s="55"/>
      <c r="I98" s="55"/>
      <c r="J98" s="55"/>
      <c r="K98" s="55"/>
      <c r="L98" s="56"/>
      <c r="M98" s="26"/>
      <c r="N98" s="26"/>
      <c r="O98" s="26"/>
      <c r="P98" s="26"/>
    </row>
    <row r="99" spans="2:17">
      <c r="B99" s="49" t="str">
        <f>CONCATENATE(E100,"01")</f>
        <v>INDWIN01</v>
      </c>
      <c r="C99" s="61" t="s">
        <v>787</v>
      </c>
      <c r="D99" s="49" t="e">
        <f>#REF!</f>
        <v>#REF!</v>
      </c>
      <c r="E99" s="49"/>
      <c r="F99" s="49">
        <v>1</v>
      </c>
      <c r="G99" s="38"/>
      <c r="H99" s="38"/>
      <c r="I99" s="67"/>
      <c r="J99" s="67"/>
      <c r="K99" s="52"/>
      <c r="L99" s="68">
        <v>2013</v>
      </c>
      <c r="M99" s="26"/>
      <c r="N99" s="26"/>
      <c r="O99" s="26"/>
      <c r="P99" s="26"/>
    </row>
    <row r="100" spans="2:17">
      <c r="B100" s="53"/>
      <c r="C100" s="54"/>
      <c r="D100" s="55"/>
      <c r="E100" s="56" t="str">
        <f>IND_Commodities!C24</f>
        <v>INDWIN</v>
      </c>
      <c r="F100" s="56"/>
      <c r="G100" s="57"/>
      <c r="H100" s="55"/>
      <c r="I100" s="55"/>
      <c r="J100" s="55"/>
      <c r="K100" s="55"/>
      <c r="L100" s="56"/>
      <c r="M100" s="26"/>
      <c r="N100" s="26"/>
      <c r="O100" s="26"/>
      <c r="P100" s="26"/>
    </row>
    <row r="101" spans="2:17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2:17">
      <c r="B102" s="26"/>
      <c r="C102" s="26"/>
      <c r="D102" s="26"/>
      <c r="E102" s="40"/>
      <c r="F102" s="40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2:17" ht="18.75">
      <c r="B103" s="43" t="s">
        <v>788</v>
      </c>
      <c r="C103" s="69"/>
      <c r="D103" s="69"/>
      <c r="E103" s="40" t="s">
        <v>717</v>
      </c>
      <c r="F103" s="40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2:17">
      <c r="B104" s="44" t="s">
        <v>318</v>
      </c>
      <c r="C104" s="44" t="s">
        <v>327</v>
      </c>
      <c r="D104" s="44" t="s">
        <v>718</v>
      </c>
      <c r="E104" s="44" t="s">
        <v>719</v>
      </c>
      <c r="F104" s="45" t="s">
        <v>720</v>
      </c>
      <c r="G104" s="45" t="s">
        <v>721</v>
      </c>
      <c r="H104" s="45" t="s">
        <v>789</v>
      </c>
      <c r="I104" s="45" t="s">
        <v>790</v>
      </c>
      <c r="J104" s="45" t="s">
        <v>724</v>
      </c>
      <c r="K104" s="45" t="s">
        <v>725</v>
      </c>
      <c r="L104" s="45" t="s">
        <v>723</v>
      </c>
      <c r="M104" s="45" t="s">
        <v>791</v>
      </c>
      <c r="N104" s="26"/>
      <c r="O104" s="26"/>
      <c r="P104" s="26"/>
    </row>
    <row r="105" spans="2:17" ht="13.5" thickBot="1">
      <c r="B105" s="47"/>
      <c r="C105" s="47"/>
      <c r="D105" s="47"/>
      <c r="E105" s="47" t="s">
        <v>728</v>
      </c>
      <c r="F105" s="48"/>
      <c r="G105" s="48"/>
      <c r="H105" s="48"/>
      <c r="I105" s="48"/>
      <c r="J105" s="48" t="s">
        <v>730</v>
      </c>
      <c r="K105" s="48" t="s">
        <v>792</v>
      </c>
      <c r="L105" s="48" t="s">
        <v>730</v>
      </c>
      <c r="M105" s="48" t="s">
        <v>793</v>
      </c>
      <c r="N105" s="26"/>
      <c r="O105" s="26"/>
      <c r="P105" s="26"/>
    </row>
    <row r="106" spans="2:17">
      <c r="B106" s="49" t="str">
        <f>CONCATENATE(E108,"_INF")</f>
        <v>INDELC_INF</v>
      </c>
      <c r="C106" s="50" t="s">
        <v>794</v>
      </c>
      <c r="D106" s="70" t="s">
        <v>795</v>
      </c>
      <c r="E106" s="49"/>
      <c r="F106" s="49">
        <v>1</v>
      </c>
      <c r="G106" s="71">
        <v>0.7</v>
      </c>
      <c r="H106" s="71">
        <f>G106</f>
        <v>0.7</v>
      </c>
      <c r="I106" s="49">
        <v>1</v>
      </c>
      <c r="J106" s="51"/>
      <c r="K106" s="51"/>
      <c r="L106" s="51"/>
      <c r="M106" s="49">
        <v>31.536000000000001</v>
      </c>
      <c r="N106" s="26"/>
      <c r="O106" s="26"/>
      <c r="P106" s="26" t="s">
        <v>796</v>
      </c>
    </row>
    <row r="107" spans="2:17">
      <c r="B107" s="49"/>
      <c r="C107" s="72"/>
      <c r="D107" s="70" t="s">
        <v>797</v>
      </c>
      <c r="E107" s="49"/>
      <c r="F107" s="49"/>
      <c r="G107" s="71">
        <v>0.3</v>
      </c>
      <c r="H107" s="71">
        <f>G107</f>
        <v>0.3</v>
      </c>
      <c r="I107" s="49"/>
      <c r="J107" s="49"/>
      <c r="K107" s="49"/>
      <c r="L107" s="49"/>
      <c r="M107" s="49"/>
      <c r="N107" s="26"/>
      <c r="O107" s="26"/>
      <c r="P107" s="26"/>
    </row>
    <row r="108" spans="2:17">
      <c r="B108" s="53"/>
      <c r="C108" s="54"/>
      <c r="D108" s="55"/>
      <c r="E108" s="55" t="str">
        <f>IND_Bal!$U$44</f>
        <v>INDELC</v>
      </c>
      <c r="F108" s="55"/>
      <c r="G108" s="57"/>
      <c r="H108" s="57"/>
      <c r="I108" s="55"/>
      <c r="J108" s="55"/>
      <c r="K108" s="55"/>
      <c r="L108" s="55"/>
      <c r="M108" s="55"/>
      <c r="N108" s="26"/>
      <c r="O108" s="26"/>
      <c r="P108" s="26"/>
    </row>
    <row r="109" spans="2:17">
      <c r="B109" s="26"/>
      <c r="C109" s="62"/>
      <c r="D109" s="26"/>
      <c r="E109" s="26"/>
      <c r="F109" s="26"/>
      <c r="G109" s="63"/>
      <c r="H109" s="63"/>
      <c r="I109" s="64"/>
      <c r="J109" s="65"/>
      <c r="K109" s="26"/>
      <c r="L109" s="26"/>
      <c r="M109" s="26"/>
      <c r="N109" s="26"/>
      <c r="O109" s="26"/>
      <c r="P109" s="26"/>
    </row>
    <row r="110" spans="2:17">
      <c r="B110" s="26"/>
      <c r="C110" s="62"/>
      <c r="D110" s="26"/>
      <c r="E110" s="40"/>
      <c r="F110" s="40"/>
      <c r="G110" s="63"/>
      <c r="H110" s="63"/>
      <c r="I110" s="64"/>
      <c r="J110" s="65"/>
      <c r="K110" s="26"/>
      <c r="L110" s="26"/>
      <c r="M110" s="26"/>
      <c r="N110" s="26"/>
      <c r="O110" s="26"/>
      <c r="P110" s="26"/>
    </row>
    <row r="111" spans="2:17" ht="18.75">
      <c r="B111" s="43" t="s">
        <v>798</v>
      </c>
      <c r="C111" s="69"/>
      <c r="D111" s="69"/>
      <c r="E111" s="40" t="s">
        <v>717</v>
      </c>
      <c r="F111" s="40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2:17" ht="13.5" thickBot="1">
      <c r="B112" s="73" t="s">
        <v>318</v>
      </c>
      <c r="C112" s="73" t="s">
        <v>327</v>
      </c>
      <c r="D112" s="73" t="s">
        <v>718</v>
      </c>
      <c r="E112" s="73" t="s">
        <v>719</v>
      </c>
      <c r="F112" s="48" t="s">
        <v>720</v>
      </c>
      <c r="G112" s="74" t="s">
        <v>799</v>
      </c>
      <c r="H112" s="74" t="s">
        <v>1200</v>
      </c>
      <c r="I112" s="48" t="s">
        <v>800</v>
      </c>
      <c r="J112" s="48" t="s">
        <v>724</v>
      </c>
      <c r="K112" s="48" t="s">
        <v>725</v>
      </c>
      <c r="L112" s="48" t="s">
        <v>801</v>
      </c>
      <c r="M112" s="48" t="s">
        <v>802</v>
      </c>
      <c r="N112" s="48" t="s">
        <v>723</v>
      </c>
      <c r="O112" s="75" t="s">
        <v>791</v>
      </c>
      <c r="P112" s="75" t="s">
        <v>803</v>
      </c>
      <c r="Q112" s="26"/>
    </row>
    <row r="113" spans="2:17">
      <c r="B113" s="76" t="s">
        <v>804</v>
      </c>
      <c r="C113" s="61" t="s">
        <v>805</v>
      </c>
      <c r="D113" s="70" t="s">
        <v>806</v>
      </c>
      <c r="E113" s="49"/>
      <c r="F113" s="49">
        <v>1</v>
      </c>
      <c r="G113" s="49"/>
      <c r="H113" s="49"/>
      <c r="I113" s="49">
        <v>1</v>
      </c>
      <c r="J113" s="51"/>
      <c r="K113" s="51"/>
      <c r="L113" s="77">
        <f>(SUM(IND_Bal!$V$43:$V$43)*IND_Fuel!$N$2)/P113/O113</f>
        <v>1.0358248170768423</v>
      </c>
      <c r="M113" s="52">
        <f>L113</f>
        <v>1.0358248170768423</v>
      </c>
      <c r="N113" s="52"/>
      <c r="O113" s="78">
        <v>31.536000000000001</v>
      </c>
      <c r="P113" s="79">
        <f>1/3</f>
        <v>0.33333333333333331</v>
      </c>
      <c r="Q113" s="26"/>
    </row>
    <row r="114" spans="2:17">
      <c r="B114" s="49"/>
      <c r="C114" s="49"/>
      <c r="D114" s="58"/>
      <c r="E114" s="49" t="str">
        <f>IND_Commodities!$C$26</f>
        <v>INDHTH</v>
      </c>
      <c r="F114" s="49"/>
      <c r="G114" s="60">
        <v>1</v>
      </c>
      <c r="H114" s="52">
        <v>5</v>
      </c>
      <c r="I114" s="49"/>
      <c r="J114" s="49"/>
      <c r="K114" s="49"/>
      <c r="L114" s="80"/>
      <c r="M114" s="58"/>
      <c r="N114" s="58"/>
      <c r="O114" s="49"/>
      <c r="P114" s="49"/>
      <c r="Q114" s="26"/>
    </row>
    <row r="115" spans="2:17">
      <c r="B115" s="81" t="str">
        <f>IF(IND_Bal!V37="","*",IF(IND_Bal!V37=0,"*",""))</f>
        <v>*</v>
      </c>
      <c r="C115" s="49"/>
      <c r="D115" s="58"/>
      <c r="E115" s="49" t="str">
        <f>IND_Commodities!C28</f>
        <v>IISHTH</v>
      </c>
      <c r="F115" s="49"/>
      <c r="G115" s="60">
        <f>IF(IND_Bal!V37="","",IF(IND_Bal!V37=0,1,IND_Bal!V37/IND_Bal!V43))</f>
        <v>1</v>
      </c>
      <c r="H115" s="52">
        <v>5</v>
      </c>
      <c r="I115" s="49"/>
      <c r="J115" s="49"/>
      <c r="K115" s="49"/>
      <c r="L115" s="80"/>
      <c r="M115" s="58"/>
      <c r="N115" s="58"/>
      <c r="O115" s="49"/>
      <c r="P115" s="49"/>
      <c r="Q115" s="26"/>
    </row>
    <row r="116" spans="2:17">
      <c r="B116" s="81" t="str">
        <f>IF(IND_Bal!V41="","*",IF(IND_Bal!V41=0,"*",""))</f>
        <v>*</v>
      </c>
      <c r="C116" s="49"/>
      <c r="D116" s="58"/>
      <c r="E116" s="49" t="str">
        <f>IND_Commodities!C40</f>
        <v>IPPHTH</v>
      </c>
      <c r="F116" s="49"/>
      <c r="G116" s="60">
        <f>IF(IND_Bal!V41="","",IF(IND_Bal!V41=0,1,IND_Bal!V41/IND_Bal!V43))</f>
        <v>1</v>
      </c>
      <c r="H116" s="52">
        <v>5</v>
      </c>
      <c r="I116" s="49"/>
      <c r="J116" s="49"/>
      <c r="K116" s="49"/>
      <c r="L116" s="58"/>
      <c r="M116" s="58"/>
      <c r="N116" s="58"/>
      <c r="O116" s="49"/>
      <c r="P116" s="49"/>
      <c r="Q116" s="26"/>
    </row>
    <row r="117" spans="2:17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2:17">
      <c r="B118" s="26"/>
      <c r="C118" s="26"/>
      <c r="D118" s="26"/>
      <c r="E118" s="40"/>
      <c r="F118" s="40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2:17" ht="18.75">
      <c r="B119" s="43" t="s">
        <v>807</v>
      </c>
      <c r="C119" s="69"/>
      <c r="D119" s="69"/>
      <c r="E119" s="82" t="s">
        <v>808</v>
      </c>
      <c r="F119" s="40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2:17" ht="13.5" thickBot="1">
      <c r="B120" s="73" t="s">
        <v>318</v>
      </c>
      <c r="C120" s="73" t="s">
        <v>327</v>
      </c>
      <c r="D120" s="73" t="s">
        <v>718</v>
      </c>
      <c r="E120" s="73" t="s">
        <v>719</v>
      </c>
      <c r="F120" s="48" t="s">
        <v>720</v>
      </c>
      <c r="G120" s="74" t="s">
        <v>799</v>
      </c>
      <c r="H120" s="48" t="s">
        <v>800</v>
      </c>
      <c r="I120" s="48" t="s">
        <v>722</v>
      </c>
      <c r="J120" s="48" t="s">
        <v>727</v>
      </c>
      <c r="K120" s="48" t="s">
        <v>723</v>
      </c>
      <c r="L120" s="48" t="s">
        <v>763</v>
      </c>
      <c r="M120" s="75" t="s">
        <v>791</v>
      </c>
      <c r="N120" s="26"/>
      <c r="O120" s="26"/>
      <c r="P120" s="26"/>
    </row>
    <row r="121" spans="2:17">
      <c r="B121" s="76" t="s">
        <v>809</v>
      </c>
      <c r="C121" s="61" t="s">
        <v>810</v>
      </c>
      <c r="D121" s="58" t="str">
        <f>D113</f>
        <v>ELCH</v>
      </c>
      <c r="E121" s="49"/>
      <c r="F121" s="49">
        <v>1</v>
      </c>
      <c r="G121" s="49"/>
      <c r="H121" s="49">
        <v>1</v>
      </c>
      <c r="I121" s="67"/>
      <c r="J121" s="67"/>
      <c r="K121" s="52"/>
      <c r="L121" s="68">
        <v>2013</v>
      </c>
      <c r="M121" s="78">
        <v>31.536000000000001</v>
      </c>
      <c r="N121" s="26"/>
      <c r="O121" s="26"/>
      <c r="P121" s="26"/>
    </row>
    <row r="122" spans="2:17">
      <c r="B122" s="49"/>
      <c r="C122" s="49"/>
      <c r="D122" s="49"/>
      <c r="E122" s="49" t="str">
        <f>IND_Commodities!$C$26</f>
        <v>INDHTH</v>
      </c>
      <c r="F122" s="49"/>
      <c r="G122" s="51">
        <v>1</v>
      </c>
      <c r="H122" s="49"/>
      <c r="I122" s="49"/>
      <c r="J122" s="49"/>
      <c r="K122" s="58"/>
      <c r="L122" s="49"/>
      <c r="M122" s="49"/>
      <c r="N122" s="26"/>
      <c r="O122" s="26"/>
      <c r="P122" s="26"/>
    </row>
    <row r="123" spans="2:17">
      <c r="B123" s="49"/>
      <c r="C123" s="49"/>
      <c r="D123" s="49"/>
      <c r="E123" s="49" t="str">
        <f>IND_Commodities!C28</f>
        <v>IISHTH</v>
      </c>
      <c r="F123" s="49"/>
      <c r="G123" s="51">
        <v>1</v>
      </c>
      <c r="H123" s="49"/>
      <c r="I123" s="49"/>
      <c r="J123" s="49"/>
      <c r="K123" s="58"/>
      <c r="L123" s="49"/>
      <c r="M123" s="49"/>
      <c r="N123" s="26"/>
      <c r="O123" s="26"/>
      <c r="P123" s="26"/>
    </row>
    <row r="124" spans="2:17">
      <c r="B124" s="49"/>
      <c r="C124" s="49"/>
      <c r="D124" s="49"/>
      <c r="E124" s="49" t="str">
        <f>IND_Commodities!C40</f>
        <v>IPPHTH</v>
      </c>
      <c r="F124" s="49"/>
      <c r="G124" s="51">
        <v>1</v>
      </c>
      <c r="H124" s="49"/>
      <c r="I124" s="49"/>
      <c r="J124" s="49"/>
      <c r="K124" s="58"/>
      <c r="L124" s="49"/>
      <c r="M124" s="49"/>
      <c r="N124" s="26"/>
      <c r="O124" s="26"/>
      <c r="P124" s="26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2:M122"/>
  <sheetViews>
    <sheetView zoomScale="75" zoomScaleNormal="75" workbookViewId="0">
      <selection activeCell="F127" sqref="F127"/>
    </sheetView>
  </sheetViews>
  <sheetFormatPr defaultColWidth="9.140625" defaultRowHeight="12.75"/>
  <cols>
    <col min="1" max="1" width="9.140625" style="470"/>
    <col min="2" max="2" width="14.28515625" style="470" customWidth="1"/>
    <col min="3" max="3" width="14.7109375" style="470" customWidth="1"/>
    <col min="4" max="4" width="39.85546875" style="470" customWidth="1"/>
    <col min="5" max="16384" width="9.140625" style="470"/>
  </cols>
  <sheetData>
    <row r="2" spans="1:13" ht="18.75">
      <c r="A2" s="26"/>
      <c r="B2" s="463" t="s">
        <v>811</v>
      </c>
      <c r="C2" s="462"/>
      <c r="D2" s="462"/>
      <c r="E2" s="462"/>
      <c r="F2" s="462"/>
      <c r="G2" s="462"/>
      <c r="H2" s="462"/>
      <c r="I2" s="462"/>
      <c r="J2" s="26"/>
      <c r="K2" s="26"/>
      <c r="L2" s="26"/>
      <c r="M2" s="26"/>
    </row>
    <row r="3" spans="1:13">
      <c r="A3" s="26"/>
      <c r="B3" s="461" t="s">
        <v>812</v>
      </c>
      <c r="C3" s="462"/>
      <c r="D3" s="462"/>
      <c r="E3" s="462"/>
      <c r="F3" s="462"/>
      <c r="G3" s="462"/>
      <c r="H3" s="462"/>
      <c r="I3" s="462"/>
      <c r="J3" s="26"/>
      <c r="K3" s="26"/>
      <c r="L3" s="26"/>
      <c r="M3" s="26"/>
    </row>
    <row r="4" spans="1:13" ht="13.5" thickBot="1">
      <c r="A4" s="26"/>
      <c r="B4" s="460" t="s">
        <v>813</v>
      </c>
      <c r="C4" s="460" t="s">
        <v>319</v>
      </c>
      <c r="D4" s="460" t="s">
        <v>814</v>
      </c>
      <c r="E4" s="460" t="s">
        <v>815</v>
      </c>
      <c r="F4" s="459" t="s">
        <v>816</v>
      </c>
      <c r="G4" s="459" t="s">
        <v>817</v>
      </c>
      <c r="H4" s="459" t="s">
        <v>818</v>
      </c>
      <c r="I4" s="459" t="s">
        <v>819</v>
      </c>
      <c r="J4" s="26"/>
      <c r="K4" s="26"/>
      <c r="L4" s="26"/>
      <c r="M4" s="26"/>
    </row>
    <row r="5" spans="1:13">
      <c r="A5" s="26"/>
      <c r="B5" s="458" t="s">
        <v>820</v>
      </c>
      <c r="C5" s="457" t="s">
        <v>269</v>
      </c>
      <c r="D5" s="456" t="s">
        <v>821</v>
      </c>
      <c r="E5" s="455" t="s">
        <v>166</v>
      </c>
      <c r="F5" s="454" t="s">
        <v>341</v>
      </c>
      <c r="G5" s="454" t="s">
        <v>341</v>
      </c>
      <c r="H5" s="454" t="s">
        <v>341</v>
      </c>
      <c r="I5" s="454" t="s">
        <v>341</v>
      </c>
      <c r="J5" s="26"/>
      <c r="K5" s="26"/>
      <c r="L5" s="26"/>
      <c r="M5" s="26"/>
    </row>
    <row r="6" spans="1:13">
      <c r="A6" s="26"/>
      <c r="B6" s="453"/>
      <c r="C6" s="452" t="str">
        <f>IND_Bal!$D$44</f>
        <v>INDPEA</v>
      </c>
      <c r="D6" s="451" t="s">
        <v>822</v>
      </c>
      <c r="E6" s="450" t="s">
        <v>166</v>
      </c>
      <c r="F6" s="450"/>
      <c r="G6" s="450"/>
      <c r="H6" s="450"/>
      <c r="I6" s="450"/>
      <c r="J6" s="26"/>
      <c r="K6" s="26"/>
      <c r="L6" s="26"/>
      <c r="M6" s="26"/>
    </row>
    <row r="7" spans="1:13">
      <c r="A7" s="26"/>
      <c r="B7" s="453"/>
      <c r="C7" s="452" t="str">
        <f>IND_Bal!$E$44</f>
        <v>INDCOH</v>
      </c>
      <c r="D7" s="451" t="s">
        <v>823</v>
      </c>
      <c r="E7" s="450" t="s">
        <v>166</v>
      </c>
      <c r="F7" s="450"/>
      <c r="G7" s="450"/>
      <c r="H7" s="450"/>
      <c r="I7" s="450"/>
      <c r="J7" s="26"/>
      <c r="K7" s="26"/>
      <c r="L7" s="26"/>
      <c r="M7" s="26"/>
    </row>
    <row r="8" spans="1:13">
      <c r="A8" s="26"/>
      <c r="B8" s="453"/>
      <c r="C8" s="452" t="str">
        <f>IND_Bal!$F$44</f>
        <v>INDCOK</v>
      </c>
      <c r="D8" s="451" t="s">
        <v>824</v>
      </c>
      <c r="E8" s="450" t="s">
        <v>166</v>
      </c>
      <c r="F8" s="450"/>
      <c r="G8" s="450"/>
      <c r="H8" s="450"/>
      <c r="I8" s="450"/>
      <c r="J8" s="26"/>
      <c r="K8" s="26"/>
      <c r="L8" s="26"/>
      <c r="M8" s="26"/>
    </row>
    <row r="9" spans="1:13">
      <c r="A9" s="26"/>
      <c r="B9" s="453"/>
      <c r="C9" s="452" t="str">
        <f>IND_Bal!$G$44</f>
        <v>INDRFG</v>
      </c>
      <c r="D9" s="451" t="s">
        <v>825</v>
      </c>
      <c r="E9" s="450" t="s">
        <v>166</v>
      </c>
      <c r="F9" s="450"/>
      <c r="G9" s="450"/>
      <c r="H9" s="450"/>
      <c r="I9" s="450"/>
      <c r="J9" s="26"/>
      <c r="K9" s="26"/>
      <c r="L9" s="26"/>
      <c r="M9" s="26"/>
    </row>
    <row r="10" spans="1:13">
      <c r="A10" s="26"/>
      <c r="B10" s="453"/>
      <c r="C10" s="452" t="str">
        <f>IND_Bal!$H$44</f>
        <v>INDLPG</v>
      </c>
      <c r="D10" s="449" t="s">
        <v>826</v>
      </c>
      <c r="E10" s="450" t="s">
        <v>166</v>
      </c>
      <c r="F10" s="450"/>
      <c r="G10" s="450"/>
      <c r="H10" s="450"/>
      <c r="I10" s="450"/>
      <c r="J10" s="26"/>
      <c r="K10" s="26"/>
      <c r="L10" s="26"/>
      <c r="M10" s="26"/>
    </row>
    <row r="11" spans="1:13">
      <c r="A11" s="26"/>
      <c r="B11" s="453"/>
      <c r="C11" s="452" t="str">
        <f>IND_Bal!$I$44</f>
        <v>INDLFO</v>
      </c>
      <c r="D11" s="449" t="s">
        <v>827</v>
      </c>
      <c r="E11" s="450" t="s">
        <v>166</v>
      </c>
      <c r="F11" s="450"/>
      <c r="G11" s="450"/>
      <c r="H11" s="450"/>
      <c r="I11" s="450"/>
      <c r="J11" s="26"/>
      <c r="K11" s="26"/>
      <c r="L11" s="26"/>
      <c r="M11" s="26"/>
    </row>
    <row r="12" spans="1:13">
      <c r="A12" s="26"/>
      <c r="B12" s="453"/>
      <c r="C12" s="452" t="str">
        <f>IND_Bal!$J$44</f>
        <v>INDNAP</v>
      </c>
      <c r="D12" s="449" t="s">
        <v>828</v>
      </c>
      <c r="E12" s="450" t="s">
        <v>166</v>
      </c>
      <c r="F12" s="450"/>
      <c r="G12" s="450"/>
      <c r="H12" s="450"/>
      <c r="I12" s="450"/>
      <c r="J12" s="26"/>
      <c r="K12" s="26"/>
      <c r="L12" s="26"/>
      <c r="M12" s="26"/>
    </row>
    <row r="13" spans="1:13">
      <c r="A13" s="26"/>
      <c r="B13" s="453"/>
      <c r="C13" s="452" t="str">
        <f>IND_Bal!$K$44</f>
        <v>INDHFO</v>
      </c>
      <c r="D13" s="449" t="s">
        <v>829</v>
      </c>
      <c r="E13" s="450" t="s">
        <v>166</v>
      </c>
      <c r="F13" s="450"/>
      <c r="G13" s="450"/>
      <c r="H13" s="450"/>
      <c r="I13" s="450"/>
      <c r="J13" s="26"/>
      <c r="K13" s="26"/>
      <c r="L13" s="26"/>
      <c r="M13" s="26"/>
    </row>
    <row r="14" spans="1:13">
      <c r="A14" s="26"/>
      <c r="B14" s="453"/>
      <c r="C14" s="452" t="str">
        <f>IND_Bal!$L$44</f>
        <v>INDNEU</v>
      </c>
      <c r="D14" s="449" t="s">
        <v>830</v>
      </c>
      <c r="E14" s="450" t="s">
        <v>166</v>
      </c>
      <c r="F14" s="450"/>
      <c r="G14" s="450"/>
      <c r="H14" s="450"/>
      <c r="I14" s="450"/>
      <c r="J14" s="26"/>
      <c r="K14" s="26"/>
      <c r="L14" s="26"/>
      <c r="M14" s="26"/>
    </row>
    <row r="15" spans="1:13">
      <c r="A15" s="26"/>
      <c r="B15" s="453"/>
      <c r="C15" s="452" t="str">
        <f>IND_Bal!$M$44</f>
        <v>INDGAS</v>
      </c>
      <c r="D15" s="449" t="s">
        <v>831</v>
      </c>
      <c r="E15" s="450" t="s">
        <v>166</v>
      </c>
      <c r="F15" s="450"/>
      <c r="G15" s="450"/>
      <c r="H15" s="450"/>
      <c r="I15" s="450"/>
      <c r="J15" s="26"/>
      <c r="K15" s="26"/>
      <c r="L15" s="26"/>
      <c r="M15" s="26"/>
    </row>
    <row r="16" spans="1:13">
      <c r="A16" s="26"/>
      <c r="B16" s="453"/>
      <c r="C16" s="452" t="str">
        <f>IND_Bal!$N$44</f>
        <v>INDCOG</v>
      </c>
      <c r="D16" s="449" t="s">
        <v>832</v>
      </c>
      <c r="E16" s="450" t="s">
        <v>166</v>
      </c>
      <c r="F16" s="450"/>
      <c r="G16" s="450"/>
      <c r="H16" s="450"/>
      <c r="I16" s="450"/>
      <c r="J16" s="26"/>
      <c r="K16" s="26"/>
      <c r="L16" s="26"/>
      <c r="M16" s="26"/>
    </row>
    <row r="17" spans="1:13">
      <c r="A17" s="26"/>
      <c r="B17" s="453"/>
      <c r="C17" s="452" t="str">
        <f>IND_Bal!$O$44</f>
        <v>INDBFG</v>
      </c>
      <c r="D17" s="449" t="s">
        <v>833</v>
      </c>
      <c r="E17" s="450" t="s">
        <v>166</v>
      </c>
      <c r="F17" s="450"/>
      <c r="G17" s="450"/>
      <c r="H17" s="450"/>
      <c r="I17" s="450"/>
      <c r="J17" s="26"/>
      <c r="K17" s="26"/>
      <c r="L17" s="26"/>
      <c r="M17" s="26"/>
    </row>
    <row r="18" spans="1:13">
      <c r="A18" s="26"/>
      <c r="B18" s="453"/>
      <c r="C18" s="452" t="str">
        <f>IND_Bal!$P$44</f>
        <v>INDSOL</v>
      </c>
      <c r="D18" s="449" t="s">
        <v>834</v>
      </c>
      <c r="E18" s="450" t="s">
        <v>166</v>
      </c>
      <c r="F18" s="450"/>
      <c r="G18" s="450"/>
      <c r="H18" s="450"/>
      <c r="I18" s="450"/>
      <c r="J18" s="26"/>
      <c r="K18" s="26"/>
      <c r="L18" s="26"/>
      <c r="M18" s="26"/>
    </row>
    <row r="19" spans="1:13">
      <c r="A19" s="26"/>
      <c r="B19" s="453"/>
      <c r="C19" s="452" t="str">
        <f>IND_Bal!$Q$44</f>
        <v>INDGEO</v>
      </c>
      <c r="D19" s="449" t="s">
        <v>835</v>
      </c>
      <c r="E19" s="450" t="s">
        <v>166</v>
      </c>
      <c r="F19" s="450"/>
      <c r="G19" s="450"/>
      <c r="H19" s="450"/>
      <c r="I19" s="450"/>
      <c r="J19" s="26"/>
      <c r="K19" s="26"/>
      <c r="L19" s="26"/>
      <c r="M19" s="26"/>
    </row>
    <row r="20" spans="1:13">
      <c r="A20" s="26"/>
      <c r="B20" s="453"/>
      <c r="C20" s="452" t="str">
        <f>IND_Bal!$R$44</f>
        <v>INDBIO</v>
      </c>
      <c r="D20" s="449" t="s">
        <v>836</v>
      </c>
      <c r="E20" s="450" t="s">
        <v>166</v>
      </c>
      <c r="F20" s="450"/>
      <c r="G20" s="450"/>
      <c r="H20" s="450"/>
      <c r="I20" s="450"/>
      <c r="J20" s="26"/>
      <c r="K20" s="26"/>
      <c r="L20" s="26"/>
      <c r="M20" s="26"/>
    </row>
    <row r="21" spans="1:13">
      <c r="A21" s="26"/>
      <c r="B21" s="453"/>
      <c r="C21" s="452" t="str">
        <f>IND_Bal!$S$44</f>
        <v>INDWASS</v>
      </c>
      <c r="D21" s="449" t="s">
        <v>837</v>
      </c>
      <c r="E21" s="450" t="s">
        <v>166</v>
      </c>
      <c r="F21" s="450"/>
      <c r="G21" s="450"/>
      <c r="H21" s="450"/>
      <c r="I21" s="450"/>
      <c r="J21" s="26"/>
      <c r="K21" s="26"/>
      <c r="L21" s="26"/>
      <c r="M21" s="26"/>
    </row>
    <row r="22" spans="1:13">
      <c r="A22" s="26"/>
      <c r="B22" s="453"/>
      <c r="C22" s="452" t="str">
        <f>IND_Bal!$T$44</f>
        <v>INDWASL</v>
      </c>
      <c r="D22" s="449" t="s">
        <v>838</v>
      </c>
      <c r="E22" s="450" t="s">
        <v>166</v>
      </c>
      <c r="F22" s="450"/>
      <c r="G22" s="450"/>
      <c r="H22" s="450"/>
      <c r="I22" s="450"/>
      <c r="J22" s="26"/>
      <c r="K22" s="26"/>
      <c r="L22" s="26"/>
      <c r="M22" s="26"/>
    </row>
    <row r="23" spans="1:13">
      <c r="A23" s="26"/>
      <c r="B23" s="453" t="s">
        <v>333</v>
      </c>
      <c r="C23" s="448" t="s">
        <v>839</v>
      </c>
      <c r="D23" s="449" t="s">
        <v>840</v>
      </c>
      <c r="E23" s="450" t="s">
        <v>166</v>
      </c>
      <c r="F23" s="450"/>
      <c r="G23" s="450"/>
      <c r="H23" s="450"/>
      <c r="I23" s="450"/>
      <c r="J23" s="26"/>
      <c r="K23" s="26"/>
      <c r="L23" s="26"/>
      <c r="M23" s="26"/>
    </row>
    <row r="24" spans="1:13">
      <c r="A24" s="26"/>
      <c r="B24" s="453" t="s">
        <v>333</v>
      </c>
      <c r="C24" s="448" t="s">
        <v>841</v>
      </c>
      <c r="D24" s="449" t="s">
        <v>842</v>
      </c>
      <c r="E24" s="450" t="s">
        <v>166</v>
      </c>
      <c r="F24" s="450"/>
      <c r="G24" s="450"/>
      <c r="H24" s="450"/>
      <c r="I24" s="450"/>
      <c r="J24" s="26"/>
      <c r="K24" s="26"/>
      <c r="L24" s="26"/>
      <c r="M24" s="26"/>
    </row>
    <row r="25" spans="1:13">
      <c r="A25" s="26"/>
      <c r="B25" s="453"/>
      <c r="C25" s="452" t="str">
        <f>IND_Bal!$U$44</f>
        <v>INDELC</v>
      </c>
      <c r="D25" s="449" t="s">
        <v>843</v>
      </c>
      <c r="E25" s="450" t="s">
        <v>166</v>
      </c>
      <c r="F25" s="450"/>
      <c r="G25" s="447" t="s">
        <v>491</v>
      </c>
      <c r="H25" s="447"/>
      <c r="I25" s="447" t="s">
        <v>228</v>
      </c>
      <c r="J25" s="26"/>
      <c r="K25" s="26"/>
      <c r="L25" s="26"/>
      <c r="M25" s="26"/>
    </row>
    <row r="26" spans="1:13">
      <c r="A26" s="26"/>
      <c r="B26" s="453"/>
      <c r="C26" s="452" t="str">
        <f>IND_Bal!$V$44</f>
        <v>INDHTH</v>
      </c>
      <c r="D26" s="448" t="s">
        <v>844</v>
      </c>
      <c r="E26" s="450" t="s">
        <v>166</v>
      </c>
      <c r="F26" s="450"/>
      <c r="G26" s="447" t="s">
        <v>492</v>
      </c>
      <c r="H26" s="447"/>
      <c r="I26" s="446" t="s">
        <v>845</v>
      </c>
      <c r="J26" s="26"/>
      <c r="K26" s="26"/>
      <c r="L26" s="26"/>
      <c r="M26" s="26"/>
    </row>
    <row r="27" spans="1:13">
      <c r="A27" s="26"/>
      <c r="B27" s="453"/>
      <c r="C27" s="448" t="s">
        <v>846</v>
      </c>
      <c r="D27" s="448" t="s">
        <v>847</v>
      </c>
      <c r="E27" s="450" t="s">
        <v>166</v>
      </c>
      <c r="F27" s="450"/>
      <c r="G27" s="447" t="s">
        <v>492</v>
      </c>
      <c r="H27" s="447"/>
      <c r="I27" s="446" t="s">
        <v>848</v>
      </c>
      <c r="J27" s="26"/>
      <c r="K27" s="26"/>
      <c r="L27" s="26"/>
      <c r="M27" s="26"/>
    </row>
    <row r="28" spans="1:13">
      <c r="A28" s="26"/>
      <c r="B28" s="453"/>
      <c r="C28" s="445" t="str">
        <f t="shared" ref="C28:C39" si="0">CONCATENATE(C84)&amp;"HTH"</f>
        <v>IISHTH</v>
      </c>
      <c r="D28" s="444" t="s">
        <v>849</v>
      </c>
      <c r="E28" s="450" t="s">
        <v>166</v>
      </c>
      <c r="F28" s="450"/>
      <c r="G28" s="447" t="s">
        <v>492</v>
      </c>
      <c r="H28" s="447"/>
      <c r="I28" s="446" t="s">
        <v>845</v>
      </c>
      <c r="J28" s="26"/>
      <c r="K28" s="26"/>
      <c r="L28" s="26"/>
      <c r="M28" s="26"/>
    </row>
    <row r="29" spans="1:13">
      <c r="A29" s="26"/>
      <c r="B29" s="453"/>
      <c r="C29" s="445" t="str">
        <f t="shared" si="0"/>
        <v>IALHTH</v>
      </c>
      <c r="D29" s="444" t="s">
        <v>850</v>
      </c>
      <c r="E29" s="450" t="s">
        <v>166</v>
      </c>
      <c r="F29" s="450"/>
      <c r="G29" s="447" t="s">
        <v>492</v>
      </c>
      <c r="H29" s="447"/>
      <c r="I29" s="446" t="s">
        <v>845</v>
      </c>
      <c r="J29" s="26"/>
      <c r="K29" s="26"/>
      <c r="L29" s="26"/>
      <c r="M29" s="26"/>
    </row>
    <row r="30" spans="1:13">
      <c r="A30" s="26"/>
      <c r="B30" s="453"/>
      <c r="C30" s="445" t="str">
        <f t="shared" si="0"/>
        <v>ICUHTH</v>
      </c>
      <c r="D30" s="444" t="s">
        <v>851</v>
      </c>
      <c r="E30" s="450" t="s">
        <v>166</v>
      </c>
      <c r="F30" s="450"/>
      <c r="G30" s="447" t="s">
        <v>492</v>
      </c>
      <c r="H30" s="447"/>
      <c r="I30" s="446" t="s">
        <v>845</v>
      </c>
      <c r="J30" s="26"/>
      <c r="K30" s="26"/>
      <c r="L30" s="26"/>
      <c r="M30" s="26"/>
    </row>
    <row r="31" spans="1:13">
      <c r="A31" s="26"/>
      <c r="B31" s="453"/>
      <c r="C31" s="445" t="str">
        <f t="shared" si="0"/>
        <v>INFHTH</v>
      </c>
      <c r="D31" s="444" t="s">
        <v>852</v>
      </c>
      <c r="E31" s="450" t="s">
        <v>166</v>
      </c>
      <c r="F31" s="450"/>
      <c r="G31" s="447" t="s">
        <v>492</v>
      </c>
      <c r="H31" s="447"/>
      <c r="I31" s="446" t="s">
        <v>845</v>
      </c>
      <c r="J31" s="26"/>
      <c r="K31" s="26"/>
      <c r="L31" s="26"/>
      <c r="M31" s="26"/>
    </row>
    <row r="32" spans="1:13">
      <c r="A32" s="26"/>
      <c r="B32" s="453"/>
      <c r="C32" s="445" t="str">
        <f t="shared" si="0"/>
        <v>IAMHTH</v>
      </c>
      <c r="D32" s="444" t="s">
        <v>853</v>
      </c>
      <c r="E32" s="450" t="s">
        <v>166</v>
      </c>
      <c r="F32" s="450"/>
      <c r="G32" s="447" t="s">
        <v>492</v>
      </c>
      <c r="H32" s="447"/>
      <c r="I32" s="446" t="s">
        <v>845</v>
      </c>
      <c r="J32" s="26"/>
      <c r="K32" s="26"/>
      <c r="L32" s="26"/>
      <c r="M32" s="26"/>
    </row>
    <row r="33" spans="1:13">
      <c r="A33" s="26"/>
      <c r="B33" s="453"/>
      <c r="C33" s="445" t="str">
        <f t="shared" si="0"/>
        <v>ICLHTH</v>
      </c>
      <c r="D33" s="444" t="s">
        <v>854</v>
      </c>
      <c r="E33" s="450" t="s">
        <v>166</v>
      </c>
      <c r="F33" s="450"/>
      <c r="G33" s="447" t="s">
        <v>492</v>
      </c>
      <c r="H33" s="447"/>
      <c r="I33" s="446" t="s">
        <v>845</v>
      </c>
      <c r="J33" s="26"/>
      <c r="K33" s="26"/>
      <c r="L33" s="26"/>
      <c r="M33" s="26"/>
    </row>
    <row r="34" spans="1:13">
      <c r="A34" s="26"/>
      <c r="B34" s="453"/>
      <c r="C34" s="445" t="str">
        <f t="shared" si="0"/>
        <v>ICHHTH</v>
      </c>
      <c r="D34" s="444" t="s">
        <v>855</v>
      </c>
      <c r="E34" s="450" t="s">
        <v>166</v>
      </c>
      <c r="F34" s="450"/>
      <c r="G34" s="447" t="s">
        <v>492</v>
      </c>
      <c r="H34" s="447"/>
      <c r="I34" s="446" t="s">
        <v>845</v>
      </c>
      <c r="J34" s="26"/>
      <c r="K34" s="26"/>
      <c r="L34" s="26"/>
      <c r="M34" s="26"/>
    </row>
    <row r="35" spans="1:13">
      <c r="A35" s="26"/>
      <c r="B35" s="453"/>
      <c r="C35" s="445" t="str">
        <f t="shared" si="0"/>
        <v>ICMHTH</v>
      </c>
      <c r="D35" s="444" t="s">
        <v>856</v>
      </c>
      <c r="E35" s="450" t="s">
        <v>166</v>
      </c>
      <c r="F35" s="450"/>
      <c r="G35" s="447" t="s">
        <v>492</v>
      </c>
      <c r="H35" s="447"/>
      <c r="I35" s="446" t="s">
        <v>845</v>
      </c>
      <c r="J35" s="26"/>
      <c r="K35" s="26"/>
      <c r="L35" s="26"/>
      <c r="M35" s="26"/>
    </row>
    <row r="36" spans="1:13">
      <c r="A36" s="26"/>
      <c r="B36" s="453"/>
      <c r="C36" s="445" t="str">
        <f t="shared" si="0"/>
        <v>ILMHTH</v>
      </c>
      <c r="D36" s="444" t="s">
        <v>857</v>
      </c>
      <c r="E36" s="450" t="s">
        <v>166</v>
      </c>
      <c r="F36" s="450"/>
      <c r="G36" s="447" t="s">
        <v>492</v>
      </c>
      <c r="H36" s="447"/>
      <c r="I36" s="446" t="s">
        <v>845</v>
      </c>
      <c r="J36" s="26"/>
      <c r="K36" s="26"/>
      <c r="L36" s="26"/>
      <c r="M36" s="26"/>
    </row>
    <row r="37" spans="1:13">
      <c r="A37" s="26"/>
      <c r="B37" s="453"/>
      <c r="C37" s="445" t="str">
        <f t="shared" si="0"/>
        <v>IGHHTH</v>
      </c>
      <c r="D37" s="444" t="s">
        <v>858</v>
      </c>
      <c r="E37" s="450" t="s">
        <v>166</v>
      </c>
      <c r="F37" s="450"/>
      <c r="G37" s="447" t="s">
        <v>492</v>
      </c>
      <c r="H37" s="447"/>
      <c r="I37" s="446" t="s">
        <v>845</v>
      </c>
      <c r="J37" s="26"/>
      <c r="K37" s="26"/>
      <c r="L37" s="26"/>
      <c r="M37" s="26"/>
    </row>
    <row r="38" spans="1:13">
      <c r="A38" s="26"/>
      <c r="B38" s="453"/>
      <c r="C38" s="445" t="str">
        <f t="shared" si="0"/>
        <v>IGFHTH</v>
      </c>
      <c r="D38" s="444" t="s">
        <v>859</v>
      </c>
      <c r="E38" s="450" t="s">
        <v>166</v>
      </c>
      <c r="F38" s="450"/>
      <c r="G38" s="447" t="s">
        <v>492</v>
      </c>
      <c r="H38" s="447"/>
      <c r="I38" s="446" t="s">
        <v>845</v>
      </c>
      <c r="J38" s="26"/>
      <c r="K38" s="26"/>
      <c r="L38" s="26"/>
      <c r="M38" s="26"/>
    </row>
    <row r="39" spans="1:13">
      <c r="A39" s="26"/>
      <c r="B39" s="453"/>
      <c r="C39" s="445" t="str">
        <f t="shared" si="0"/>
        <v>INMHTH</v>
      </c>
      <c r="D39" s="444" t="s">
        <v>860</v>
      </c>
      <c r="E39" s="450" t="s">
        <v>166</v>
      </c>
      <c r="F39" s="450"/>
      <c r="G39" s="447" t="s">
        <v>492</v>
      </c>
      <c r="H39" s="447"/>
      <c r="I39" s="446" t="s">
        <v>845</v>
      </c>
      <c r="J39" s="26"/>
      <c r="K39" s="26"/>
      <c r="L39" s="26"/>
      <c r="M39" s="26"/>
    </row>
    <row r="40" spans="1:13">
      <c r="A40" s="26"/>
      <c r="B40" s="453"/>
      <c r="C40" s="443" t="s">
        <v>861</v>
      </c>
      <c r="D40" s="444" t="s">
        <v>862</v>
      </c>
      <c r="E40" s="450" t="s">
        <v>166</v>
      </c>
      <c r="F40" s="450"/>
      <c r="G40" s="447" t="s">
        <v>492</v>
      </c>
      <c r="H40" s="447"/>
      <c r="I40" s="446" t="s">
        <v>845</v>
      </c>
      <c r="J40" s="26"/>
      <c r="K40" s="26"/>
      <c r="L40" s="26"/>
      <c r="M40" s="26"/>
    </row>
    <row r="41" spans="1:13">
      <c r="A41" s="26"/>
      <c r="B41" s="453"/>
      <c r="C41" s="443" t="s">
        <v>863</v>
      </c>
      <c r="D41" s="444" t="s">
        <v>864</v>
      </c>
      <c r="E41" s="450" t="s">
        <v>166</v>
      </c>
      <c r="F41" s="450"/>
      <c r="G41" s="447"/>
      <c r="H41" s="447"/>
      <c r="I41" s="446" t="s">
        <v>845</v>
      </c>
      <c r="J41" s="26"/>
      <c r="K41" s="26"/>
      <c r="L41" s="26"/>
      <c r="M41" s="26"/>
    </row>
    <row r="42" spans="1:13">
      <c r="A42" s="26"/>
      <c r="B42" s="453"/>
      <c r="C42" s="445" t="str">
        <f>CONCATENATE(C98)&amp;"HTH"</f>
        <v>IOIHTH</v>
      </c>
      <c r="D42" s="444" t="s">
        <v>865</v>
      </c>
      <c r="E42" s="450" t="s">
        <v>166</v>
      </c>
      <c r="F42" s="450"/>
      <c r="G42" s="447" t="s">
        <v>492</v>
      </c>
      <c r="H42" s="447"/>
      <c r="I42" s="446" t="s">
        <v>845</v>
      </c>
      <c r="J42" s="26"/>
      <c r="K42" s="26"/>
      <c r="L42" s="26"/>
      <c r="M42" s="26"/>
    </row>
    <row r="43" spans="1:13">
      <c r="A43" s="26"/>
      <c r="B43" s="453"/>
      <c r="C43" s="443" t="s">
        <v>866</v>
      </c>
      <c r="D43" s="444" t="s">
        <v>867</v>
      </c>
      <c r="E43" s="450" t="s">
        <v>166</v>
      </c>
      <c r="F43" s="442"/>
      <c r="G43" s="447" t="s">
        <v>492</v>
      </c>
      <c r="H43" s="447"/>
      <c r="I43" s="446" t="s">
        <v>845</v>
      </c>
      <c r="J43" s="26"/>
      <c r="K43" s="26"/>
      <c r="L43" s="26"/>
      <c r="M43" s="26"/>
    </row>
    <row r="44" spans="1:13">
      <c r="A44" s="26"/>
      <c r="B44" s="441"/>
      <c r="C44" s="440" t="s">
        <v>868</v>
      </c>
      <c r="D44" s="439" t="s">
        <v>869</v>
      </c>
      <c r="E44" s="438" t="s">
        <v>166</v>
      </c>
      <c r="F44" s="438"/>
      <c r="G44" s="438"/>
      <c r="H44" s="438"/>
      <c r="I44" s="438"/>
      <c r="J44" s="26"/>
      <c r="K44" s="26"/>
      <c r="L44" s="26"/>
      <c r="M44" s="26"/>
    </row>
    <row r="45" spans="1:13">
      <c r="A45" s="26"/>
      <c r="B45" s="453" t="s">
        <v>870</v>
      </c>
      <c r="C45" s="448" t="s">
        <v>871</v>
      </c>
      <c r="D45" s="449" t="s">
        <v>872</v>
      </c>
      <c r="E45" s="450" t="s">
        <v>339</v>
      </c>
      <c r="F45" s="450" t="s">
        <v>873</v>
      </c>
      <c r="G45" s="450"/>
      <c r="H45" s="450"/>
      <c r="I45" s="450"/>
      <c r="J45" s="26"/>
      <c r="K45" s="26"/>
      <c r="L45" s="26"/>
      <c r="M45" s="26"/>
    </row>
    <row r="46" spans="1:13">
      <c r="A46" s="26"/>
      <c r="B46" s="453"/>
      <c r="C46" s="448" t="s">
        <v>874</v>
      </c>
      <c r="D46" s="449" t="s">
        <v>875</v>
      </c>
      <c r="E46" s="450" t="s">
        <v>339</v>
      </c>
      <c r="F46" s="450" t="s">
        <v>873</v>
      </c>
      <c r="G46" s="450"/>
      <c r="H46" s="450"/>
      <c r="I46" s="450"/>
      <c r="J46" s="26"/>
      <c r="K46" s="26"/>
      <c r="L46" s="26"/>
      <c r="M46" s="26"/>
    </row>
    <row r="47" spans="1:13">
      <c r="A47" s="26"/>
      <c r="B47" s="453"/>
      <c r="C47" s="448" t="s">
        <v>876</v>
      </c>
      <c r="D47" s="449" t="s">
        <v>877</v>
      </c>
      <c r="E47" s="450" t="s">
        <v>339</v>
      </c>
      <c r="F47" s="450" t="s">
        <v>873</v>
      </c>
      <c r="G47" s="450"/>
      <c r="H47" s="450"/>
      <c r="I47" s="450"/>
      <c r="J47" s="26"/>
      <c r="K47" s="26"/>
      <c r="L47" s="26"/>
      <c r="M47" s="26"/>
    </row>
    <row r="48" spans="1:13">
      <c r="A48" s="26"/>
      <c r="B48" s="453"/>
      <c r="C48" s="448" t="s">
        <v>455</v>
      </c>
      <c r="D48" s="449" t="s">
        <v>878</v>
      </c>
      <c r="E48" s="450" t="s">
        <v>339</v>
      </c>
      <c r="F48" s="450" t="s">
        <v>873</v>
      </c>
      <c r="G48" s="450"/>
      <c r="H48" s="450"/>
      <c r="I48" s="450"/>
      <c r="J48" s="26"/>
      <c r="K48" s="26"/>
      <c r="L48" s="26"/>
      <c r="M48" s="26"/>
    </row>
    <row r="49" spans="1:13">
      <c r="A49" s="26"/>
      <c r="B49" s="453"/>
      <c r="C49" s="448" t="s">
        <v>879</v>
      </c>
      <c r="D49" s="449" t="s">
        <v>880</v>
      </c>
      <c r="E49" s="450" t="s">
        <v>339</v>
      </c>
      <c r="F49" s="450" t="s">
        <v>873</v>
      </c>
      <c r="G49" s="450"/>
      <c r="H49" s="450"/>
      <c r="I49" s="450"/>
      <c r="J49" s="26"/>
      <c r="K49" s="26"/>
      <c r="L49" s="26"/>
      <c r="M49" s="26"/>
    </row>
    <row r="50" spans="1:13">
      <c r="A50" s="26"/>
      <c r="B50" s="453"/>
      <c r="C50" s="448" t="s">
        <v>881</v>
      </c>
      <c r="D50" s="449" t="s">
        <v>882</v>
      </c>
      <c r="E50" s="450" t="s">
        <v>339</v>
      </c>
      <c r="F50" s="450" t="s">
        <v>873</v>
      </c>
      <c r="G50" s="450"/>
      <c r="H50" s="450"/>
      <c r="I50" s="450"/>
      <c r="J50" s="26"/>
      <c r="K50" s="26"/>
      <c r="L50" s="26"/>
      <c r="M50" s="26"/>
    </row>
    <row r="51" spans="1:13">
      <c r="A51" s="26"/>
      <c r="B51" s="453"/>
      <c r="C51" s="451" t="s">
        <v>883</v>
      </c>
      <c r="D51" s="449" t="s">
        <v>884</v>
      </c>
      <c r="E51" s="450" t="s">
        <v>339</v>
      </c>
      <c r="F51" s="450" t="s">
        <v>873</v>
      </c>
      <c r="G51" s="450"/>
      <c r="H51" s="450"/>
      <c r="I51" s="450"/>
      <c r="J51" s="26"/>
      <c r="K51" s="26"/>
      <c r="L51" s="26"/>
      <c r="M51" s="26"/>
    </row>
    <row r="52" spans="1:13">
      <c r="A52" s="26"/>
      <c r="B52" s="453"/>
      <c r="C52" s="451" t="s">
        <v>885</v>
      </c>
      <c r="D52" s="449" t="s">
        <v>886</v>
      </c>
      <c r="E52" s="450" t="s">
        <v>339</v>
      </c>
      <c r="F52" s="450" t="s">
        <v>873</v>
      </c>
      <c r="G52" s="450"/>
      <c r="H52" s="450"/>
      <c r="I52" s="450"/>
      <c r="J52" s="26"/>
      <c r="K52" s="26"/>
      <c r="L52" s="26"/>
      <c r="M52" s="26"/>
    </row>
    <row r="53" spans="1:13">
      <c r="A53" s="26"/>
      <c r="B53" s="453"/>
      <c r="C53" s="449" t="s">
        <v>887</v>
      </c>
      <c r="D53" s="449" t="s">
        <v>888</v>
      </c>
      <c r="E53" s="450" t="s">
        <v>339</v>
      </c>
      <c r="F53" s="450" t="s">
        <v>873</v>
      </c>
      <c r="G53" s="450"/>
      <c r="H53" s="450"/>
      <c r="I53" s="450"/>
      <c r="J53" s="26"/>
      <c r="K53" s="26"/>
      <c r="L53" s="26"/>
      <c r="M53" s="26"/>
    </row>
    <row r="54" spans="1:13">
      <c r="A54" s="26"/>
      <c r="B54" s="453"/>
      <c r="C54" s="444" t="s">
        <v>474</v>
      </c>
      <c r="D54" s="444" t="s">
        <v>889</v>
      </c>
      <c r="E54" s="450" t="s">
        <v>339</v>
      </c>
      <c r="F54" s="450" t="s">
        <v>873</v>
      </c>
      <c r="G54" s="450"/>
      <c r="H54" s="450"/>
      <c r="I54" s="450"/>
      <c r="J54" s="26"/>
      <c r="K54" s="26"/>
      <c r="L54" s="26"/>
      <c r="M54" s="26"/>
    </row>
    <row r="55" spans="1:13">
      <c r="A55" s="26"/>
      <c r="B55" s="441"/>
      <c r="C55" s="440" t="s">
        <v>890</v>
      </c>
      <c r="D55" s="439" t="s">
        <v>891</v>
      </c>
      <c r="E55" s="438" t="s">
        <v>339</v>
      </c>
      <c r="F55" s="438" t="s">
        <v>873</v>
      </c>
      <c r="G55" s="438"/>
      <c r="H55" s="438"/>
      <c r="I55" s="438"/>
      <c r="J55" s="26"/>
      <c r="K55" s="26"/>
      <c r="L55" s="26"/>
      <c r="M55" s="26"/>
    </row>
    <row r="56" spans="1:13">
      <c r="A56" s="26"/>
      <c r="B56" s="453"/>
      <c r="C56" s="448" t="s">
        <v>892</v>
      </c>
      <c r="D56" s="449" t="s">
        <v>893</v>
      </c>
      <c r="E56" s="450" t="s">
        <v>339</v>
      </c>
      <c r="F56" s="450" t="s">
        <v>873</v>
      </c>
      <c r="G56" s="450"/>
      <c r="H56" s="450"/>
      <c r="I56" s="450"/>
      <c r="J56" s="26"/>
      <c r="K56" s="26"/>
      <c r="L56" s="26"/>
      <c r="M56" s="26"/>
    </row>
    <row r="57" spans="1:13">
      <c r="A57" s="26"/>
      <c r="B57" s="453"/>
      <c r="C57" s="448" t="s">
        <v>894</v>
      </c>
      <c r="D57" s="449" t="s">
        <v>895</v>
      </c>
      <c r="E57" s="450" t="s">
        <v>339</v>
      </c>
      <c r="F57" s="450" t="s">
        <v>873</v>
      </c>
      <c r="G57" s="450"/>
      <c r="H57" s="450"/>
      <c r="I57" s="450"/>
      <c r="J57" s="26"/>
      <c r="K57" s="26"/>
      <c r="L57" s="26"/>
      <c r="M57" s="26"/>
    </row>
    <row r="58" spans="1:13">
      <c r="A58" s="26"/>
      <c r="B58" s="453"/>
      <c r="C58" s="448" t="s">
        <v>896</v>
      </c>
      <c r="D58" s="449" t="s">
        <v>897</v>
      </c>
      <c r="E58" s="450" t="s">
        <v>339</v>
      </c>
      <c r="F58" s="450" t="s">
        <v>873</v>
      </c>
      <c r="G58" s="450"/>
      <c r="H58" s="450"/>
      <c r="I58" s="450"/>
      <c r="J58" s="26"/>
      <c r="K58" s="26"/>
      <c r="L58" s="26"/>
      <c r="M58" s="26"/>
    </row>
    <row r="59" spans="1:13">
      <c r="A59" s="26"/>
      <c r="B59" s="453"/>
      <c r="C59" s="448" t="s">
        <v>898</v>
      </c>
      <c r="D59" s="449" t="s">
        <v>899</v>
      </c>
      <c r="E59" s="450" t="s">
        <v>339</v>
      </c>
      <c r="F59" s="450" t="s">
        <v>873</v>
      </c>
      <c r="G59" s="450"/>
      <c r="H59" s="450"/>
      <c r="I59" s="450"/>
      <c r="J59" s="26"/>
      <c r="K59" s="26"/>
      <c r="L59" s="26"/>
      <c r="M59" s="26"/>
    </row>
    <row r="60" spans="1:13">
      <c r="A60" s="26"/>
      <c r="B60" s="453"/>
      <c r="C60" s="448" t="s">
        <v>900</v>
      </c>
      <c r="D60" s="449" t="s">
        <v>901</v>
      </c>
      <c r="E60" s="450" t="s">
        <v>339</v>
      </c>
      <c r="F60" s="450" t="s">
        <v>873</v>
      </c>
      <c r="G60" s="450"/>
      <c r="H60" s="450"/>
      <c r="I60" s="450"/>
      <c r="J60" s="26"/>
      <c r="K60" s="26"/>
      <c r="L60" s="26"/>
      <c r="M60" s="26"/>
    </row>
    <row r="61" spans="1:13">
      <c r="A61" s="26"/>
      <c r="B61" s="453"/>
      <c r="C61" s="448" t="s">
        <v>902</v>
      </c>
      <c r="D61" s="449" t="s">
        <v>903</v>
      </c>
      <c r="E61" s="450" t="s">
        <v>339</v>
      </c>
      <c r="F61" s="450" t="s">
        <v>873</v>
      </c>
      <c r="G61" s="450"/>
      <c r="H61" s="450"/>
      <c r="I61" s="450"/>
      <c r="J61" s="26"/>
      <c r="K61" s="26"/>
      <c r="L61" s="26"/>
      <c r="M61" s="26"/>
    </row>
    <row r="62" spans="1:13">
      <c r="A62" s="26"/>
      <c r="B62" s="453"/>
      <c r="C62" s="448" t="s">
        <v>904</v>
      </c>
      <c r="D62" s="444" t="s">
        <v>905</v>
      </c>
      <c r="E62" s="450" t="s">
        <v>339</v>
      </c>
      <c r="F62" s="450" t="s">
        <v>873</v>
      </c>
      <c r="G62" s="450"/>
      <c r="H62" s="450"/>
      <c r="I62" s="450"/>
      <c r="J62" s="26"/>
      <c r="K62" s="26"/>
      <c r="L62" s="26"/>
      <c r="M62" s="26"/>
    </row>
    <row r="63" spans="1:13">
      <c r="A63" s="26"/>
      <c r="B63" s="453"/>
      <c r="C63" s="448" t="s">
        <v>906</v>
      </c>
      <c r="D63" s="449" t="s">
        <v>907</v>
      </c>
      <c r="E63" s="450" t="s">
        <v>339</v>
      </c>
      <c r="F63" s="450" t="s">
        <v>873</v>
      </c>
      <c r="G63" s="450"/>
      <c r="H63" s="450"/>
      <c r="I63" s="450"/>
      <c r="J63" s="26"/>
      <c r="K63" s="26"/>
      <c r="L63" s="26"/>
      <c r="M63" s="26"/>
    </row>
    <row r="64" spans="1:13">
      <c r="A64" s="26"/>
      <c r="B64" s="441"/>
      <c r="C64" s="440" t="s">
        <v>908</v>
      </c>
      <c r="D64" s="439" t="s">
        <v>909</v>
      </c>
      <c r="E64" s="438" t="s">
        <v>339</v>
      </c>
      <c r="F64" s="438" t="s">
        <v>873</v>
      </c>
      <c r="G64" s="438"/>
      <c r="H64" s="438"/>
      <c r="I64" s="438"/>
      <c r="J64" s="26"/>
      <c r="K64" s="26"/>
      <c r="L64" s="26"/>
      <c r="M64" s="26"/>
    </row>
    <row r="65" spans="1:13">
      <c r="A65" s="26"/>
      <c r="B65" s="453"/>
      <c r="C65" s="448" t="s">
        <v>910</v>
      </c>
      <c r="D65" s="449" t="s">
        <v>911</v>
      </c>
      <c r="E65" s="450" t="s">
        <v>339</v>
      </c>
      <c r="F65" s="450" t="s">
        <v>873</v>
      </c>
      <c r="G65" s="437"/>
      <c r="H65" s="437"/>
      <c r="I65" s="437"/>
      <c r="J65" s="26"/>
      <c r="K65" s="26"/>
      <c r="L65" s="26"/>
      <c r="M65" s="26"/>
    </row>
    <row r="66" spans="1:13">
      <c r="A66" s="26"/>
      <c r="B66" s="453"/>
      <c r="C66" s="448" t="s">
        <v>912</v>
      </c>
      <c r="D66" s="449" t="s">
        <v>913</v>
      </c>
      <c r="E66" s="450" t="s">
        <v>339</v>
      </c>
      <c r="F66" s="450" t="s">
        <v>873</v>
      </c>
      <c r="G66" s="437"/>
      <c r="H66" s="437"/>
      <c r="I66" s="437"/>
      <c r="J66" s="26"/>
      <c r="K66" s="26"/>
      <c r="L66" s="26"/>
      <c r="M66" s="26"/>
    </row>
    <row r="67" spans="1:13">
      <c r="A67" s="26"/>
      <c r="B67" s="453"/>
      <c r="C67" s="448" t="s">
        <v>914</v>
      </c>
      <c r="D67" s="449" t="s">
        <v>915</v>
      </c>
      <c r="E67" s="450" t="s">
        <v>339</v>
      </c>
      <c r="F67" s="450" t="s">
        <v>873</v>
      </c>
      <c r="G67" s="437"/>
      <c r="H67" s="437"/>
      <c r="I67" s="437"/>
      <c r="J67" s="26"/>
      <c r="K67" s="26"/>
      <c r="L67" s="26"/>
      <c r="M67" s="26"/>
    </row>
    <row r="68" spans="1:13">
      <c r="A68" s="26"/>
      <c r="B68" s="453"/>
      <c r="C68" s="448" t="s">
        <v>916</v>
      </c>
      <c r="D68" s="449" t="s">
        <v>917</v>
      </c>
      <c r="E68" s="450" t="s">
        <v>339</v>
      </c>
      <c r="F68" s="450" t="s">
        <v>873</v>
      </c>
      <c r="G68" s="437"/>
      <c r="H68" s="437"/>
      <c r="I68" s="437"/>
      <c r="J68" s="26"/>
      <c r="K68" s="26"/>
      <c r="L68" s="26"/>
      <c r="M68" s="26"/>
    </row>
    <row r="69" spans="1:13">
      <c r="A69" s="26"/>
      <c r="B69" s="453"/>
      <c r="C69" s="448" t="s">
        <v>673</v>
      </c>
      <c r="D69" s="449" t="s">
        <v>918</v>
      </c>
      <c r="E69" s="450" t="s">
        <v>339</v>
      </c>
      <c r="F69" s="450" t="s">
        <v>873</v>
      </c>
      <c r="G69" s="437"/>
      <c r="H69" s="437"/>
      <c r="I69" s="437"/>
      <c r="J69" s="26"/>
      <c r="K69" s="26"/>
      <c r="L69" s="26"/>
      <c r="M69" s="26"/>
    </row>
    <row r="70" spans="1:13">
      <c r="A70" s="26"/>
      <c r="B70" s="453" t="s">
        <v>820</v>
      </c>
      <c r="C70" s="448" t="s">
        <v>919</v>
      </c>
      <c r="D70" s="449" t="s">
        <v>920</v>
      </c>
      <c r="E70" s="450" t="s">
        <v>166</v>
      </c>
      <c r="F70" s="450"/>
      <c r="G70" s="437"/>
      <c r="H70" s="437"/>
      <c r="I70" s="437"/>
      <c r="J70" s="26"/>
      <c r="K70" s="26"/>
      <c r="L70" s="26"/>
      <c r="M70" s="26"/>
    </row>
    <row r="71" spans="1:13">
      <c r="A71" s="26"/>
      <c r="B71" s="453" t="s">
        <v>870</v>
      </c>
      <c r="C71" s="448" t="s">
        <v>921</v>
      </c>
      <c r="D71" s="449" t="s">
        <v>922</v>
      </c>
      <c r="E71" s="450" t="s">
        <v>339</v>
      </c>
      <c r="F71" s="450" t="s">
        <v>873</v>
      </c>
      <c r="G71" s="437"/>
      <c r="H71" s="437"/>
      <c r="I71" s="437"/>
      <c r="J71" s="26"/>
      <c r="K71" s="26"/>
      <c r="L71" s="26"/>
      <c r="M71" s="26"/>
    </row>
    <row r="72" spans="1:13">
      <c r="A72" s="26"/>
      <c r="B72" s="441"/>
      <c r="C72" s="440" t="s">
        <v>923</v>
      </c>
      <c r="D72" s="439" t="s">
        <v>924</v>
      </c>
      <c r="E72" s="438" t="s">
        <v>339</v>
      </c>
      <c r="F72" s="438" t="s">
        <v>873</v>
      </c>
      <c r="G72" s="436"/>
      <c r="H72" s="436"/>
      <c r="I72" s="436"/>
      <c r="J72" s="26"/>
      <c r="K72" s="26"/>
      <c r="L72" s="26"/>
      <c r="M72" s="26"/>
    </row>
    <row r="73" spans="1:13">
      <c r="A73" s="26"/>
      <c r="B73" s="453" t="s">
        <v>925</v>
      </c>
      <c r="C73" s="449" t="s">
        <v>926</v>
      </c>
      <c r="D73" s="444" t="s">
        <v>927</v>
      </c>
      <c r="E73" s="450" t="s">
        <v>928</v>
      </c>
      <c r="F73" s="437"/>
      <c r="G73" s="437"/>
      <c r="H73" s="437"/>
      <c r="I73" s="437"/>
      <c r="J73" s="26"/>
      <c r="K73" s="26"/>
      <c r="L73" s="26"/>
      <c r="M73" s="26"/>
    </row>
    <row r="74" spans="1:13">
      <c r="A74" s="26"/>
      <c r="B74" s="453"/>
      <c r="C74" s="449" t="s">
        <v>929</v>
      </c>
      <c r="D74" s="444" t="s">
        <v>930</v>
      </c>
      <c r="E74" s="450" t="s">
        <v>928</v>
      </c>
      <c r="F74" s="437"/>
      <c r="G74" s="437"/>
      <c r="H74" s="437"/>
      <c r="I74" s="437"/>
      <c r="J74" s="26"/>
      <c r="K74" s="26"/>
      <c r="L74" s="26"/>
      <c r="M74" s="26"/>
    </row>
    <row r="75" spans="1:13">
      <c r="A75" s="26"/>
      <c r="B75" s="453"/>
      <c r="C75" s="449" t="s">
        <v>931</v>
      </c>
      <c r="D75" s="444" t="s">
        <v>932</v>
      </c>
      <c r="E75" s="450" t="s">
        <v>928</v>
      </c>
      <c r="F75" s="437"/>
      <c r="G75" s="437"/>
      <c r="H75" s="437"/>
      <c r="I75" s="437"/>
      <c r="J75" s="26"/>
      <c r="K75" s="26"/>
      <c r="L75" s="26"/>
      <c r="M75" s="26"/>
    </row>
    <row r="76" spans="1:13">
      <c r="A76" s="26"/>
      <c r="B76" s="453"/>
      <c r="C76" s="449" t="s">
        <v>933</v>
      </c>
      <c r="D76" s="444" t="s">
        <v>934</v>
      </c>
      <c r="E76" s="450" t="s">
        <v>928</v>
      </c>
      <c r="F76" s="437"/>
      <c r="G76" s="437"/>
      <c r="H76" s="437"/>
      <c r="I76" s="437"/>
      <c r="J76" s="26"/>
      <c r="K76" s="26"/>
      <c r="L76" s="26"/>
      <c r="M76" s="26"/>
    </row>
    <row r="77" spans="1:13">
      <c r="A77" s="26"/>
      <c r="B77" s="453"/>
      <c r="C77" s="449" t="s">
        <v>935</v>
      </c>
      <c r="D77" s="444" t="s">
        <v>936</v>
      </c>
      <c r="E77" s="450" t="s">
        <v>928</v>
      </c>
      <c r="F77" s="437"/>
      <c r="G77" s="437"/>
      <c r="H77" s="437"/>
      <c r="I77" s="437"/>
      <c r="J77" s="26"/>
      <c r="K77" s="26"/>
      <c r="L77" s="26"/>
      <c r="M77" s="26"/>
    </row>
    <row r="78" spans="1:13">
      <c r="A78" s="26"/>
      <c r="B78" s="453"/>
      <c r="C78" s="449" t="s">
        <v>937</v>
      </c>
      <c r="D78" s="444" t="s">
        <v>938</v>
      </c>
      <c r="E78" s="450" t="s">
        <v>928</v>
      </c>
      <c r="F78" s="437"/>
      <c r="G78" s="437"/>
      <c r="H78" s="437"/>
      <c r="I78" s="437"/>
      <c r="J78" s="26"/>
      <c r="K78" s="26"/>
      <c r="L78" s="26"/>
      <c r="M78" s="26"/>
    </row>
    <row r="79" spans="1:13">
      <c r="A79" s="26"/>
      <c r="B79" s="453"/>
      <c r="C79" s="444" t="s">
        <v>939</v>
      </c>
      <c r="D79" s="444" t="s">
        <v>940</v>
      </c>
      <c r="E79" s="450" t="s">
        <v>928</v>
      </c>
      <c r="F79" s="437"/>
      <c r="G79" s="437"/>
      <c r="H79" s="437"/>
      <c r="I79" s="437"/>
      <c r="J79" s="26"/>
      <c r="K79" s="26"/>
      <c r="L79" s="26"/>
      <c r="M79" s="26"/>
    </row>
    <row r="80" spans="1:13">
      <c r="A80" s="26"/>
      <c r="B80" s="453"/>
      <c r="C80" s="444" t="s">
        <v>941</v>
      </c>
      <c r="D80" s="444" t="s">
        <v>942</v>
      </c>
      <c r="E80" s="450" t="s">
        <v>928</v>
      </c>
      <c r="F80" s="437"/>
      <c r="G80" s="437"/>
      <c r="H80" s="437"/>
      <c r="I80" s="437"/>
      <c r="J80" s="26"/>
      <c r="K80" s="26"/>
      <c r="L80" s="26"/>
      <c r="M80" s="26"/>
    </row>
    <row r="81" spans="1:13">
      <c r="A81" s="26"/>
      <c r="B81" s="453"/>
      <c r="C81" s="444" t="s">
        <v>943</v>
      </c>
      <c r="D81" s="444" t="s">
        <v>944</v>
      </c>
      <c r="E81" s="450" t="s">
        <v>945</v>
      </c>
      <c r="F81" s="437"/>
      <c r="G81" s="437"/>
      <c r="H81" s="437"/>
      <c r="I81" s="437"/>
      <c r="J81" s="26"/>
      <c r="K81" s="26"/>
      <c r="L81" s="26"/>
      <c r="M81" s="26"/>
    </row>
    <row r="82" spans="1:13">
      <c r="A82" s="26"/>
      <c r="B82" s="441"/>
      <c r="C82" s="435" t="s">
        <v>946</v>
      </c>
      <c r="D82" s="435" t="s">
        <v>947</v>
      </c>
      <c r="E82" s="438" t="s">
        <v>945</v>
      </c>
      <c r="F82" s="436"/>
      <c r="G82" s="436"/>
      <c r="H82" s="436"/>
      <c r="I82" s="436"/>
      <c r="J82" s="26"/>
      <c r="K82" s="26"/>
      <c r="L82" s="26"/>
      <c r="M82" s="26"/>
    </row>
    <row r="83" spans="1:13">
      <c r="A83" s="26"/>
      <c r="B83" s="434" t="s">
        <v>925</v>
      </c>
      <c r="C83" s="427" t="s">
        <v>948</v>
      </c>
      <c r="D83" s="433" t="s">
        <v>949</v>
      </c>
      <c r="E83" s="432" t="s">
        <v>928</v>
      </c>
      <c r="F83" s="431"/>
      <c r="G83" s="431"/>
      <c r="H83" s="431"/>
      <c r="I83" s="431"/>
      <c r="J83" s="26"/>
      <c r="K83" s="26"/>
      <c r="L83" s="26"/>
      <c r="M83" s="26"/>
    </row>
    <row r="84" spans="1:13">
      <c r="A84" s="26"/>
      <c r="B84" s="453" t="s">
        <v>950</v>
      </c>
      <c r="C84" s="451" t="s">
        <v>951</v>
      </c>
      <c r="D84" s="451" t="s">
        <v>952</v>
      </c>
      <c r="E84" s="450" t="s">
        <v>339</v>
      </c>
      <c r="F84" s="437"/>
      <c r="G84" s="437"/>
      <c r="H84" s="437"/>
      <c r="I84" s="437"/>
      <c r="J84" s="26"/>
      <c r="K84" s="26"/>
      <c r="L84" s="26"/>
      <c r="M84" s="26"/>
    </row>
    <row r="85" spans="1:13">
      <c r="A85" s="26"/>
      <c r="B85" s="437"/>
      <c r="C85" s="451" t="s">
        <v>953</v>
      </c>
      <c r="D85" s="451" t="s">
        <v>954</v>
      </c>
      <c r="E85" s="450" t="s">
        <v>339</v>
      </c>
      <c r="F85" s="437"/>
      <c r="G85" s="437"/>
      <c r="H85" s="437"/>
      <c r="I85" s="437"/>
      <c r="J85" s="26"/>
      <c r="K85" s="26"/>
      <c r="L85" s="26"/>
      <c r="M85" s="26"/>
    </row>
    <row r="86" spans="1:13">
      <c r="A86" s="26"/>
      <c r="B86" s="437"/>
      <c r="C86" s="451" t="s">
        <v>955</v>
      </c>
      <c r="D86" s="451" t="s">
        <v>956</v>
      </c>
      <c r="E86" s="450" t="s">
        <v>339</v>
      </c>
      <c r="F86" s="437"/>
      <c r="G86" s="437"/>
      <c r="H86" s="437"/>
      <c r="I86" s="437"/>
      <c r="J86" s="26"/>
      <c r="K86" s="26"/>
      <c r="L86" s="26"/>
      <c r="M86" s="26"/>
    </row>
    <row r="87" spans="1:13">
      <c r="A87" s="26"/>
      <c r="B87" s="437"/>
      <c r="C87" s="451" t="s">
        <v>957</v>
      </c>
      <c r="D87" s="451" t="s">
        <v>958</v>
      </c>
      <c r="E87" s="450" t="s">
        <v>166</v>
      </c>
      <c r="F87" s="437"/>
      <c r="G87" s="437"/>
      <c r="H87" s="437"/>
      <c r="I87" s="437"/>
      <c r="J87" s="26"/>
      <c r="K87" s="26"/>
      <c r="L87" s="26"/>
      <c r="M87" s="26"/>
    </row>
    <row r="88" spans="1:13">
      <c r="A88" s="26"/>
      <c r="B88" s="437"/>
      <c r="C88" s="451" t="s">
        <v>959</v>
      </c>
      <c r="D88" s="451" t="s">
        <v>960</v>
      </c>
      <c r="E88" s="450" t="s">
        <v>339</v>
      </c>
      <c r="F88" s="437"/>
      <c r="G88" s="437"/>
      <c r="H88" s="437"/>
      <c r="I88" s="437"/>
      <c r="J88" s="26"/>
      <c r="K88" s="26"/>
      <c r="L88" s="26"/>
      <c r="M88" s="26"/>
    </row>
    <row r="89" spans="1:13">
      <c r="A89" s="26"/>
      <c r="B89" s="437"/>
      <c r="C89" s="451" t="s">
        <v>961</v>
      </c>
      <c r="D89" s="451" t="s">
        <v>962</v>
      </c>
      <c r="E89" s="450" t="s">
        <v>339</v>
      </c>
      <c r="F89" s="437"/>
      <c r="G89" s="437"/>
      <c r="H89" s="437"/>
      <c r="I89" s="437"/>
      <c r="J89" s="26"/>
      <c r="K89" s="26"/>
      <c r="L89" s="26"/>
      <c r="M89" s="26"/>
    </row>
    <row r="90" spans="1:13">
      <c r="A90" s="26"/>
      <c r="B90" s="437"/>
      <c r="C90" s="451" t="s">
        <v>963</v>
      </c>
      <c r="D90" s="451" t="s">
        <v>964</v>
      </c>
      <c r="E90" s="450" t="s">
        <v>166</v>
      </c>
      <c r="F90" s="437"/>
      <c r="G90" s="437"/>
      <c r="H90" s="437"/>
      <c r="I90" s="437"/>
      <c r="J90" s="26"/>
      <c r="K90" s="26"/>
      <c r="L90" s="26"/>
      <c r="M90" s="26"/>
    </row>
    <row r="91" spans="1:13">
      <c r="A91" s="26"/>
      <c r="B91" s="437"/>
      <c r="C91" s="451" t="s">
        <v>965</v>
      </c>
      <c r="D91" s="451" t="s">
        <v>966</v>
      </c>
      <c r="E91" s="450" t="s">
        <v>339</v>
      </c>
      <c r="F91" s="437"/>
      <c r="G91" s="437"/>
      <c r="H91" s="437"/>
      <c r="I91" s="437"/>
      <c r="J91" s="26"/>
      <c r="K91" s="26"/>
      <c r="L91" s="26"/>
      <c r="M91" s="26"/>
    </row>
    <row r="92" spans="1:13">
      <c r="A92" s="26"/>
      <c r="B92" s="437"/>
      <c r="C92" s="451" t="s">
        <v>967</v>
      </c>
      <c r="D92" s="451" t="s">
        <v>968</v>
      </c>
      <c r="E92" s="450" t="s">
        <v>339</v>
      </c>
      <c r="F92" s="437"/>
      <c r="G92" s="437"/>
      <c r="H92" s="437"/>
      <c r="I92" s="437"/>
      <c r="J92" s="26"/>
      <c r="K92" s="26"/>
      <c r="L92" s="26"/>
      <c r="M92" s="26"/>
    </row>
    <row r="93" spans="1:13">
      <c r="A93" s="26"/>
      <c r="B93" s="437"/>
      <c r="C93" s="451" t="s">
        <v>969</v>
      </c>
      <c r="D93" s="451" t="s">
        <v>970</v>
      </c>
      <c r="E93" s="450" t="s">
        <v>339</v>
      </c>
      <c r="F93" s="437"/>
      <c r="G93" s="437"/>
      <c r="H93" s="437"/>
      <c r="I93" s="437"/>
      <c r="J93" s="26"/>
      <c r="K93" s="26"/>
      <c r="L93" s="26"/>
      <c r="M93" s="26"/>
    </row>
    <row r="94" spans="1:13">
      <c r="A94" s="26"/>
      <c r="B94" s="437"/>
      <c r="C94" s="451" t="s">
        <v>971</v>
      </c>
      <c r="D94" s="451" t="s">
        <v>972</v>
      </c>
      <c r="E94" s="450" t="s">
        <v>339</v>
      </c>
      <c r="F94" s="437"/>
      <c r="G94" s="437"/>
      <c r="H94" s="437"/>
      <c r="I94" s="437"/>
      <c r="J94" s="26"/>
      <c r="K94" s="26"/>
      <c r="L94" s="26"/>
      <c r="M94" s="26"/>
    </row>
    <row r="95" spans="1:13">
      <c r="A95" s="26"/>
      <c r="B95" s="437"/>
      <c r="C95" s="451" t="s">
        <v>973</v>
      </c>
      <c r="D95" s="451" t="s">
        <v>974</v>
      </c>
      <c r="E95" s="450" t="s">
        <v>166</v>
      </c>
      <c r="F95" s="437"/>
      <c r="G95" s="437"/>
      <c r="H95" s="437"/>
      <c r="I95" s="437"/>
      <c r="J95" s="26"/>
      <c r="K95" s="26"/>
      <c r="L95" s="26"/>
      <c r="M95" s="26"/>
    </row>
    <row r="96" spans="1:13">
      <c r="A96" s="26"/>
      <c r="B96" s="437"/>
      <c r="C96" s="451" t="s">
        <v>975</v>
      </c>
      <c r="D96" s="451" t="s">
        <v>976</v>
      </c>
      <c r="E96" s="450" t="s">
        <v>339</v>
      </c>
      <c r="F96" s="437"/>
      <c r="G96" s="437"/>
      <c r="H96" s="437"/>
      <c r="I96" s="437"/>
      <c r="J96" s="26"/>
      <c r="K96" s="26"/>
      <c r="L96" s="26"/>
      <c r="M96" s="26"/>
    </row>
    <row r="97" spans="1:13">
      <c r="A97" s="26"/>
      <c r="B97" s="437"/>
      <c r="C97" s="451" t="s">
        <v>977</v>
      </c>
      <c r="D97" s="451" t="s">
        <v>978</v>
      </c>
      <c r="E97" s="450" t="s">
        <v>339</v>
      </c>
      <c r="F97" s="437"/>
      <c r="G97" s="437"/>
      <c r="H97" s="437"/>
      <c r="I97" s="437"/>
      <c r="J97" s="26"/>
      <c r="K97" s="26"/>
      <c r="L97" s="26"/>
      <c r="M97" s="26"/>
    </row>
    <row r="98" spans="1:13">
      <c r="A98" s="26"/>
      <c r="B98" s="437"/>
      <c r="C98" s="451" t="s">
        <v>979</v>
      </c>
      <c r="D98" s="451" t="s">
        <v>980</v>
      </c>
      <c r="E98" s="450" t="s">
        <v>166</v>
      </c>
      <c r="F98" s="437"/>
      <c r="G98" s="437"/>
      <c r="H98" s="437"/>
      <c r="I98" s="437"/>
      <c r="J98" s="26"/>
      <c r="K98" s="26"/>
      <c r="L98" s="26"/>
      <c r="M98" s="26"/>
    </row>
    <row r="99" spans="1:13">
      <c r="A99" s="26"/>
      <c r="B99" s="437"/>
      <c r="C99" s="451" t="s">
        <v>981</v>
      </c>
      <c r="D99" s="451" t="s">
        <v>982</v>
      </c>
      <c r="E99" s="450" t="s">
        <v>166</v>
      </c>
      <c r="F99" s="437"/>
      <c r="G99" s="437"/>
      <c r="H99" s="437"/>
      <c r="I99" s="437"/>
      <c r="J99" s="26"/>
      <c r="K99" s="26"/>
      <c r="L99" s="26"/>
      <c r="M99" s="26"/>
    </row>
    <row r="100" spans="1:13">
      <c r="A100" s="26"/>
      <c r="B100" s="436"/>
      <c r="C100" s="430" t="s">
        <v>983</v>
      </c>
      <c r="D100" s="430" t="s">
        <v>984</v>
      </c>
      <c r="E100" s="438" t="s">
        <v>166</v>
      </c>
      <c r="F100" s="436"/>
      <c r="G100" s="437"/>
      <c r="H100" s="437"/>
      <c r="I100" s="437"/>
      <c r="J100" s="26"/>
      <c r="K100" s="26"/>
      <c r="L100" s="26"/>
      <c r="M100" s="26"/>
    </row>
    <row r="101" spans="1:13">
      <c r="A101" s="26"/>
      <c r="B101" s="429" t="s">
        <v>820</v>
      </c>
      <c r="C101" s="451" t="s">
        <v>985</v>
      </c>
      <c r="D101" s="451" t="s">
        <v>986</v>
      </c>
      <c r="E101" s="437" t="s">
        <v>166</v>
      </c>
      <c r="F101" s="437"/>
      <c r="G101" s="437" t="s">
        <v>492</v>
      </c>
      <c r="H101" s="437"/>
      <c r="I101" s="450"/>
      <c r="J101" s="26"/>
      <c r="K101" s="26"/>
      <c r="L101" s="26"/>
      <c r="M101" s="26"/>
    </row>
    <row r="102" spans="1:13">
      <c r="A102" s="26"/>
      <c r="B102" s="429"/>
      <c r="C102" s="451" t="s">
        <v>987</v>
      </c>
      <c r="D102" s="451" t="s">
        <v>988</v>
      </c>
      <c r="E102" s="437" t="s">
        <v>166</v>
      </c>
      <c r="F102" s="437"/>
      <c r="G102" s="437"/>
      <c r="H102" s="437"/>
      <c r="I102" s="437"/>
      <c r="J102" s="26"/>
      <c r="K102" s="26"/>
      <c r="L102" s="26"/>
      <c r="M102" s="26"/>
    </row>
    <row r="103" spans="1:13">
      <c r="A103" s="26"/>
      <c r="B103" s="429"/>
      <c r="C103" s="451" t="s">
        <v>989</v>
      </c>
      <c r="D103" s="451" t="s">
        <v>990</v>
      </c>
      <c r="E103" s="437" t="s">
        <v>166</v>
      </c>
      <c r="F103" s="437"/>
      <c r="G103" s="437"/>
      <c r="H103" s="437"/>
      <c r="I103" s="437"/>
      <c r="J103" s="26"/>
      <c r="K103" s="26"/>
      <c r="L103" s="26"/>
      <c r="M103" s="26"/>
    </row>
    <row r="104" spans="1:13">
      <c r="A104" s="26"/>
      <c r="B104" s="429"/>
      <c r="C104" s="451" t="s">
        <v>991</v>
      </c>
      <c r="D104" s="451" t="s">
        <v>992</v>
      </c>
      <c r="E104" s="437" t="s">
        <v>166</v>
      </c>
      <c r="F104" s="437"/>
      <c r="G104" s="437"/>
      <c r="H104" s="437"/>
      <c r="I104" s="437"/>
      <c r="J104" s="26"/>
      <c r="K104" s="26"/>
      <c r="L104" s="26"/>
      <c r="M104" s="26"/>
    </row>
    <row r="105" spans="1:13">
      <c r="A105" s="26"/>
      <c r="B105" s="428"/>
      <c r="C105" s="430" t="s">
        <v>993</v>
      </c>
      <c r="D105" s="430" t="s">
        <v>994</v>
      </c>
      <c r="E105" s="436" t="s">
        <v>166</v>
      </c>
      <c r="F105" s="436"/>
      <c r="G105" s="437"/>
      <c r="H105" s="437"/>
      <c r="I105" s="437"/>
      <c r="J105" s="26"/>
      <c r="K105" s="26"/>
      <c r="L105" s="26"/>
      <c r="M105" s="26"/>
    </row>
    <row r="106" spans="1:13">
      <c r="A106" s="26"/>
      <c r="B106" s="429"/>
      <c r="C106" s="451" t="s">
        <v>995</v>
      </c>
      <c r="D106" s="451" t="s">
        <v>996</v>
      </c>
      <c r="E106" s="437" t="s">
        <v>166</v>
      </c>
      <c r="F106" s="437"/>
      <c r="G106" s="437" t="s">
        <v>492</v>
      </c>
      <c r="H106" s="437"/>
      <c r="I106" s="450"/>
      <c r="J106" s="26"/>
      <c r="K106" s="26"/>
      <c r="L106" s="26"/>
      <c r="M106" s="26"/>
    </row>
    <row r="107" spans="1:13">
      <c r="A107" s="26"/>
      <c r="B107" s="429"/>
      <c r="C107" s="451" t="s">
        <v>997</v>
      </c>
      <c r="D107" s="451" t="s">
        <v>998</v>
      </c>
      <c r="E107" s="437" t="s">
        <v>166</v>
      </c>
      <c r="F107" s="437"/>
      <c r="G107" s="437"/>
      <c r="H107" s="437"/>
      <c r="I107" s="437"/>
      <c r="J107" s="26"/>
      <c r="K107" s="26"/>
      <c r="L107" s="26"/>
      <c r="M107" s="26"/>
    </row>
    <row r="108" spans="1:13">
      <c r="A108" s="26"/>
      <c r="B108" s="429"/>
      <c r="C108" s="451" t="s">
        <v>999</v>
      </c>
      <c r="D108" s="451" t="s">
        <v>1000</v>
      </c>
      <c r="E108" s="437" t="s">
        <v>166</v>
      </c>
      <c r="F108" s="437"/>
      <c r="G108" s="437"/>
      <c r="H108" s="437"/>
      <c r="I108" s="437"/>
      <c r="J108" s="26"/>
      <c r="K108" s="26"/>
      <c r="L108" s="26"/>
      <c r="M108" s="26"/>
    </row>
    <row r="109" spans="1:13">
      <c r="A109" s="26"/>
      <c r="B109" s="429"/>
      <c r="C109" s="451" t="s">
        <v>1001</v>
      </c>
      <c r="D109" s="451" t="s">
        <v>1002</v>
      </c>
      <c r="E109" s="437" t="s">
        <v>166</v>
      </c>
      <c r="F109" s="437"/>
      <c r="G109" s="437"/>
      <c r="H109" s="437"/>
      <c r="I109" s="437"/>
      <c r="J109" s="26"/>
      <c r="K109" s="26"/>
      <c r="L109" s="26"/>
      <c r="M109" s="26"/>
    </row>
    <row r="110" spans="1:13">
      <c r="A110" s="26"/>
      <c r="B110" s="428"/>
      <c r="C110" s="430" t="s">
        <v>1003</v>
      </c>
      <c r="D110" s="430" t="s">
        <v>1004</v>
      </c>
      <c r="E110" s="436" t="s">
        <v>166</v>
      </c>
      <c r="F110" s="436"/>
      <c r="G110" s="437"/>
      <c r="H110" s="437"/>
      <c r="I110" s="437"/>
      <c r="J110" s="26"/>
      <c r="K110" s="26"/>
      <c r="L110" s="26"/>
      <c r="M110" s="26"/>
    </row>
    <row r="111" spans="1:13">
      <c r="A111" s="26"/>
      <c r="B111" s="429"/>
      <c r="C111" s="451" t="s">
        <v>1005</v>
      </c>
      <c r="D111" s="451" t="s">
        <v>1006</v>
      </c>
      <c r="E111" s="437" t="s">
        <v>166</v>
      </c>
      <c r="F111" s="437"/>
      <c r="G111" s="437" t="s">
        <v>492</v>
      </c>
      <c r="H111" s="437"/>
      <c r="I111" s="450"/>
      <c r="J111" s="26"/>
      <c r="K111" s="26"/>
      <c r="L111" s="26"/>
      <c r="M111" s="26"/>
    </row>
    <row r="112" spans="1:13">
      <c r="A112" s="26"/>
      <c r="B112" s="429"/>
      <c r="C112" s="451" t="s">
        <v>1007</v>
      </c>
      <c r="D112" s="451" t="s">
        <v>1008</v>
      </c>
      <c r="E112" s="437" t="s">
        <v>166</v>
      </c>
      <c r="F112" s="437"/>
      <c r="G112" s="437"/>
      <c r="H112" s="437"/>
      <c r="I112" s="437"/>
      <c r="J112" s="26"/>
      <c r="K112" s="26"/>
      <c r="L112" s="26"/>
      <c r="M112" s="26"/>
    </row>
    <row r="113" spans="1:13">
      <c r="A113" s="26"/>
      <c r="B113" s="429"/>
      <c r="C113" s="451" t="s">
        <v>1009</v>
      </c>
      <c r="D113" s="451" t="s">
        <v>1010</v>
      </c>
      <c r="E113" s="437" t="s">
        <v>166</v>
      </c>
      <c r="F113" s="437"/>
      <c r="G113" s="437"/>
      <c r="H113" s="437"/>
      <c r="I113" s="437"/>
      <c r="J113" s="26"/>
      <c r="K113" s="26"/>
      <c r="L113" s="26"/>
      <c r="M113" s="26"/>
    </row>
    <row r="114" spans="1:13">
      <c r="A114" s="26"/>
      <c r="B114" s="429"/>
      <c r="C114" s="451" t="s">
        <v>1011</v>
      </c>
      <c r="D114" s="451" t="s">
        <v>1012</v>
      </c>
      <c r="E114" s="437" t="s">
        <v>166</v>
      </c>
      <c r="F114" s="437"/>
      <c r="G114" s="437"/>
      <c r="H114" s="437"/>
      <c r="I114" s="437"/>
      <c r="J114" s="26"/>
      <c r="K114" s="26"/>
      <c r="L114" s="26"/>
      <c r="M114" s="26"/>
    </row>
    <row r="115" spans="1:13">
      <c r="A115" s="26"/>
      <c r="B115" s="428"/>
      <c r="C115" s="430" t="s">
        <v>1013</v>
      </c>
      <c r="D115" s="430" t="s">
        <v>1014</v>
      </c>
      <c r="E115" s="436" t="s">
        <v>166</v>
      </c>
      <c r="F115" s="436"/>
      <c r="G115" s="437"/>
      <c r="H115" s="437"/>
      <c r="I115" s="437"/>
      <c r="J115" s="26"/>
      <c r="K115" s="26"/>
      <c r="L115" s="26"/>
      <c r="M115" s="26"/>
    </row>
    <row r="116" spans="1:13">
      <c r="A116" s="26"/>
      <c r="B116" s="429"/>
      <c r="C116" s="451" t="s">
        <v>1015</v>
      </c>
      <c r="D116" s="451" t="s">
        <v>1016</v>
      </c>
      <c r="E116" s="437" t="s">
        <v>166</v>
      </c>
      <c r="F116" s="437"/>
      <c r="G116" s="437" t="s">
        <v>492</v>
      </c>
      <c r="H116" s="437"/>
      <c r="I116" s="450"/>
      <c r="J116" s="26"/>
      <c r="K116" s="26"/>
      <c r="L116" s="26"/>
      <c r="M116" s="26"/>
    </row>
    <row r="117" spans="1:13">
      <c r="A117" s="26"/>
      <c r="B117" s="429"/>
      <c r="C117" s="451" t="s">
        <v>1017</v>
      </c>
      <c r="D117" s="451" t="s">
        <v>1018</v>
      </c>
      <c r="E117" s="437" t="s">
        <v>166</v>
      </c>
      <c r="F117" s="437"/>
      <c r="G117" s="437"/>
      <c r="H117" s="437"/>
      <c r="I117" s="437"/>
      <c r="J117" s="26"/>
      <c r="K117" s="26"/>
      <c r="L117" s="26"/>
      <c r="M117" s="26"/>
    </row>
    <row r="118" spans="1:13">
      <c r="A118" s="26"/>
      <c r="B118" s="429"/>
      <c r="C118" s="451" t="s">
        <v>1019</v>
      </c>
      <c r="D118" s="451" t="s">
        <v>1020</v>
      </c>
      <c r="E118" s="437" t="s">
        <v>166</v>
      </c>
      <c r="F118" s="437"/>
      <c r="G118" s="437"/>
      <c r="H118" s="437"/>
      <c r="I118" s="437"/>
      <c r="J118" s="26"/>
      <c r="K118" s="26"/>
      <c r="L118" s="26"/>
      <c r="M118" s="26"/>
    </row>
    <row r="119" spans="1:13">
      <c r="A119" s="26"/>
      <c r="B119" s="429"/>
      <c r="C119" s="451" t="s">
        <v>1021</v>
      </c>
      <c r="D119" s="451" t="s">
        <v>1022</v>
      </c>
      <c r="E119" s="437" t="s">
        <v>166</v>
      </c>
      <c r="F119" s="437"/>
      <c r="G119" s="437"/>
      <c r="H119" s="437"/>
      <c r="I119" s="437"/>
      <c r="J119" s="26"/>
      <c r="K119" s="26"/>
      <c r="L119" s="26"/>
      <c r="M119" s="26"/>
    </row>
    <row r="120" spans="1:13">
      <c r="A120" s="26"/>
      <c r="B120" s="428"/>
      <c r="C120" s="430" t="s">
        <v>1023</v>
      </c>
      <c r="D120" s="430" t="s">
        <v>1024</v>
      </c>
      <c r="E120" s="436" t="s">
        <v>166</v>
      </c>
      <c r="F120" s="436"/>
      <c r="G120" s="437"/>
      <c r="H120" s="437"/>
      <c r="I120" s="437"/>
      <c r="J120" s="26"/>
      <c r="K120" s="26"/>
      <c r="L120" s="26"/>
      <c r="M120" s="26"/>
    </row>
    <row r="121" spans="1:13">
      <c r="A121" s="26"/>
      <c r="B121" s="429"/>
      <c r="C121" s="451" t="s">
        <v>1025</v>
      </c>
      <c r="D121" s="451" t="s">
        <v>1026</v>
      </c>
      <c r="E121" s="437" t="s">
        <v>166</v>
      </c>
      <c r="F121" s="437"/>
      <c r="G121" s="437"/>
      <c r="H121" s="437"/>
      <c r="I121" s="437"/>
      <c r="J121" s="26"/>
      <c r="K121" s="26"/>
      <c r="L121" s="26"/>
      <c r="M121" s="26"/>
    </row>
    <row r="122" spans="1:13">
      <c r="A122" s="26"/>
      <c r="B122" s="462"/>
      <c r="C122" s="451" t="s">
        <v>1027</v>
      </c>
      <c r="D122" s="451" t="s">
        <v>1028</v>
      </c>
      <c r="E122" s="437" t="s">
        <v>166</v>
      </c>
      <c r="F122" s="437"/>
      <c r="G122" s="437"/>
      <c r="H122" s="437"/>
      <c r="I122" s="437"/>
      <c r="J122" s="26"/>
      <c r="K122" s="26"/>
      <c r="L122" s="26"/>
      <c r="M122" s="2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/>
  <dimension ref="A1:AB119"/>
  <sheetViews>
    <sheetView topLeftCell="A5" zoomScale="80" zoomScaleNormal="80" workbookViewId="0">
      <selection activeCell="M36" sqref="M36"/>
    </sheetView>
  </sheetViews>
  <sheetFormatPr defaultColWidth="9.140625" defaultRowHeight="12.75"/>
  <cols>
    <col min="1" max="1" width="3.28515625" style="25" bestFit="1" customWidth="1"/>
    <col min="2" max="2" width="23.28515625" style="25" bestFit="1" customWidth="1"/>
    <col min="3" max="3" width="30.85546875" style="25" bestFit="1" customWidth="1"/>
    <col min="4" max="4" width="10.85546875" style="25" customWidth="1"/>
    <col min="5" max="5" width="8" style="25" customWidth="1"/>
    <col min="6" max="11" width="9.42578125" style="25" customWidth="1"/>
    <col min="12" max="13" width="9.42578125" style="391" customWidth="1"/>
    <col min="14" max="14" width="9.42578125" style="25" customWidth="1"/>
    <col min="15" max="15" width="23.28515625" style="25" bestFit="1" customWidth="1"/>
    <col min="16" max="16" width="8" style="25" customWidth="1"/>
    <col min="17" max="17" width="12.7109375" style="25" bestFit="1" customWidth="1"/>
    <col min="18" max="18" width="38.7109375" style="25" bestFit="1" customWidth="1"/>
    <col min="19" max="19" width="8" style="25" customWidth="1"/>
    <col min="20" max="24" width="9" style="25" customWidth="1"/>
    <col min="25" max="25" width="9" style="149" customWidth="1"/>
    <col min="26" max="28" width="9" style="25" customWidth="1"/>
    <col min="29" max="16384" width="9.140625" style="25"/>
  </cols>
  <sheetData>
    <row r="1" spans="1:27" ht="26.25">
      <c r="A1" s="389" t="s">
        <v>1029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Z1" s="470"/>
      <c r="AA1" s="470"/>
    </row>
    <row r="2" spans="1:27" ht="18.75">
      <c r="A2" s="392" t="s">
        <v>1030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Z2" s="470"/>
      <c r="AA2" s="470"/>
    </row>
    <row r="4" spans="1:27" ht="153">
      <c r="A4" s="393"/>
      <c r="B4" s="393"/>
      <c r="C4" s="792" t="s">
        <v>1031</v>
      </c>
      <c r="D4" s="792"/>
      <c r="E4" s="792"/>
      <c r="F4" s="792"/>
      <c r="G4" s="792"/>
      <c r="H4" s="792"/>
      <c r="I4" s="793"/>
      <c r="J4" s="394" t="s">
        <v>1032</v>
      </c>
      <c r="K4" s="395"/>
      <c r="L4" s="396"/>
      <c r="N4" s="393"/>
      <c r="O4" s="393"/>
      <c r="P4" s="792" t="s">
        <v>1031</v>
      </c>
      <c r="Q4" s="792"/>
      <c r="R4" s="792"/>
      <c r="S4" s="792"/>
      <c r="T4" s="792"/>
      <c r="U4" s="792"/>
      <c r="V4" s="792"/>
      <c r="W4" s="792"/>
      <c r="X4" s="394" t="s">
        <v>1032</v>
      </c>
      <c r="Z4" s="470"/>
      <c r="AA4" s="470"/>
    </row>
    <row r="5" spans="1:27" ht="26.25" thickBot="1">
      <c r="A5" s="397"/>
      <c r="B5" s="397"/>
      <c r="C5" s="398" t="s">
        <v>1033</v>
      </c>
      <c r="D5" s="398" t="s">
        <v>245</v>
      </c>
      <c r="E5" s="398" t="s">
        <v>147</v>
      </c>
      <c r="F5" s="398" t="s">
        <v>148</v>
      </c>
      <c r="G5" s="398" t="s">
        <v>1034</v>
      </c>
      <c r="H5" s="398" t="s">
        <v>254</v>
      </c>
      <c r="I5" s="398" t="s">
        <v>1035</v>
      </c>
      <c r="J5" s="399" t="s">
        <v>1036</v>
      </c>
      <c r="K5" s="400" t="s">
        <v>228</v>
      </c>
      <c r="L5" s="400"/>
      <c r="N5" s="397"/>
      <c r="O5" s="397"/>
      <c r="P5" s="398" t="s">
        <v>1037</v>
      </c>
      <c r="Q5" s="398" t="s">
        <v>154</v>
      </c>
      <c r="R5" s="398" t="s">
        <v>245</v>
      </c>
      <c r="S5" s="398" t="s">
        <v>147</v>
      </c>
      <c r="T5" s="398" t="s">
        <v>148</v>
      </c>
      <c r="U5" s="398" t="s">
        <v>1034</v>
      </c>
      <c r="V5" s="398" t="s">
        <v>254</v>
      </c>
      <c r="W5" s="398" t="s">
        <v>1035</v>
      </c>
      <c r="X5" s="399" t="s">
        <v>1036</v>
      </c>
      <c r="Y5" s="399" t="s">
        <v>228</v>
      </c>
      <c r="Z5" s="401" t="s">
        <v>720</v>
      </c>
      <c r="AA5" s="401" t="s">
        <v>1038</v>
      </c>
    </row>
    <row r="6" spans="1:27">
      <c r="A6" s="402" t="str">
        <f>N6</f>
        <v>IE</v>
      </c>
      <c r="B6" s="403" t="s">
        <v>1039</v>
      </c>
      <c r="C6" s="417">
        <f>IF(P6="","",P6)</f>
        <v>0</v>
      </c>
      <c r="D6" s="417" t="str">
        <f t="shared" ref="D6:J8" si="0">IF(R6="","",R6)</f>
        <v/>
      </c>
      <c r="E6" s="417" t="str">
        <f t="shared" si="0"/>
        <v/>
      </c>
      <c r="F6" s="417" t="str">
        <f t="shared" si="0"/>
        <v/>
      </c>
      <c r="G6" s="417">
        <f t="shared" si="0"/>
        <v>0</v>
      </c>
      <c r="H6" s="417" t="str">
        <f t="shared" si="0"/>
        <v/>
      </c>
      <c r="I6" s="417" t="str">
        <f t="shared" si="0"/>
        <v/>
      </c>
      <c r="J6" s="404">
        <f t="shared" si="0"/>
        <v>0</v>
      </c>
      <c r="K6" s="404">
        <f>J6*2</f>
        <v>0</v>
      </c>
      <c r="L6" s="404"/>
      <c r="N6" s="405" t="s">
        <v>114</v>
      </c>
      <c r="O6" s="406" t="s">
        <v>1039</v>
      </c>
      <c r="P6" s="491">
        <v>0</v>
      </c>
      <c r="Q6" s="491"/>
      <c r="R6" s="492"/>
      <c r="S6" s="492"/>
      <c r="T6" s="492"/>
      <c r="U6" s="492">
        <v>0</v>
      </c>
      <c r="V6" s="491"/>
      <c r="W6" s="491"/>
      <c r="X6" s="407">
        <f>SUM(P6:W6)*Z6</f>
        <v>0</v>
      </c>
      <c r="Y6" s="505">
        <f>X6/2</f>
        <v>0</v>
      </c>
      <c r="Z6" s="504">
        <v>0.77859399105420668</v>
      </c>
      <c r="AA6" s="81">
        <v>0</v>
      </c>
    </row>
    <row r="7" spans="1:27">
      <c r="A7" s="149"/>
      <c r="B7" s="403" t="s">
        <v>1040</v>
      </c>
      <c r="C7" s="417">
        <f>IF(P7="","",P7)</f>
        <v>0</v>
      </c>
      <c r="D7" s="417">
        <f t="shared" si="0"/>
        <v>0</v>
      </c>
      <c r="E7" s="417">
        <f t="shared" si="0"/>
        <v>2.6585959060219391E-2</v>
      </c>
      <c r="F7" s="417">
        <f t="shared" si="0"/>
        <v>2.285670006385959</v>
      </c>
      <c r="G7" s="417" t="str">
        <f t="shared" si="0"/>
        <v/>
      </c>
      <c r="H7" s="417">
        <f t="shared" si="0"/>
        <v>0</v>
      </c>
      <c r="I7" s="417">
        <f t="shared" si="0"/>
        <v>0</v>
      </c>
      <c r="J7" s="404">
        <f>IF(X7="","",X7)</f>
        <v>1.8003086004756379</v>
      </c>
      <c r="K7" s="404">
        <f>J7*2</f>
        <v>3.6006172009512758</v>
      </c>
      <c r="L7" s="404"/>
      <c r="N7" s="149"/>
      <c r="O7" s="403" t="s">
        <v>1040</v>
      </c>
      <c r="P7" s="493">
        <v>0</v>
      </c>
      <c r="Q7" s="493"/>
      <c r="R7" s="408">
        <v>0</v>
      </c>
      <c r="S7" s="408">
        <f>SUM('EB2018'!R11:T11)*IND_Bal!$B$4</f>
        <v>2.6585959060219391E-2</v>
      </c>
      <c r="T7" s="494">
        <f>$T$12*T15</f>
        <v>2.285670006385959</v>
      </c>
      <c r="U7" s="494"/>
      <c r="V7" s="493">
        <v>0</v>
      </c>
      <c r="W7" s="493">
        <v>0</v>
      </c>
      <c r="X7" s="409">
        <f>SUM(P7:W7)*Z7</f>
        <v>1.8003086004756379</v>
      </c>
      <c r="Y7" s="506">
        <f>X7/2</f>
        <v>0.90015430023781895</v>
      </c>
      <c r="Z7" s="504">
        <v>0.77859399105420668</v>
      </c>
      <c r="AA7" s="81">
        <v>0.1</v>
      </c>
    </row>
    <row r="8" spans="1:27">
      <c r="A8" s="149"/>
      <c r="B8" s="403" t="s">
        <v>1041</v>
      </c>
      <c r="C8" s="417">
        <f>IF(P8="","",P8)</f>
        <v>0</v>
      </c>
      <c r="D8" s="417" t="str">
        <f t="shared" si="0"/>
        <v/>
      </c>
      <c r="E8" s="417" t="str">
        <f t="shared" si="0"/>
        <v/>
      </c>
      <c r="F8" s="417">
        <f>IF(T8="","",T8)</f>
        <v>0</v>
      </c>
      <c r="G8" s="417" t="str">
        <f t="shared" si="0"/>
        <v/>
      </c>
      <c r="H8" s="417">
        <f t="shared" si="0"/>
        <v>0</v>
      </c>
      <c r="I8" s="417">
        <f t="shared" si="0"/>
        <v>0</v>
      </c>
      <c r="J8" s="404">
        <f t="shared" si="0"/>
        <v>0</v>
      </c>
      <c r="K8" s="404">
        <f>J8*2</f>
        <v>0</v>
      </c>
      <c r="L8" s="404"/>
      <c r="N8" s="149"/>
      <c r="O8" s="403" t="s">
        <v>1041</v>
      </c>
      <c r="P8" s="493">
        <v>0</v>
      </c>
      <c r="Q8" s="493"/>
      <c r="R8" s="494"/>
      <c r="S8" s="494"/>
      <c r="T8" s="494">
        <f>$T$12*T16</f>
        <v>0</v>
      </c>
      <c r="U8" s="494"/>
      <c r="V8" s="493">
        <v>0</v>
      </c>
      <c r="W8" s="493">
        <v>0</v>
      </c>
      <c r="X8" s="409">
        <f>SUM(P8:W8)*Z8</f>
        <v>0</v>
      </c>
      <c r="Y8" s="506">
        <f>X8/2</f>
        <v>0</v>
      </c>
      <c r="Z8" s="504">
        <v>0.77859399105420668</v>
      </c>
      <c r="AA8" s="414">
        <v>0</v>
      </c>
    </row>
    <row r="9" spans="1:27">
      <c r="A9" s="149"/>
      <c r="B9" s="403" t="s">
        <v>195</v>
      </c>
      <c r="C9" s="417">
        <f>IF(P10+P9="","",P10+P9)</f>
        <v>0</v>
      </c>
      <c r="D9" s="417" t="str">
        <f t="shared" ref="D9:J9" si="1">IF(R10="","",R10)</f>
        <v/>
      </c>
      <c r="E9" s="417">
        <f t="shared" si="1"/>
        <v>0</v>
      </c>
      <c r="F9" s="417">
        <f t="shared" si="1"/>
        <v>9.1426800255438359</v>
      </c>
      <c r="G9" s="417" t="str">
        <f t="shared" si="1"/>
        <v/>
      </c>
      <c r="H9" s="417">
        <f t="shared" si="1"/>
        <v>0</v>
      </c>
      <c r="I9" s="417">
        <f t="shared" si="1"/>
        <v>0</v>
      </c>
      <c r="J9" s="404">
        <f t="shared" si="1"/>
        <v>7.1184357300197512</v>
      </c>
      <c r="K9" s="404">
        <f>J9*2</f>
        <v>14.236871460039502</v>
      </c>
      <c r="L9" s="404"/>
      <c r="N9" s="149"/>
      <c r="O9" s="403" t="s">
        <v>1042</v>
      </c>
      <c r="P9" s="493">
        <v>0</v>
      </c>
      <c r="Q9" s="495">
        <f>'EB2018'!H11*IND_Bal!$B$4</f>
        <v>0.19918091955445327</v>
      </c>
      <c r="R9" s="494"/>
      <c r="S9" s="494"/>
      <c r="T9" s="494"/>
      <c r="U9" s="494"/>
      <c r="V9" s="493"/>
      <c r="W9" s="493"/>
      <c r="X9" s="409">
        <f>SUM(P9:W9)*Z9</f>
        <v>0.15508106709774866</v>
      </c>
      <c r="Y9" s="506">
        <f>X9/2</f>
        <v>7.754053354887433E-2</v>
      </c>
      <c r="Z9" s="504">
        <v>0.77859399105420668</v>
      </c>
      <c r="AA9" s="81">
        <v>0.15</v>
      </c>
    </row>
    <row r="10" spans="1:27">
      <c r="A10" s="410"/>
      <c r="B10" s="403"/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N10" s="149"/>
      <c r="O10" s="411" t="s">
        <v>195</v>
      </c>
      <c r="P10" s="496">
        <v>0</v>
      </c>
      <c r="Q10" s="497"/>
      <c r="R10" s="498"/>
      <c r="S10" s="498">
        <v>0</v>
      </c>
      <c r="T10" s="498">
        <f>$T$12*T18</f>
        <v>9.1426800255438359</v>
      </c>
      <c r="U10" s="498"/>
      <c r="V10" s="497">
        <v>0</v>
      </c>
      <c r="W10" s="497">
        <v>0</v>
      </c>
      <c r="X10" s="412">
        <f>SUM(P10:W10)*Z10</f>
        <v>7.1184357300197512</v>
      </c>
      <c r="Y10" s="507">
        <f>X10/2</f>
        <v>3.5592178650098756</v>
      </c>
      <c r="Z10" s="504">
        <v>0.77859399105420668</v>
      </c>
      <c r="AA10" s="81">
        <v>0.3</v>
      </c>
    </row>
    <row r="11" spans="1:27">
      <c r="A11" s="413"/>
      <c r="B11" s="403"/>
      <c r="C11" s="404"/>
      <c r="D11" s="404"/>
      <c r="E11" s="404"/>
      <c r="F11" s="404"/>
      <c r="G11" s="404"/>
      <c r="H11" s="404"/>
      <c r="I11" s="404"/>
      <c r="J11" s="404"/>
      <c r="K11" s="404"/>
      <c r="L11" s="404"/>
      <c r="N11" s="470"/>
      <c r="O11" s="470"/>
      <c r="P11" s="470"/>
      <c r="Q11" s="470"/>
      <c r="R11" s="470"/>
      <c r="S11" s="470"/>
      <c r="T11" s="470"/>
      <c r="U11" s="470"/>
      <c r="V11" s="470"/>
      <c r="W11" s="470"/>
      <c r="X11" s="470"/>
      <c r="Y11" s="404"/>
      <c r="Z11" s="470"/>
      <c r="AA11" s="470"/>
    </row>
    <row r="12" spans="1:27">
      <c r="A12" s="413"/>
      <c r="B12" s="403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N12" s="470"/>
      <c r="O12" s="403" t="s">
        <v>1043</v>
      </c>
      <c r="P12" s="238">
        <f>SUM(P6:P10)</f>
        <v>0</v>
      </c>
      <c r="Q12" s="238">
        <f>SUM(Q6:Q10)</f>
        <v>0.19918091955445327</v>
      </c>
      <c r="R12" s="238">
        <f>SUM(R6:R10)</f>
        <v>0</v>
      </c>
      <c r="S12" s="238">
        <f>SUM(S6:S10)</f>
        <v>2.6585959060219391E-2</v>
      </c>
      <c r="T12" s="414">
        <f>'EB2018'!Z11*IND_Bal!B4</f>
        <v>11.428350031929794</v>
      </c>
      <c r="U12" s="238">
        <f>SUM(U6:U10)</f>
        <v>0</v>
      </c>
      <c r="V12" s="238">
        <f>SUM(V6:V10)</f>
        <v>0</v>
      </c>
      <c r="W12" s="238">
        <f>SUM(W6:W10)</f>
        <v>0</v>
      </c>
      <c r="X12" s="470"/>
      <c r="Y12" s="404"/>
      <c r="Z12" s="470"/>
      <c r="AA12" s="470"/>
    </row>
    <row r="13" spans="1:27">
      <c r="A13" s="413"/>
      <c r="B13" s="403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N13" s="470"/>
      <c r="O13" s="470"/>
      <c r="P13" s="470"/>
      <c r="Q13" s="470"/>
      <c r="R13" s="470"/>
      <c r="S13" s="470"/>
      <c r="T13" s="470"/>
      <c r="U13" s="470"/>
      <c r="V13" s="470"/>
      <c r="W13" s="470"/>
      <c r="X13" s="470"/>
      <c r="Y13" s="404"/>
      <c r="Z13" s="470"/>
      <c r="AA13" s="470"/>
    </row>
    <row r="14" spans="1:27">
      <c r="A14" s="410"/>
      <c r="B14" s="403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N14" s="470"/>
      <c r="O14" s="470"/>
      <c r="P14" s="470"/>
      <c r="Q14" s="470"/>
      <c r="R14" s="470"/>
      <c r="S14" s="470"/>
      <c r="T14" s="470" t="s">
        <v>1044</v>
      </c>
      <c r="U14" s="470"/>
      <c r="V14" s="470"/>
      <c r="W14" s="470"/>
      <c r="X14" s="470"/>
      <c r="Y14" s="404"/>
      <c r="Z14" s="470"/>
      <c r="AA14" s="470"/>
    </row>
    <row r="15" spans="1:27">
      <c r="A15" s="470"/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04"/>
      <c r="N15" s="470"/>
      <c r="O15" s="470"/>
      <c r="P15" s="470"/>
      <c r="Q15" s="470"/>
      <c r="R15" s="470"/>
      <c r="S15" s="470"/>
      <c r="T15" s="418">
        <v>0.2</v>
      </c>
      <c r="U15" s="470"/>
      <c r="V15" s="470"/>
      <c r="W15" s="470"/>
      <c r="X15" s="470"/>
      <c r="Y15" s="404"/>
      <c r="Z15" s="470"/>
      <c r="AA15" s="470"/>
    </row>
    <row r="16" spans="1:27">
      <c r="A16" s="470"/>
      <c r="B16" s="470"/>
      <c r="C16" s="470"/>
      <c r="D16" s="470"/>
      <c r="E16" s="470"/>
      <c r="F16" s="470"/>
      <c r="G16" s="470"/>
      <c r="H16" s="470"/>
      <c r="I16" s="470"/>
      <c r="J16" s="470"/>
      <c r="K16" s="470"/>
      <c r="L16" s="404"/>
      <c r="N16" s="470"/>
      <c r="O16" s="470"/>
      <c r="P16" s="470"/>
      <c r="Q16" s="470"/>
      <c r="R16" s="470"/>
      <c r="S16" s="470"/>
      <c r="T16" s="418">
        <v>0</v>
      </c>
      <c r="U16" s="470"/>
      <c r="V16" s="470"/>
      <c r="W16" s="470"/>
      <c r="X16" s="470"/>
      <c r="Y16" s="404"/>
      <c r="Z16" s="470"/>
      <c r="AA16" s="470"/>
    </row>
    <row r="17" spans="1:28">
      <c r="A17" s="470"/>
      <c r="B17" s="470"/>
      <c r="C17" s="470"/>
      <c r="D17" s="470"/>
      <c r="E17" s="470"/>
      <c r="F17" s="470"/>
      <c r="G17" s="470"/>
      <c r="H17" s="470"/>
      <c r="I17" s="470"/>
      <c r="J17" s="470"/>
      <c r="K17" s="470"/>
      <c r="L17" s="404"/>
      <c r="N17" s="470"/>
      <c r="O17" s="470"/>
      <c r="P17" s="470"/>
      <c r="Q17" s="470"/>
      <c r="R17" s="470"/>
      <c r="S17" s="470"/>
      <c r="T17" s="418"/>
      <c r="U17" s="470"/>
      <c r="V17" s="470"/>
      <c r="W17" s="470"/>
      <c r="X17" s="470"/>
      <c r="Y17" s="404"/>
      <c r="Z17" s="470"/>
      <c r="AA17" s="470"/>
    </row>
    <row r="18" spans="1:28">
      <c r="A18" s="470"/>
      <c r="B18" s="470"/>
      <c r="C18" s="470"/>
      <c r="D18" s="470"/>
      <c r="E18" s="470"/>
      <c r="F18" s="470"/>
      <c r="G18" s="470"/>
      <c r="H18" s="470"/>
      <c r="I18" s="470"/>
      <c r="J18" s="470"/>
      <c r="K18" s="470"/>
      <c r="L18" s="404"/>
      <c r="N18" s="470"/>
      <c r="O18" s="470"/>
      <c r="P18" s="470"/>
      <c r="Q18" s="470"/>
      <c r="R18" s="470"/>
      <c r="S18" s="470"/>
      <c r="T18" s="418">
        <f>1-SUM(T15:T17)</f>
        <v>0.8</v>
      </c>
      <c r="U18" s="470"/>
      <c r="V18" s="470"/>
      <c r="W18" s="470"/>
      <c r="X18" s="470"/>
      <c r="Y18" s="404"/>
      <c r="Z18" s="470"/>
      <c r="AA18" s="470"/>
    </row>
    <row r="19" spans="1:28">
      <c r="A19" s="470"/>
      <c r="B19" s="470"/>
      <c r="C19" s="470"/>
      <c r="D19" s="470"/>
      <c r="E19" s="470"/>
      <c r="F19" s="470"/>
      <c r="G19" s="470"/>
      <c r="H19" s="470"/>
      <c r="I19" s="470"/>
      <c r="J19" s="470"/>
      <c r="K19" s="470"/>
      <c r="L19" s="404"/>
      <c r="N19" s="470"/>
      <c r="O19" s="470"/>
      <c r="P19" s="470"/>
      <c r="Q19" s="470"/>
      <c r="R19" s="470"/>
      <c r="S19" s="470"/>
      <c r="T19" s="470"/>
      <c r="U19" s="470"/>
      <c r="V19" s="470"/>
      <c r="W19" s="470"/>
      <c r="X19" s="470"/>
      <c r="Y19" s="404"/>
      <c r="Z19" s="470"/>
      <c r="AA19" s="470"/>
    </row>
    <row r="20" spans="1:28">
      <c r="A20" s="470"/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404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04"/>
      <c r="Z20" s="470"/>
      <c r="AA20" s="470"/>
    </row>
    <row r="21" spans="1:28">
      <c r="A21" s="413"/>
      <c r="B21" s="403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N21" s="470"/>
      <c r="O21" s="470"/>
      <c r="P21" s="470"/>
      <c r="Q21" s="470"/>
      <c r="R21" s="470"/>
      <c r="S21" s="470"/>
      <c r="T21" s="470"/>
      <c r="U21" s="470"/>
      <c r="V21" s="470"/>
      <c r="W21" s="470"/>
      <c r="X21" s="470"/>
      <c r="Y21" s="404"/>
      <c r="Z21" s="470"/>
      <c r="AA21" s="470"/>
    </row>
    <row r="22" spans="1:28" ht="18.75">
      <c r="A22" s="413"/>
      <c r="B22" s="471" t="s">
        <v>1045</v>
      </c>
      <c r="C22" s="471"/>
      <c r="D22" s="242"/>
      <c r="E22" s="472" t="s">
        <v>717</v>
      </c>
      <c r="F22" s="242"/>
      <c r="G22" s="242"/>
      <c r="H22" s="242"/>
      <c r="I22" s="242"/>
      <c r="J22" s="242"/>
      <c r="K22" s="242"/>
      <c r="L22" s="242"/>
      <c r="M22" s="242"/>
      <c r="N22" s="473"/>
      <c r="O22" s="242"/>
      <c r="P22" s="470"/>
      <c r="Q22" s="246" t="s">
        <v>325</v>
      </c>
      <c r="R22" s="247"/>
      <c r="S22" s="247"/>
      <c r="T22" s="247"/>
      <c r="U22" s="247"/>
      <c r="V22" s="247"/>
      <c r="W22" s="247"/>
      <c r="X22" s="247"/>
      <c r="Y22" s="470"/>
      <c r="Z22" s="149"/>
      <c r="AA22" s="470"/>
      <c r="AB22" s="470"/>
    </row>
    <row r="23" spans="1:28" ht="15.75" thickBot="1">
      <c r="A23" s="410"/>
      <c r="B23" s="524" t="s">
        <v>318</v>
      </c>
      <c r="C23" s="524" t="s">
        <v>327</v>
      </c>
      <c r="D23" s="524" t="s">
        <v>718</v>
      </c>
      <c r="E23" s="524" t="s">
        <v>719</v>
      </c>
      <c r="F23" s="526" t="s">
        <v>1046</v>
      </c>
      <c r="G23" s="526" t="s">
        <v>1047</v>
      </c>
      <c r="H23" s="526" t="s">
        <v>1048</v>
      </c>
      <c r="I23" s="785" t="s">
        <v>1199</v>
      </c>
      <c r="J23" s="526" t="s">
        <v>720</v>
      </c>
      <c r="K23" s="526" t="s">
        <v>803</v>
      </c>
      <c r="L23" s="526" t="s">
        <v>1049</v>
      </c>
      <c r="M23" s="526" t="s">
        <v>1050</v>
      </c>
      <c r="N23" s="526" t="s">
        <v>1051</v>
      </c>
      <c r="O23" s="526" t="s">
        <v>1052</v>
      </c>
      <c r="P23" s="470"/>
      <c r="Q23" s="250" t="s">
        <v>326</v>
      </c>
      <c r="R23" s="251" t="s">
        <v>318</v>
      </c>
      <c r="S23" s="251" t="s">
        <v>327</v>
      </c>
      <c r="T23" s="251" t="s">
        <v>328</v>
      </c>
      <c r="U23" s="251" t="s">
        <v>329</v>
      </c>
      <c r="V23" s="251" t="s">
        <v>330</v>
      </c>
      <c r="W23" s="251" t="s">
        <v>331</v>
      </c>
      <c r="X23" s="252" t="s">
        <v>332</v>
      </c>
      <c r="Y23" s="470"/>
      <c r="Z23" s="149"/>
      <c r="AA23" s="470"/>
      <c r="AB23" s="470"/>
    </row>
    <row r="24" spans="1:28" ht="15">
      <c r="A24" s="413"/>
      <c r="B24" s="525" t="s">
        <v>333</v>
      </c>
      <c r="C24" s="525"/>
      <c r="D24" s="525"/>
      <c r="E24" s="525"/>
      <c r="F24" s="525" t="s">
        <v>400</v>
      </c>
      <c r="G24" s="525"/>
      <c r="H24" s="525"/>
      <c r="I24" s="787"/>
      <c r="J24" s="525"/>
      <c r="K24" s="525"/>
      <c r="L24" s="525"/>
      <c r="M24" s="525" t="s">
        <v>1053</v>
      </c>
      <c r="N24" s="525" t="s">
        <v>1054</v>
      </c>
      <c r="O24" s="525" t="s">
        <v>1055</v>
      </c>
      <c r="P24" s="470"/>
      <c r="Q24" s="253" t="s">
        <v>1056</v>
      </c>
      <c r="R24" s="253" t="str">
        <f>B25</f>
        <v>*CHPINDIIS00</v>
      </c>
      <c r="S24" s="253" t="str">
        <f>C25</f>
        <v>CHP.Autoproducer.Industry.Iron&amp;Steel.00</v>
      </c>
      <c r="T24" s="253" t="s">
        <v>166</v>
      </c>
      <c r="U24" s="253" t="s">
        <v>400</v>
      </c>
      <c r="V24" s="253" t="s">
        <v>491</v>
      </c>
      <c r="W24" s="254"/>
      <c r="X24" s="253" t="s">
        <v>341</v>
      </c>
      <c r="Y24" s="470"/>
      <c r="Z24" s="149"/>
      <c r="AA24" s="470"/>
      <c r="AB24" s="470"/>
    </row>
    <row r="25" spans="1:28" ht="15">
      <c r="A25" s="413"/>
      <c r="B25" s="474" t="s">
        <v>1057</v>
      </c>
      <c r="C25" s="475" t="s">
        <v>1058</v>
      </c>
      <c r="D25" s="476" t="str">
        <f>IND_Commodities!$C$11</f>
        <v>INDLFO</v>
      </c>
      <c r="E25" s="476" t="str">
        <f>IND_Commodities!$C$25</f>
        <v>INDELC</v>
      </c>
      <c r="F25" s="477">
        <f>AA6</f>
        <v>0</v>
      </c>
      <c r="G25" s="478"/>
      <c r="H25" s="479">
        <v>0.1</v>
      </c>
      <c r="I25" s="786">
        <v>5</v>
      </c>
      <c r="J25" s="480">
        <f>Z6</f>
        <v>0.77859399105420668</v>
      </c>
      <c r="K25" s="500">
        <f>IFERROR($Y$6/(F25*N25),0)</f>
        <v>0</v>
      </c>
      <c r="L25" s="481"/>
      <c r="M25" s="478" t="str">
        <f>IFERROR(X6/Y6,"")</f>
        <v/>
      </c>
      <c r="N25" s="482">
        <v>31.536000000000001</v>
      </c>
      <c r="O25" s="483">
        <v>20</v>
      </c>
      <c r="P25" s="470"/>
      <c r="Q25" s="253" t="s">
        <v>1059</v>
      </c>
      <c r="R25" s="254" t="str">
        <f>B27</f>
        <v>CHPINDICH00</v>
      </c>
      <c r="S25" s="254" t="str">
        <f>C27</f>
        <v>CHP.Autoproducer.Industry.Chemical.00</v>
      </c>
      <c r="T25" s="254" t="s">
        <v>166</v>
      </c>
      <c r="U25" s="254" t="s">
        <v>400</v>
      </c>
      <c r="V25" s="254" t="s">
        <v>491</v>
      </c>
      <c r="W25" s="254"/>
      <c r="X25" s="254"/>
      <c r="Y25" s="470"/>
      <c r="Z25" s="149"/>
      <c r="AA25" s="470"/>
      <c r="AB25" s="470"/>
    </row>
    <row r="26" spans="1:28" ht="15">
      <c r="A26" s="413"/>
      <c r="B26" s="484" t="s">
        <v>333</v>
      </c>
      <c r="C26" s="484"/>
      <c r="D26" s="484" t="str">
        <f>IND_Commodities!$C$15</f>
        <v>INDGAS</v>
      </c>
      <c r="E26" s="484" t="str">
        <f>IND_Commodities!C28</f>
        <v>IISHTH</v>
      </c>
      <c r="F26" s="484"/>
      <c r="G26" s="485"/>
      <c r="H26" s="489">
        <v>1</v>
      </c>
      <c r="I26" s="788">
        <v>5</v>
      </c>
      <c r="J26" s="484"/>
      <c r="K26" s="501"/>
      <c r="L26" s="484"/>
      <c r="M26" s="484"/>
      <c r="N26" s="484"/>
      <c r="O26" s="484"/>
      <c r="P26" s="470"/>
      <c r="Q26" s="253" t="s">
        <v>1059</v>
      </c>
      <c r="R26" s="254" t="str">
        <f>B30</f>
        <v>CHPINDIPP00</v>
      </c>
      <c r="S26" s="254" t="str">
        <f>C30</f>
        <v>CHP.Autoproducer.Industry.Pulp&amp;Paper.00</v>
      </c>
      <c r="T26" s="254" t="s">
        <v>166</v>
      </c>
      <c r="U26" s="254" t="s">
        <v>400</v>
      </c>
      <c r="V26" s="254" t="s">
        <v>491</v>
      </c>
      <c r="W26" s="254"/>
      <c r="X26" s="254"/>
      <c r="Y26" s="470"/>
      <c r="Z26" s="149"/>
      <c r="AA26" s="470"/>
      <c r="AB26" s="470"/>
    </row>
    <row r="27" spans="1:28" ht="15">
      <c r="A27" s="410"/>
      <c r="B27" s="474" t="s">
        <v>1060</v>
      </c>
      <c r="C27" s="474" t="s">
        <v>1061</v>
      </c>
      <c r="D27" s="476" t="str">
        <f>IND_Commodities!$C$11</f>
        <v>INDLFO</v>
      </c>
      <c r="E27" s="476" t="str">
        <f>IND_Commodities!$C$25</f>
        <v>INDELC</v>
      </c>
      <c r="F27" s="477">
        <f>AA7</f>
        <v>0.1</v>
      </c>
      <c r="G27" s="478">
        <f>S7/SUM(P7:W7)</f>
        <v>1.1497844294712112E-2</v>
      </c>
      <c r="H27" s="486">
        <v>0.1</v>
      </c>
      <c r="I27" s="786">
        <v>5</v>
      </c>
      <c r="J27" s="480">
        <f>Z7</f>
        <v>0.77859399105420668</v>
      </c>
      <c r="K27" s="500">
        <f>IFERROR($Y$7/(F27*N27),0)</f>
        <v>0.2854370561383241</v>
      </c>
      <c r="L27" s="481"/>
      <c r="M27" s="478">
        <f>IFERROR(X7/Y7,"")</f>
        <v>2</v>
      </c>
      <c r="N27" s="482">
        <v>31.536000000000001</v>
      </c>
      <c r="O27" s="483">
        <v>20</v>
      </c>
      <c r="P27" s="470"/>
      <c r="Q27" s="253" t="s">
        <v>1059</v>
      </c>
      <c r="R27" s="254" t="str">
        <f>B34</f>
        <v>CHPINDIOI00</v>
      </c>
      <c r="S27" s="254" t="str">
        <f>C34</f>
        <v>CHP.Autoproducer.Industry.Others.00</v>
      </c>
      <c r="T27" s="254" t="s">
        <v>166</v>
      </c>
      <c r="U27" s="254" t="s">
        <v>400</v>
      </c>
      <c r="V27" s="254" t="s">
        <v>491</v>
      </c>
      <c r="W27" s="254"/>
      <c r="X27" s="254"/>
      <c r="Y27" s="470"/>
      <c r="Z27" s="149"/>
      <c r="AA27" s="470"/>
      <c r="AB27" s="470"/>
    </row>
    <row r="28" spans="1:28" ht="15">
      <c r="A28" s="413"/>
      <c r="B28" s="484"/>
      <c r="C28" s="499"/>
      <c r="D28" s="484" t="str">
        <f>IND_Commodities!$C$15</f>
        <v>INDGAS</v>
      </c>
      <c r="E28" s="484" t="str">
        <f>IND_Commodities!$C$34</f>
        <v>ICHHTH</v>
      </c>
      <c r="F28" s="484"/>
      <c r="G28" s="485">
        <f>$T$7/SUM($P$7:$W$7)</f>
        <v>0.98850215570528777</v>
      </c>
      <c r="H28" s="486">
        <v>1</v>
      </c>
      <c r="I28" s="788">
        <v>5</v>
      </c>
      <c r="J28" s="484"/>
      <c r="K28" s="501"/>
      <c r="L28" s="484"/>
      <c r="M28" s="484"/>
      <c r="N28" s="484"/>
      <c r="O28" s="484"/>
      <c r="P28" s="470"/>
      <c r="Q28" s="254"/>
      <c r="R28" s="254"/>
      <c r="S28" s="254"/>
      <c r="T28" s="254"/>
      <c r="U28" s="254"/>
      <c r="V28" s="254"/>
      <c r="W28" s="254"/>
      <c r="X28" s="254"/>
      <c r="Y28" s="470"/>
      <c r="Z28" s="149"/>
      <c r="AA28" s="470"/>
      <c r="AB28" s="470"/>
    </row>
    <row r="29" spans="1:28" ht="15">
      <c r="A29" s="413"/>
      <c r="B29" s="484"/>
      <c r="C29" s="487"/>
      <c r="D29" s="487" t="str">
        <f>IND_Commodities!$C$21</f>
        <v>INDWASS</v>
      </c>
      <c r="E29" s="484"/>
      <c r="F29" s="484"/>
      <c r="G29" s="485">
        <f>$W$7/SUM($P$7:$W$7)</f>
        <v>0</v>
      </c>
      <c r="H29" s="489">
        <v>0.1</v>
      </c>
      <c r="I29" s="788">
        <v>5</v>
      </c>
      <c r="J29" s="484"/>
      <c r="K29" s="501"/>
      <c r="L29" s="484"/>
      <c r="M29" s="484"/>
      <c r="N29" s="484"/>
      <c r="O29" s="484"/>
      <c r="P29" s="470"/>
      <c r="Q29" s="470"/>
      <c r="R29" s="470"/>
      <c r="S29" s="470"/>
      <c r="T29" s="470"/>
      <c r="U29" s="254"/>
      <c r="V29" s="254"/>
      <c r="W29" s="254"/>
      <c r="X29" s="254"/>
      <c r="Y29" s="254"/>
      <c r="Z29" s="254"/>
      <c r="AA29" s="254"/>
      <c r="AB29" s="254"/>
    </row>
    <row r="30" spans="1:28" ht="15">
      <c r="A30" s="413"/>
      <c r="B30" s="474" t="s">
        <v>1062</v>
      </c>
      <c r="C30" s="475" t="s">
        <v>1063</v>
      </c>
      <c r="D30" s="476" t="str">
        <f>IND_Commodities!$C$11</f>
        <v>INDLFO</v>
      </c>
      <c r="E30" s="476" t="str">
        <f>IND_Commodities!$C$25</f>
        <v>INDELC</v>
      </c>
      <c r="F30" s="477">
        <f>AA8</f>
        <v>0</v>
      </c>
      <c r="G30" s="478" t="str">
        <f>IFERROR($S$8/SUM($P$8:$W$8),"")</f>
        <v/>
      </c>
      <c r="H30" s="479">
        <v>0.1</v>
      </c>
      <c r="I30" s="786">
        <v>5</v>
      </c>
      <c r="J30" s="480">
        <f>Z8</f>
        <v>0.77859399105420668</v>
      </c>
      <c r="K30" s="500">
        <f>IFERROR($Y$8/(F30*N30),0)</f>
        <v>0</v>
      </c>
      <c r="L30" s="481"/>
      <c r="M30" s="478" t="str">
        <f>IFERROR(X8/Y8,"")</f>
        <v/>
      </c>
      <c r="N30" s="482">
        <v>31.536000000000001</v>
      </c>
      <c r="O30" s="483">
        <v>20</v>
      </c>
      <c r="P30" s="470"/>
      <c r="Q30" s="470"/>
      <c r="R30" s="470"/>
      <c r="S30" s="470"/>
      <c r="T30" s="470"/>
      <c r="U30" s="470"/>
      <c r="V30" s="470"/>
      <c r="W30" s="470"/>
      <c r="X30" s="470"/>
      <c r="Y30" s="470"/>
      <c r="Z30" s="470"/>
      <c r="AA30" s="470"/>
      <c r="AB30" s="470"/>
    </row>
    <row r="31" spans="1:28" ht="15">
      <c r="A31" s="410"/>
      <c r="B31" s="484"/>
      <c r="C31" s="484"/>
      <c r="D31" s="484" t="str">
        <f>IND_Commodities!$C$15</f>
        <v>INDGAS</v>
      </c>
      <c r="E31" s="484" t="str">
        <f>IND_Commodities!C40</f>
        <v>IPPHTH</v>
      </c>
      <c r="F31" s="484"/>
      <c r="G31" s="485" t="str">
        <f>IFERROR($T$8/SUM($P$8:$W$8),"")</f>
        <v/>
      </c>
      <c r="H31" s="486">
        <v>1</v>
      </c>
      <c r="I31" s="788">
        <v>5</v>
      </c>
      <c r="J31" s="484"/>
      <c r="K31" s="501"/>
      <c r="L31" s="484"/>
      <c r="M31" s="484"/>
      <c r="N31" s="484"/>
      <c r="O31" s="484"/>
      <c r="P31" s="470"/>
      <c r="Q31" s="470"/>
      <c r="R31" s="470"/>
      <c r="S31" s="470"/>
      <c r="T31" s="470"/>
      <c r="U31" s="470"/>
      <c r="V31" s="470"/>
      <c r="W31" s="470"/>
      <c r="X31" s="470"/>
      <c r="Y31" s="470"/>
      <c r="Z31" s="470"/>
      <c r="AA31" s="470"/>
      <c r="AB31" s="470"/>
    </row>
    <row r="32" spans="1:28" ht="15">
      <c r="A32" s="413"/>
      <c r="B32" s="490"/>
      <c r="C32" s="490"/>
      <c r="D32" s="490" t="str">
        <f>IND_Commodities!$C$20</f>
        <v>INDBIO</v>
      </c>
      <c r="E32" s="490"/>
      <c r="F32" s="490"/>
      <c r="G32" s="485" t="str">
        <f>IFERROR($V$8/SUM($P$8:$W$8),"")</f>
        <v/>
      </c>
      <c r="H32" s="486">
        <v>0.1</v>
      </c>
      <c r="I32" s="788">
        <v>5</v>
      </c>
      <c r="J32" s="490"/>
      <c r="K32" s="502"/>
      <c r="L32" s="490"/>
      <c r="M32" s="490"/>
      <c r="N32" s="490"/>
      <c r="O32" s="490"/>
      <c r="P32" s="470"/>
      <c r="Q32" s="470"/>
      <c r="R32" s="470"/>
      <c r="S32" s="470"/>
      <c r="T32" s="470"/>
      <c r="U32" s="470"/>
      <c r="V32" s="470"/>
      <c r="W32" s="470"/>
      <c r="X32" s="470"/>
      <c r="Y32" s="470"/>
      <c r="Z32" s="470"/>
      <c r="AA32" s="470"/>
      <c r="AB32" s="470"/>
    </row>
    <row r="33" spans="1:28" ht="15">
      <c r="A33" s="413"/>
      <c r="B33" s="487"/>
      <c r="C33" s="487"/>
      <c r="D33" s="487" t="str">
        <f>IND_Commodities!$C$21</f>
        <v>INDWASS</v>
      </c>
      <c r="E33" s="487"/>
      <c r="F33" s="487"/>
      <c r="G33" s="488" t="str">
        <f>IFERROR($W$8/SUM($P$8:$W$8),"")</f>
        <v/>
      </c>
      <c r="H33" s="489">
        <v>0.1</v>
      </c>
      <c r="I33" s="788">
        <v>5</v>
      </c>
      <c r="J33" s="487"/>
      <c r="K33" s="503"/>
      <c r="L33" s="487"/>
      <c r="M33" s="487"/>
      <c r="N33" s="487"/>
      <c r="O33" s="487"/>
      <c r="P33" s="470"/>
      <c r="Q33" s="470"/>
      <c r="R33" s="470"/>
      <c r="S33" s="470"/>
      <c r="T33" s="470"/>
      <c r="U33" s="470"/>
      <c r="V33" s="470"/>
      <c r="W33" s="470"/>
      <c r="X33" s="470"/>
      <c r="Y33" s="470"/>
      <c r="Z33" s="470"/>
      <c r="AA33" s="470"/>
      <c r="AB33" s="470"/>
    </row>
    <row r="34" spans="1:28" ht="15">
      <c r="A34" s="413"/>
      <c r="B34" s="474" t="s">
        <v>1064</v>
      </c>
      <c r="C34" s="475" t="s">
        <v>1065</v>
      </c>
      <c r="D34" s="476" t="str">
        <f>IND_Commodities!C11</f>
        <v>INDLFO</v>
      </c>
      <c r="E34" s="476" t="str">
        <f>IND_Commodities!$C$25</f>
        <v>INDELC</v>
      </c>
      <c r="F34" s="477">
        <f>AA9+AA10</f>
        <v>0.44999999999999996</v>
      </c>
      <c r="G34" s="478">
        <f>SUM($S$9:$S$10)/SUM($P$9:$W$10)</f>
        <v>0</v>
      </c>
      <c r="H34" s="479">
        <v>0.1</v>
      </c>
      <c r="I34" s="786">
        <v>5</v>
      </c>
      <c r="J34" s="480">
        <f>Z10</f>
        <v>0.77859399105420668</v>
      </c>
      <c r="K34" s="500">
        <f>IFERROR((Y9+Y10)/(F34*N34),0)</f>
        <v>0.25626856069668175</v>
      </c>
      <c r="L34" s="481"/>
      <c r="M34" s="478">
        <f>IFERROR(SUM(X9:X10)/SUM(Y9:Y10),"")</f>
        <v>2</v>
      </c>
      <c r="N34" s="482">
        <v>31.536000000000001</v>
      </c>
      <c r="O34" s="483">
        <v>20</v>
      </c>
      <c r="P34" s="470"/>
      <c r="Q34" s="470"/>
      <c r="R34" s="470"/>
      <c r="S34" s="470"/>
      <c r="T34" s="470"/>
      <c r="U34" s="470"/>
      <c r="V34" s="470"/>
      <c r="W34" s="470"/>
      <c r="X34" s="470"/>
      <c r="Y34" s="470"/>
      <c r="Z34" s="470"/>
      <c r="AA34" s="470"/>
      <c r="AB34" s="470"/>
    </row>
    <row r="35" spans="1:28" s="470" customFormat="1" ht="15">
      <c r="A35" s="413"/>
      <c r="B35" s="484"/>
      <c r="C35" s="484"/>
      <c r="D35" s="484" t="str">
        <f>IND_Commodities!C15</f>
        <v>INDGAS</v>
      </c>
      <c r="E35" s="484" t="str">
        <f>IND_Commodities!C42</f>
        <v>IOIHTH</v>
      </c>
      <c r="F35" s="484"/>
      <c r="G35" s="485">
        <f>SUM($T$9:$T$10)/SUM($P$9:$W$10)</f>
        <v>0.97867866790942071</v>
      </c>
      <c r="H35" s="486">
        <v>1</v>
      </c>
      <c r="I35" s="788">
        <v>5</v>
      </c>
      <c r="J35" s="484"/>
      <c r="K35" s="484"/>
      <c r="L35" s="484"/>
      <c r="M35" s="484"/>
      <c r="N35" s="484"/>
      <c r="O35" s="484"/>
    </row>
    <row r="36" spans="1:28" ht="15">
      <c r="A36" s="410"/>
      <c r="B36" s="484"/>
      <c r="C36" s="484"/>
      <c r="D36" s="484" t="str">
        <f>IND_Commodities!C6</f>
        <v>INDPEA</v>
      </c>
      <c r="E36" s="484"/>
      <c r="F36" s="484"/>
      <c r="G36" s="485">
        <f>SUM($Q$9:$Q$10)/SUM($P$9:$W$10)</f>
        <v>2.1321332090579261E-2</v>
      </c>
      <c r="H36" s="486">
        <f>G36</f>
        <v>2.1321332090579261E-2</v>
      </c>
      <c r="I36" s="788">
        <v>5</v>
      </c>
      <c r="J36" s="484"/>
      <c r="K36" s="484"/>
      <c r="L36" s="484"/>
      <c r="M36" s="484"/>
      <c r="N36" s="484"/>
      <c r="O36" s="484"/>
      <c r="P36" s="470"/>
      <c r="Q36" s="470"/>
      <c r="R36" s="470"/>
      <c r="S36" s="470"/>
      <c r="T36" s="470"/>
      <c r="U36" s="470"/>
      <c r="V36" s="470"/>
      <c r="W36" s="470"/>
      <c r="X36" s="470"/>
      <c r="Y36" s="470"/>
      <c r="Z36" s="470"/>
      <c r="AA36" s="470"/>
      <c r="AB36" s="470"/>
    </row>
    <row r="37" spans="1:28" ht="15">
      <c r="A37" s="413"/>
      <c r="B37" s="490"/>
      <c r="C37" s="490"/>
      <c r="D37" s="490" t="str">
        <f>IND_Commodities!$C$20</f>
        <v>INDBIO</v>
      </c>
      <c r="E37" s="490"/>
      <c r="F37" s="490"/>
      <c r="G37" s="485">
        <f>SUM($V$9:$V$10)/SUM($P$9:$W$10)</f>
        <v>0</v>
      </c>
      <c r="H37" s="486">
        <v>1</v>
      </c>
      <c r="I37" s="788">
        <v>5</v>
      </c>
      <c r="J37" s="490"/>
      <c r="K37" s="490"/>
      <c r="L37" s="490"/>
      <c r="M37" s="490"/>
      <c r="N37" s="490"/>
      <c r="O37" s="490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</row>
    <row r="38" spans="1:28" ht="15">
      <c r="A38" s="413"/>
      <c r="B38" s="487"/>
      <c r="C38" s="487"/>
      <c r="D38" s="487" t="str">
        <f>IND_Commodities!$C$21</f>
        <v>INDWASS</v>
      </c>
      <c r="E38" s="487"/>
      <c r="F38" s="487"/>
      <c r="G38" s="488">
        <f>SUM($W$9:$W$10)/SUM($P$9:$W$10)</f>
        <v>0</v>
      </c>
      <c r="H38" s="489">
        <v>0.1</v>
      </c>
      <c r="I38" s="789">
        <v>5</v>
      </c>
      <c r="J38" s="487"/>
      <c r="K38" s="487"/>
      <c r="L38" s="487"/>
      <c r="M38" s="487"/>
      <c r="N38" s="487"/>
      <c r="O38" s="487"/>
      <c r="P38" s="470"/>
      <c r="Q38" s="470"/>
      <c r="R38" s="470"/>
      <c r="S38" s="470"/>
      <c r="T38" s="470"/>
      <c r="U38" s="470"/>
      <c r="V38" s="470"/>
      <c r="W38" s="470"/>
      <c r="X38" s="470"/>
      <c r="Y38" s="470"/>
      <c r="Z38" s="470"/>
      <c r="AA38" s="470"/>
      <c r="AB38" s="470"/>
    </row>
    <row r="39" spans="1:28">
      <c r="A39" s="413"/>
      <c r="B39" s="403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N39" s="470"/>
      <c r="O39" s="470"/>
      <c r="P39" s="470"/>
      <c r="Q39" s="470"/>
      <c r="R39" s="470"/>
      <c r="S39" s="470"/>
      <c r="T39" s="470"/>
      <c r="U39" s="470"/>
      <c r="V39" s="470"/>
      <c r="W39" s="470"/>
      <c r="X39" s="470"/>
      <c r="Y39" s="470"/>
      <c r="Z39" s="470"/>
      <c r="AA39" s="470"/>
    </row>
    <row r="40" spans="1:28">
      <c r="A40" s="410"/>
      <c r="B40" s="403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N40" s="470"/>
      <c r="O40" s="470"/>
      <c r="P40" s="470"/>
      <c r="Q40" s="470"/>
      <c r="R40" s="470"/>
      <c r="S40" s="470"/>
      <c r="T40" s="470"/>
      <c r="U40" s="470"/>
      <c r="V40" s="470"/>
      <c r="W40" s="470"/>
      <c r="X40" s="470"/>
      <c r="Y40" s="404"/>
      <c r="Z40" s="470"/>
      <c r="AA40" s="470"/>
    </row>
    <row r="41" spans="1:28">
      <c r="A41" s="413"/>
      <c r="B41" s="403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N41" s="470"/>
      <c r="O41" s="470"/>
      <c r="P41" s="470"/>
      <c r="Q41" s="470"/>
      <c r="R41" s="470"/>
      <c r="S41" s="470"/>
      <c r="T41" s="470"/>
      <c r="U41" s="470"/>
      <c r="V41" s="470"/>
      <c r="W41" s="470"/>
      <c r="X41" s="470"/>
      <c r="Y41" s="404"/>
      <c r="Z41" s="470"/>
      <c r="AA41" s="470"/>
    </row>
    <row r="42" spans="1:28">
      <c r="A42" s="413"/>
      <c r="B42" s="403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N42" s="470"/>
      <c r="O42" s="470"/>
      <c r="P42" s="470"/>
      <c r="Q42" s="470"/>
      <c r="R42" s="470"/>
      <c r="S42" s="470"/>
      <c r="T42" s="470"/>
      <c r="U42" s="470"/>
      <c r="V42" s="470"/>
      <c r="W42" s="470"/>
      <c r="X42" s="470"/>
      <c r="Y42" s="404"/>
      <c r="Z42" s="470"/>
      <c r="AA42" s="470"/>
    </row>
    <row r="43" spans="1:28">
      <c r="A43" s="413"/>
      <c r="B43" s="403"/>
      <c r="C43" s="404"/>
      <c r="D43" s="404"/>
      <c r="E43" s="404"/>
      <c r="F43" s="404"/>
      <c r="G43" s="404"/>
      <c r="H43" s="404"/>
      <c r="I43" s="404"/>
      <c r="J43" s="404"/>
      <c r="K43" s="404"/>
      <c r="L43" s="404"/>
      <c r="N43" s="470"/>
      <c r="O43" s="470"/>
      <c r="P43" s="470"/>
      <c r="Q43" s="470"/>
      <c r="R43" s="470"/>
      <c r="S43" s="470"/>
      <c r="T43" s="470"/>
      <c r="U43" s="470"/>
      <c r="V43" s="470"/>
      <c r="W43" s="470"/>
      <c r="X43" s="470"/>
      <c r="Y43" s="404"/>
      <c r="Z43" s="470"/>
      <c r="AA43" s="470"/>
    </row>
    <row r="44" spans="1:28">
      <c r="A44" s="410"/>
      <c r="B44" s="403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N44" s="470"/>
      <c r="O44" s="470"/>
      <c r="P44" s="470"/>
      <c r="Q44" s="470"/>
      <c r="R44" s="470"/>
      <c r="S44" s="470"/>
      <c r="T44" s="470"/>
      <c r="U44" s="470"/>
      <c r="V44" s="470"/>
      <c r="W44" s="470"/>
      <c r="X44" s="470"/>
      <c r="Y44" s="404"/>
      <c r="Z44" s="470"/>
      <c r="AA44" s="470"/>
    </row>
    <row r="45" spans="1:28">
      <c r="A45" s="413"/>
      <c r="B45" s="413"/>
      <c r="C45" s="403"/>
      <c r="D45" s="404"/>
      <c r="E45" s="404"/>
      <c r="F45" s="404"/>
      <c r="G45" s="404"/>
      <c r="H45" s="404"/>
      <c r="I45" s="404"/>
      <c r="J45" s="404"/>
      <c r="K45" s="404"/>
      <c r="L45" s="404"/>
      <c r="N45" s="470"/>
      <c r="O45" s="470"/>
      <c r="P45" s="470"/>
      <c r="Q45" s="470"/>
      <c r="R45" s="470"/>
      <c r="S45" s="470"/>
      <c r="T45" s="470"/>
      <c r="U45" s="470"/>
      <c r="V45" s="470"/>
      <c r="W45" s="470"/>
      <c r="X45" s="470"/>
      <c r="Y45" s="404"/>
      <c r="Z45" s="470"/>
      <c r="AA45" s="470"/>
    </row>
    <row r="46" spans="1:28" ht="15">
      <c r="A46" s="413"/>
      <c r="B46" s="413"/>
      <c r="C46" s="415" t="s">
        <v>1066</v>
      </c>
      <c r="D46" s="404"/>
      <c r="E46" s="404"/>
      <c r="F46" s="416">
        <v>0.9</v>
      </c>
      <c r="G46" s="404"/>
      <c r="H46" s="404" t="s">
        <v>803</v>
      </c>
      <c r="I46" s="404" t="s">
        <v>1046</v>
      </c>
      <c r="J46" s="404"/>
      <c r="K46" s="404"/>
      <c r="L46" s="404"/>
      <c r="N46" s="470"/>
      <c r="O46" s="470"/>
      <c r="P46" s="470"/>
      <c r="Q46" s="470"/>
      <c r="R46" s="470"/>
      <c r="S46" s="470"/>
      <c r="T46" s="470"/>
      <c r="U46" s="470"/>
      <c r="V46" s="470"/>
      <c r="W46" s="470"/>
      <c r="X46" s="470"/>
      <c r="Y46" s="404"/>
      <c r="Z46" s="470"/>
      <c r="AA46" s="470"/>
    </row>
    <row r="47" spans="1:28">
      <c r="A47" s="413"/>
      <c r="B47" s="413"/>
      <c r="C47" s="470"/>
      <c r="D47" s="470" t="s">
        <v>1067</v>
      </c>
      <c r="E47" s="404"/>
      <c r="F47" s="404" t="s">
        <v>1068</v>
      </c>
      <c r="G47" s="404"/>
      <c r="H47" s="404"/>
      <c r="I47" s="404" t="s">
        <v>400</v>
      </c>
      <c r="J47" s="404"/>
      <c r="K47" s="404"/>
      <c r="L47" s="404"/>
      <c r="N47" s="470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04"/>
      <c r="Z47" s="470"/>
      <c r="AA47" s="470"/>
    </row>
    <row r="48" spans="1:28">
      <c r="A48" s="410"/>
      <c r="B48" s="410"/>
      <c r="C48" s="403" t="str">
        <f>IND_Bal!C44</f>
        <v>INDCOA</v>
      </c>
      <c r="D48" s="417">
        <f>IF(IPP!M12&gt;0,IPP!M12,0)</f>
        <v>0</v>
      </c>
      <c r="E48" s="404"/>
      <c r="F48" s="404">
        <f>SUM(D48:D56)*F46</f>
        <v>0.2446914367207664</v>
      </c>
      <c r="G48" s="404"/>
      <c r="H48" s="417">
        <v>0.85</v>
      </c>
      <c r="I48" s="422">
        <f>F48/(H48*31.536)</f>
        <v>9.1283700689694085E-3</v>
      </c>
      <c r="J48" s="404"/>
      <c r="K48" s="404"/>
      <c r="L48" s="404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04"/>
      <c r="Z48" s="470"/>
      <c r="AA48" s="470"/>
    </row>
    <row r="49" spans="1:25">
      <c r="A49" s="413"/>
      <c r="B49" s="413"/>
      <c r="C49" s="403" t="str">
        <f>IND_Bal!D44</f>
        <v>INDPEA</v>
      </c>
      <c r="D49" s="417">
        <f>IF(IPP!M13&gt;0,IPP!M13,0)</f>
        <v>0</v>
      </c>
      <c r="E49" s="404"/>
      <c r="F49" s="404"/>
      <c r="G49" s="404"/>
      <c r="H49" s="404"/>
      <c r="I49" s="404"/>
      <c r="J49" s="404"/>
      <c r="K49" s="404"/>
      <c r="L49" s="404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04"/>
    </row>
    <row r="50" spans="1:25">
      <c r="A50" s="413"/>
      <c r="B50" s="413"/>
      <c r="C50" s="403" t="str">
        <f>IND_Bal!E44</f>
        <v>INDCOH</v>
      </c>
      <c r="D50" s="417">
        <f>IF(IPP!M14&gt;0,IPP!M14,0)</f>
        <v>0</v>
      </c>
      <c r="E50" s="404"/>
      <c r="F50" s="404"/>
      <c r="G50" s="404"/>
      <c r="H50" s="404"/>
      <c r="I50" s="404"/>
      <c r="J50" s="404"/>
      <c r="K50" s="404"/>
      <c r="L50" s="404"/>
      <c r="N50" s="470"/>
      <c r="O50" s="470"/>
      <c r="P50" s="470"/>
      <c r="Q50" s="470"/>
      <c r="R50" s="470"/>
      <c r="S50" s="470"/>
      <c r="T50" s="470"/>
      <c r="U50" s="470"/>
      <c r="V50" s="470"/>
      <c r="W50" s="470"/>
      <c r="X50" s="470"/>
      <c r="Y50" s="404"/>
    </row>
    <row r="51" spans="1:25">
      <c r="A51" s="413"/>
      <c r="B51" s="413"/>
      <c r="C51" s="403" t="str">
        <f>IND_Bal!H44</f>
        <v>INDLPG</v>
      </c>
      <c r="D51" s="417">
        <f>IF(IPP!M15&gt;0,IPP!M15,0)</f>
        <v>1.1621657005316479E-2</v>
      </c>
      <c r="E51" s="404"/>
      <c r="F51" s="404"/>
      <c r="G51" s="404"/>
      <c r="H51" s="404"/>
      <c r="I51" s="404"/>
      <c r="J51" s="404"/>
      <c r="K51" s="404"/>
      <c r="L51" s="404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04"/>
    </row>
    <row r="52" spans="1:25">
      <c r="A52" s="410"/>
      <c r="B52" s="410"/>
      <c r="C52" s="403" t="str">
        <f>IND_Bal!I44</f>
        <v>INDLFO</v>
      </c>
      <c r="D52" s="417">
        <f>IF(IPP!M16&gt;0,IPP!M16,0)</f>
        <v>9.79065672786011E-2</v>
      </c>
      <c r="E52" s="404"/>
      <c r="F52" s="404"/>
      <c r="G52" s="404"/>
      <c r="H52" s="404"/>
      <c r="I52" s="404"/>
      <c r="J52" s="404"/>
      <c r="K52" s="404"/>
      <c r="L52" s="404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04"/>
    </row>
    <row r="53" spans="1:25">
      <c r="A53" s="413"/>
      <c r="B53" s="413"/>
      <c r="C53" s="403" t="str">
        <f>IND_Bal!K44</f>
        <v>INDHFO</v>
      </c>
      <c r="D53" s="417">
        <f>IF(IPP!M17&gt;0,IPP!M17,0)</f>
        <v>1.2588963150012388E-2</v>
      </c>
      <c r="E53" s="404"/>
      <c r="F53" s="404"/>
      <c r="G53" s="404"/>
      <c r="H53" s="404"/>
      <c r="I53" s="404"/>
      <c r="J53" s="404"/>
      <c r="K53" s="404"/>
      <c r="L53" s="404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04"/>
    </row>
    <row r="54" spans="1:25">
      <c r="A54" s="413"/>
      <c r="B54" s="413"/>
      <c r="C54" s="403" t="str">
        <f>IND_Bal!M44</f>
        <v>INDGAS</v>
      </c>
      <c r="D54" s="417">
        <f>IF(IPP!M18&gt;0,IPP!M18,0)</f>
        <v>0.14976218670025493</v>
      </c>
      <c r="E54" s="404"/>
      <c r="F54" s="404"/>
      <c r="G54" s="404"/>
      <c r="H54" s="404"/>
      <c r="I54" s="404"/>
      <c r="J54" s="404"/>
      <c r="K54" s="404"/>
      <c r="L54" s="404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04"/>
    </row>
    <row r="55" spans="1:25" ht="15">
      <c r="A55" s="413"/>
      <c r="B55" s="413"/>
      <c r="C55" s="403" t="str">
        <f>IND_Bal!R44</f>
        <v>INDBIO</v>
      </c>
      <c r="D55" s="417">
        <f>IF(IPP!M19&gt;0,IPP!M19,0)</f>
        <v>0</v>
      </c>
      <c r="E55" s="404"/>
      <c r="F55" s="404"/>
      <c r="G55" s="404"/>
      <c r="H55" s="404"/>
      <c r="I55" s="404"/>
      <c r="J55" s="404"/>
      <c r="K55" s="419">
        <v>1</v>
      </c>
      <c r="L55" s="420" t="s">
        <v>1069</v>
      </c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04"/>
    </row>
    <row r="56" spans="1:25" ht="15">
      <c r="A56" s="410"/>
      <c r="B56" s="410"/>
      <c r="C56" s="403" t="str">
        <f>IND_Commodities!C70</f>
        <v>INDBLQ</v>
      </c>
      <c r="D56" s="417">
        <f>IF(K56&gt;0,K56,0)</f>
        <v>0</v>
      </c>
      <c r="E56" s="404"/>
      <c r="F56" s="404"/>
      <c r="G56" s="404"/>
      <c r="H56" s="404"/>
      <c r="I56" s="404"/>
      <c r="J56" s="404"/>
      <c r="K56" s="419">
        <f>IPP!P17-D60</f>
        <v>0</v>
      </c>
      <c r="L56" s="420" t="s">
        <v>1070</v>
      </c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04"/>
    </row>
    <row r="57" spans="1:25">
      <c r="A57" s="413"/>
      <c r="B57" s="413"/>
      <c r="C57" s="403"/>
      <c r="D57" s="404"/>
      <c r="E57" s="404"/>
      <c r="F57" s="404"/>
      <c r="G57" s="404"/>
      <c r="H57" s="404"/>
      <c r="I57" s="404"/>
      <c r="J57" s="404"/>
      <c r="K57" s="404"/>
      <c r="L57" s="404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04"/>
    </row>
    <row r="58" spans="1:25">
      <c r="A58" s="413"/>
      <c r="B58" s="413"/>
      <c r="C58" s="415" t="s">
        <v>1071</v>
      </c>
      <c r="D58" s="404"/>
      <c r="E58" s="404"/>
      <c r="F58" s="404"/>
      <c r="G58" s="404"/>
      <c r="H58" s="404"/>
      <c r="I58" s="404"/>
      <c r="J58" s="404"/>
      <c r="K58" s="404"/>
      <c r="L58" s="404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04"/>
    </row>
    <row r="59" spans="1:25">
      <c r="A59" s="413"/>
      <c r="B59" s="413"/>
      <c r="C59" s="470"/>
      <c r="D59" s="470" t="s">
        <v>1067</v>
      </c>
      <c r="E59" s="404" t="s">
        <v>1072</v>
      </c>
      <c r="F59" s="404" t="s">
        <v>1068</v>
      </c>
      <c r="G59" s="404"/>
      <c r="H59" s="420" t="s">
        <v>720</v>
      </c>
      <c r="I59" s="420" t="s">
        <v>1050</v>
      </c>
      <c r="J59" s="420" t="s">
        <v>803</v>
      </c>
      <c r="K59" s="420" t="s">
        <v>1046</v>
      </c>
      <c r="L59" s="42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04"/>
    </row>
    <row r="60" spans="1:25">
      <c r="A60" s="410"/>
      <c r="B60" s="410"/>
      <c r="C60" s="403" t="s">
        <v>919</v>
      </c>
      <c r="D60" s="404">
        <f>IPP!P17*K55</f>
        <v>0</v>
      </c>
      <c r="E60" s="404">
        <f>D60*H60</f>
        <v>0</v>
      </c>
      <c r="F60" s="404">
        <f>E60*I60</f>
        <v>0</v>
      </c>
      <c r="G60" s="404"/>
      <c r="H60" s="421">
        <v>0.2</v>
      </c>
      <c r="I60" s="420">
        <v>3</v>
      </c>
      <c r="J60" s="421">
        <v>0.85</v>
      </c>
      <c r="K60" s="421">
        <f>E60/(J60*31.536)</f>
        <v>0</v>
      </c>
      <c r="L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04"/>
    </row>
    <row r="61" spans="1:25">
      <c r="A61" s="413"/>
      <c r="B61" s="413"/>
      <c r="C61" s="403"/>
      <c r="D61" s="404"/>
      <c r="E61" s="404"/>
      <c r="F61" s="417"/>
      <c r="G61" s="404"/>
      <c r="H61" s="417"/>
      <c r="I61" s="404"/>
      <c r="J61" s="404"/>
      <c r="K61" s="404"/>
      <c r="L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04"/>
    </row>
    <row r="62" spans="1:25">
      <c r="A62" s="413"/>
      <c r="B62" s="413"/>
      <c r="C62" s="403"/>
      <c r="D62" s="404"/>
      <c r="E62" s="404"/>
      <c r="F62" s="404"/>
      <c r="G62" s="404"/>
      <c r="H62" s="470"/>
      <c r="I62" s="404"/>
      <c r="J62" s="404"/>
      <c r="K62" s="422"/>
      <c r="L62" s="421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04"/>
    </row>
    <row r="63" spans="1:25" ht="18.75">
      <c r="A63" s="413"/>
      <c r="B63" s="470"/>
      <c r="C63" s="239" t="s">
        <v>1073</v>
      </c>
      <c r="D63" s="515"/>
      <c r="E63" s="240" t="s">
        <v>1074</v>
      </c>
      <c r="F63" s="241"/>
      <c r="G63" s="470"/>
      <c r="H63" s="470"/>
      <c r="I63" s="404"/>
      <c r="J63" s="404"/>
      <c r="K63" s="404"/>
      <c r="L63" s="404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04"/>
    </row>
    <row r="64" spans="1:25" ht="25.5">
      <c r="A64" s="410"/>
      <c r="B64" s="470"/>
      <c r="C64" s="243" t="s">
        <v>318</v>
      </c>
      <c r="D64" s="243" t="s">
        <v>718</v>
      </c>
      <c r="E64" s="243" t="s">
        <v>719</v>
      </c>
      <c r="F64" s="244" t="s">
        <v>1046</v>
      </c>
      <c r="G64" s="244" t="s">
        <v>803</v>
      </c>
      <c r="H64" s="244" t="s">
        <v>720</v>
      </c>
      <c r="I64" s="245" t="s">
        <v>1047</v>
      </c>
      <c r="J64" s="245" t="s">
        <v>1075</v>
      </c>
      <c r="K64" s="244" t="s">
        <v>1051</v>
      </c>
      <c r="L64" s="244" t="s">
        <v>1052</v>
      </c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04"/>
    </row>
    <row r="65" spans="1:25" ht="13.5" thickBot="1">
      <c r="A65" s="413"/>
      <c r="B65" s="470"/>
      <c r="C65" s="248"/>
      <c r="D65" s="248"/>
      <c r="E65" s="248" t="s">
        <v>333</v>
      </c>
      <c r="F65" s="249" t="s">
        <v>400</v>
      </c>
      <c r="G65" s="249"/>
      <c r="H65" s="249"/>
      <c r="I65" s="249"/>
      <c r="J65" s="249"/>
      <c r="K65" s="249"/>
      <c r="L65" s="249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04"/>
    </row>
    <row r="66" spans="1:25">
      <c r="A66" s="413"/>
      <c r="B66" s="413"/>
      <c r="C66" s="403" t="s">
        <v>1076</v>
      </c>
      <c r="D66" s="470" t="str">
        <f>C48</f>
        <v>INDCOA</v>
      </c>
      <c r="E66" s="421" t="s">
        <v>861</v>
      </c>
      <c r="F66" s="417">
        <f>I48</f>
        <v>9.1283700689694085E-3</v>
      </c>
      <c r="G66" s="417">
        <f>H48</f>
        <v>0.85</v>
      </c>
      <c r="H66" s="423">
        <f>F46</f>
        <v>0.9</v>
      </c>
      <c r="I66" s="423">
        <f t="shared" ref="I66:I74" si="2">IFERROR(D48/SUM($D$48:$D$56),"")</f>
        <v>0</v>
      </c>
      <c r="J66" s="470"/>
      <c r="K66" s="423">
        <v>31.536000000000001</v>
      </c>
      <c r="L66" s="404">
        <v>20</v>
      </c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04"/>
    </row>
    <row r="67" spans="1:25">
      <c r="A67" s="413"/>
      <c r="B67" s="413"/>
      <c r="C67" s="470"/>
      <c r="D67" s="470" t="str">
        <f t="shared" ref="D67:D73" si="3">C49</f>
        <v>INDPEA</v>
      </c>
      <c r="E67" s="421"/>
      <c r="F67" s="417"/>
      <c r="G67" s="417"/>
      <c r="H67" s="404"/>
      <c r="I67" s="423">
        <f t="shared" si="2"/>
        <v>0</v>
      </c>
      <c r="J67" s="404"/>
      <c r="K67" s="404"/>
      <c r="L67" s="404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04"/>
    </row>
    <row r="68" spans="1:25">
      <c r="A68" s="410"/>
      <c r="B68" s="410"/>
      <c r="C68" s="403"/>
      <c r="D68" s="470" t="str">
        <f t="shared" si="3"/>
        <v>INDCOH</v>
      </c>
      <c r="E68" s="421"/>
      <c r="F68" s="417"/>
      <c r="G68" s="417"/>
      <c r="H68" s="404"/>
      <c r="I68" s="423">
        <f t="shared" si="2"/>
        <v>0</v>
      </c>
      <c r="J68" s="404"/>
      <c r="K68" s="404"/>
      <c r="L68" s="404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04"/>
    </row>
    <row r="69" spans="1:25">
      <c r="A69" s="413"/>
      <c r="B69" s="410"/>
      <c r="C69" s="403"/>
      <c r="D69" s="470" t="str">
        <f t="shared" si="3"/>
        <v>INDLPG</v>
      </c>
      <c r="E69" s="421"/>
      <c r="F69" s="417"/>
      <c r="G69" s="417"/>
      <c r="H69" s="404"/>
      <c r="I69" s="423">
        <f t="shared" si="2"/>
        <v>4.2745636892560522E-2</v>
      </c>
      <c r="J69" s="404"/>
      <c r="K69" s="404"/>
      <c r="L69" s="404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04"/>
    </row>
    <row r="70" spans="1:25">
      <c r="A70" s="413"/>
      <c r="B70" s="410"/>
      <c r="C70" s="403"/>
      <c r="D70" s="470" t="str">
        <f t="shared" si="3"/>
        <v>INDLFO</v>
      </c>
      <c r="E70" s="421"/>
      <c r="F70" s="417"/>
      <c r="G70" s="417"/>
      <c r="H70" s="404"/>
      <c r="I70" s="423">
        <f t="shared" si="2"/>
        <v>0.36011031579865171</v>
      </c>
      <c r="J70" s="404"/>
      <c r="K70" s="404"/>
      <c r="L70" s="404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04"/>
    </row>
    <row r="71" spans="1:25">
      <c r="A71" s="413"/>
      <c r="B71" s="410"/>
      <c r="C71" s="403"/>
      <c r="D71" s="470" t="str">
        <f t="shared" si="3"/>
        <v>INDHFO</v>
      </c>
      <c r="E71" s="421"/>
      <c r="F71" s="417"/>
      <c r="G71" s="417"/>
      <c r="H71" s="404"/>
      <c r="I71" s="423">
        <f t="shared" si="2"/>
        <v>4.6303487309777167E-2</v>
      </c>
      <c r="J71" s="404"/>
      <c r="K71" s="404"/>
      <c r="L71" s="404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04"/>
    </row>
    <row r="72" spans="1:25">
      <c r="A72" s="410"/>
      <c r="B72" s="410"/>
      <c r="C72" s="403"/>
      <c r="D72" s="470" t="str">
        <f t="shared" si="3"/>
        <v>INDGAS</v>
      </c>
      <c r="E72" s="421"/>
      <c r="F72" s="417"/>
      <c r="G72" s="417"/>
      <c r="H72" s="404"/>
      <c r="I72" s="423">
        <f t="shared" si="2"/>
        <v>0.5508405599990106</v>
      </c>
      <c r="J72" s="404"/>
      <c r="K72" s="404"/>
      <c r="L72" s="404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04"/>
    </row>
    <row r="73" spans="1:25">
      <c r="A73" s="413"/>
      <c r="B73" s="410"/>
      <c r="C73" s="470"/>
      <c r="D73" s="470" t="str">
        <f t="shared" si="3"/>
        <v>INDBIO</v>
      </c>
      <c r="E73" s="421"/>
      <c r="F73" s="417"/>
      <c r="G73" s="417"/>
      <c r="H73" s="404"/>
      <c r="I73" s="423">
        <f t="shared" si="2"/>
        <v>0</v>
      </c>
      <c r="J73" s="404"/>
      <c r="K73" s="404"/>
      <c r="L73" s="404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04"/>
    </row>
    <row r="74" spans="1:25">
      <c r="A74" s="413"/>
      <c r="B74" s="410"/>
      <c r="C74" s="470"/>
      <c r="D74" s="470" t="s">
        <v>919</v>
      </c>
      <c r="E74" s="424"/>
      <c r="F74" s="470"/>
      <c r="G74" s="470"/>
      <c r="H74" s="470"/>
      <c r="I74" s="423">
        <f t="shared" si="2"/>
        <v>0</v>
      </c>
      <c r="J74" s="470"/>
      <c r="K74" s="470"/>
      <c r="L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04"/>
    </row>
    <row r="75" spans="1:25">
      <c r="A75" s="413"/>
      <c r="B75" s="410"/>
      <c r="C75" s="403" t="str">
        <f>C82</f>
        <v>CHPAUTOGENBLQ00</v>
      </c>
      <c r="D75" s="470" t="str">
        <f>C60</f>
        <v>INDBLQ</v>
      </c>
      <c r="E75" s="424" t="s">
        <v>287</v>
      </c>
      <c r="F75" s="417">
        <f>K60</f>
        <v>0</v>
      </c>
      <c r="G75" s="417">
        <f>J60</f>
        <v>0.85</v>
      </c>
      <c r="H75" s="417">
        <f>H60</f>
        <v>0.2</v>
      </c>
      <c r="I75" s="470"/>
      <c r="J75" s="470"/>
      <c r="K75" s="423">
        <v>31.536000000000001</v>
      </c>
      <c r="L75" s="404">
        <v>20</v>
      </c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04"/>
    </row>
    <row r="76" spans="1:25">
      <c r="A76" s="410"/>
      <c r="B76" s="410"/>
      <c r="C76" s="403"/>
      <c r="D76" s="404"/>
      <c r="E76" s="421" t="s">
        <v>861</v>
      </c>
      <c r="F76" s="404"/>
      <c r="G76" s="404"/>
      <c r="H76" s="404"/>
      <c r="I76" s="404"/>
      <c r="J76" s="238">
        <f>I60</f>
        <v>3</v>
      </c>
      <c r="K76" s="404"/>
      <c r="L76" s="404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04"/>
    </row>
    <row r="77" spans="1:25">
      <c r="A77" s="413"/>
      <c r="B77" s="413"/>
      <c r="C77" s="403"/>
      <c r="D77" s="404"/>
      <c r="E77" s="404"/>
      <c r="F77" s="404"/>
      <c r="G77" s="404"/>
      <c r="H77" s="404"/>
      <c r="I77" s="404"/>
      <c r="J77" s="404"/>
      <c r="K77" s="404"/>
      <c r="L77" s="404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04"/>
    </row>
    <row r="78" spans="1:25">
      <c r="A78" s="413"/>
      <c r="B78" s="413"/>
      <c r="C78" s="403"/>
      <c r="D78" s="404"/>
      <c r="E78" s="404"/>
      <c r="F78" s="404"/>
      <c r="G78" s="404"/>
      <c r="H78" s="404"/>
      <c r="I78" s="404"/>
      <c r="J78" s="404"/>
      <c r="K78" s="404"/>
      <c r="L78" s="404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04"/>
    </row>
    <row r="79" spans="1:25">
      <c r="A79" s="413"/>
      <c r="B79" s="246" t="s">
        <v>1077</v>
      </c>
      <c r="C79" s="247"/>
      <c r="D79" s="247"/>
      <c r="E79" s="247"/>
      <c r="F79" s="247"/>
      <c r="G79" s="247"/>
      <c r="H79" s="247"/>
      <c r="I79" s="247"/>
      <c r="J79" s="470"/>
      <c r="K79" s="404"/>
      <c r="L79" s="404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04"/>
    </row>
    <row r="80" spans="1:25">
      <c r="A80" s="410"/>
      <c r="B80" s="250" t="s">
        <v>326</v>
      </c>
      <c r="C80" s="251" t="s">
        <v>318</v>
      </c>
      <c r="D80" s="251" t="s">
        <v>327</v>
      </c>
      <c r="E80" s="251" t="s">
        <v>328</v>
      </c>
      <c r="F80" s="251" t="s">
        <v>329</v>
      </c>
      <c r="G80" s="251" t="s">
        <v>330</v>
      </c>
      <c r="H80" s="251" t="s">
        <v>331</v>
      </c>
      <c r="I80" s="252" t="s">
        <v>332</v>
      </c>
      <c r="J80" s="470"/>
      <c r="K80" s="404"/>
      <c r="L80" s="404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04"/>
    </row>
    <row r="81" spans="1:25">
      <c r="A81" s="413"/>
      <c r="B81" s="425" t="s">
        <v>397</v>
      </c>
      <c r="C81" s="425" t="s">
        <v>1076</v>
      </c>
      <c r="D81" s="425" t="s">
        <v>1078</v>
      </c>
      <c r="E81" s="425" t="s">
        <v>166</v>
      </c>
      <c r="F81" s="425" t="s">
        <v>400</v>
      </c>
      <c r="G81" s="425" t="s">
        <v>491</v>
      </c>
      <c r="H81" s="425" t="s">
        <v>341</v>
      </c>
      <c r="I81" s="425" t="s">
        <v>341</v>
      </c>
      <c r="J81" s="470"/>
      <c r="K81" s="404"/>
      <c r="L81" s="404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04"/>
    </row>
    <row r="82" spans="1:25">
      <c r="A82" s="413"/>
      <c r="B82" s="426" t="s">
        <v>1059</v>
      </c>
      <c r="C82" s="426" t="s">
        <v>1079</v>
      </c>
      <c r="D82" s="426" t="s">
        <v>1080</v>
      </c>
      <c r="E82" s="426" t="s">
        <v>166</v>
      </c>
      <c r="F82" s="426" t="s">
        <v>400</v>
      </c>
      <c r="G82" s="426" t="s">
        <v>491</v>
      </c>
      <c r="H82" s="426"/>
      <c r="I82" s="426"/>
      <c r="J82" s="470"/>
      <c r="K82" s="404"/>
      <c r="L82" s="404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04"/>
    </row>
    <row r="83" spans="1:25">
      <c r="A83" s="413"/>
      <c r="B83" s="403"/>
      <c r="C83" s="404"/>
      <c r="D83" s="404"/>
      <c r="E83" s="404"/>
      <c r="F83" s="404"/>
      <c r="G83" s="404"/>
      <c r="H83" s="404"/>
      <c r="I83" s="404"/>
      <c r="J83" s="404"/>
      <c r="K83" s="404"/>
      <c r="L83" s="404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04"/>
    </row>
    <row r="84" spans="1:25">
      <c r="A84" s="410"/>
      <c r="B84" s="403"/>
      <c r="C84" s="404"/>
      <c r="D84" s="404"/>
      <c r="E84" s="404"/>
      <c r="F84" s="404"/>
      <c r="G84" s="404"/>
      <c r="H84" s="404"/>
      <c r="I84" s="404"/>
      <c r="J84" s="404"/>
      <c r="K84" s="404"/>
      <c r="L84" s="404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04"/>
    </row>
    <row r="85" spans="1:25">
      <c r="A85" s="413"/>
      <c r="B85" s="403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04"/>
    </row>
    <row r="86" spans="1:25">
      <c r="A86" s="413"/>
      <c r="B86" s="403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04"/>
    </row>
    <row r="87" spans="1:25">
      <c r="A87" s="413"/>
      <c r="B87" s="403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04"/>
    </row>
    <row r="88" spans="1:25">
      <c r="A88" s="410"/>
      <c r="B88" s="403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04"/>
    </row>
    <row r="89" spans="1:25">
      <c r="A89" s="413"/>
      <c r="B89" s="403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04"/>
    </row>
    <row r="90" spans="1:25">
      <c r="A90" s="413"/>
      <c r="B90" s="403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04"/>
    </row>
    <row r="91" spans="1:25">
      <c r="A91" s="413"/>
      <c r="B91" s="403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04"/>
    </row>
    <row r="92" spans="1:25">
      <c r="A92" s="410"/>
      <c r="B92" s="403"/>
      <c r="C92" s="404"/>
      <c r="D92" s="404"/>
      <c r="E92" s="404"/>
      <c r="F92" s="404"/>
      <c r="G92" s="404"/>
      <c r="H92" s="404"/>
      <c r="I92" s="404"/>
      <c r="J92" s="404"/>
      <c r="K92" s="404"/>
      <c r="L92" s="404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04"/>
    </row>
    <row r="93" spans="1:25">
      <c r="A93" s="413"/>
      <c r="B93" s="403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04"/>
    </row>
    <row r="94" spans="1:25">
      <c r="A94" s="413"/>
      <c r="B94" s="403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04"/>
    </row>
    <row r="95" spans="1:25">
      <c r="A95" s="413"/>
      <c r="B95" s="403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N95" s="470"/>
      <c r="O95" s="470"/>
      <c r="P95" s="470"/>
      <c r="Q95" s="470"/>
      <c r="R95" s="470"/>
      <c r="S95" s="470"/>
      <c r="T95" s="470"/>
      <c r="U95" s="470"/>
      <c r="V95" s="470"/>
      <c r="W95" s="470"/>
      <c r="X95" s="470"/>
      <c r="Y95" s="404"/>
    </row>
    <row r="96" spans="1:25">
      <c r="A96" s="410"/>
      <c r="B96" s="403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N96" s="470"/>
      <c r="O96" s="470"/>
      <c r="P96" s="470"/>
      <c r="Q96" s="470"/>
      <c r="R96" s="470"/>
      <c r="S96" s="470"/>
      <c r="T96" s="470"/>
      <c r="U96" s="470"/>
      <c r="V96" s="470"/>
      <c r="W96" s="470"/>
      <c r="X96" s="470"/>
      <c r="Y96" s="404"/>
    </row>
    <row r="97" spans="1:25">
      <c r="A97" s="413"/>
      <c r="B97" s="403"/>
      <c r="C97" s="404"/>
      <c r="D97" s="404"/>
      <c r="E97" s="404"/>
      <c r="F97" s="404"/>
      <c r="G97" s="404"/>
      <c r="H97" s="404"/>
      <c r="I97" s="404"/>
      <c r="J97" s="404"/>
      <c r="K97" s="404"/>
      <c r="L97" s="404"/>
      <c r="N97" s="470"/>
      <c r="O97" s="470"/>
      <c r="P97" s="470"/>
      <c r="Q97" s="470"/>
      <c r="R97" s="470"/>
      <c r="S97" s="470"/>
      <c r="T97" s="470"/>
      <c r="U97" s="470"/>
      <c r="V97" s="470"/>
      <c r="W97" s="470"/>
      <c r="X97" s="470"/>
      <c r="Y97" s="404"/>
    </row>
    <row r="98" spans="1:25">
      <c r="A98" s="413"/>
      <c r="B98" s="403"/>
      <c r="C98" s="404"/>
      <c r="D98" s="404"/>
      <c r="E98" s="404"/>
      <c r="F98" s="404"/>
      <c r="G98" s="404"/>
      <c r="H98" s="404"/>
      <c r="I98" s="404"/>
      <c r="J98" s="404"/>
      <c r="K98" s="404"/>
      <c r="L98" s="404"/>
      <c r="N98" s="470"/>
      <c r="O98" s="470"/>
      <c r="P98" s="470"/>
      <c r="Q98" s="470"/>
      <c r="R98" s="470"/>
      <c r="S98" s="470"/>
      <c r="T98" s="470"/>
      <c r="U98" s="470"/>
      <c r="V98" s="470"/>
      <c r="W98" s="470"/>
      <c r="X98" s="470"/>
      <c r="Y98" s="404"/>
    </row>
    <row r="99" spans="1:25">
      <c r="A99" s="413"/>
      <c r="B99" s="403"/>
      <c r="C99" s="404"/>
      <c r="D99" s="404"/>
      <c r="E99" s="404"/>
      <c r="F99" s="404"/>
      <c r="G99" s="404"/>
      <c r="H99" s="404"/>
      <c r="I99" s="404"/>
      <c r="J99" s="404"/>
      <c r="K99" s="404"/>
      <c r="L99" s="404"/>
      <c r="N99" s="470"/>
      <c r="O99" s="470"/>
      <c r="P99" s="470"/>
      <c r="Q99" s="470"/>
      <c r="R99" s="470"/>
      <c r="S99" s="470"/>
      <c r="T99" s="470"/>
      <c r="U99" s="470"/>
      <c r="V99" s="470"/>
      <c r="W99" s="470"/>
      <c r="X99" s="470"/>
      <c r="Y99" s="404"/>
    </row>
    <row r="100" spans="1:25">
      <c r="A100" s="410"/>
      <c r="B100" s="403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N100" s="470"/>
      <c r="O100" s="470"/>
      <c r="P100" s="470"/>
      <c r="Q100" s="470"/>
      <c r="R100" s="470"/>
      <c r="S100" s="470"/>
      <c r="T100" s="470"/>
      <c r="U100" s="470"/>
      <c r="V100" s="470"/>
      <c r="W100" s="470"/>
      <c r="X100" s="470"/>
      <c r="Y100" s="404"/>
    </row>
    <row r="101" spans="1:25">
      <c r="A101" s="413"/>
      <c r="B101" s="403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N101" s="470"/>
      <c r="O101" s="470"/>
      <c r="P101" s="470"/>
      <c r="Q101" s="470"/>
      <c r="R101" s="470"/>
      <c r="S101" s="470"/>
      <c r="T101" s="470"/>
      <c r="U101" s="470"/>
      <c r="V101" s="470"/>
      <c r="W101" s="470"/>
      <c r="X101" s="470"/>
      <c r="Y101" s="404"/>
    </row>
    <row r="102" spans="1:25">
      <c r="A102" s="413"/>
      <c r="B102" s="403"/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N102" s="470"/>
      <c r="O102" s="470"/>
      <c r="P102" s="470"/>
      <c r="Q102" s="470"/>
      <c r="R102" s="470"/>
      <c r="S102" s="470"/>
      <c r="T102" s="470"/>
      <c r="U102" s="470"/>
      <c r="V102" s="470"/>
      <c r="W102" s="470"/>
      <c r="X102" s="470"/>
      <c r="Y102" s="404"/>
    </row>
    <row r="103" spans="1:25">
      <c r="A103" s="413"/>
      <c r="B103" s="403"/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N103" s="470"/>
      <c r="O103" s="470"/>
      <c r="P103" s="470"/>
      <c r="Q103" s="470"/>
      <c r="R103" s="470"/>
      <c r="S103" s="470"/>
      <c r="T103" s="470"/>
      <c r="U103" s="470"/>
      <c r="V103" s="470"/>
      <c r="W103" s="470"/>
      <c r="X103" s="470"/>
      <c r="Y103" s="404"/>
    </row>
    <row r="104" spans="1:25">
      <c r="A104" s="410"/>
      <c r="B104" s="403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N104" s="470"/>
      <c r="O104" s="470"/>
      <c r="P104" s="470"/>
      <c r="Q104" s="470"/>
      <c r="R104" s="470"/>
      <c r="S104" s="470"/>
      <c r="T104" s="470"/>
      <c r="U104" s="470"/>
      <c r="V104" s="470"/>
      <c r="W104" s="470"/>
      <c r="X104" s="470"/>
      <c r="Y104" s="404"/>
    </row>
    <row r="105" spans="1:25">
      <c r="A105" s="413"/>
      <c r="B105" s="403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N105" s="470"/>
      <c r="O105" s="470"/>
      <c r="P105" s="470"/>
      <c r="Q105" s="470"/>
      <c r="R105" s="470"/>
      <c r="S105" s="470"/>
      <c r="T105" s="470"/>
      <c r="U105" s="470"/>
      <c r="V105" s="470"/>
      <c r="W105" s="470"/>
      <c r="X105" s="470"/>
      <c r="Y105" s="404"/>
    </row>
    <row r="106" spans="1:25">
      <c r="A106" s="413"/>
      <c r="B106" s="403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N106" s="470"/>
      <c r="O106" s="470"/>
      <c r="P106" s="470"/>
      <c r="Q106" s="470"/>
      <c r="R106" s="470"/>
      <c r="S106" s="470"/>
      <c r="T106" s="470"/>
      <c r="U106" s="470"/>
      <c r="V106" s="470"/>
      <c r="W106" s="470"/>
      <c r="X106" s="470"/>
      <c r="Y106" s="404"/>
    </row>
    <row r="107" spans="1:25">
      <c r="A107" s="413"/>
      <c r="B107" s="403"/>
      <c r="C107" s="404"/>
      <c r="D107" s="404"/>
      <c r="E107" s="404"/>
      <c r="F107" s="404"/>
      <c r="G107" s="404"/>
      <c r="H107" s="404"/>
      <c r="I107" s="404"/>
      <c r="J107" s="404"/>
      <c r="K107" s="404"/>
      <c r="L107" s="404"/>
      <c r="N107" s="470"/>
      <c r="O107" s="470"/>
      <c r="P107" s="470"/>
      <c r="Q107" s="470"/>
      <c r="R107" s="470"/>
      <c r="S107" s="470"/>
      <c r="T107" s="470"/>
      <c r="U107" s="470"/>
      <c r="V107" s="470"/>
      <c r="W107" s="470"/>
      <c r="X107" s="470"/>
      <c r="Y107" s="404"/>
    </row>
    <row r="108" spans="1:25">
      <c r="A108" s="410"/>
      <c r="B108" s="403"/>
      <c r="C108" s="404"/>
      <c r="D108" s="404"/>
      <c r="E108" s="404"/>
      <c r="F108" s="404"/>
      <c r="G108" s="404"/>
      <c r="H108" s="404"/>
      <c r="I108" s="404"/>
      <c r="J108" s="404"/>
      <c r="K108" s="404"/>
      <c r="L108" s="404"/>
      <c r="N108" s="470"/>
      <c r="O108" s="470"/>
      <c r="P108" s="470"/>
      <c r="Q108" s="470"/>
      <c r="R108" s="470"/>
      <c r="S108" s="470"/>
      <c r="T108" s="470"/>
      <c r="U108" s="470"/>
      <c r="V108" s="470"/>
      <c r="W108" s="470"/>
      <c r="X108" s="470"/>
      <c r="Y108" s="404"/>
    </row>
    <row r="109" spans="1:25">
      <c r="A109" s="413"/>
      <c r="B109" s="403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N109" s="470"/>
      <c r="O109" s="470"/>
      <c r="P109" s="470"/>
      <c r="Q109" s="470"/>
      <c r="R109" s="470"/>
      <c r="S109" s="470"/>
      <c r="T109" s="470"/>
      <c r="U109" s="470"/>
      <c r="V109" s="470"/>
      <c r="W109" s="470"/>
      <c r="X109" s="470"/>
      <c r="Y109" s="404"/>
    </row>
    <row r="110" spans="1:25">
      <c r="A110" s="413"/>
      <c r="B110" s="403"/>
      <c r="C110" s="404"/>
      <c r="D110" s="404"/>
      <c r="E110" s="404"/>
      <c r="F110" s="404"/>
      <c r="G110" s="404"/>
      <c r="H110" s="404"/>
      <c r="I110" s="404"/>
      <c r="J110" s="404"/>
      <c r="K110" s="404"/>
      <c r="L110" s="404"/>
      <c r="N110" s="470"/>
      <c r="O110" s="470"/>
      <c r="P110" s="470"/>
      <c r="Q110" s="470"/>
      <c r="R110" s="470"/>
      <c r="S110" s="470"/>
      <c r="T110" s="470"/>
      <c r="U110" s="470"/>
      <c r="V110" s="470"/>
      <c r="W110" s="470"/>
      <c r="X110" s="470"/>
      <c r="Y110" s="404"/>
    </row>
    <row r="111" spans="1:25">
      <c r="A111" s="413"/>
      <c r="B111" s="403"/>
      <c r="C111" s="404"/>
      <c r="D111" s="404"/>
      <c r="E111" s="404"/>
      <c r="F111" s="404"/>
      <c r="G111" s="404"/>
      <c r="H111" s="404"/>
      <c r="I111" s="404"/>
      <c r="J111" s="404"/>
      <c r="K111" s="404"/>
      <c r="L111" s="404"/>
      <c r="N111" s="470"/>
      <c r="O111" s="470"/>
      <c r="P111" s="470"/>
      <c r="Q111" s="470"/>
      <c r="R111" s="470"/>
      <c r="S111" s="470"/>
      <c r="T111" s="470"/>
      <c r="U111" s="470"/>
      <c r="V111" s="470"/>
      <c r="W111" s="470"/>
      <c r="X111" s="470"/>
      <c r="Y111" s="404"/>
    </row>
    <row r="112" spans="1:25">
      <c r="A112" s="410"/>
      <c r="B112" s="403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N112" s="470"/>
      <c r="O112" s="470"/>
      <c r="P112" s="470"/>
      <c r="Q112" s="470"/>
      <c r="R112" s="470"/>
      <c r="S112" s="470"/>
      <c r="T112" s="470"/>
      <c r="U112" s="470"/>
      <c r="V112" s="470"/>
      <c r="W112" s="470"/>
      <c r="X112" s="470"/>
      <c r="Y112" s="404"/>
    </row>
    <row r="113" spans="1:25">
      <c r="A113" s="413"/>
      <c r="B113" s="403"/>
      <c r="C113" s="404"/>
      <c r="D113" s="404"/>
      <c r="E113" s="404"/>
      <c r="F113" s="404"/>
      <c r="G113" s="404"/>
      <c r="H113" s="404"/>
      <c r="I113" s="404"/>
      <c r="J113" s="404"/>
      <c r="K113" s="404"/>
      <c r="L113" s="404"/>
      <c r="N113" s="470"/>
      <c r="O113" s="470"/>
      <c r="P113" s="470"/>
      <c r="Q113" s="470"/>
      <c r="R113" s="470"/>
      <c r="S113" s="470"/>
      <c r="T113" s="470"/>
      <c r="U113" s="470"/>
      <c r="V113" s="470"/>
      <c r="W113" s="470"/>
      <c r="X113" s="470"/>
      <c r="Y113" s="404"/>
    </row>
    <row r="114" spans="1:25">
      <c r="A114" s="413"/>
      <c r="B114" s="403"/>
      <c r="C114" s="404"/>
      <c r="D114" s="404"/>
      <c r="E114" s="404"/>
      <c r="F114" s="404"/>
      <c r="G114" s="404"/>
      <c r="H114" s="404"/>
      <c r="I114" s="404"/>
      <c r="J114" s="404"/>
      <c r="K114" s="404"/>
      <c r="L114" s="404"/>
      <c r="N114" s="470"/>
      <c r="O114" s="470"/>
      <c r="P114" s="470"/>
      <c r="Q114" s="470"/>
      <c r="R114" s="470"/>
      <c r="S114" s="470"/>
      <c r="T114" s="470"/>
      <c r="U114" s="470"/>
      <c r="V114" s="470"/>
      <c r="W114" s="470"/>
      <c r="X114" s="470"/>
      <c r="Y114" s="404"/>
    </row>
    <row r="115" spans="1:25">
      <c r="A115" s="413"/>
      <c r="B115" s="470"/>
      <c r="C115" s="470"/>
      <c r="D115" s="470"/>
      <c r="E115" s="470"/>
      <c r="F115" s="470"/>
      <c r="G115" s="470"/>
      <c r="H115" s="470"/>
      <c r="I115" s="470"/>
      <c r="J115" s="470"/>
      <c r="K115" s="470"/>
      <c r="L115" s="404"/>
      <c r="N115" s="470"/>
      <c r="O115" s="470"/>
      <c r="P115" s="470"/>
      <c r="Q115" s="470"/>
      <c r="R115" s="470"/>
      <c r="S115" s="470"/>
      <c r="T115" s="470"/>
      <c r="U115" s="470"/>
      <c r="V115" s="470"/>
      <c r="W115" s="470"/>
      <c r="X115" s="470"/>
      <c r="Y115" s="404"/>
    </row>
    <row r="116" spans="1:25">
      <c r="A116" s="470"/>
      <c r="B116" s="470"/>
      <c r="C116" s="470"/>
      <c r="D116" s="470"/>
      <c r="E116" s="470"/>
      <c r="F116" s="470"/>
      <c r="G116" s="470"/>
      <c r="H116" s="470"/>
      <c r="I116" s="470"/>
      <c r="J116" s="470"/>
      <c r="K116" s="470"/>
      <c r="L116" s="404"/>
      <c r="N116" s="470"/>
      <c r="O116" s="470"/>
      <c r="P116" s="470"/>
      <c r="Q116" s="470"/>
      <c r="R116" s="470"/>
      <c r="S116" s="470"/>
      <c r="T116" s="470"/>
      <c r="U116" s="470"/>
      <c r="V116" s="470"/>
      <c r="W116" s="470"/>
      <c r="X116" s="470"/>
      <c r="Y116" s="404"/>
    </row>
    <row r="117" spans="1:25">
      <c r="A117" s="470"/>
      <c r="B117" s="470"/>
      <c r="C117" s="470"/>
      <c r="D117" s="470"/>
      <c r="E117" s="470"/>
      <c r="F117" s="470"/>
      <c r="G117" s="470"/>
      <c r="H117" s="470"/>
      <c r="I117" s="470"/>
      <c r="J117" s="470"/>
      <c r="K117" s="470"/>
      <c r="L117" s="404"/>
      <c r="N117" s="470"/>
      <c r="O117" s="470"/>
      <c r="P117" s="470"/>
      <c r="Q117" s="470"/>
      <c r="R117" s="470"/>
      <c r="S117" s="470"/>
      <c r="T117" s="470"/>
      <c r="U117" s="470"/>
      <c r="V117" s="470"/>
      <c r="W117" s="470"/>
      <c r="X117" s="470"/>
      <c r="Y117" s="404"/>
    </row>
    <row r="118" spans="1:25">
      <c r="A118" s="470"/>
      <c r="B118" s="470"/>
      <c r="C118" s="470"/>
      <c r="D118" s="470"/>
      <c r="E118" s="470"/>
      <c r="F118" s="470"/>
      <c r="G118" s="470"/>
      <c r="H118" s="470"/>
      <c r="I118" s="470"/>
      <c r="J118" s="470"/>
      <c r="K118" s="470"/>
      <c r="L118" s="404"/>
      <c r="N118" s="470"/>
      <c r="O118" s="470"/>
      <c r="P118" s="470"/>
      <c r="Q118" s="470"/>
      <c r="R118" s="470"/>
      <c r="S118" s="470"/>
      <c r="T118" s="470"/>
      <c r="U118" s="470"/>
      <c r="V118" s="470"/>
      <c r="W118" s="470"/>
      <c r="X118" s="470"/>
      <c r="Y118" s="404"/>
    </row>
    <row r="119" spans="1:25">
      <c r="A119" s="470"/>
      <c r="B119" s="470"/>
      <c r="C119" s="470"/>
      <c r="D119" s="470"/>
      <c r="E119" s="470"/>
      <c r="F119" s="470"/>
      <c r="G119" s="470"/>
      <c r="H119" s="470"/>
      <c r="I119" s="470"/>
      <c r="J119" s="470"/>
      <c r="K119" s="470"/>
      <c r="N119" s="470"/>
      <c r="O119" s="470"/>
      <c r="P119" s="470"/>
      <c r="Q119" s="470"/>
      <c r="R119" s="470"/>
      <c r="S119" s="470"/>
      <c r="T119" s="470"/>
      <c r="U119" s="470"/>
      <c r="V119" s="470"/>
      <c r="W119" s="470"/>
      <c r="X119" s="470"/>
      <c r="Y119" s="404"/>
    </row>
  </sheetData>
  <mergeCells count="2">
    <mergeCell ref="C4:I4"/>
    <mergeCell ref="P4:W4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68"/>
  <sheetViews>
    <sheetView zoomScale="75" zoomScaleNormal="75" workbookViewId="0">
      <selection activeCell="N107" sqref="N107"/>
    </sheetView>
  </sheetViews>
  <sheetFormatPr defaultColWidth="9.140625" defaultRowHeight="12.75"/>
  <cols>
    <col min="1" max="1" width="9.140625" style="25"/>
    <col min="2" max="2" width="13.7109375" style="25" bestFit="1" customWidth="1"/>
    <col min="3" max="3" width="34.85546875" style="25" customWidth="1"/>
    <col min="4" max="4" width="14.42578125" style="25" bestFit="1" customWidth="1"/>
    <col min="5" max="6" width="9.140625" style="25"/>
    <col min="7" max="7" width="9.7109375" style="25" bestFit="1" customWidth="1"/>
    <col min="8" max="8" width="10.140625" style="25" customWidth="1"/>
    <col min="9" max="16384" width="9.140625" style="25"/>
  </cols>
  <sheetData>
    <row r="1" spans="1:20" ht="18.75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IND_Bal!$B$104</f>
        <v>IIS</v>
      </c>
      <c r="B4" s="158"/>
      <c r="C4" s="49" t="str">
        <f>IND_Bal!$A$104</f>
        <v>Iron and Steel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26"/>
      <c r="B5" s="26"/>
      <c r="C5" s="26"/>
      <c r="D5" s="470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470"/>
      <c r="S5" s="470"/>
      <c r="T5" s="470"/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470"/>
      <c r="R6" s="470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70"/>
      <c r="R7" s="470"/>
      <c r="S7" s="470"/>
      <c r="T7" s="470"/>
    </row>
    <row r="8" spans="1:20">
      <c r="A8" s="26"/>
      <c r="B8" s="26"/>
      <c r="C8" s="26"/>
      <c r="D8" s="26"/>
      <c r="E8" s="26"/>
      <c r="F8" s="159" t="s">
        <v>1100</v>
      </c>
      <c r="G8" s="159"/>
      <c r="H8" s="159"/>
      <c r="I8" s="26"/>
      <c r="J8" s="160" t="s">
        <v>1101</v>
      </c>
      <c r="K8" s="161"/>
      <c r="L8" s="161"/>
      <c r="M8" s="26"/>
      <c r="N8" s="26"/>
      <c r="O8" s="26"/>
      <c r="P8" s="26"/>
      <c r="Q8" s="470"/>
      <c r="R8" s="470"/>
      <c r="S8" s="470"/>
      <c r="T8" s="470"/>
    </row>
    <row r="9" spans="1:20" ht="18.75">
      <c r="A9" s="103" t="s">
        <v>1102</v>
      </c>
      <c r="B9" s="43"/>
      <c r="C9" s="43"/>
      <c r="D9" s="26"/>
      <c r="E9" s="26"/>
      <c r="F9" s="103" t="s">
        <v>1103</v>
      </c>
      <c r="G9" s="69"/>
      <c r="H9" s="69"/>
      <c r="I9" s="26"/>
      <c r="J9" s="103" t="s">
        <v>1103</v>
      </c>
      <c r="K9" s="69"/>
      <c r="L9" s="69"/>
      <c r="M9" s="26"/>
      <c r="N9" s="103" t="s">
        <v>1104</v>
      </c>
      <c r="O9" s="69"/>
      <c r="P9" s="69"/>
      <c r="Q9" s="470"/>
      <c r="R9" s="470"/>
      <c r="S9" s="470"/>
      <c r="T9" s="470"/>
    </row>
    <row r="10" spans="1:20" ht="13.5" thickBot="1">
      <c r="A10" s="86" t="s">
        <v>1105</v>
      </c>
      <c r="B10" s="49"/>
      <c r="C10" s="217" t="str">
        <f>C116</f>
        <v>IIS.Iron Blast Furnace.00.</v>
      </c>
      <c r="D10" s="162">
        <v>1</v>
      </c>
      <c r="E10" s="26"/>
      <c r="F10" s="163"/>
      <c r="G10" s="164" t="s">
        <v>1106</v>
      </c>
      <c r="H10" s="164" t="s">
        <v>1107</v>
      </c>
      <c r="I10" s="165"/>
      <c r="J10" s="166"/>
      <c r="K10" s="164" t="s">
        <v>1106</v>
      </c>
      <c r="L10" s="164" t="s">
        <v>1107</v>
      </c>
      <c r="M10" s="26"/>
      <c r="N10" s="163"/>
      <c r="O10" s="84" t="s">
        <v>1106</v>
      </c>
      <c r="P10" s="84" t="s">
        <v>1107</v>
      </c>
      <c r="Q10" s="470"/>
      <c r="R10" s="470"/>
      <c r="S10" s="470"/>
      <c r="T10" s="470"/>
    </row>
    <row r="11" spans="1:20">
      <c r="A11" s="49"/>
      <c r="B11" s="49"/>
      <c r="C11" s="217" t="str">
        <f>C128</f>
        <v>IIS.COREX.00.</v>
      </c>
      <c r="D11" s="162">
        <v>0</v>
      </c>
      <c r="E11" s="26"/>
      <c r="F11" s="217" t="str">
        <f>IND_Commodities!$C$5</f>
        <v>INDCOA</v>
      </c>
      <c r="G11" s="223">
        <f>IND_Bal!C$37</f>
        <v>0</v>
      </c>
      <c r="H11" s="168"/>
      <c r="I11" s="26"/>
      <c r="J11" s="217" t="str">
        <f>IND_Commodities!$C$5</f>
        <v>INDCOA</v>
      </c>
      <c r="K11" s="223">
        <f>(F120*H116)+(F130*H128)+(F144*H142)+(F30*H29)</f>
        <v>0</v>
      </c>
      <c r="L11" s="168"/>
      <c r="M11" s="26"/>
      <c r="N11" s="49" t="str">
        <f>IND_Commodities!$C$45</f>
        <v>MISORE</v>
      </c>
      <c r="O11" s="224">
        <f>(F157*H157)+(F162*H162)+(F61*H61)</f>
        <v>0</v>
      </c>
      <c r="P11" s="169"/>
      <c r="Q11" s="470"/>
      <c r="R11" s="470"/>
      <c r="S11" s="470"/>
      <c r="T11" s="470"/>
    </row>
    <row r="12" spans="1:20">
      <c r="A12" s="49"/>
      <c r="B12" s="49"/>
      <c r="C12" s="217" t="str">
        <f>C142</f>
        <v>IIS.Cyclone Convertor Furnace CCF.00.</v>
      </c>
      <c r="D12" s="162">
        <v>0</v>
      </c>
      <c r="E12" s="26"/>
      <c r="F12" s="217" t="str">
        <f>IND_Commodities!$C$8</f>
        <v>INDCOK</v>
      </c>
      <c r="G12" s="223">
        <f>IND_Bal!F$37+IND_Bal!D29</f>
        <v>0</v>
      </c>
      <c r="H12" s="168"/>
      <c r="I12" s="26"/>
      <c r="J12" s="217" t="str">
        <f>IND_Commodities!$C$8</f>
        <v>INDCOK</v>
      </c>
      <c r="K12" s="223">
        <f>(F158*H157)+(F163*H162)+(F119*H116)+(F31*H29)+(F62*H61)+(F49*H47)</f>
        <v>0</v>
      </c>
      <c r="L12" s="168"/>
      <c r="M12" s="26"/>
      <c r="N12" s="49" t="str">
        <f>IND_Commodities!$C$46</f>
        <v>MISPLT</v>
      </c>
      <c r="O12" s="97">
        <f>(F116*H116)+(F128*H128)+(F137*H137)</f>
        <v>0</v>
      </c>
      <c r="P12" s="97">
        <f>G160*H157</f>
        <v>0</v>
      </c>
      <c r="Q12" s="470"/>
      <c r="R12" s="470"/>
      <c r="S12" s="470"/>
      <c r="T12" s="470"/>
    </row>
    <row r="13" spans="1:20">
      <c r="A13" s="170"/>
      <c r="B13" s="49"/>
      <c r="C13" s="49"/>
      <c r="D13" s="171">
        <f>IF(SUM(D10:D12)&lt;&gt;1,"ERR: " &amp; SUM(D10:D12),SUM(D10:D12))</f>
        <v>1</v>
      </c>
      <c r="E13" s="26"/>
      <c r="F13" s="217" t="str">
        <f>IND_Commodities!$C$10</f>
        <v>INDLPG</v>
      </c>
      <c r="G13" s="223">
        <f>IND_Bal!H$37</f>
        <v>0</v>
      </c>
      <c r="H13" s="168"/>
      <c r="I13" s="26"/>
      <c r="J13" s="217" t="str">
        <f>IND_Commodities!$C$10</f>
        <v>INDLPG</v>
      </c>
      <c r="K13" s="223">
        <f>(F32*H29)+(F53*H47)</f>
        <v>0</v>
      </c>
      <c r="L13" s="168"/>
      <c r="M13" s="26"/>
      <c r="N13" s="49" t="str">
        <f>IND_Commodities!$C$47</f>
        <v>MISSNT</v>
      </c>
      <c r="O13" s="97">
        <f>(F117*H116)+(F142*H142)</f>
        <v>0</v>
      </c>
      <c r="P13" s="97">
        <f>G166*H162</f>
        <v>0</v>
      </c>
      <c r="Q13" s="470"/>
      <c r="R13" s="470"/>
      <c r="S13" s="470"/>
      <c r="T13" s="470"/>
    </row>
    <row r="14" spans="1:20">
      <c r="A14" s="86" t="s">
        <v>1108</v>
      </c>
      <c r="B14" s="98"/>
      <c r="C14" s="49" t="str">
        <f>C47</f>
        <v>IIS.Argon Oxygen Furnace AOD.Regular.00.</v>
      </c>
      <c r="D14" s="225">
        <v>0</v>
      </c>
      <c r="E14" s="26"/>
      <c r="F14" s="217" t="str">
        <f>IND_Commodities!$C$11</f>
        <v>INDLFO</v>
      </c>
      <c r="G14" s="223">
        <f>IND_Bal!I$37</f>
        <v>0</v>
      </c>
      <c r="H14" s="168"/>
      <c r="I14" s="26"/>
      <c r="J14" s="217" t="str">
        <f>IND_Commodities!$C$11</f>
        <v>INDLFO</v>
      </c>
      <c r="K14" s="223">
        <f>(F33*H29)</f>
        <v>0</v>
      </c>
      <c r="L14" s="168"/>
      <c r="M14" s="26"/>
      <c r="N14" s="217" t="str">
        <f>IND_Commodities!$C$48</f>
        <v>MISRIR</v>
      </c>
      <c r="O14" s="97">
        <f>(F77*H77)+(F85*H85)</f>
        <v>0</v>
      </c>
      <c r="P14" s="97">
        <f>(G124*H116)+(G132*H128)+(G147*H142)</f>
        <v>0</v>
      </c>
      <c r="Q14" s="470"/>
      <c r="R14" s="470"/>
      <c r="S14" s="470"/>
      <c r="T14" s="470"/>
    </row>
    <row r="15" spans="1:20">
      <c r="A15" s="49"/>
      <c r="B15" s="98"/>
      <c r="C15" s="49" t="str">
        <f>C77</f>
        <v>IIS.Blast Oxygen Furnace BOF.Regular.00.</v>
      </c>
      <c r="D15" s="225">
        <v>0.56000000000000005</v>
      </c>
      <c r="E15" s="26"/>
      <c r="F15" s="217" t="str">
        <f>IND_Commodities!$C$13</f>
        <v>INDHFO</v>
      </c>
      <c r="G15" s="223">
        <f>IND_Bal!K$37</f>
        <v>0</v>
      </c>
      <c r="H15" s="168"/>
      <c r="I15" s="26"/>
      <c r="J15" s="217" t="str">
        <f>IND_Commodities!$C$13</f>
        <v>INDHFO</v>
      </c>
      <c r="K15" s="223">
        <f>(F121*H116)+(F34*H29)+F64*H61</f>
        <v>0</v>
      </c>
      <c r="L15" s="168"/>
      <c r="M15" s="26"/>
      <c r="N15" s="217" t="str">
        <f>IND_Commodities!$C$49</f>
        <v>MISDIR</v>
      </c>
      <c r="O15" s="97">
        <f>(F93*H93)</f>
        <v>0</v>
      </c>
      <c r="P15" s="97">
        <f>G140*H137</f>
        <v>0</v>
      </c>
      <c r="Q15" s="470"/>
      <c r="R15" s="470"/>
      <c r="S15" s="470"/>
      <c r="T15" s="470"/>
    </row>
    <row r="16" spans="1:20">
      <c r="A16" s="49"/>
      <c r="B16" s="98"/>
      <c r="C16" s="49" t="str">
        <f>C85</f>
        <v>IIS.Blast Oxygen Furnace BOF.Scrap.00.</v>
      </c>
      <c r="D16" s="225">
        <v>0.24</v>
      </c>
      <c r="E16" s="26"/>
      <c r="F16" s="217" t="str">
        <f>IND_Commodities!$C$15</f>
        <v>INDGAS</v>
      </c>
      <c r="G16" s="223">
        <f>IND_Bal!M$37</f>
        <v>0</v>
      </c>
      <c r="H16" s="168"/>
      <c r="I16" s="26"/>
      <c r="J16" s="217" t="str">
        <f>IND_Commodities!$C$15</f>
        <v>INDGAS</v>
      </c>
      <c r="K16" s="223">
        <f>(F138*H137)+(F81*H77)+(F89*H85)+(F96*H93)+(F102*H100)+(F107*H106)+(F35*H29)</f>
        <v>0</v>
      </c>
      <c r="L16" s="168"/>
      <c r="M16" s="26"/>
      <c r="N16" s="217" t="str">
        <f>IND_Commodities!$C$50</f>
        <v>MISSCR</v>
      </c>
      <c r="O16" s="97">
        <f>(F78*H77)+(F86*H85)+(F94*H93)+(F100*H100)+(F106*H106)+(F48*H47)</f>
        <v>0</v>
      </c>
      <c r="P16" s="97"/>
      <c r="Q16" s="470"/>
      <c r="R16" s="470"/>
      <c r="S16" s="470"/>
      <c r="T16" s="470"/>
    </row>
    <row r="17" spans="1:16">
      <c r="A17" s="49"/>
      <c r="B17" s="98"/>
      <c r="C17" s="49" t="str">
        <f>C93</f>
        <v>IIS.EAF for DRI.00.</v>
      </c>
      <c r="D17" s="225">
        <v>0</v>
      </c>
      <c r="E17" s="26"/>
      <c r="F17" s="217" t="str">
        <f>IND_Commodities!$C$16</f>
        <v>INDCOG</v>
      </c>
      <c r="G17" s="223">
        <f>IND_Bal!N$37</f>
        <v>0</v>
      </c>
      <c r="H17" s="168"/>
      <c r="I17" s="26"/>
      <c r="J17" s="217" t="str">
        <f>IND_Commodities!$C$16</f>
        <v>INDCOG</v>
      </c>
      <c r="K17" s="223">
        <f>(F36*H29)+F164*H162</f>
        <v>0</v>
      </c>
      <c r="L17" s="168"/>
      <c r="M17" s="26"/>
      <c r="N17" s="217" t="str">
        <f>IND_Commodities!$C$51</f>
        <v>MISBFS</v>
      </c>
      <c r="O17" s="97"/>
      <c r="P17" s="97">
        <f>(G125*H116)+(G133*H128)+(G148*H142)+(G68*H61)</f>
        <v>0</v>
      </c>
    </row>
    <row r="18" spans="1:16">
      <c r="A18" s="49"/>
      <c r="B18" s="98"/>
      <c r="C18" s="49" t="str">
        <f>C100</f>
        <v>IIS.Electric Arc Furnace.00.</v>
      </c>
      <c r="D18" s="225">
        <v>0.2</v>
      </c>
      <c r="E18" s="26"/>
      <c r="F18" s="217" t="str">
        <f>IND_Commodities!$C$17</f>
        <v>INDBFG</v>
      </c>
      <c r="G18" s="223">
        <f>IND_Bal!O$37</f>
        <v>0</v>
      </c>
      <c r="H18" s="102">
        <f>IND_Bal!R30</f>
        <v>0</v>
      </c>
      <c r="I18" s="26"/>
      <c r="J18" s="217" t="str">
        <f>IND_Commodities!$C$17</f>
        <v>INDBFG</v>
      </c>
      <c r="K18" s="223">
        <f>(F37*H29)+(F123*H116)+(F52*H47)+(F63*H61)+(F131*H128)+ (F146*H142)</f>
        <v>0</v>
      </c>
      <c r="L18" s="169">
        <f>(G126*H116)+(G134*H128)+(G149*H142)+G69*H61+G83*H77+G91*H85</f>
        <v>0</v>
      </c>
      <c r="M18" s="26"/>
      <c r="N18" s="49" t="str">
        <f>IND_Commodities!$C$52</f>
        <v>MISOXY</v>
      </c>
      <c r="O18" s="97">
        <f>(F118*H116)+(F129*H128)+(F143*H142)+(F80*H77)+(F88*H85)+(F95*H93)+(F101*H100)+(F50*H47)</f>
        <v>0</v>
      </c>
      <c r="P18" s="97"/>
    </row>
    <row r="19" spans="1:16">
      <c r="A19" s="49"/>
      <c r="B19" s="98"/>
      <c r="C19" s="49" t="str">
        <f>C106</f>
        <v>IIS.Cast Iron Cupola.00.</v>
      </c>
      <c r="D19" s="225"/>
      <c r="E19" s="26"/>
      <c r="F19" s="217" t="str">
        <f>IND_Commodities!$C$25</f>
        <v>INDELC</v>
      </c>
      <c r="G19" s="150">
        <f>IND_Bal!U$37</f>
        <v>0</v>
      </c>
      <c r="H19" s="168"/>
      <c r="I19" s="26"/>
      <c r="J19" s="217" t="str">
        <f>IND_Commodities!$C$25</f>
        <v>INDELC</v>
      </c>
      <c r="K19" s="223">
        <f>(F159*H157)+(F165*H162)+(F122*H116)+(F139*H137)+(F145*H142)+(F97*H93)+(F103*H100)+(F38*H29)+F54*H47+F65*H61+F108*H106</f>
        <v>0</v>
      </c>
      <c r="L19" s="168"/>
      <c r="M19" s="226">
        <f>G19-K19</f>
        <v>0</v>
      </c>
      <c r="N19" s="49" t="str">
        <f>IND_Commodities!$C$53</f>
        <v>MISQLI</v>
      </c>
      <c r="O19" s="97">
        <f>(F79*H77)+(F87*H85)+(F51*H47)</f>
        <v>0</v>
      </c>
      <c r="P19" s="97"/>
    </row>
    <row r="20" spans="1:16">
      <c r="A20" s="170"/>
      <c r="B20" s="49"/>
      <c r="C20" s="49"/>
      <c r="D20" s="176">
        <f>IF(SUM(D14:D19)&lt;&gt;1,"ERR: " &amp; SUM(D14:D19),SUM(D14:D19))</f>
        <v>1</v>
      </c>
      <c r="E20" s="26"/>
      <c r="F20" s="217" t="str">
        <f>IND_Commodities!$C$28</f>
        <v>IISHTH</v>
      </c>
      <c r="G20" s="223">
        <f>IND_Bal!V$37</f>
        <v>0</v>
      </c>
      <c r="H20" s="169"/>
      <c r="I20" s="26"/>
      <c r="J20" s="217" t="str">
        <f>IND_Commodities!$C$28</f>
        <v>IISHTH</v>
      </c>
      <c r="K20" s="223">
        <f>(F39*H29)+F66*H61</f>
        <v>0</v>
      </c>
      <c r="L20" s="169">
        <f>(G135*H128)+(G150*H142)</f>
        <v>0</v>
      </c>
      <c r="M20" s="26"/>
      <c r="N20" s="217" t="str">
        <f>IND_Commodities!$C$55</f>
        <v>MISCST</v>
      </c>
      <c r="O20" s="97">
        <f>F29*H29</f>
        <v>0</v>
      </c>
      <c r="P20" s="97">
        <f>(G82*H77)+(G90*H85)+(G98*H93)+(G104*H100)+(G109*H106)+(G55*H47)</f>
        <v>0</v>
      </c>
    </row>
    <row r="21" spans="1:16">
      <c r="A21" s="26"/>
      <c r="B21" s="26"/>
      <c r="C21" s="26"/>
      <c r="D21" s="26"/>
      <c r="E21" s="26"/>
      <c r="F21" s="26"/>
      <c r="G21" s="173">
        <f>SUM(G11:G20)</f>
        <v>0</v>
      </c>
      <c r="H21" s="173">
        <f>SUM(H11:H20)</f>
        <v>0</v>
      </c>
      <c r="I21" s="26"/>
      <c r="J21" s="26"/>
      <c r="K21" s="173">
        <f>SUM(K11:K20)</f>
        <v>0</v>
      </c>
      <c r="L21" s="173">
        <f>SUM(L11:L20)</f>
        <v>0</v>
      </c>
      <c r="M21" s="26"/>
      <c r="N21" s="86" t="str">
        <f>IND_Bal!$B$104</f>
        <v>IIS</v>
      </c>
      <c r="O21" s="169"/>
      <c r="P21" s="169">
        <f>G40*H29</f>
        <v>0</v>
      </c>
    </row>
    <row r="22" spans="1:1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173">
        <f>SUM(O11:O21)</f>
        <v>0</v>
      </c>
      <c r="P22" s="173">
        <f>SUM(P11:P21)</f>
        <v>0</v>
      </c>
    </row>
    <row r="23" spans="1:1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>
      <c r="A24" s="26"/>
      <c r="B24" s="26"/>
      <c r="C24" s="26"/>
      <c r="D24" s="40"/>
      <c r="E24" s="40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>
      <c r="A25" s="26"/>
      <c r="B25" s="26"/>
      <c r="C25" s="26"/>
      <c r="D25" s="40"/>
      <c r="E25" s="40"/>
      <c r="F25" s="26"/>
      <c r="G25" s="26"/>
      <c r="H25" s="26"/>
      <c r="I25" s="26"/>
      <c r="J25" s="26"/>
      <c r="K25" s="26"/>
      <c r="L25" s="227"/>
      <c r="M25" s="26"/>
      <c r="N25" s="26"/>
      <c r="O25" s="26"/>
      <c r="P25" s="26"/>
    </row>
    <row r="26" spans="1:16" ht="18.75">
      <c r="A26" s="103" t="s">
        <v>1109</v>
      </c>
      <c r="B26" s="43"/>
      <c r="C26" s="43"/>
      <c r="D26" s="43"/>
      <c r="E26" s="40" t="str">
        <f>IF($B$4="","DeAct","~FI_T")</f>
        <v>DeAct</v>
      </c>
      <c r="F26" s="26"/>
      <c r="G26" s="26"/>
      <c r="H26" s="26"/>
      <c r="I26" s="26"/>
      <c r="J26" s="26"/>
      <c r="K26" s="26"/>
      <c r="L26" s="227"/>
      <c r="M26" s="26"/>
      <c r="N26" s="26"/>
      <c r="O26" s="26"/>
      <c r="P26" s="26"/>
    </row>
    <row r="27" spans="1:16">
      <c r="A27" s="89" t="s">
        <v>1110</v>
      </c>
      <c r="B27" s="89" t="s">
        <v>318</v>
      </c>
      <c r="C27" s="89" t="s">
        <v>327</v>
      </c>
      <c r="D27" s="89" t="s">
        <v>718</v>
      </c>
      <c r="E27" s="89" t="s">
        <v>719</v>
      </c>
      <c r="F27" s="90" t="s">
        <v>1111</v>
      </c>
      <c r="G27" s="90" t="s">
        <v>1112</v>
      </c>
      <c r="H27" s="90" t="s">
        <v>801</v>
      </c>
      <c r="I27" s="90" t="s">
        <v>727</v>
      </c>
      <c r="J27" s="90" t="s">
        <v>725</v>
      </c>
      <c r="K27" s="90" t="s">
        <v>724</v>
      </c>
      <c r="L27" s="26"/>
      <c r="M27" s="26"/>
      <c r="N27" s="26"/>
      <c r="O27" s="26"/>
      <c r="P27" s="26"/>
    </row>
    <row r="28" spans="1:16" ht="13.5" thickBot="1">
      <c r="A28" s="177" t="s">
        <v>1113</v>
      </c>
      <c r="B28" s="75"/>
      <c r="C28" s="75"/>
      <c r="D28" s="75"/>
      <c r="E28" s="75"/>
      <c r="F28" s="75"/>
      <c r="G28" s="75"/>
      <c r="H28" s="164" t="s">
        <v>339</v>
      </c>
      <c r="I28" s="178" t="s">
        <v>1055</v>
      </c>
      <c r="J28" s="179" t="s">
        <v>1114</v>
      </c>
      <c r="K28" s="179"/>
      <c r="L28" s="26"/>
      <c r="M28" s="26"/>
      <c r="N28" s="26"/>
      <c r="O28" s="26"/>
      <c r="P28" s="26"/>
    </row>
    <row r="29" spans="1:16">
      <c r="A29" s="49" t="str">
        <f>IND_Bal!$B$104</f>
        <v>IIS</v>
      </c>
      <c r="B29" s="180" t="s">
        <v>475</v>
      </c>
      <c r="C29" s="76" t="s">
        <v>476</v>
      </c>
      <c r="D29" s="217" t="str">
        <f>IND_Commodities!$C$55</f>
        <v>MISCST</v>
      </c>
      <c r="E29" s="217"/>
      <c r="F29" s="49">
        <v>1</v>
      </c>
      <c r="G29" s="49"/>
      <c r="H29" s="183">
        <f>B4</f>
        <v>0</v>
      </c>
      <c r="I29" s="51">
        <v>50</v>
      </c>
      <c r="J29" s="51">
        <v>20</v>
      </c>
      <c r="K29" s="51">
        <v>10</v>
      </c>
      <c r="L29" s="26"/>
      <c r="M29" s="26"/>
      <c r="N29" s="26"/>
      <c r="O29" s="26"/>
      <c r="P29" s="26"/>
    </row>
    <row r="30" spans="1:16">
      <c r="A30" s="49"/>
      <c r="B30" s="49"/>
      <c r="C30" s="49"/>
      <c r="D30" s="228" t="str">
        <f>IF(F30&gt;0,"INDCOA","\I:")</f>
        <v>\I:</v>
      </c>
      <c r="E30" s="49"/>
      <c r="F30" s="124"/>
      <c r="G30" s="49"/>
      <c r="H30" s="49"/>
      <c r="I30" s="49"/>
      <c r="J30" s="49"/>
      <c r="K30" s="49"/>
      <c r="L30" s="26"/>
      <c r="M30" s="26"/>
      <c r="N30" s="26"/>
      <c r="O30" s="26"/>
      <c r="P30" s="26"/>
    </row>
    <row r="31" spans="1:16">
      <c r="A31" s="49"/>
      <c r="B31" s="49"/>
      <c r="C31" s="49"/>
      <c r="D31" s="228" t="str">
        <f>IF(F31&gt;0,"INDCOK","\I:")</f>
        <v>\I:</v>
      </c>
      <c r="E31" s="49"/>
      <c r="F31" s="124"/>
      <c r="G31" s="49"/>
      <c r="H31" s="49"/>
      <c r="I31" s="49"/>
      <c r="J31" s="49"/>
      <c r="K31" s="49"/>
      <c r="L31" s="26"/>
      <c r="M31" s="26"/>
      <c r="N31" s="26"/>
      <c r="O31" s="26"/>
      <c r="P31" s="26"/>
    </row>
    <row r="32" spans="1:16">
      <c r="A32" s="49"/>
      <c r="B32" s="49"/>
      <c r="C32" s="49"/>
      <c r="D32" s="228" t="str">
        <f>IF(F32&gt;0,"INDLPG","\I:")</f>
        <v>\I:</v>
      </c>
      <c r="E32" s="49"/>
      <c r="F32" s="124"/>
      <c r="G32" s="49"/>
      <c r="H32" s="49"/>
      <c r="I32" s="49"/>
      <c r="J32" s="49"/>
      <c r="K32" s="49"/>
      <c r="L32" s="26"/>
      <c r="M32" s="26"/>
      <c r="N32" s="26"/>
      <c r="O32" s="26"/>
      <c r="P32" s="26"/>
    </row>
    <row r="33" spans="1:16">
      <c r="A33" s="49"/>
      <c r="B33" s="49"/>
      <c r="C33" s="49"/>
      <c r="D33" s="228" t="str">
        <f>IF(F33&gt;0,"INDLFO","\I:")</f>
        <v>\I:</v>
      </c>
      <c r="E33" s="49"/>
      <c r="F33" s="124"/>
      <c r="G33" s="49"/>
      <c r="H33" s="49"/>
      <c r="I33" s="49"/>
      <c r="J33" s="49"/>
      <c r="K33" s="49"/>
      <c r="L33" s="26"/>
      <c r="M33" s="26"/>
      <c r="N33" s="26"/>
      <c r="O33" s="26"/>
      <c r="P33" s="26"/>
    </row>
    <row r="34" spans="1:16">
      <c r="A34" s="49"/>
      <c r="B34" s="49"/>
      <c r="C34" s="49"/>
      <c r="D34" s="228" t="str">
        <f>IF(F34&gt;0,"INDHFO","\I:")</f>
        <v>\I:</v>
      </c>
      <c r="E34" s="49"/>
      <c r="F34" s="124"/>
      <c r="G34" s="49"/>
      <c r="H34" s="49"/>
      <c r="I34" s="49"/>
      <c r="J34" s="49"/>
      <c r="K34" s="49"/>
      <c r="L34" s="26"/>
      <c r="M34" s="26"/>
      <c r="N34" s="26"/>
      <c r="O34" s="26"/>
      <c r="P34" s="26"/>
    </row>
    <row r="35" spans="1:16">
      <c r="A35" s="49"/>
      <c r="B35" s="49"/>
      <c r="C35" s="49"/>
      <c r="D35" s="228" t="str">
        <f>IF(F35&gt;0,"INDGAS","\I:")</f>
        <v>\I:</v>
      </c>
      <c r="E35" s="49"/>
      <c r="F35" s="124"/>
      <c r="G35" s="49"/>
      <c r="H35" s="49"/>
      <c r="I35" s="49"/>
      <c r="J35" s="49"/>
      <c r="K35" s="49"/>
      <c r="L35" s="26"/>
      <c r="M35" s="26"/>
      <c r="N35" s="26"/>
      <c r="O35" s="26"/>
      <c r="P35" s="26"/>
    </row>
    <row r="36" spans="1:16">
      <c r="A36" s="49"/>
      <c r="B36" s="49"/>
      <c r="C36" s="49"/>
      <c r="D36" s="228" t="str">
        <f>IF(F36&gt;0,"INDCOG","\I:")</f>
        <v>\I:</v>
      </c>
      <c r="E36" s="49"/>
      <c r="F36" s="124"/>
      <c r="G36" s="49"/>
      <c r="H36" s="49"/>
      <c r="I36" s="49"/>
      <c r="J36" s="49"/>
      <c r="K36" s="49"/>
      <c r="L36" s="26"/>
      <c r="M36" s="26"/>
      <c r="N36" s="26"/>
      <c r="O36" s="26"/>
      <c r="P36" s="26"/>
    </row>
    <row r="37" spans="1:16">
      <c r="A37" s="49"/>
      <c r="B37" s="49"/>
      <c r="C37" s="49"/>
      <c r="D37" s="228" t="str">
        <f>IF(F37&gt;0,"INDBFG","\I:")</f>
        <v>\I:</v>
      </c>
      <c r="E37" s="49"/>
      <c r="F37" s="124"/>
      <c r="G37" s="49"/>
      <c r="H37" s="49"/>
      <c r="I37" s="49"/>
      <c r="J37" s="49"/>
      <c r="K37" s="49"/>
      <c r="L37" s="26"/>
      <c r="M37" s="26"/>
      <c r="N37" s="26"/>
      <c r="O37" s="26"/>
      <c r="P37" s="26"/>
    </row>
    <row r="38" spans="1:16">
      <c r="A38" s="49"/>
      <c r="B38" s="49"/>
      <c r="C38" s="49"/>
      <c r="D38" s="228" t="str">
        <f>IF(F38&gt;0,"INDELC","\I:")</f>
        <v>\I:</v>
      </c>
      <c r="E38" s="49"/>
      <c r="F38" s="124"/>
      <c r="G38" s="49"/>
      <c r="H38" s="49"/>
      <c r="I38" s="49"/>
      <c r="J38" s="49"/>
      <c r="K38" s="49"/>
      <c r="L38" s="26"/>
      <c r="M38" s="26"/>
      <c r="N38" s="26"/>
      <c r="O38" s="26"/>
      <c r="P38" s="26"/>
    </row>
    <row r="39" spans="1:16">
      <c r="A39" s="49"/>
      <c r="B39" s="49"/>
      <c r="C39" s="49"/>
      <c r="D39" s="228" t="str">
        <f>IF(F39&gt;0,"IISHTH","\I:")</f>
        <v>\I:</v>
      </c>
      <c r="E39" s="49"/>
      <c r="F39" s="124"/>
      <c r="G39" s="49"/>
      <c r="H39" s="49"/>
      <c r="I39" s="49"/>
      <c r="J39" s="49"/>
      <c r="K39" s="49"/>
      <c r="L39" s="26"/>
      <c r="M39" s="26"/>
      <c r="N39" s="26"/>
      <c r="O39" s="26"/>
      <c r="P39" s="26"/>
    </row>
    <row r="40" spans="1:16">
      <c r="A40" s="49"/>
      <c r="B40" s="49"/>
      <c r="C40" s="49"/>
      <c r="D40" s="217"/>
      <c r="E40" s="86" t="str">
        <f>IND_Bal!$B$104</f>
        <v>IIS</v>
      </c>
      <c r="F40" s="49"/>
      <c r="G40" s="49">
        <v>1</v>
      </c>
      <c r="H40" s="49"/>
      <c r="I40" s="49"/>
      <c r="J40" s="49"/>
      <c r="K40" s="49"/>
      <c r="L40" s="26"/>
      <c r="M40" s="26"/>
      <c r="N40" s="26"/>
      <c r="O40" s="26"/>
      <c r="P40" s="26"/>
    </row>
    <row r="41" spans="1:16">
      <c r="A41" s="170" t="s">
        <v>202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26"/>
      <c r="M41" s="26"/>
      <c r="N41" s="26"/>
      <c r="O41" s="26"/>
      <c r="P41" s="26"/>
    </row>
    <row r="42" spans="1:16">
      <c r="A42" s="26"/>
      <c r="B42" s="26"/>
      <c r="C42" s="26"/>
      <c r="D42" s="26"/>
      <c r="E42" s="20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>
      <c r="A43" s="26"/>
      <c r="B43" s="26"/>
      <c r="C43" s="26"/>
      <c r="D43" s="26"/>
      <c r="E43" s="40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ht="18.75">
      <c r="A44" s="103" t="s">
        <v>1115</v>
      </c>
      <c r="B44" s="43"/>
      <c r="C44" s="43"/>
      <c r="D44" s="43"/>
      <c r="E44" s="40" t="str">
        <f>IF($B$4="","DeAct","~FI_T")</f>
        <v>DeAct</v>
      </c>
      <c r="F44" s="40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>
      <c r="A45" s="89" t="s">
        <v>1110</v>
      </c>
      <c r="B45" s="89" t="s">
        <v>318</v>
      </c>
      <c r="C45" s="89" t="s">
        <v>327</v>
      </c>
      <c r="D45" s="89" t="s">
        <v>718</v>
      </c>
      <c r="E45" s="89" t="s">
        <v>719</v>
      </c>
      <c r="F45" s="90" t="s">
        <v>1111</v>
      </c>
      <c r="G45" s="90" t="s">
        <v>1112</v>
      </c>
      <c r="H45" s="90" t="s">
        <v>801</v>
      </c>
      <c r="I45" s="90" t="s">
        <v>727</v>
      </c>
      <c r="J45" s="90" t="s">
        <v>725</v>
      </c>
      <c r="K45" s="90" t="s">
        <v>724</v>
      </c>
      <c r="L45" s="26"/>
      <c r="M45" s="26"/>
      <c r="N45" s="26"/>
      <c r="O45" s="26"/>
      <c r="P45" s="26"/>
    </row>
    <row r="46" spans="1:16" ht="64.5" thickBot="1">
      <c r="A46" s="177" t="s">
        <v>1113</v>
      </c>
      <c r="B46" s="75"/>
      <c r="C46" s="75"/>
      <c r="D46" s="75"/>
      <c r="E46" s="75"/>
      <c r="F46" s="75"/>
      <c r="G46" s="75"/>
      <c r="H46" s="164" t="s">
        <v>339</v>
      </c>
      <c r="I46" s="178" t="s">
        <v>1055</v>
      </c>
      <c r="J46" s="179" t="s">
        <v>1114</v>
      </c>
      <c r="K46" s="179"/>
      <c r="L46" s="229"/>
      <c r="M46" s="229"/>
      <c r="N46" s="26"/>
      <c r="O46" s="26"/>
      <c r="P46" s="230" t="s">
        <v>1116</v>
      </c>
    </row>
    <row r="47" spans="1:16">
      <c r="A47" s="231"/>
      <c r="B47" s="76" t="s">
        <v>451</v>
      </c>
      <c r="C47" s="95" t="s">
        <v>452</v>
      </c>
      <c r="D47" s="217" t="str">
        <f>IND_Commodities!$C$54</f>
        <v>MISRFC</v>
      </c>
      <c r="E47" s="217"/>
      <c r="F47" s="51">
        <v>0.22</v>
      </c>
      <c r="G47" s="49"/>
      <c r="H47" s="183">
        <f>H29*D14</f>
        <v>0</v>
      </c>
      <c r="I47" s="51">
        <v>30</v>
      </c>
      <c r="J47" s="51"/>
      <c r="K47" s="51"/>
      <c r="L47" s="26"/>
      <c r="M47" s="26"/>
      <c r="N47" s="26"/>
      <c r="O47" s="26"/>
      <c r="P47" s="232"/>
    </row>
    <row r="48" spans="1:16">
      <c r="A48" s="231"/>
      <c r="B48" s="49"/>
      <c r="C48" s="49"/>
      <c r="D48" s="217" t="str">
        <f>IND_Commodities!$C$50</f>
        <v>MISSCR</v>
      </c>
      <c r="E48" s="217"/>
      <c r="F48" s="51">
        <v>0.89</v>
      </c>
      <c r="G48" s="49"/>
      <c r="H48" s="183"/>
      <c r="I48" s="183"/>
      <c r="J48" s="183"/>
      <c r="K48" s="183"/>
      <c r="L48" s="26"/>
      <c r="M48" s="26"/>
      <c r="N48" s="26"/>
      <c r="O48" s="26"/>
      <c r="P48" s="232"/>
    </row>
    <row r="49" spans="1:16">
      <c r="A49" s="231"/>
      <c r="B49" s="49"/>
      <c r="C49" s="49"/>
      <c r="D49" s="217" t="str">
        <f>IND_Commodities!$C$8</f>
        <v>INDCOK</v>
      </c>
      <c r="E49" s="217"/>
      <c r="F49" s="51">
        <v>0.21</v>
      </c>
      <c r="G49" s="49"/>
      <c r="H49" s="183"/>
      <c r="I49" s="183"/>
      <c r="J49" s="183"/>
      <c r="K49" s="183"/>
      <c r="L49" s="26"/>
      <c r="M49" s="26"/>
      <c r="N49" s="26"/>
      <c r="O49" s="26"/>
      <c r="P49" s="232"/>
    </row>
    <row r="50" spans="1:16">
      <c r="A50" s="49"/>
      <c r="B50" s="49"/>
      <c r="C50" s="49"/>
      <c r="D50" s="49" t="str">
        <f>IND_Commodities!$C$52</f>
        <v>MISOXY</v>
      </c>
      <c r="E50" s="49"/>
      <c r="F50" s="51">
        <v>0.5</v>
      </c>
      <c r="G50" s="49"/>
      <c r="H50" s="49"/>
      <c r="I50" s="49"/>
      <c r="J50" s="49"/>
      <c r="K50" s="49"/>
      <c r="L50" s="26"/>
      <c r="M50" s="26"/>
      <c r="N50" s="26"/>
      <c r="O50" s="26"/>
      <c r="P50" s="232"/>
    </row>
    <row r="51" spans="1:16">
      <c r="A51" s="49"/>
      <c r="B51" s="49"/>
      <c r="C51" s="49"/>
      <c r="D51" s="49" t="str">
        <f>IND_Commodities!$C$53</f>
        <v>MISQLI</v>
      </c>
      <c r="E51" s="49"/>
      <c r="F51" s="51">
        <v>0.09</v>
      </c>
      <c r="G51" s="49"/>
      <c r="H51" s="49"/>
      <c r="I51" s="49"/>
      <c r="J51" s="49"/>
      <c r="K51" s="49"/>
      <c r="L51" s="26"/>
      <c r="M51" s="26"/>
      <c r="N51" s="26"/>
      <c r="O51" s="26"/>
      <c r="P51" s="232"/>
    </row>
    <row r="52" spans="1:16">
      <c r="A52" s="49"/>
      <c r="B52" s="49"/>
      <c r="C52" s="49"/>
      <c r="D52" s="217" t="str">
        <f>IND_Commodities!$C$17</f>
        <v>INDBFG</v>
      </c>
      <c r="E52" s="49"/>
      <c r="F52" s="51">
        <v>1.74</v>
      </c>
      <c r="G52" s="49"/>
      <c r="H52" s="49"/>
      <c r="I52" s="49"/>
      <c r="J52" s="49"/>
      <c r="K52" s="49"/>
      <c r="L52" s="26"/>
      <c r="M52" s="26"/>
      <c r="N52" s="26"/>
      <c r="O52" s="26"/>
      <c r="P52" s="233"/>
    </row>
    <row r="53" spans="1:16">
      <c r="A53" s="49"/>
      <c r="B53" s="49"/>
      <c r="C53" s="49"/>
      <c r="D53" s="217" t="str">
        <f>IND_Commodities!$C$10</f>
        <v>INDLPG</v>
      </c>
      <c r="E53" s="49"/>
      <c r="F53" s="51">
        <v>0.5</v>
      </c>
      <c r="G53" s="49"/>
      <c r="H53" s="49"/>
      <c r="I53" s="49"/>
      <c r="J53" s="49"/>
      <c r="K53" s="49"/>
      <c r="L53" s="26"/>
      <c r="M53" s="26"/>
      <c r="N53" s="26"/>
      <c r="O53" s="26"/>
      <c r="P53" s="232"/>
    </row>
    <row r="54" spans="1:16">
      <c r="A54" s="49"/>
      <c r="B54" s="49"/>
      <c r="C54" s="49"/>
      <c r="D54" s="217" t="str">
        <f>IND_Commodities!$C$25</f>
        <v>INDELC</v>
      </c>
      <c r="E54" s="49"/>
      <c r="F54" s="51">
        <v>2.2999999999999998</v>
      </c>
      <c r="G54" s="49"/>
      <c r="H54" s="49"/>
      <c r="I54" s="49"/>
      <c r="J54" s="49"/>
      <c r="K54" s="49"/>
      <c r="L54" s="26"/>
      <c r="M54" s="26"/>
      <c r="N54" s="26"/>
      <c r="O54" s="26"/>
      <c r="P54" s="232"/>
    </row>
    <row r="55" spans="1:16">
      <c r="A55" s="49"/>
      <c r="B55" s="49"/>
      <c r="C55" s="49"/>
      <c r="D55" s="217"/>
      <c r="E55" s="217" t="str">
        <f>IND_Commodities!$C$55</f>
        <v>MISCST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32"/>
    </row>
    <row r="56" spans="1:1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32"/>
    </row>
    <row r="57" spans="1:16">
      <c r="A57" s="26"/>
      <c r="B57" s="26"/>
      <c r="C57" s="26"/>
      <c r="D57" s="26"/>
      <c r="E57" s="40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32"/>
    </row>
    <row r="58" spans="1:16" ht="18.75">
      <c r="A58" s="103" t="s">
        <v>1117</v>
      </c>
      <c r="B58" s="43"/>
      <c r="C58" s="43"/>
      <c r="D58" s="43"/>
      <c r="E58" s="40" t="str">
        <f>IF($B$4="","DeAct","~FI_T")</f>
        <v>DeAct</v>
      </c>
      <c r="F58" s="40"/>
      <c r="G58" s="26"/>
      <c r="H58" s="26"/>
      <c r="I58" s="26"/>
      <c r="J58" s="26"/>
      <c r="K58" s="26"/>
      <c r="L58" s="26"/>
      <c r="M58" s="26"/>
      <c r="N58" s="26"/>
      <c r="O58" s="26"/>
      <c r="P58" s="232"/>
    </row>
    <row r="59" spans="1:16">
      <c r="A59" s="89" t="s">
        <v>1110</v>
      </c>
      <c r="B59" s="89" t="s">
        <v>318</v>
      </c>
      <c r="C59" s="89" t="s">
        <v>327</v>
      </c>
      <c r="D59" s="89" t="s">
        <v>718</v>
      </c>
      <c r="E59" s="89" t="s">
        <v>719</v>
      </c>
      <c r="F59" s="90" t="s">
        <v>1111</v>
      </c>
      <c r="G59" s="90" t="s">
        <v>1112</v>
      </c>
      <c r="H59" s="90" t="s">
        <v>801</v>
      </c>
      <c r="I59" s="90" t="s">
        <v>727</v>
      </c>
      <c r="J59" s="90" t="s">
        <v>725</v>
      </c>
      <c r="K59" s="90" t="s">
        <v>724</v>
      </c>
      <c r="L59" s="26"/>
      <c r="M59" s="26"/>
      <c r="N59" s="26"/>
      <c r="O59" s="26"/>
      <c r="P59" s="232"/>
    </row>
    <row r="60" spans="1:16" ht="13.5" thickBot="1">
      <c r="A60" s="177" t="s">
        <v>1113</v>
      </c>
      <c r="B60" s="75"/>
      <c r="C60" s="75"/>
      <c r="D60" s="75"/>
      <c r="E60" s="75"/>
      <c r="F60" s="75"/>
      <c r="G60" s="75"/>
      <c r="H60" s="164" t="s">
        <v>339</v>
      </c>
      <c r="I60" s="178" t="s">
        <v>1055</v>
      </c>
      <c r="J60" s="179" t="s">
        <v>1114</v>
      </c>
      <c r="K60" s="179"/>
      <c r="L60" s="229"/>
      <c r="M60" s="229"/>
      <c r="N60" s="26"/>
      <c r="O60" s="26"/>
      <c r="P60" s="232"/>
    </row>
    <row r="61" spans="1:16">
      <c r="A61" s="234" t="s">
        <v>1118</v>
      </c>
      <c r="B61" s="76" t="s">
        <v>472</v>
      </c>
      <c r="C61" s="95" t="s">
        <v>473</v>
      </c>
      <c r="D61" s="49" t="str">
        <f>IND_Commodities!$C$45</f>
        <v>MISORE</v>
      </c>
      <c r="E61" s="217"/>
      <c r="F61" s="51">
        <v>2.2999999999999998</v>
      </c>
      <c r="G61" s="49"/>
      <c r="H61" s="183">
        <f>F47*H47</f>
        <v>0</v>
      </c>
      <c r="I61" s="51">
        <v>30</v>
      </c>
      <c r="J61" s="51"/>
      <c r="K61" s="51"/>
      <c r="L61" s="26"/>
      <c r="M61" s="26"/>
      <c r="N61" s="26"/>
      <c r="O61" s="26"/>
      <c r="P61" s="232"/>
    </row>
    <row r="62" spans="1:16">
      <c r="A62" s="49"/>
      <c r="B62" s="49"/>
      <c r="C62" s="49"/>
      <c r="D62" s="217" t="str">
        <f>IND_Commodities!$C$8</f>
        <v>INDCOK</v>
      </c>
      <c r="E62" s="49"/>
      <c r="F62" s="51">
        <v>15.4</v>
      </c>
      <c r="G62" s="49"/>
      <c r="H62" s="49"/>
      <c r="I62" s="49"/>
      <c r="J62" s="49"/>
      <c r="K62" s="49"/>
      <c r="L62" s="26"/>
      <c r="M62" s="26"/>
      <c r="N62" s="26"/>
      <c r="O62" s="26"/>
      <c r="P62" s="232"/>
    </row>
    <row r="63" spans="1:16">
      <c r="A63" s="49"/>
      <c r="B63" s="49"/>
      <c r="C63" s="49"/>
      <c r="D63" s="217" t="str">
        <f>IND_Commodities!$C$17</f>
        <v>INDBFG</v>
      </c>
      <c r="E63" s="49"/>
      <c r="F63" s="51">
        <v>0.6</v>
      </c>
      <c r="G63" s="49"/>
      <c r="H63" s="49"/>
      <c r="I63" s="49"/>
      <c r="J63" s="49"/>
      <c r="K63" s="49"/>
      <c r="L63" s="26"/>
      <c r="M63" s="26"/>
      <c r="N63" s="26"/>
      <c r="O63" s="26"/>
      <c r="P63" s="233"/>
    </row>
    <row r="64" spans="1:16">
      <c r="A64" s="49"/>
      <c r="B64" s="49"/>
      <c r="C64" s="49"/>
      <c r="D64" s="217" t="str">
        <f>IND_Commodities!$C$13</f>
        <v>INDHFO</v>
      </c>
      <c r="E64" s="49"/>
      <c r="F64" s="51">
        <v>0.8</v>
      </c>
      <c r="G64" s="49"/>
      <c r="H64" s="49"/>
      <c r="I64" s="49"/>
      <c r="J64" s="49"/>
      <c r="K64" s="49"/>
      <c r="L64" s="26"/>
      <c r="M64" s="26"/>
      <c r="N64" s="26"/>
      <c r="O64" s="26"/>
      <c r="P64" s="232"/>
    </row>
    <row r="65" spans="1:16">
      <c r="A65" s="49"/>
      <c r="B65" s="49"/>
      <c r="C65" s="49"/>
      <c r="D65" s="217" t="str">
        <f>IND_Commodities!$C$25</f>
        <v>INDELC</v>
      </c>
      <c r="E65" s="49"/>
      <c r="F65" s="51">
        <v>11.3</v>
      </c>
      <c r="G65" s="49"/>
      <c r="H65" s="49"/>
      <c r="I65" s="49"/>
      <c r="J65" s="49"/>
      <c r="K65" s="49"/>
      <c r="L65" s="26"/>
      <c r="M65" s="26"/>
      <c r="N65" s="26"/>
      <c r="O65" s="26"/>
      <c r="P65" s="232"/>
    </row>
    <row r="66" spans="1:16">
      <c r="A66" s="49"/>
      <c r="B66" s="49"/>
      <c r="C66" s="49"/>
      <c r="D66" s="217" t="str">
        <f>IND_Commodities!$C$28</f>
        <v>IISHTH</v>
      </c>
      <c r="E66" s="49"/>
      <c r="F66" s="51">
        <v>0.9</v>
      </c>
      <c r="G66" s="49"/>
      <c r="H66" s="49"/>
      <c r="I66" s="49"/>
      <c r="J66" s="49"/>
      <c r="K66" s="49"/>
      <c r="L66" s="26"/>
      <c r="M66" s="26"/>
      <c r="N66" s="26"/>
      <c r="O66" s="26"/>
      <c r="P66" s="232"/>
    </row>
    <row r="67" spans="1:16">
      <c r="A67" s="49"/>
      <c r="B67" s="49"/>
      <c r="C67" s="49"/>
      <c r="D67" s="217"/>
      <c r="E67" s="217" t="str">
        <f>IND_Commodities!$C$54</f>
        <v>MISRFC</v>
      </c>
      <c r="F67" s="49"/>
      <c r="G67" s="49">
        <v>1</v>
      </c>
      <c r="H67" s="49"/>
      <c r="I67" s="49"/>
      <c r="J67" s="49"/>
      <c r="K67" s="49"/>
      <c r="L67" s="26"/>
      <c r="M67" s="26"/>
      <c r="N67" s="26"/>
      <c r="O67" s="26"/>
      <c r="P67" s="232"/>
    </row>
    <row r="68" spans="1:16">
      <c r="A68" s="49"/>
      <c r="B68" s="49"/>
      <c r="C68" s="49"/>
      <c r="D68" s="49"/>
      <c r="E68" s="217" t="str">
        <f>IND_Commodities!$C$51</f>
        <v>MISBFS</v>
      </c>
      <c r="F68" s="49"/>
      <c r="G68" s="51">
        <v>1.2</v>
      </c>
      <c r="H68" s="49"/>
      <c r="I68" s="49"/>
      <c r="J68" s="49"/>
      <c r="K68" s="49"/>
      <c r="L68" s="26"/>
      <c r="M68" s="26"/>
      <c r="N68" s="26"/>
      <c r="O68" s="26"/>
      <c r="P68" s="232"/>
    </row>
    <row r="69" spans="1:16">
      <c r="A69" s="49"/>
      <c r="B69" s="49"/>
      <c r="C69" s="49"/>
      <c r="D69" s="49"/>
      <c r="E69" s="49" t="str">
        <f>IND_Bal!$R$32</f>
        <v>GASBFG</v>
      </c>
      <c r="F69" s="49"/>
      <c r="G69" s="51">
        <f>8.1*P69</f>
        <v>0</v>
      </c>
      <c r="H69" s="49"/>
      <c r="I69" s="49"/>
      <c r="J69" s="49"/>
      <c r="K69" s="49"/>
      <c r="L69" s="26"/>
      <c r="M69" s="26"/>
      <c r="N69" s="26"/>
      <c r="O69" s="26"/>
      <c r="P69" s="233">
        <v>0</v>
      </c>
    </row>
    <row r="70" spans="1:16">
      <c r="A70" s="170" t="s">
        <v>202</v>
      </c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26"/>
      <c r="M70" s="26"/>
      <c r="N70" s="26"/>
      <c r="O70" s="26"/>
      <c r="P70" s="232"/>
    </row>
    <row r="71" spans="1:1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32"/>
    </row>
    <row r="72" spans="1:1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32"/>
    </row>
    <row r="73" spans="1:16">
      <c r="A73" s="26"/>
      <c r="B73" s="26"/>
      <c r="C73" s="26"/>
      <c r="D73" s="26"/>
      <c r="E73" s="40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32"/>
    </row>
    <row r="74" spans="1:16" ht="18.75">
      <c r="A74" s="103" t="s">
        <v>1119</v>
      </c>
      <c r="B74" s="43"/>
      <c r="C74" s="43"/>
      <c r="D74" s="43"/>
      <c r="E74" s="40" t="str">
        <f>IF($B$4="","DeAct","~FI_T")</f>
        <v>DeAct</v>
      </c>
      <c r="F74" s="40"/>
      <c r="G74" s="26"/>
      <c r="H74" s="26"/>
      <c r="I74" s="26"/>
      <c r="J74" s="26"/>
      <c r="K74" s="26"/>
      <c r="L74" s="26"/>
      <c r="M74" s="26"/>
      <c r="N74" s="26"/>
      <c r="O74" s="26"/>
      <c r="P74" s="232"/>
    </row>
    <row r="75" spans="1:16">
      <c r="A75" s="89" t="s">
        <v>1110</v>
      </c>
      <c r="B75" s="89" t="s">
        <v>318</v>
      </c>
      <c r="C75" s="89" t="s">
        <v>327</v>
      </c>
      <c r="D75" s="89" t="s">
        <v>718</v>
      </c>
      <c r="E75" s="89" t="s">
        <v>719</v>
      </c>
      <c r="F75" s="90" t="s">
        <v>1111</v>
      </c>
      <c r="G75" s="90" t="s">
        <v>1112</v>
      </c>
      <c r="H75" s="90" t="s">
        <v>801</v>
      </c>
      <c r="I75" s="90" t="s">
        <v>727</v>
      </c>
      <c r="J75" s="90" t="s">
        <v>725</v>
      </c>
      <c r="K75" s="90" t="s">
        <v>724</v>
      </c>
      <c r="L75" s="26"/>
      <c r="M75" s="26"/>
      <c r="N75" s="26"/>
      <c r="O75" s="26"/>
      <c r="P75" s="232"/>
    </row>
    <row r="76" spans="1:16" ht="13.5" thickBot="1">
      <c r="A76" s="177" t="s">
        <v>1113</v>
      </c>
      <c r="B76" s="75"/>
      <c r="C76" s="75"/>
      <c r="D76" s="75"/>
      <c r="E76" s="75"/>
      <c r="F76" s="75"/>
      <c r="G76" s="75"/>
      <c r="H76" s="164" t="s">
        <v>339</v>
      </c>
      <c r="I76" s="178" t="s">
        <v>1055</v>
      </c>
      <c r="J76" s="179" t="s">
        <v>1114</v>
      </c>
      <c r="K76" s="179"/>
      <c r="L76" s="26"/>
      <c r="M76" s="26"/>
      <c r="N76" s="26"/>
      <c r="O76" s="26"/>
      <c r="P76" s="232"/>
    </row>
    <row r="77" spans="1:16">
      <c r="A77" s="49" t="str">
        <f>IND_Bal!$B$104</f>
        <v>IIS</v>
      </c>
      <c r="B77" s="180" t="s">
        <v>456</v>
      </c>
      <c r="C77" s="76" t="s">
        <v>457</v>
      </c>
      <c r="D77" s="217" t="str">
        <f>IND_Commodities!$C$48</f>
        <v>MISRIR</v>
      </c>
      <c r="E77" s="217"/>
      <c r="F77" s="51">
        <v>0.9</v>
      </c>
      <c r="G77" s="49"/>
      <c r="H77" s="182">
        <f>$H$29*D15</f>
        <v>0</v>
      </c>
      <c r="I77" s="51">
        <v>30</v>
      </c>
      <c r="J77" s="51"/>
      <c r="K77" s="51"/>
      <c r="L77" s="26"/>
      <c r="M77" s="26"/>
      <c r="N77" s="26"/>
      <c r="O77" s="26"/>
      <c r="P77" s="232"/>
    </row>
    <row r="78" spans="1:16">
      <c r="A78" s="49"/>
      <c r="B78" s="49"/>
      <c r="C78" s="49"/>
      <c r="D78" s="217" t="str">
        <f>IND_Commodities!$C$50</f>
        <v>MISSCR</v>
      </c>
      <c r="E78" s="217"/>
      <c r="F78" s="51">
        <v>0.18</v>
      </c>
      <c r="G78" s="49"/>
      <c r="H78" s="182"/>
      <c r="I78" s="49"/>
      <c r="J78" s="49"/>
      <c r="K78" s="49"/>
      <c r="L78" s="26"/>
      <c r="M78" s="26"/>
      <c r="N78" s="26"/>
      <c r="O78" s="26"/>
      <c r="P78" s="232"/>
    </row>
    <row r="79" spans="1:16">
      <c r="A79" s="49"/>
      <c r="B79" s="49"/>
      <c r="C79" s="49"/>
      <c r="D79" s="49" t="str">
        <f>IND_Commodities!$C$53</f>
        <v>MISQLI</v>
      </c>
      <c r="E79" s="49"/>
      <c r="F79" s="51">
        <v>0.05</v>
      </c>
      <c r="G79" s="49"/>
      <c r="H79" s="182"/>
      <c r="I79" s="49"/>
      <c r="J79" s="49"/>
      <c r="K79" s="49"/>
      <c r="L79" s="26"/>
      <c r="M79" s="26"/>
      <c r="N79" s="26"/>
      <c r="O79" s="26"/>
      <c r="P79" s="232"/>
    </row>
    <row r="80" spans="1:16">
      <c r="A80" s="49"/>
      <c r="B80" s="49"/>
      <c r="C80" s="49"/>
      <c r="D80" s="49" t="str">
        <f>IND_Commodities!$C$52</f>
        <v>MISOXY</v>
      </c>
      <c r="E80" s="49"/>
      <c r="F80" s="51">
        <v>0.1</v>
      </c>
      <c r="G80" s="49"/>
      <c r="H80" s="182"/>
      <c r="I80" s="49"/>
      <c r="J80" s="49"/>
      <c r="K80" s="49"/>
      <c r="L80" s="26"/>
      <c r="M80" s="26"/>
      <c r="N80" s="26"/>
      <c r="O80" s="26"/>
      <c r="P80" s="232"/>
    </row>
    <row r="81" spans="1:16">
      <c r="A81" s="49"/>
      <c r="B81" s="49"/>
      <c r="C81" s="49"/>
      <c r="D81" s="217" t="str">
        <f>IND_Commodities!$C$15</f>
        <v>INDGAS</v>
      </c>
      <c r="E81" s="49"/>
      <c r="F81" s="235">
        <v>0.2</v>
      </c>
      <c r="G81" s="49"/>
      <c r="H81" s="110"/>
      <c r="I81" s="49"/>
      <c r="J81" s="49"/>
      <c r="K81" s="49"/>
      <c r="L81" s="26"/>
      <c r="M81" s="26"/>
      <c r="N81" s="26"/>
      <c r="O81" s="26"/>
      <c r="P81" s="232"/>
    </row>
    <row r="82" spans="1:16">
      <c r="A82" s="49"/>
      <c r="B82" s="49"/>
      <c r="C82" s="49"/>
      <c r="D82" s="217"/>
      <c r="E82" s="217" t="str">
        <f>IND_Commodities!$C$55</f>
        <v>MISCST</v>
      </c>
      <c r="F82" s="49"/>
      <c r="G82" s="49">
        <v>1</v>
      </c>
      <c r="H82" s="110"/>
      <c r="I82" s="49"/>
      <c r="J82" s="49"/>
      <c r="K82" s="49"/>
      <c r="L82" s="26"/>
      <c r="M82" s="26"/>
      <c r="N82" s="26"/>
      <c r="O82" s="26"/>
      <c r="P82" s="232"/>
    </row>
    <row r="83" spans="1:16">
      <c r="A83" s="49"/>
      <c r="B83" s="49"/>
      <c r="C83" s="49"/>
      <c r="D83" s="217"/>
      <c r="E83" s="217" t="str">
        <f>IND_Bal!$R$32</f>
        <v>GASBFG</v>
      </c>
      <c r="F83" s="49"/>
      <c r="G83" s="42">
        <f>2.2*P83</f>
        <v>0</v>
      </c>
      <c r="H83" s="110"/>
      <c r="I83" s="49"/>
      <c r="J83" s="49"/>
      <c r="K83" s="49"/>
      <c r="L83" s="26"/>
      <c r="M83" s="26"/>
      <c r="N83" s="26"/>
      <c r="O83" s="26"/>
      <c r="P83" s="233">
        <f>P69</f>
        <v>0</v>
      </c>
    </row>
    <row r="84" spans="1:16">
      <c r="A84" s="170" t="s">
        <v>202</v>
      </c>
      <c r="B84" s="49"/>
      <c r="C84" s="49"/>
      <c r="D84" s="49"/>
      <c r="E84" s="49"/>
      <c r="F84" s="49"/>
      <c r="G84" s="49"/>
      <c r="H84" s="110"/>
      <c r="I84" s="49"/>
      <c r="J84" s="49"/>
      <c r="K84" s="49"/>
      <c r="L84" s="26"/>
      <c r="M84" s="26"/>
      <c r="N84" s="26"/>
      <c r="O84" s="26"/>
      <c r="P84" s="232"/>
    </row>
    <row r="85" spans="1:16">
      <c r="A85" s="49" t="str">
        <f>IND_Bal!$B$104</f>
        <v>IIS</v>
      </c>
      <c r="B85" s="180" t="s">
        <v>458</v>
      </c>
      <c r="C85" s="76" t="s">
        <v>459</v>
      </c>
      <c r="D85" s="217" t="str">
        <f>IND_Commodities!$C$48</f>
        <v>MISRIR</v>
      </c>
      <c r="E85" s="217"/>
      <c r="F85" s="51">
        <v>0.495</v>
      </c>
      <c r="G85" s="49"/>
      <c r="H85" s="182">
        <f>$H$29*D16</f>
        <v>0</v>
      </c>
      <c r="I85" s="51">
        <v>30</v>
      </c>
      <c r="J85" s="51"/>
      <c r="K85" s="51"/>
      <c r="L85" s="26"/>
      <c r="M85" s="26"/>
      <c r="N85" s="26"/>
      <c r="O85" s="26"/>
      <c r="P85" s="232"/>
    </row>
    <row r="86" spans="1:16">
      <c r="A86" s="49"/>
      <c r="B86" s="98"/>
      <c r="C86" s="98"/>
      <c r="D86" s="217" t="str">
        <f>IND_Commodities!$C$50</f>
        <v>MISSCR</v>
      </c>
      <c r="E86" s="217"/>
      <c r="F86" s="51">
        <v>0.59499999999999997</v>
      </c>
      <c r="G86" s="49"/>
      <c r="H86" s="182"/>
      <c r="I86" s="49"/>
      <c r="J86" s="49"/>
      <c r="K86" s="49"/>
      <c r="L86" s="26"/>
      <c r="M86" s="26"/>
      <c r="N86" s="26"/>
      <c r="O86" s="26"/>
      <c r="P86" s="232"/>
    </row>
    <row r="87" spans="1:16">
      <c r="A87" s="49"/>
      <c r="B87" s="98"/>
      <c r="C87" s="98"/>
      <c r="D87" s="49" t="str">
        <f>IND_Commodities!$C$53</f>
        <v>MISQLI</v>
      </c>
      <c r="E87" s="49"/>
      <c r="F87" s="51">
        <v>0.05</v>
      </c>
      <c r="G87" s="49"/>
      <c r="H87" s="182"/>
      <c r="I87" s="49"/>
      <c r="J87" s="49"/>
      <c r="K87" s="49"/>
      <c r="L87" s="26"/>
      <c r="M87" s="26"/>
      <c r="N87" s="26"/>
      <c r="O87" s="26"/>
      <c r="P87" s="232"/>
    </row>
    <row r="88" spans="1:16">
      <c r="A88" s="49"/>
      <c r="B88" s="49"/>
      <c r="C88" s="49"/>
      <c r="D88" s="49" t="str">
        <f>IND_Commodities!$C$52</f>
        <v>MISOXY</v>
      </c>
      <c r="E88" s="49"/>
      <c r="F88" s="51">
        <v>0.1</v>
      </c>
      <c r="G88" s="49"/>
      <c r="H88" s="182"/>
      <c r="I88" s="49"/>
      <c r="J88" s="49"/>
      <c r="K88" s="49"/>
      <c r="L88" s="26"/>
      <c r="M88" s="26"/>
      <c r="N88" s="26"/>
      <c r="O88" s="26"/>
      <c r="P88" s="232"/>
    </row>
    <row r="89" spans="1:16">
      <c r="A89" s="49"/>
      <c r="B89" s="49"/>
      <c r="C89" s="49"/>
      <c r="D89" s="217" t="str">
        <f>IND_Commodities!$C$15</f>
        <v>INDGAS</v>
      </c>
      <c r="E89" s="49"/>
      <c r="F89" s="189">
        <v>0.2</v>
      </c>
      <c r="G89" s="49"/>
      <c r="H89" s="110"/>
      <c r="I89" s="49"/>
      <c r="J89" s="49"/>
      <c r="K89" s="49"/>
      <c r="L89" s="26"/>
      <c r="M89" s="26"/>
      <c r="N89" s="26"/>
      <c r="O89" s="26"/>
      <c r="P89" s="232"/>
    </row>
    <row r="90" spans="1:16">
      <c r="A90" s="49"/>
      <c r="B90" s="49"/>
      <c r="C90" s="49"/>
      <c r="D90" s="217"/>
      <c r="E90" s="217" t="str">
        <f>IND_Commodities!$C$55</f>
        <v>MISCST</v>
      </c>
      <c r="F90" s="49"/>
      <c r="G90" s="49">
        <v>1</v>
      </c>
      <c r="H90" s="110"/>
      <c r="I90" s="49"/>
      <c r="J90" s="49"/>
      <c r="K90" s="49"/>
      <c r="L90" s="26"/>
      <c r="M90" s="26"/>
      <c r="N90" s="26"/>
      <c r="O90" s="26"/>
      <c r="P90" s="232"/>
    </row>
    <row r="91" spans="1:16">
      <c r="A91" s="49"/>
      <c r="B91" s="49"/>
      <c r="C91" s="49"/>
      <c r="D91" s="217"/>
      <c r="E91" s="217" t="str">
        <f>IND_Bal!$R$32</f>
        <v>GASBFG</v>
      </c>
      <c r="F91" s="49"/>
      <c r="G91" s="42">
        <f>2*P91</f>
        <v>0</v>
      </c>
      <c r="H91" s="110"/>
      <c r="I91" s="49"/>
      <c r="J91" s="49"/>
      <c r="K91" s="49"/>
      <c r="L91" s="26"/>
      <c r="M91" s="26"/>
      <c r="N91" s="26"/>
      <c r="O91" s="26"/>
      <c r="P91" s="233">
        <f>P69</f>
        <v>0</v>
      </c>
    </row>
    <row r="92" spans="1:16">
      <c r="A92" s="170" t="s">
        <v>202</v>
      </c>
      <c r="B92" s="49"/>
      <c r="C92" s="49"/>
      <c r="D92" s="49"/>
      <c r="E92" s="49"/>
      <c r="F92" s="49"/>
      <c r="G92" s="49"/>
      <c r="H92" s="110"/>
      <c r="I92" s="49"/>
      <c r="J92" s="49"/>
      <c r="K92" s="49"/>
      <c r="L92" s="26"/>
      <c r="M92" s="26"/>
      <c r="N92" s="26"/>
      <c r="O92" s="26"/>
      <c r="P92" s="232"/>
    </row>
    <row r="93" spans="1:16">
      <c r="A93" s="49" t="str">
        <f>IND_Bal!$B$104</f>
        <v>IIS</v>
      </c>
      <c r="B93" s="180" t="s">
        <v>466</v>
      </c>
      <c r="C93" s="76" t="s">
        <v>467</v>
      </c>
      <c r="D93" s="217" t="str">
        <f>IND_Commodities!$C$49</f>
        <v>MISDIR</v>
      </c>
      <c r="E93" s="217"/>
      <c r="F93" s="51">
        <v>1.05</v>
      </c>
      <c r="G93" s="49"/>
      <c r="H93" s="182">
        <f>$H$29*D17</f>
        <v>0</v>
      </c>
      <c r="I93" s="51">
        <v>30</v>
      </c>
      <c r="J93" s="51"/>
      <c r="K93" s="51"/>
      <c r="L93" s="26"/>
      <c r="M93" s="26"/>
      <c r="N93" s="26"/>
      <c r="O93" s="26"/>
      <c r="P93" s="232"/>
    </row>
    <row r="94" spans="1:16">
      <c r="A94" s="49"/>
      <c r="B94" s="98"/>
      <c r="C94" s="98"/>
      <c r="D94" s="217" t="str">
        <f>IND_Commodities!$C$50</f>
        <v>MISSCR</v>
      </c>
      <c r="E94" s="217"/>
      <c r="F94" s="51">
        <v>0.03</v>
      </c>
      <c r="G94" s="49"/>
      <c r="H94" s="182"/>
      <c r="I94" s="49"/>
      <c r="J94" s="49"/>
      <c r="K94" s="49"/>
      <c r="L94" s="26"/>
      <c r="M94" s="26"/>
      <c r="N94" s="26"/>
      <c r="O94" s="26"/>
      <c r="P94" s="232"/>
    </row>
    <row r="95" spans="1:16">
      <c r="A95" s="49"/>
      <c r="B95" s="49"/>
      <c r="C95" s="49"/>
      <c r="D95" s="49" t="str">
        <f>IND_Commodities!$C$52</f>
        <v>MISOXY</v>
      </c>
      <c r="E95" s="49"/>
      <c r="F95" s="189">
        <v>0.5</v>
      </c>
      <c r="G95" s="49"/>
      <c r="H95" s="110"/>
      <c r="I95" s="49"/>
      <c r="J95" s="49"/>
      <c r="K95" s="49"/>
      <c r="L95" s="26"/>
      <c r="M95" s="26"/>
      <c r="N95" s="26"/>
      <c r="O95" s="26"/>
      <c r="P95" s="232"/>
    </row>
    <row r="96" spans="1:16">
      <c r="A96" s="49"/>
      <c r="B96" s="49"/>
      <c r="C96" s="49"/>
      <c r="D96" s="217" t="str">
        <f>IND_Commodities!$C$15</f>
        <v>INDGAS</v>
      </c>
      <c r="E96" s="49"/>
      <c r="F96" s="189">
        <v>3</v>
      </c>
      <c r="G96" s="49"/>
      <c r="H96" s="110"/>
      <c r="I96" s="49"/>
      <c r="J96" s="49"/>
      <c r="K96" s="49"/>
      <c r="L96" s="26"/>
      <c r="M96" s="26"/>
      <c r="N96" s="26"/>
      <c r="O96" s="26"/>
      <c r="P96" s="232"/>
    </row>
    <row r="97" spans="1:16">
      <c r="A97" s="49"/>
      <c r="B97" s="49"/>
      <c r="C97" s="49"/>
      <c r="D97" s="217" t="str">
        <f>IND_Commodities!$C$25</f>
        <v>INDELC</v>
      </c>
      <c r="E97" s="49"/>
      <c r="F97" s="189">
        <v>2.25</v>
      </c>
      <c r="G97" s="49"/>
      <c r="H97" s="110"/>
      <c r="I97" s="49"/>
      <c r="J97" s="49"/>
      <c r="K97" s="49"/>
      <c r="L97" s="26"/>
      <c r="M97" s="26"/>
      <c r="N97" s="26"/>
      <c r="O97" s="26"/>
      <c r="P97" s="232"/>
    </row>
    <row r="98" spans="1:16">
      <c r="A98" s="49"/>
      <c r="B98" s="49"/>
      <c r="C98" s="49"/>
      <c r="D98" s="217"/>
      <c r="E98" s="217" t="str">
        <f>IND_Commodities!$C$55</f>
        <v>MISCST</v>
      </c>
      <c r="F98" s="49"/>
      <c r="G98" s="49">
        <v>1</v>
      </c>
      <c r="H98" s="110"/>
      <c r="I98" s="49"/>
      <c r="J98" s="49"/>
      <c r="K98" s="49"/>
      <c r="L98" s="26"/>
      <c r="M98" s="26"/>
      <c r="N98" s="26"/>
      <c r="O98" s="26"/>
      <c r="P98" s="232"/>
    </row>
    <row r="99" spans="1:16">
      <c r="A99" s="170" t="s">
        <v>202</v>
      </c>
      <c r="B99" s="49"/>
      <c r="C99" s="49"/>
      <c r="D99" s="49"/>
      <c r="E99" s="49"/>
      <c r="F99" s="49"/>
      <c r="G99" s="49"/>
      <c r="H99" s="110"/>
      <c r="I99" s="49"/>
      <c r="J99" s="49"/>
      <c r="K99" s="49"/>
      <c r="L99" s="26"/>
      <c r="M99" s="26"/>
      <c r="N99" s="26"/>
      <c r="O99" s="26"/>
      <c r="P99" s="232"/>
    </row>
    <row r="100" spans="1:16">
      <c r="A100" s="49" t="str">
        <f>IND_Bal!$B$104</f>
        <v>IIS</v>
      </c>
      <c r="B100" s="180" t="s">
        <v>470</v>
      </c>
      <c r="C100" s="76" t="s">
        <v>471</v>
      </c>
      <c r="D100" s="217" t="str">
        <f>IND_Commodities!$C$50</f>
        <v>MISSCR</v>
      </c>
      <c r="E100" s="217"/>
      <c r="F100" s="51">
        <v>1.5</v>
      </c>
      <c r="G100" s="49"/>
      <c r="H100" s="182">
        <f>$H$29*D18</f>
        <v>0</v>
      </c>
      <c r="I100" s="51">
        <v>30</v>
      </c>
      <c r="J100" s="51"/>
      <c r="K100" s="51"/>
      <c r="L100" s="26"/>
      <c r="M100" s="26"/>
      <c r="N100" s="26"/>
      <c r="O100" s="26"/>
      <c r="P100" s="232"/>
    </row>
    <row r="101" spans="1:16">
      <c r="A101" s="49"/>
      <c r="B101" s="49"/>
      <c r="C101" s="49"/>
      <c r="D101" s="49" t="str">
        <f>IND_Commodities!$C$52</f>
        <v>MISOXY</v>
      </c>
      <c r="E101" s="49"/>
      <c r="F101" s="189">
        <v>0.05</v>
      </c>
      <c r="G101" s="49"/>
      <c r="H101" s="110"/>
      <c r="I101" s="49"/>
      <c r="J101" s="49"/>
      <c r="K101" s="49"/>
      <c r="L101" s="26"/>
      <c r="M101" s="26"/>
      <c r="N101" s="26"/>
      <c r="O101" s="26"/>
      <c r="P101" s="232"/>
    </row>
    <row r="102" spans="1:16">
      <c r="A102" s="49"/>
      <c r="B102" s="49"/>
      <c r="C102" s="49"/>
      <c r="D102" s="217" t="str">
        <f>IND_Commodities!$C$15</f>
        <v>INDGAS</v>
      </c>
      <c r="E102" s="49"/>
      <c r="F102" s="235">
        <v>0.5</v>
      </c>
      <c r="G102" s="49"/>
      <c r="H102" s="110"/>
      <c r="I102" s="49"/>
      <c r="J102" s="49"/>
      <c r="K102" s="49"/>
      <c r="L102" s="26"/>
      <c r="M102" s="26"/>
      <c r="N102" s="26"/>
      <c r="O102" s="26"/>
      <c r="P102" s="232"/>
    </row>
    <row r="103" spans="1:16">
      <c r="A103" s="49"/>
      <c r="B103" s="49"/>
      <c r="C103" s="49"/>
      <c r="D103" s="217" t="str">
        <f>IND_Commodities!$C$25</f>
        <v>INDELC</v>
      </c>
      <c r="E103" s="49"/>
      <c r="F103" s="189">
        <v>2</v>
      </c>
      <c r="G103" s="49"/>
      <c r="H103" s="110"/>
      <c r="I103" s="49"/>
      <c r="J103" s="49"/>
      <c r="K103" s="49"/>
      <c r="L103" s="26"/>
      <c r="M103" s="26"/>
      <c r="N103" s="26"/>
      <c r="O103" s="26"/>
      <c r="P103" s="232"/>
    </row>
    <row r="104" spans="1:16">
      <c r="A104" s="49"/>
      <c r="B104" s="49"/>
      <c r="C104" s="49"/>
      <c r="D104" s="217"/>
      <c r="E104" s="217" t="str">
        <f>IND_Commodities!$C$55</f>
        <v>MISCST</v>
      </c>
      <c r="F104" s="49"/>
      <c r="G104" s="49">
        <v>1</v>
      </c>
      <c r="H104" s="110"/>
      <c r="I104" s="49"/>
      <c r="J104" s="49"/>
      <c r="K104" s="49"/>
      <c r="L104" s="26"/>
      <c r="M104" s="26"/>
      <c r="N104" s="26"/>
      <c r="O104" s="26"/>
      <c r="P104" s="232"/>
    </row>
    <row r="105" spans="1:16">
      <c r="A105" s="170" t="s">
        <v>202</v>
      </c>
      <c r="B105" s="49"/>
      <c r="C105" s="49"/>
      <c r="D105" s="49"/>
      <c r="E105" s="49"/>
      <c r="F105" s="49"/>
      <c r="G105" s="49"/>
      <c r="H105" s="110"/>
      <c r="I105" s="49"/>
      <c r="J105" s="49"/>
      <c r="K105" s="49"/>
      <c r="L105" s="26"/>
      <c r="M105" s="26"/>
      <c r="N105" s="26"/>
      <c r="O105" s="26"/>
      <c r="P105" s="232"/>
    </row>
    <row r="106" spans="1:16">
      <c r="A106" s="49" t="str">
        <f>IND_Bal!$B$104</f>
        <v>IIS</v>
      </c>
      <c r="B106" s="180" t="s">
        <v>462</v>
      </c>
      <c r="C106" s="76" t="s">
        <v>463</v>
      </c>
      <c r="D106" s="217" t="str">
        <f>IND_Commodities!$C$50</f>
        <v>MISSCR</v>
      </c>
      <c r="E106" s="217"/>
      <c r="F106" s="51">
        <v>1.05</v>
      </c>
      <c r="G106" s="49"/>
      <c r="H106" s="182">
        <v>0</v>
      </c>
      <c r="I106" s="51">
        <v>30</v>
      </c>
      <c r="J106" s="51"/>
      <c r="K106" s="51"/>
      <c r="L106" s="26"/>
      <c r="M106" s="26"/>
      <c r="N106" s="26"/>
      <c r="O106" s="26"/>
      <c r="P106" s="232"/>
    </row>
    <row r="107" spans="1:16">
      <c r="A107" s="49"/>
      <c r="B107" s="49"/>
      <c r="C107" s="49"/>
      <c r="D107" s="217" t="str">
        <f>IND_Commodities!$C$15</f>
        <v>INDGAS</v>
      </c>
      <c r="E107" s="49"/>
      <c r="F107" s="189">
        <v>11.4</v>
      </c>
      <c r="G107" s="49"/>
      <c r="H107" s="110"/>
      <c r="I107" s="49"/>
      <c r="J107" s="49"/>
      <c r="K107" s="49"/>
      <c r="L107" s="26"/>
      <c r="M107" s="26"/>
      <c r="N107" s="26"/>
      <c r="O107" s="26"/>
      <c r="P107" s="232"/>
    </row>
    <row r="108" spans="1:16">
      <c r="A108" s="49"/>
      <c r="B108" s="49"/>
      <c r="C108" s="49"/>
      <c r="D108" s="217" t="str">
        <f>IND_Commodities!$C$25</f>
        <v>INDELC</v>
      </c>
      <c r="E108" s="49"/>
      <c r="F108" s="189">
        <v>4.5999999999999996</v>
      </c>
      <c r="G108" s="49"/>
      <c r="H108" s="110"/>
      <c r="I108" s="49"/>
      <c r="J108" s="49"/>
      <c r="K108" s="49"/>
      <c r="L108" s="26"/>
      <c r="M108" s="26"/>
      <c r="N108" s="26"/>
      <c r="O108" s="26"/>
      <c r="P108" s="232"/>
    </row>
    <row r="109" spans="1:16">
      <c r="A109" s="49"/>
      <c r="B109" s="49"/>
      <c r="C109" s="49"/>
      <c r="D109" s="217"/>
      <c r="E109" s="217" t="str">
        <f>IND_Commodities!$C$55</f>
        <v>MISCST</v>
      </c>
      <c r="F109" s="49"/>
      <c r="G109" s="49">
        <v>1</v>
      </c>
      <c r="H109" s="110"/>
      <c r="I109" s="49"/>
      <c r="J109" s="49"/>
      <c r="K109" s="49"/>
      <c r="L109" s="26"/>
      <c r="M109" s="26"/>
      <c r="N109" s="26"/>
      <c r="O109" s="26"/>
      <c r="P109" s="232"/>
    </row>
    <row r="110" spans="1:16">
      <c r="A110" s="170" t="s">
        <v>202</v>
      </c>
      <c r="B110" s="49"/>
      <c r="C110" s="49"/>
      <c r="D110" s="49"/>
      <c r="E110" s="49"/>
      <c r="F110" s="49"/>
      <c r="G110" s="49"/>
      <c r="H110" s="110"/>
      <c r="I110" s="49"/>
      <c r="J110" s="49"/>
      <c r="K110" s="49"/>
      <c r="L110" s="26"/>
      <c r="M110" s="26"/>
      <c r="N110" s="26"/>
      <c r="O110" s="26"/>
      <c r="P110" s="232"/>
    </row>
    <row r="111" spans="1:1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32"/>
    </row>
    <row r="112" spans="1:16">
      <c r="A112" s="26"/>
      <c r="B112" s="26"/>
      <c r="C112" s="26"/>
      <c r="D112" s="26"/>
      <c r="E112" s="40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32"/>
    </row>
    <row r="113" spans="1:16" ht="18.75">
      <c r="A113" s="103" t="s">
        <v>1120</v>
      </c>
      <c r="B113" s="43"/>
      <c r="C113" s="43"/>
      <c r="D113" s="43"/>
      <c r="E113" s="40" t="str">
        <f>IF($B$4="","DeAct","~FI_T")</f>
        <v>DeAct</v>
      </c>
      <c r="F113" s="40"/>
      <c r="G113" s="26"/>
      <c r="H113" s="26"/>
      <c r="I113" s="26"/>
      <c r="J113" s="26"/>
      <c r="K113" s="26"/>
      <c r="L113" s="26"/>
      <c r="M113" s="26"/>
      <c r="N113" s="26"/>
      <c r="O113" s="26"/>
      <c r="P113" s="232"/>
    </row>
    <row r="114" spans="1:16">
      <c r="A114" s="89" t="s">
        <v>1110</v>
      </c>
      <c r="B114" s="89" t="s">
        <v>318</v>
      </c>
      <c r="C114" s="89" t="s">
        <v>327</v>
      </c>
      <c r="D114" s="89" t="s">
        <v>718</v>
      </c>
      <c r="E114" s="89" t="s">
        <v>719</v>
      </c>
      <c r="F114" s="90" t="s">
        <v>1111</v>
      </c>
      <c r="G114" s="90" t="s">
        <v>1112</v>
      </c>
      <c r="H114" s="90" t="s">
        <v>801</v>
      </c>
      <c r="I114" s="90" t="s">
        <v>727</v>
      </c>
      <c r="J114" s="90" t="s">
        <v>725</v>
      </c>
      <c r="K114" s="90" t="s">
        <v>724</v>
      </c>
      <c r="L114" s="26"/>
      <c r="M114" s="26"/>
      <c r="N114" s="26"/>
      <c r="O114" s="26"/>
      <c r="P114" s="232"/>
    </row>
    <row r="115" spans="1:16" ht="13.5" thickBot="1">
      <c r="A115" s="177" t="s">
        <v>1113</v>
      </c>
      <c r="B115" s="75"/>
      <c r="C115" s="75"/>
      <c r="D115" s="75"/>
      <c r="E115" s="75"/>
      <c r="F115" s="75"/>
      <c r="G115" s="75"/>
      <c r="H115" s="164" t="s">
        <v>339</v>
      </c>
      <c r="I115" s="178" t="s">
        <v>1055</v>
      </c>
      <c r="J115" s="179" t="s">
        <v>1114</v>
      </c>
      <c r="K115" s="179"/>
      <c r="L115" s="26"/>
      <c r="M115" s="26"/>
      <c r="N115" s="26"/>
      <c r="O115" s="26"/>
      <c r="P115" s="232"/>
    </row>
    <row r="116" spans="1:16">
      <c r="A116" s="231" t="s">
        <v>1121</v>
      </c>
      <c r="B116" s="76" t="s">
        <v>453</v>
      </c>
      <c r="C116" s="95" t="s">
        <v>454</v>
      </c>
      <c r="D116" s="49" t="str">
        <f>IND_Commodities!$C$46</f>
        <v>MISPLT</v>
      </c>
      <c r="E116" s="217"/>
      <c r="F116" s="51">
        <v>0.75</v>
      </c>
      <c r="G116" s="49"/>
      <c r="H116" s="183">
        <f>D10*((F77*H77)+(F85*H85))</f>
        <v>0</v>
      </c>
      <c r="I116" s="51">
        <v>30</v>
      </c>
      <c r="J116" s="51"/>
      <c r="K116" s="51"/>
      <c r="L116" s="26"/>
      <c r="M116" s="26"/>
      <c r="N116" s="26"/>
      <c r="O116" s="26"/>
      <c r="P116" s="232"/>
    </row>
    <row r="117" spans="1:16">
      <c r="A117" s="49"/>
      <c r="B117" s="49"/>
      <c r="C117" s="49"/>
      <c r="D117" s="49" t="str">
        <f>IND_Commodities!$C$47</f>
        <v>MISSNT</v>
      </c>
      <c r="E117" s="217"/>
      <c r="F117" s="51">
        <v>0.75</v>
      </c>
      <c r="G117" s="49"/>
      <c r="H117" s="183"/>
      <c r="I117" s="49"/>
      <c r="J117" s="49"/>
      <c r="K117" s="49"/>
      <c r="L117" s="26"/>
      <c r="M117" s="26"/>
      <c r="N117" s="26"/>
      <c r="O117" s="26"/>
      <c r="P117" s="232"/>
    </row>
    <row r="118" spans="1:16">
      <c r="A118" s="49"/>
      <c r="B118" s="49"/>
      <c r="C118" s="49"/>
      <c r="D118" s="49" t="str">
        <f>IND_Commodities!$C$52</f>
        <v>MISOXY</v>
      </c>
      <c r="E118" s="49"/>
      <c r="F118" s="51">
        <v>1</v>
      </c>
      <c r="G118" s="49"/>
      <c r="H118" s="183"/>
      <c r="I118" s="49"/>
      <c r="J118" s="49"/>
      <c r="K118" s="49"/>
      <c r="L118" s="26"/>
      <c r="M118" s="26"/>
      <c r="N118" s="26"/>
      <c r="O118" s="26"/>
      <c r="P118" s="232"/>
    </row>
    <row r="119" spans="1:16">
      <c r="A119" s="49"/>
      <c r="B119" s="49"/>
      <c r="C119" s="49"/>
      <c r="D119" s="217" t="str">
        <f>IND_Commodities!$C$8</f>
        <v>INDCOK</v>
      </c>
      <c r="E119" s="49"/>
      <c r="F119" s="189">
        <v>10</v>
      </c>
      <c r="G119" s="49"/>
      <c r="H119" s="49"/>
      <c r="I119" s="49"/>
      <c r="J119" s="49"/>
      <c r="K119" s="49"/>
      <c r="L119" s="26"/>
      <c r="M119" s="26"/>
      <c r="N119" s="26"/>
      <c r="O119" s="26"/>
      <c r="P119" s="232"/>
    </row>
    <row r="120" spans="1:16">
      <c r="A120" s="49"/>
      <c r="B120" s="49"/>
      <c r="C120" s="49"/>
      <c r="D120" s="217" t="str">
        <f>IND_Commodities!$C$5</f>
        <v>INDCOA</v>
      </c>
      <c r="E120" s="49"/>
      <c r="F120" s="189">
        <v>5.2</v>
      </c>
      <c r="G120" s="49"/>
      <c r="H120" s="49"/>
      <c r="I120" s="49"/>
      <c r="J120" s="49"/>
      <c r="K120" s="49"/>
      <c r="L120" s="26"/>
      <c r="M120" s="26"/>
      <c r="N120" s="26"/>
      <c r="O120" s="26"/>
      <c r="P120" s="232"/>
    </row>
    <row r="121" spans="1:16">
      <c r="A121" s="49"/>
      <c r="B121" s="49"/>
      <c r="C121" s="49"/>
      <c r="D121" s="217" t="str">
        <f>IND_Commodities!$C$13</f>
        <v>INDHFO</v>
      </c>
      <c r="E121" s="49"/>
      <c r="F121" s="189">
        <v>0.1</v>
      </c>
      <c r="G121" s="49"/>
      <c r="H121" s="49"/>
      <c r="I121" s="49"/>
      <c r="J121" s="49"/>
      <c r="K121" s="49"/>
      <c r="L121" s="26"/>
      <c r="M121" s="26"/>
      <c r="N121" s="26"/>
      <c r="O121" s="26"/>
      <c r="P121" s="232"/>
    </row>
    <row r="122" spans="1:16">
      <c r="A122" s="49"/>
      <c r="B122" s="49"/>
      <c r="C122" s="49"/>
      <c r="D122" s="217" t="str">
        <f>IND_Commodities!$C$25</f>
        <v>INDELC</v>
      </c>
      <c r="E122" s="49"/>
      <c r="F122" s="189">
        <v>0.55000000000000004</v>
      </c>
      <c r="G122" s="49"/>
      <c r="H122" s="49"/>
      <c r="I122" s="49"/>
      <c r="J122" s="49"/>
      <c r="K122" s="49"/>
      <c r="L122" s="26"/>
      <c r="M122" s="26"/>
      <c r="N122" s="26"/>
      <c r="O122" s="26"/>
      <c r="P122" s="232"/>
    </row>
    <row r="123" spans="1:16">
      <c r="A123" s="49"/>
      <c r="B123" s="49"/>
      <c r="C123" s="49"/>
      <c r="D123" s="217" t="str">
        <f>IND_Commodities!$C$17</f>
        <v>INDBFG</v>
      </c>
      <c r="E123" s="49"/>
      <c r="F123" s="189">
        <v>0.95</v>
      </c>
      <c r="G123" s="49"/>
      <c r="H123" s="49"/>
      <c r="I123" s="49"/>
      <c r="J123" s="49"/>
      <c r="K123" s="49"/>
      <c r="L123" s="26"/>
      <c r="M123" s="26"/>
      <c r="N123" s="26"/>
      <c r="O123" s="26"/>
      <c r="P123" s="232"/>
    </row>
    <row r="124" spans="1:16">
      <c r="A124" s="49"/>
      <c r="B124" s="49"/>
      <c r="C124" s="49"/>
      <c r="D124" s="217"/>
      <c r="E124" s="217" t="str">
        <f>IND_Commodities!$C$48</f>
        <v>MISRIR</v>
      </c>
      <c r="F124" s="49"/>
      <c r="G124" s="49">
        <v>1</v>
      </c>
      <c r="H124" s="49"/>
      <c r="I124" s="49"/>
      <c r="J124" s="49"/>
      <c r="K124" s="49"/>
      <c r="L124" s="26"/>
      <c r="M124" s="26"/>
      <c r="N124" s="26"/>
      <c r="O124" s="26"/>
      <c r="P124" s="232"/>
    </row>
    <row r="125" spans="1:16">
      <c r="A125" s="49"/>
      <c r="B125" s="49"/>
      <c r="C125" s="49"/>
      <c r="D125" s="49"/>
      <c r="E125" s="217" t="str">
        <f>IND_Commodities!$C$51</f>
        <v>MISBFS</v>
      </c>
      <c r="F125" s="49"/>
      <c r="G125" s="189">
        <v>0.25</v>
      </c>
      <c r="H125" s="49"/>
      <c r="I125" s="49"/>
      <c r="J125" s="49"/>
      <c r="K125" s="49"/>
      <c r="L125" s="26"/>
      <c r="M125" s="26"/>
      <c r="N125" s="26"/>
      <c r="O125" s="26"/>
      <c r="P125" s="232"/>
    </row>
    <row r="126" spans="1:16">
      <c r="A126" s="49"/>
      <c r="B126" s="49"/>
      <c r="C126" s="49"/>
      <c r="D126" s="49"/>
      <c r="E126" s="217" t="str">
        <f>IND_Bal!$R$32</f>
        <v>GASBFG</v>
      </c>
      <c r="F126" s="49"/>
      <c r="G126" s="189">
        <f>2.85*P126</f>
        <v>0</v>
      </c>
      <c r="H126" s="49"/>
      <c r="I126" s="49"/>
      <c r="J126" s="49"/>
      <c r="K126" s="49"/>
      <c r="L126" s="26"/>
      <c r="M126" s="26"/>
      <c r="N126" s="26"/>
      <c r="O126" s="26"/>
      <c r="P126" s="233">
        <f>P69</f>
        <v>0</v>
      </c>
    </row>
    <row r="127" spans="1:16">
      <c r="A127" s="170" t="s">
        <v>202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26"/>
      <c r="M127" s="26"/>
      <c r="N127" s="26"/>
      <c r="O127" s="26"/>
      <c r="P127" s="232"/>
    </row>
    <row r="128" spans="1:16">
      <c r="A128" s="231" t="s">
        <v>1121</v>
      </c>
      <c r="B128" s="76" t="s">
        <v>460</v>
      </c>
      <c r="C128" s="95" t="s">
        <v>461</v>
      </c>
      <c r="D128" s="49" t="str">
        <f>IND_Commodities!$C$46</f>
        <v>MISPLT</v>
      </c>
      <c r="E128" s="217"/>
      <c r="F128" s="51">
        <v>1.5</v>
      </c>
      <c r="G128" s="49"/>
      <c r="H128" s="183">
        <f>D11*((F77*H77)+(F85*H85))</f>
        <v>0</v>
      </c>
      <c r="I128" s="51">
        <v>30</v>
      </c>
      <c r="J128" s="51"/>
      <c r="K128" s="51"/>
      <c r="L128" s="26"/>
      <c r="M128" s="26"/>
      <c r="N128" s="26"/>
      <c r="O128" s="26"/>
      <c r="P128" s="232"/>
    </row>
    <row r="129" spans="1:16">
      <c r="A129" s="49"/>
      <c r="B129" s="49"/>
      <c r="C129" s="49"/>
      <c r="D129" s="49" t="str">
        <f>IND_Commodities!$C$52</f>
        <v>MISOXY</v>
      </c>
      <c r="E129" s="49"/>
      <c r="F129" s="51">
        <v>0.71</v>
      </c>
      <c r="G129" s="49"/>
      <c r="H129" s="183"/>
      <c r="I129" s="49"/>
      <c r="J129" s="49"/>
      <c r="K129" s="49"/>
      <c r="L129" s="26"/>
      <c r="M129" s="26"/>
      <c r="N129" s="26"/>
      <c r="O129" s="26"/>
      <c r="P129" s="232"/>
    </row>
    <row r="130" spans="1:16">
      <c r="A130" s="49"/>
      <c r="B130" s="49"/>
      <c r="C130" s="49"/>
      <c r="D130" s="217" t="str">
        <f>IND_Commodities!$C$5</f>
        <v>INDCOA</v>
      </c>
      <c r="E130" s="49"/>
      <c r="F130" s="189">
        <v>29</v>
      </c>
      <c r="G130" s="49"/>
      <c r="H130" s="49"/>
      <c r="I130" s="49"/>
      <c r="J130" s="49"/>
      <c r="K130" s="49"/>
      <c r="L130" s="26"/>
      <c r="M130" s="26"/>
      <c r="N130" s="26"/>
      <c r="O130" s="26"/>
      <c r="P130" s="232"/>
    </row>
    <row r="131" spans="1:16">
      <c r="A131" s="49"/>
      <c r="B131" s="49"/>
      <c r="C131" s="49"/>
      <c r="D131" s="217" t="str">
        <f>IND_Commodities!$C$17</f>
        <v>INDBFG</v>
      </c>
      <c r="E131" s="49"/>
      <c r="F131" s="189">
        <v>5.45</v>
      </c>
      <c r="G131" s="49"/>
      <c r="H131" s="49"/>
      <c r="I131" s="49"/>
      <c r="J131" s="49"/>
      <c r="K131" s="49"/>
      <c r="L131" s="26"/>
      <c r="M131" s="26"/>
      <c r="N131" s="26"/>
      <c r="O131" s="26"/>
      <c r="P131" s="232"/>
    </row>
    <row r="132" spans="1:16">
      <c r="A132" s="49"/>
      <c r="B132" s="49"/>
      <c r="C132" s="49"/>
      <c r="D132" s="217"/>
      <c r="E132" s="217" t="str">
        <f>IND_Commodities!$C$48</f>
        <v>MISRIR</v>
      </c>
      <c r="F132" s="49"/>
      <c r="G132" s="49">
        <v>1</v>
      </c>
      <c r="H132" s="49"/>
      <c r="I132" s="49"/>
      <c r="J132" s="49"/>
      <c r="K132" s="49"/>
      <c r="L132" s="26"/>
      <c r="M132" s="26"/>
      <c r="N132" s="26"/>
      <c r="O132" s="26"/>
      <c r="P132" s="232"/>
    </row>
    <row r="133" spans="1:16">
      <c r="A133" s="49"/>
      <c r="B133" s="49"/>
      <c r="C133" s="49"/>
      <c r="D133" s="49"/>
      <c r="E133" s="217" t="str">
        <f>IND_Commodities!$C$51</f>
        <v>MISBFS</v>
      </c>
      <c r="F133" s="49"/>
      <c r="G133" s="189">
        <v>0.3</v>
      </c>
      <c r="H133" s="49"/>
      <c r="I133" s="49"/>
      <c r="J133" s="49"/>
      <c r="K133" s="49"/>
      <c r="L133" s="26"/>
      <c r="M133" s="26"/>
      <c r="N133" s="26"/>
      <c r="O133" s="26"/>
      <c r="P133" s="232"/>
    </row>
    <row r="134" spans="1:16">
      <c r="A134" s="49"/>
      <c r="B134" s="49"/>
      <c r="C134" s="49"/>
      <c r="D134" s="49"/>
      <c r="E134" s="217" t="str">
        <f>IND_Bal!$R$32</f>
        <v>GASBFG</v>
      </c>
      <c r="F134" s="49"/>
      <c r="G134" s="189">
        <f>16.35*P134</f>
        <v>0</v>
      </c>
      <c r="H134" s="49"/>
      <c r="I134" s="49"/>
      <c r="J134" s="49"/>
      <c r="K134" s="49"/>
      <c r="L134" s="26"/>
      <c r="M134" s="26"/>
      <c r="N134" s="26"/>
      <c r="O134" s="26"/>
      <c r="P134" s="233">
        <f>P69</f>
        <v>0</v>
      </c>
    </row>
    <row r="135" spans="1:16">
      <c r="A135" s="49"/>
      <c r="B135" s="49"/>
      <c r="C135" s="49"/>
      <c r="D135" s="49"/>
      <c r="E135" s="217" t="str">
        <f>IND_Commodities!$C$28</f>
        <v>IISHTH</v>
      </c>
      <c r="F135" s="49"/>
      <c r="G135" s="189">
        <v>6.4</v>
      </c>
      <c r="H135" s="49"/>
      <c r="I135" s="49"/>
      <c r="J135" s="49"/>
      <c r="K135" s="49"/>
      <c r="L135" s="26"/>
      <c r="M135" s="26"/>
      <c r="N135" s="26"/>
      <c r="O135" s="26"/>
      <c r="P135" s="232"/>
    </row>
    <row r="136" spans="1:16">
      <c r="A136" s="170" t="s">
        <v>202</v>
      </c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26"/>
      <c r="M136" s="26"/>
      <c r="N136" s="26"/>
      <c r="O136" s="26"/>
      <c r="P136" s="232"/>
    </row>
    <row r="137" spans="1:16">
      <c r="A137" s="49" t="str">
        <f>IND_Bal!$B$104</f>
        <v>IIS</v>
      </c>
      <c r="B137" s="76" t="s">
        <v>468</v>
      </c>
      <c r="C137" s="95" t="s">
        <v>469</v>
      </c>
      <c r="D137" s="49" t="str">
        <f>IND_Commodities!$C$46</f>
        <v>MISPLT</v>
      </c>
      <c r="E137" s="217"/>
      <c r="F137" s="51">
        <v>1.5</v>
      </c>
      <c r="G137" s="49"/>
      <c r="H137" s="183">
        <f>H93*F93</f>
        <v>0</v>
      </c>
      <c r="I137" s="51">
        <v>30</v>
      </c>
      <c r="J137" s="51"/>
      <c r="K137" s="51"/>
      <c r="L137" s="26"/>
      <c r="M137" s="26"/>
      <c r="N137" s="26"/>
      <c r="O137" s="26"/>
      <c r="P137" s="232"/>
    </row>
    <row r="138" spans="1:16">
      <c r="A138" s="49"/>
      <c r="B138" s="49"/>
      <c r="C138" s="49"/>
      <c r="D138" s="217" t="str">
        <f>IND_Commodities!$C$15</f>
        <v>INDGAS</v>
      </c>
      <c r="E138" s="49"/>
      <c r="F138" s="189">
        <v>11</v>
      </c>
      <c r="G138" s="49"/>
      <c r="H138" s="49"/>
      <c r="I138" s="49"/>
      <c r="J138" s="49"/>
      <c r="K138" s="49"/>
      <c r="L138" s="26"/>
      <c r="M138" s="26"/>
      <c r="N138" s="26"/>
      <c r="O138" s="26"/>
      <c r="P138" s="232"/>
    </row>
    <row r="139" spans="1:16">
      <c r="A139" s="49"/>
      <c r="B139" s="49"/>
      <c r="C139" s="49"/>
      <c r="D139" s="217" t="str">
        <f>IND_Commodities!$C$25</f>
        <v>INDELC</v>
      </c>
      <c r="E139" s="49"/>
      <c r="F139" s="189">
        <v>0.7</v>
      </c>
      <c r="G139" s="49"/>
      <c r="H139" s="49"/>
      <c r="I139" s="49"/>
      <c r="J139" s="49"/>
      <c r="K139" s="49"/>
      <c r="L139" s="26"/>
      <c r="M139" s="26"/>
      <c r="N139" s="26"/>
      <c r="O139" s="26"/>
      <c r="P139" s="232"/>
    </row>
    <row r="140" spans="1:16">
      <c r="A140" s="49"/>
      <c r="B140" s="49"/>
      <c r="C140" s="49"/>
      <c r="D140" s="217"/>
      <c r="E140" s="217" t="str">
        <f>IND_Commodities!$C$49</f>
        <v>MISDIR</v>
      </c>
      <c r="F140" s="49"/>
      <c r="G140" s="49">
        <v>1</v>
      </c>
      <c r="H140" s="49"/>
      <c r="I140" s="49"/>
      <c r="J140" s="49"/>
      <c r="K140" s="49"/>
      <c r="L140" s="26"/>
      <c r="M140" s="26"/>
      <c r="N140" s="26"/>
      <c r="O140" s="26"/>
      <c r="P140" s="232"/>
    </row>
    <row r="141" spans="1:16">
      <c r="A141" s="170" t="s">
        <v>202</v>
      </c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26"/>
      <c r="M141" s="26"/>
      <c r="N141" s="26"/>
      <c r="O141" s="26"/>
      <c r="P141" s="232"/>
    </row>
    <row r="142" spans="1:16">
      <c r="A142" s="231" t="s">
        <v>1121</v>
      </c>
      <c r="B142" s="76" t="s">
        <v>464</v>
      </c>
      <c r="C142" s="95" t="s">
        <v>465</v>
      </c>
      <c r="D142" s="49" t="str">
        <f>IND_Commodities!$C$47</f>
        <v>MISSNT</v>
      </c>
      <c r="E142" s="49"/>
      <c r="F142" s="51">
        <v>1.5</v>
      </c>
      <c r="G142" s="49"/>
      <c r="H142" s="183">
        <v>0</v>
      </c>
      <c r="I142" s="51">
        <v>30</v>
      </c>
      <c r="J142" s="51"/>
      <c r="K142" s="51"/>
      <c r="L142" s="26"/>
      <c r="M142" s="26"/>
      <c r="N142" s="26"/>
      <c r="O142" s="26"/>
      <c r="P142" s="232"/>
    </row>
    <row r="143" spans="1:16">
      <c r="A143" s="49"/>
      <c r="B143" s="49"/>
      <c r="C143" s="49"/>
      <c r="D143" s="49" t="str">
        <f>IND_Commodities!$C$52</f>
        <v>MISOXY</v>
      </c>
      <c r="E143" s="49"/>
      <c r="F143" s="189">
        <v>0.73</v>
      </c>
      <c r="G143" s="49"/>
      <c r="H143" s="49"/>
      <c r="I143" s="49"/>
      <c r="J143" s="49"/>
      <c r="K143" s="49"/>
      <c r="L143" s="26"/>
      <c r="M143" s="26"/>
      <c r="N143" s="26"/>
      <c r="O143" s="26"/>
      <c r="P143" s="232"/>
    </row>
    <row r="144" spans="1:16">
      <c r="A144" s="49"/>
      <c r="B144" s="49"/>
      <c r="C144" s="49"/>
      <c r="D144" s="217" t="str">
        <f>IND_Commodities!$C$5</f>
        <v>INDCOA</v>
      </c>
      <c r="E144" s="49"/>
      <c r="F144" s="189">
        <v>20.100000000000001</v>
      </c>
      <c r="G144" s="49"/>
      <c r="H144" s="49"/>
      <c r="I144" s="49"/>
      <c r="J144" s="49"/>
      <c r="K144" s="49"/>
      <c r="L144" s="26"/>
      <c r="M144" s="26"/>
      <c r="N144" s="26"/>
      <c r="O144" s="26"/>
      <c r="P144" s="232"/>
    </row>
    <row r="145" spans="1:16">
      <c r="A145" s="49"/>
      <c r="B145" s="49"/>
      <c r="C145" s="49"/>
      <c r="D145" s="217" t="str">
        <f>IND_Commodities!$C$25</f>
        <v>INDELC</v>
      </c>
      <c r="E145" s="49"/>
      <c r="F145" s="51">
        <v>0.5</v>
      </c>
      <c r="G145" s="49"/>
      <c r="H145" s="49"/>
      <c r="I145" s="49"/>
      <c r="J145" s="49"/>
      <c r="K145" s="49"/>
      <c r="L145" s="26"/>
      <c r="M145" s="26"/>
      <c r="N145" s="26"/>
      <c r="O145" s="26"/>
      <c r="P145" s="232"/>
    </row>
    <row r="146" spans="1:16">
      <c r="A146" s="49"/>
      <c r="B146" s="49"/>
      <c r="C146" s="49"/>
      <c r="D146" s="217" t="str">
        <f>IND_Commodities!$C$17</f>
        <v>INDBFG</v>
      </c>
      <c r="E146" s="49"/>
      <c r="F146" s="189">
        <v>2</v>
      </c>
      <c r="G146" s="49"/>
      <c r="H146" s="49"/>
      <c r="I146" s="49"/>
      <c r="J146" s="49"/>
      <c r="K146" s="49"/>
      <c r="L146" s="26"/>
      <c r="M146" s="26"/>
      <c r="N146" s="26"/>
      <c r="O146" s="26"/>
      <c r="P146" s="232"/>
    </row>
    <row r="147" spans="1:16">
      <c r="A147" s="49"/>
      <c r="B147" s="49"/>
      <c r="C147" s="49"/>
      <c r="D147" s="217"/>
      <c r="E147" s="217" t="str">
        <f>IND_Commodities!$C$48</f>
        <v>MISRIR</v>
      </c>
      <c r="F147" s="49"/>
      <c r="G147" s="49">
        <v>1</v>
      </c>
      <c r="H147" s="49"/>
      <c r="I147" s="49"/>
      <c r="J147" s="49"/>
      <c r="K147" s="49"/>
      <c r="L147" s="26"/>
      <c r="M147" s="26"/>
      <c r="N147" s="26"/>
      <c r="O147" s="26"/>
      <c r="P147" s="232"/>
    </row>
    <row r="148" spans="1:16">
      <c r="A148" s="49"/>
      <c r="B148" s="49"/>
      <c r="C148" s="49"/>
      <c r="D148" s="49"/>
      <c r="E148" s="217" t="str">
        <f>IND_Commodities!$C$51</f>
        <v>MISBFS</v>
      </c>
      <c r="F148" s="49"/>
      <c r="G148" s="189">
        <v>0.27</v>
      </c>
      <c r="H148" s="49"/>
      <c r="I148" s="49"/>
      <c r="J148" s="49"/>
      <c r="K148" s="49"/>
      <c r="L148" s="26"/>
      <c r="M148" s="26"/>
      <c r="N148" s="26"/>
      <c r="O148" s="26"/>
      <c r="P148" s="232"/>
    </row>
    <row r="149" spans="1:16">
      <c r="A149" s="49"/>
      <c r="B149" s="49"/>
      <c r="C149" s="49"/>
      <c r="D149" s="49"/>
      <c r="E149" s="217" t="str">
        <f>IND_Bal!$R$32</f>
        <v>GASBFG</v>
      </c>
      <c r="F149" s="49"/>
      <c r="G149" s="189">
        <f>6*P149</f>
        <v>0</v>
      </c>
      <c r="H149" s="49"/>
      <c r="I149" s="49"/>
      <c r="J149" s="49"/>
      <c r="K149" s="49"/>
      <c r="L149" s="26"/>
      <c r="M149" s="26"/>
      <c r="N149" s="26"/>
      <c r="O149" s="26"/>
      <c r="P149" s="233">
        <f>P69</f>
        <v>0</v>
      </c>
    </row>
    <row r="150" spans="1:16">
      <c r="A150" s="49"/>
      <c r="B150" s="49"/>
      <c r="C150" s="49"/>
      <c r="D150" s="49"/>
      <c r="E150" s="217" t="str">
        <f>IND_Commodities!$C$28</f>
        <v>IISHTH</v>
      </c>
      <c r="F150" s="49"/>
      <c r="G150" s="189">
        <v>4.3</v>
      </c>
      <c r="H150" s="49"/>
      <c r="I150" s="49"/>
      <c r="J150" s="49"/>
      <c r="K150" s="49"/>
      <c r="L150" s="26"/>
      <c r="M150" s="26"/>
      <c r="N150" s="26"/>
      <c r="O150" s="26"/>
      <c r="P150" s="232"/>
    </row>
    <row r="151" spans="1:16">
      <c r="A151" s="170" t="s">
        <v>202</v>
      </c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26"/>
      <c r="M151" s="26"/>
      <c r="N151" s="26"/>
      <c r="O151" s="26"/>
      <c r="P151" s="232"/>
    </row>
    <row r="152" spans="1:1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32"/>
    </row>
    <row r="153" spans="1:1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32"/>
    </row>
    <row r="154" spans="1:16" ht="18.75">
      <c r="A154" s="103" t="s">
        <v>1122</v>
      </c>
      <c r="B154" s="43"/>
      <c r="C154" s="43"/>
      <c r="D154" s="43"/>
      <c r="E154" s="40" t="str">
        <f>IF($B$4="","DeAct","~FI_T")</f>
        <v>DeAct</v>
      </c>
      <c r="F154" s="40"/>
      <c r="G154" s="26"/>
      <c r="H154" s="26"/>
      <c r="I154" s="26"/>
      <c r="J154" s="26"/>
      <c r="K154" s="26"/>
      <c r="L154" s="26"/>
      <c r="M154" s="26"/>
      <c r="N154" s="26"/>
      <c r="O154" s="26"/>
      <c r="P154" s="232"/>
    </row>
    <row r="155" spans="1:16">
      <c r="A155" s="89" t="s">
        <v>1110</v>
      </c>
      <c r="B155" s="89" t="s">
        <v>318</v>
      </c>
      <c r="C155" s="89" t="s">
        <v>327</v>
      </c>
      <c r="D155" s="89" t="s">
        <v>718</v>
      </c>
      <c r="E155" s="89" t="s">
        <v>719</v>
      </c>
      <c r="F155" s="90" t="s">
        <v>1111</v>
      </c>
      <c r="G155" s="90" t="s">
        <v>1112</v>
      </c>
      <c r="H155" s="90" t="s">
        <v>801</v>
      </c>
      <c r="I155" s="90" t="s">
        <v>727</v>
      </c>
      <c r="J155" s="90" t="s">
        <v>725</v>
      </c>
      <c r="K155" s="90" t="s">
        <v>724</v>
      </c>
      <c r="L155" s="26"/>
      <c r="M155" s="26"/>
      <c r="N155" s="26"/>
      <c r="O155" s="26"/>
      <c r="P155" s="232"/>
    </row>
    <row r="156" spans="1:16" ht="13.5" thickBot="1">
      <c r="A156" s="177" t="s">
        <v>1113</v>
      </c>
      <c r="B156" s="75"/>
      <c r="C156" s="75"/>
      <c r="D156" s="75"/>
      <c r="E156" s="75"/>
      <c r="F156" s="75"/>
      <c r="G156" s="75"/>
      <c r="H156" s="164" t="s">
        <v>339</v>
      </c>
      <c r="I156" s="178" t="s">
        <v>1055</v>
      </c>
      <c r="J156" s="179" t="s">
        <v>1114</v>
      </c>
      <c r="K156" s="179"/>
      <c r="L156" s="26"/>
      <c r="M156" s="26"/>
      <c r="N156" s="26"/>
      <c r="O156" s="26"/>
      <c r="P156" s="232"/>
    </row>
    <row r="157" spans="1:16">
      <c r="A157" s="49" t="str">
        <f>IND_Bal!$B$104</f>
        <v>IIS</v>
      </c>
      <c r="B157" s="76" t="s">
        <v>477</v>
      </c>
      <c r="C157" s="95" t="s">
        <v>478</v>
      </c>
      <c r="D157" s="49" t="str">
        <f>IND_Commodities!$C$45</f>
        <v>MISORE</v>
      </c>
      <c r="E157" s="49"/>
      <c r="F157" s="49">
        <v>1</v>
      </c>
      <c r="G157" s="49"/>
      <c r="H157" s="183">
        <f>(F116*H116)+(F128*H128)+(F137*H137)</f>
        <v>0</v>
      </c>
      <c r="I157" s="51">
        <v>30</v>
      </c>
      <c r="J157" s="51"/>
      <c r="K157" s="51"/>
      <c r="L157" s="26"/>
      <c r="M157" s="26"/>
      <c r="N157" s="26"/>
      <c r="O157" s="26"/>
      <c r="P157" s="232"/>
    </row>
    <row r="158" spans="1:16">
      <c r="A158" s="49"/>
      <c r="B158" s="49"/>
      <c r="C158" s="49"/>
      <c r="D158" s="217" t="str">
        <f>IND_Commodities!$C$8</f>
        <v>INDCOK</v>
      </c>
      <c r="E158" s="49"/>
      <c r="F158" s="51">
        <v>1.01</v>
      </c>
      <c r="G158" s="49"/>
      <c r="H158" s="101"/>
      <c r="I158" s="49"/>
      <c r="J158" s="49"/>
      <c r="K158" s="49"/>
      <c r="L158" s="26"/>
      <c r="M158" s="26"/>
      <c r="N158" s="26"/>
      <c r="O158" s="26"/>
      <c r="P158" s="232"/>
    </row>
    <row r="159" spans="1:16">
      <c r="A159" s="49"/>
      <c r="B159" s="49"/>
      <c r="C159" s="49"/>
      <c r="D159" s="217" t="str">
        <f>IND_Commodities!$C$25</f>
        <v>INDELC</v>
      </c>
      <c r="E159" s="49"/>
      <c r="F159" s="51">
        <v>1.1399999999999999</v>
      </c>
      <c r="G159" s="49"/>
      <c r="H159" s="101"/>
      <c r="I159" s="49"/>
      <c r="J159" s="49"/>
      <c r="K159" s="49"/>
      <c r="L159" s="26"/>
      <c r="M159" s="26"/>
      <c r="N159" s="26"/>
      <c r="O159" s="26"/>
      <c r="P159" s="232"/>
    </row>
    <row r="160" spans="1:16">
      <c r="A160" s="49"/>
      <c r="B160" s="49"/>
      <c r="C160" s="49"/>
      <c r="D160" s="49"/>
      <c r="E160" s="49" t="str">
        <f>IND_Commodities!$C$46</f>
        <v>MISPLT</v>
      </c>
      <c r="F160" s="49"/>
      <c r="G160" s="49">
        <v>1</v>
      </c>
      <c r="H160" s="101"/>
      <c r="I160" s="49"/>
      <c r="J160" s="49"/>
      <c r="K160" s="49"/>
      <c r="L160" s="26"/>
      <c r="M160" s="26"/>
      <c r="N160" s="26"/>
      <c r="O160" s="26"/>
      <c r="P160" s="232"/>
    </row>
    <row r="161" spans="1:16">
      <c r="A161" s="170" t="s">
        <v>202</v>
      </c>
      <c r="B161" s="49"/>
      <c r="C161" s="49"/>
      <c r="D161" s="49"/>
      <c r="E161" s="49"/>
      <c r="F161" s="49"/>
      <c r="G161" s="49"/>
      <c r="H161" s="101"/>
      <c r="I161" s="49"/>
      <c r="J161" s="49"/>
      <c r="K161" s="49"/>
      <c r="L161" s="26"/>
      <c r="M161" s="26"/>
      <c r="N161" s="26"/>
      <c r="O161" s="26"/>
      <c r="P161" s="232"/>
    </row>
    <row r="162" spans="1:16">
      <c r="A162" s="49" t="str">
        <f>IND_Bal!$B$104</f>
        <v>IIS</v>
      </c>
      <c r="B162" s="76" t="s">
        <v>479</v>
      </c>
      <c r="C162" s="95" t="s">
        <v>480</v>
      </c>
      <c r="D162" s="49" t="str">
        <f>IND_Commodities!$C$45</f>
        <v>MISORE</v>
      </c>
      <c r="E162" s="49"/>
      <c r="F162" s="49">
        <v>1</v>
      </c>
      <c r="G162" s="49"/>
      <c r="H162" s="183">
        <f>(F117*H116)+(F142*H142)</f>
        <v>0</v>
      </c>
      <c r="I162" s="51">
        <v>30</v>
      </c>
      <c r="J162" s="51"/>
      <c r="K162" s="51"/>
      <c r="L162" s="26"/>
      <c r="M162" s="26"/>
      <c r="N162" s="26"/>
      <c r="O162" s="26"/>
      <c r="P162" s="232"/>
    </row>
    <row r="163" spans="1:16">
      <c r="A163" s="49"/>
      <c r="B163" s="49"/>
      <c r="C163" s="49"/>
      <c r="D163" s="217" t="str">
        <f>IND_Commodities!$C$8</f>
        <v>INDCOK</v>
      </c>
      <c r="E163" s="49"/>
      <c r="F163" s="51">
        <v>0.9</v>
      </c>
      <c r="G163" s="49"/>
      <c r="H163" s="49"/>
      <c r="I163" s="49"/>
      <c r="J163" s="49"/>
      <c r="K163" s="49"/>
      <c r="L163" s="26"/>
      <c r="M163" s="26"/>
      <c r="N163" s="26"/>
      <c r="O163" s="26"/>
      <c r="P163" s="232"/>
    </row>
    <row r="164" spans="1:16">
      <c r="A164" s="49"/>
      <c r="B164" s="49"/>
      <c r="C164" s="49"/>
      <c r="D164" s="217" t="str">
        <f>IND_Commodities!$C$16</f>
        <v>INDCOG</v>
      </c>
      <c r="E164" s="49"/>
      <c r="F164" s="51">
        <v>0.9</v>
      </c>
      <c r="G164" s="49"/>
      <c r="H164" s="49"/>
      <c r="I164" s="49"/>
      <c r="J164" s="49"/>
      <c r="K164" s="49"/>
      <c r="L164" s="26"/>
      <c r="M164" s="26"/>
      <c r="N164" s="26"/>
      <c r="O164" s="26"/>
      <c r="P164" s="232"/>
    </row>
    <row r="165" spans="1:16">
      <c r="A165" s="49"/>
      <c r="B165" s="49"/>
      <c r="C165" s="49"/>
      <c r="D165" s="217" t="str">
        <f>IND_Commodities!$C$25</f>
        <v>INDELC</v>
      </c>
      <c r="E165" s="49"/>
      <c r="F165" s="51">
        <v>0.12</v>
      </c>
      <c r="G165" s="49"/>
      <c r="H165" s="49"/>
      <c r="I165" s="49"/>
      <c r="J165" s="49"/>
      <c r="K165" s="49"/>
      <c r="L165" s="26"/>
      <c r="M165" s="26"/>
      <c r="N165" s="26"/>
      <c r="O165" s="26"/>
      <c r="P165" s="232"/>
    </row>
    <row r="166" spans="1:16">
      <c r="A166" s="49"/>
      <c r="B166" s="49"/>
      <c r="C166" s="49"/>
      <c r="D166" s="49"/>
      <c r="E166" s="49" t="str">
        <f>IND_Commodities!$C$47</f>
        <v>MISSNT</v>
      </c>
      <c r="F166" s="49"/>
      <c r="G166" s="49">
        <v>1</v>
      </c>
      <c r="H166" s="49"/>
      <c r="I166" s="49"/>
      <c r="J166" s="49"/>
      <c r="K166" s="49"/>
      <c r="L166" s="26"/>
      <c r="M166" s="26"/>
      <c r="N166" s="26"/>
      <c r="O166" s="26"/>
      <c r="P166" s="232"/>
    </row>
    <row r="167" spans="1:16">
      <c r="A167" s="170" t="s">
        <v>202</v>
      </c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26"/>
      <c r="M167" s="26"/>
      <c r="N167" s="26"/>
      <c r="O167" s="26"/>
      <c r="P167" s="232"/>
    </row>
    <row r="168" spans="1:1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8"/>
  <sheetViews>
    <sheetView zoomScale="75" zoomScaleNormal="75" workbookViewId="0">
      <selection activeCell="P32" sqref="P32"/>
    </sheetView>
  </sheetViews>
  <sheetFormatPr defaultColWidth="9.140625" defaultRowHeight="12.75"/>
  <cols>
    <col min="1" max="2" width="9.140625" style="25"/>
    <col min="3" max="3" width="37.140625" style="25" bestFit="1" customWidth="1"/>
    <col min="4" max="16384" width="9.140625" style="25"/>
  </cols>
  <sheetData>
    <row r="1" spans="1:20" ht="18.75">
      <c r="A1" s="103" t="s">
        <v>1081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IND_Bal!$B$108</f>
        <v>IAM</v>
      </c>
      <c r="B4" s="213"/>
      <c r="C4" s="49" t="str">
        <f>IND_Bal!$A$108</f>
        <v>Ammonia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tr">
        <f>IND_Bal!$B$109</f>
        <v>ICL</v>
      </c>
      <c r="B5" s="213"/>
      <c r="C5" s="49" t="str">
        <f>IND_Bal!$A$109</f>
        <v>Chlorine Demand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" si="0">SUM(D5:S5)</f>
        <v>0</v>
      </c>
    </row>
    <row r="6" spans="1:20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470"/>
      <c r="T6" s="470"/>
    </row>
    <row r="7" spans="1:20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470"/>
      <c r="T7" s="470"/>
    </row>
    <row r="8" spans="1:20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470"/>
      <c r="T8" s="470"/>
    </row>
    <row r="9" spans="1:20">
      <c r="A9" s="26"/>
      <c r="B9" s="26"/>
      <c r="C9" s="26"/>
      <c r="D9" s="26"/>
      <c r="E9" s="26"/>
      <c r="F9" s="159" t="s">
        <v>1100</v>
      </c>
      <c r="G9" s="159"/>
      <c r="H9" s="159"/>
      <c r="I9" s="26"/>
      <c r="J9" s="160" t="s">
        <v>1101</v>
      </c>
      <c r="K9" s="161"/>
      <c r="L9" s="161"/>
      <c r="M9" s="161"/>
      <c r="N9" s="26"/>
      <c r="O9" s="26"/>
      <c r="P9" s="26"/>
      <c r="Q9" s="26"/>
      <c r="R9" s="26"/>
      <c r="S9" s="470"/>
      <c r="T9" s="470"/>
    </row>
    <row r="10" spans="1:20" ht="18.75">
      <c r="A10" s="27" t="s">
        <v>1123</v>
      </c>
      <c r="B10" s="43"/>
      <c r="C10" s="43"/>
      <c r="D10" s="26"/>
      <c r="E10" s="26"/>
      <c r="F10" s="103" t="s">
        <v>1103</v>
      </c>
      <c r="G10" s="69"/>
      <c r="H10" s="69"/>
      <c r="I10" s="26"/>
      <c r="J10" s="103" t="s">
        <v>1103</v>
      </c>
      <c r="K10" s="69"/>
      <c r="L10" s="69"/>
      <c r="M10" s="69"/>
      <c r="N10" s="26"/>
      <c r="O10" s="103" t="s">
        <v>1104</v>
      </c>
      <c r="P10" s="69"/>
      <c r="Q10" s="69"/>
      <c r="R10" s="26"/>
      <c r="S10" s="470"/>
      <c r="T10" s="470"/>
    </row>
    <row r="11" spans="1:20" ht="13.5" thickBot="1">
      <c r="A11" s="86"/>
      <c r="B11" s="98"/>
      <c r="C11" s="49" t="str">
        <f>C36</f>
        <v>IAM.Standard Production.00.</v>
      </c>
      <c r="D11" s="162">
        <v>1</v>
      </c>
      <c r="E11" s="26"/>
      <c r="F11" s="163"/>
      <c r="G11" s="164" t="s">
        <v>1106</v>
      </c>
      <c r="H11" s="164" t="s">
        <v>1107</v>
      </c>
      <c r="I11" s="165"/>
      <c r="J11" s="166"/>
      <c r="K11" s="164" t="s">
        <v>1124</v>
      </c>
      <c r="L11" s="164" t="s">
        <v>963</v>
      </c>
      <c r="M11" s="164" t="s">
        <v>1107</v>
      </c>
      <c r="N11" s="26"/>
      <c r="O11" s="163"/>
      <c r="P11" s="84" t="s">
        <v>1106</v>
      </c>
      <c r="Q11" s="84" t="s">
        <v>1107</v>
      </c>
      <c r="R11" s="26"/>
      <c r="S11" s="470"/>
      <c r="T11" s="470"/>
    </row>
    <row r="12" spans="1:20">
      <c r="A12" s="49"/>
      <c r="B12" s="98"/>
      <c r="C12" s="49" t="str">
        <f>C40</f>
        <v>IAM.Advanced Production.00.</v>
      </c>
      <c r="D12" s="167"/>
      <c r="E12" s="26"/>
      <c r="F12" s="96" t="str">
        <f>IND_Commodities!$C$5</f>
        <v>INDCOA</v>
      </c>
      <c r="G12" s="97">
        <f>IND_Bal!C$39</f>
        <v>0</v>
      </c>
      <c r="H12" s="168"/>
      <c r="I12" s="26"/>
      <c r="J12" s="96" t="str">
        <f>IND_Commodities!$C$5</f>
        <v>INDCOA</v>
      </c>
      <c r="K12" s="97"/>
      <c r="L12" s="97">
        <f>ICH!F25+ICH!F40+ICH!F54+ICH!F75</f>
        <v>0</v>
      </c>
      <c r="M12" s="168"/>
      <c r="N12" s="214">
        <f>G12-K12-L12</f>
        <v>0</v>
      </c>
      <c r="O12" s="86" t="str">
        <f>IND_Commodities!$C$88</f>
        <v>IAM</v>
      </c>
      <c r="P12" s="169"/>
      <c r="Q12" s="169">
        <f>(G38*H36)+(G42*H40)+(G46*H44)</f>
        <v>0</v>
      </c>
      <c r="R12" s="26"/>
      <c r="S12" s="470"/>
      <c r="T12" s="470"/>
    </row>
    <row r="13" spans="1:20">
      <c r="A13" s="49"/>
      <c r="B13" s="98"/>
      <c r="C13" s="49" t="str">
        <f>C44</f>
        <v>IAM.Advanced Production.CO2 Capture.00.</v>
      </c>
      <c r="D13" s="167"/>
      <c r="E13" s="26"/>
      <c r="F13" s="96" t="str">
        <f>IND_Commodities!$C$6</f>
        <v>INDPEA</v>
      </c>
      <c r="G13" s="97">
        <f>IND_Bal!D$39</f>
        <v>0</v>
      </c>
      <c r="H13" s="168"/>
      <c r="I13" s="26"/>
      <c r="J13" s="96" t="str">
        <f>IND_Commodities!$C$6</f>
        <v>INDPEA</v>
      </c>
      <c r="K13" s="97"/>
      <c r="L13" s="97">
        <f>ICH!F76</f>
        <v>0</v>
      </c>
      <c r="M13" s="168"/>
      <c r="N13" s="214">
        <f t="shared" ref="N13:N26" si="1">G13-K13-L13</f>
        <v>0</v>
      </c>
      <c r="O13" s="49"/>
      <c r="P13" s="101">
        <f>SUM(P12)</f>
        <v>0</v>
      </c>
      <c r="Q13" s="101">
        <f>SUM(Q12)</f>
        <v>0</v>
      </c>
      <c r="R13" s="26"/>
      <c r="S13" s="470"/>
      <c r="T13" s="470"/>
    </row>
    <row r="14" spans="1:20">
      <c r="A14" s="170"/>
      <c r="B14" s="49"/>
      <c r="C14" s="49"/>
      <c r="D14" s="200">
        <v>1</v>
      </c>
      <c r="E14" s="26"/>
      <c r="F14" s="96" t="str">
        <f>IND_Commodities!$C$7</f>
        <v>INDCOH</v>
      </c>
      <c r="G14" s="97">
        <f>IND_Bal!E$39</f>
        <v>0</v>
      </c>
      <c r="H14" s="168"/>
      <c r="I14" s="26"/>
      <c r="J14" s="96" t="str">
        <f>IND_Commodities!$C$7</f>
        <v>INDCOH</v>
      </c>
      <c r="K14" s="97"/>
      <c r="L14" s="97">
        <f>ICH!F77</f>
        <v>0</v>
      </c>
      <c r="M14" s="168"/>
      <c r="N14" s="214">
        <f t="shared" si="1"/>
        <v>0</v>
      </c>
      <c r="O14" s="86" t="str">
        <f>IND_Commodities!$C$89</f>
        <v>ICL</v>
      </c>
      <c r="P14" s="169"/>
      <c r="Q14" s="169">
        <f>('IAM  ICL'!G55*'IAM  ICL'!H53)+('IAM  ICL'!G59*'IAM  ICL'!H58)</f>
        <v>0</v>
      </c>
      <c r="R14" s="26"/>
      <c r="S14" s="470"/>
      <c r="T14" s="470"/>
    </row>
    <row r="15" spans="1:20">
      <c r="A15" s="215"/>
      <c r="B15" s="205"/>
      <c r="C15" s="26"/>
      <c r="D15" s="26"/>
      <c r="E15" s="26"/>
      <c r="F15" s="96" t="str">
        <f>IND_Commodities!$C$8</f>
        <v>INDCOK</v>
      </c>
      <c r="G15" s="97">
        <f>IND_Bal!F$39</f>
        <v>0</v>
      </c>
      <c r="H15" s="168"/>
      <c r="I15" s="26"/>
      <c r="J15" s="96" t="str">
        <f>IND_Commodities!$C$8</f>
        <v>INDCOK</v>
      </c>
      <c r="K15" s="97"/>
      <c r="L15" s="97">
        <f>ICH!F26+ICH!F41+ICH!F55+ICH!F78</f>
        <v>0</v>
      </c>
      <c r="M15" s="168"/>
      <c r="N15" s="214">
        <f t="shared" si="1"/>
        <v>0</v>
      </c>
      <c r="O15" s="49"/>
      <c r="P15" s="101">
        <f>SUM(P14)</f>
        <v>0</v>
      </c>
      <c r="Q15" s="101">
        <f>SUM(Q14)</f>
        <v>0</v>
      </c>
      <c r="R15" s="26"/>
      <c r="S15" s="470"/>
      <c r="T15" s="470"/>
    </row>
    <row r="16" spans="1:20" ht="18.75">
      <c r="A16" s="27" t="s">
        <v>1125</v>
      </c>
      <c r="B16" s="43"/>
      <c r="C16" s="43"/>
      <c r="D16" s="26"/>
      <c r="E16" s="26"/>
      <c r="F16" s="96" t="str">
        <f>IND_Commodities!$C$9</f>
        <v>INDRFG</v>
      </c>
      <c r="G16" s="97">
        <f>IND_Bal!G$39</f>
        <v>0</v>
      </c>
      <c r="H16" s="168"/>
      <c r="I16" s="26"/>
      <c r="J16" s="96" t="str">
        <f>IND_Commodities!$C$9</f>
        <v>INDRFG</v>
      </c>
      <c r="K16" s="97"/>
      <c r="L16" s="97">
        <f>ICH!F79</f>
        <v>0</v>
      </c>
      <c r="M16" s="169"/>
      <c r="N16" s="214">
        <f t="shared" si="1"/>
        <v>0</v>
      </c>
      <c r="O16" s="26"/>
      <c r="P16" s="26"/>
      <c r="Q16" s="26"/>
      <c r="R16" s="26"/>
      <c r="S16" s="470"/>
      <c r="T16" s="470"/>
    </row>
    <row r="17" spans="1:18">
      <c r="A17" s="216"/>
      <c r="B17" s="98"/>
      <c r="C17" s="49" t="str">
        <f>'IAM  ICL'!C53</f>
        <v>ICL.Standard Membrane Production.00.</v>
      </c>
      <c r="D17" s="162"/>
      <c r="E17" s="26"/>
      <c r="F17" s="96" t="str">
        <f>IND_Commodities!$C$10</f>
        <v>INDLPG</v>
      </c>
      <c r="G17" s="97">
        <f>IND_Bal!H$39</f>
        <v>0.13684501123760154</v>
      </c>
      <c r="H17" s="168"/>
      <c r="I17" s="26"/>
      <c r="J17" s="96" t="str">
        <f>IND_Commodities!$C$10</f>
        <v>INDLPG</v>
      </c>
      <c r="K17" s="97"/>
      <c r="L17" s="97">
        <f>ICH!F27+ICH!F42+ICH!F56+ICH!F80</f>
        <v>0.13684501123760154</v>
      </c>
      <c r="M17" s="169"/>
      <c r="N17" s="214">
        <f t="shared" si="1"/>
        <v>0</v>
      </c>
      <c r="O17" s="26"/>
      <c r="P17" s="26"/>
      <c r="Q17" s="26"/>
      <c r="R17" s="26"/>
    </row>
    <row r="18" spans="1:18">
      <c r="A18" s="49"/>
      <c r="B18" s="98"/>
      <c r="C18" s="49" t="str">
        <f>'IAM  ICL'!C58</f>
        <v>ICL.Advanced Membrane Production.00.</v>
      </c>
      <c r="D18" s="162"/>
      <c r="E18" s="26"/>
      <c r="F18" s="96" t="str">
        <f>IND_Commodities!$C$11</f>
        <v>INDLFO</v>
      </c>
      <c r="G18" s="97">
        <f>IND_Bal!I$39</f>
        <v>0.86160932796462297</v>
      </c>
      <c r="H18" s="168"/>
      <c r="I18" s="26"/>
      <c r="J18" s="96" t="str">
        <f>IND_Commodities!$C$11</f>
        <v>INDLFO</v>
      </c>
      <c r="K18" s="97"/>
      <c r="L18" s="97">
        <f>ICH!F28+ICH!F43+ICH!F57+ICH!F81</f>
        <v>0.86160932796462297</v>
      </c>
      <c r="M18" s="169"/>
      <c r="N18" s="214">
        <f t="shared" si="1"/>
        <v>0</v>
      </c>
      <c r="O18" s="26"/>
      <c r="P18" s="26"/>
      <c r="Q18" s="26"/>
      <c r="R18" s="26"/>
    </row>
    <row r="19" spans="1:18">
      <c r="A19" s="170"/>
      <c r="B19" s="49"/>
      <c r="C19" s="49" t="str">
        <f>'IAM  ICL'!C62</f>
        <v>ICL.Standard mercury Production.00.</v>
      </c>
      <c r="D19" s="162"/>
      <c r="E19" s="26"/>
      <c r="F19" s="96" t="str">
        <f>IND_Commodities!$C$12</f>
        <v>INDNAP</v>
      </c>
      <c r="G19" s="97">
        <f>IND_Bal!J$39</f>
        <v>0</v>
      </c>
      <c r="H19" s="168"/>
      <c r="I19" s="26"/>
      <c r="J19" s="96" t="str">
        <f>IND_Commodities!$C$12</f>
        <v>INDNAP</v>
      </c>
      <c r="K19" s="97"/>
      <c r="L19" s="97">
        <f>ICH!F82</f>
        <v>0</v>
      </c>
      <c r="M19" s="169"/>
      <c r="N19" s="214">
        <f t="shared" si="1"/>
        <v>0</v>
      </c>
      <c r="O19" s="26"/>
      <c r="P19" s="26"/>
      <c r="Q19" s="26"/>
      <c r="R19" s="26"/>
    </row>
    <row r="20" spans="1:18">
      <c r="A20" s="26"/>
      <c r="B20" s="26"/>
      <c r="C20" s="49" t="str">
        <f>'IAM  ICL'!C67</f>
        <v>ICL.Standard diaphragm Production.00.</v>
      </c>
      <c r="D20" s="162"/>
      <c r="E20" s="26"/>
      <c r="F20" s="96" t="str">
        <f>IND_Commodities!$C$13</f>
        <v>INDHFO</v>
      </c>
      <c r="G20" s="97">
        <f>IND_Bal!K$39</f>
        <v>0.16128869235273877</v>
      </c>
      <c r="H20" s="168"/>
      <c r="I20" s="26"/>
      <c r="J20" s="96" t="str">
        <f>IND_Commodities!$C$13</f>
        <v>INDHFO</v>
      </c>
      <c r="K20" s="97"/>
      <c r="L20" s="97">
        <f>ICH!F29+ICH!F44+ICH!F58+ICH!F83</f>
        <v>0.16128869235273877</v>
      </c>
      <c r="M20" s="169"/>
      <c r="N20" s="214">
        <f t="shared" si="1"/>
        <v>0</v>
      </c>
      <c r="O20" s="26"/>
      <c r="P20" s="26"/>
      <c r="Q20" s="26"/>
      <c r="R20" s="26"/>
    </row>
    <row r="21" spans="1:18">
      <c r="A21" s="26"/>
      <c r="B21" s="26"/>
      <c r="C21" s="49"/>
      <c r="D21" s="200" t="str">
        <f>IF(SUM(D17:D20)&lt;&gt;1,"ERR: " &amp; SUM(D17:D20),SUM(D17:D20))</f>
        <v>ERR: 0</v>
      </c>
      <c r="E21" s="26"/>
      <c r="F21" s="96" t="str">
        <f>IND_Commodities!$C$15</f>
        <v>INDGAS</v>
      </c>
      <c r="G21" s="97">
        <f>IND_Bal!M$39</f>
        <v>0.58994121161597679</v>
      </c>
      <c r="H21" s="168"/>
      <c r="I21" s="26"/>
      <c r="J21" s="96" t="str">
        <f>IND_Commodities!$C$15</f>
        <v>INDGAS</v>
      </c>
      <c r="K21" s="97">
        <f>(F37*H36)+(F41*H40)+(F45*H44)</f>
        <v>0</v>
      </c>
      <c r="L21" s="97">
        <f>ICH!F30+ICH!F45+ICH!F59+ICH!F84</f>
        <v>0.58994121161597679</v>
      </c>
      <c r="M21" s="169"/>
      <c r="N21" s="214">
        <f t="shared" si="1"/>
        <v>0</v>
      </c>
      <c r="O21" s="26"/>
      <c r="P21" s="26"/>
      <c r="Q21" s="26"/>
      <c r="R21" s="26"/>
    </row>
    <row r="22" spans="1:18">
      <c r="A22" s="26"/>
      <c r="B22" s="26"/>
      <c r="C22" s="26"/>
      <c r="D22" s="26"/>
      <c r="E22" s="26"/>
      <c r="F22" s="96" t="str">
        <f>IND_Commodities!$C$16</f>
        <v>INDCOG</v>
      </c>
      <c r="G22" s="97">
        <f>IND_Bal!N$39</f>
        <v>0</v>
      </c>
      <c r="H22" s="168"/>
      <c r="I22" s="26"/>
      <c r="J22" s="96" t="str">
        <f>IND_Commodities!$C$16</f>
        <v>INDCOG</v>
      </c>
      <c r="K22" s="97"/>
      <c r="L22" s="97">
        <f>ICH!F85</f>
        <v>0</v>
      </c>
      <c r="M22" s="169"/>
      <c r="N22" s="214">
        <f t="shared" si="1"/>
        <v>0</v>
      </c>
      <c r="O22" s="26"/>
      <c r="P22" s="26"/>
      <c r="Q22" s="26"/>
      <c r="R22" s="26"/>
    </row>
    <row r="23" spans="1:18">
      <c r="A23" s="26"/>
      <c r="B23" s="26"/>
      <c r="C23" s="26"/>
      <c r="D23" s="26"/>
      <c r="E23" s="26"/>
      <c r="F23" s="96" t="str">
        <f>IND_Commodities!$C$20</f>
        <v>INDBIO</v>
      </c>
      <c r="G23" s="97">
        <f>IND_Bal!R$39</f>
        <v>0</v>
      </c>
      <c r="H23" s="168"/>
      <c r="I23" s="26"/>
      <c r="J23" s="96" t="str">
        <f>IND_Commodities!$C$20</f>
        <v>INDBIO</v>
      </c>
      <c r="K23" s="97"/>
      <c r="L23" s="97">
        <f>ICH!F31+ICH!F46+ICH!F60+ICH!F86</f>
        <v>0</v>
      </c>
      <c r="M23" s="169"/>
      <c r="N23" s="214">
        <f t="shared" si="1"/>
        <v>0</v>
      </c>
      <c r="O23" s="26"/>
      <c r="P23" s="26"/>
      <c r="Q23" s="26"/>
      <c r="R23" s="26"/>
    </row>
    <row r="24" spans="1:18">
      <c r="A24" s="26"/>
      <c r="B24" s="26"/>
      <c r="C24" s="26"/>
      <c r="D24" s="26"/>
      <c r="E24" s="26"/>
      <c r="F24" s="96" t="str">
        <f>IND_Commodities!$C$22</f>
        <v>INDWASL</v>
      </c>
      <c r="G24" s="97">
        <f>IND_Bal!T$39</f>
        <v>0</v>
      </c>
      <c r="H24" s="168"/>
      <c r="I24" s="26"/>
      <c r="J24" s="96" t="str">
        <f>IND_Commodities!$C$22</f>
        <v>INDWASL</v>
      </c>
      <c r="K24" s="97"/>
      <c r="L24" s="97">
        <f>ICH!F87</f>
        <v>0</v>
      </c>
      <c r="M24" s="169"/>
      <c r="N24" s="214">
        <f t="shared" si="1"/>
        <v>0</v>
      </c>
      <c r="O24" s="26"/>
      <c r="P24" s="26"/>
      <c r="Q24" s="26"/>
      <c r="R24" s="26"/>
    </row>
    <row r="25" spans="1:18">
      <c r="A25" s="26"/>
      <c r="B25" s="26"/>
      <c r="C25" s="26"/>
      <c r="D25" s="26"/>
      <c r="E25" s="26"/>
      <c r="F25" s="96" t="str">
        <f>IND_Commodities!$C$25</f>
        <v>INDELC</v>
      </c>
      <c r="G25" s="97">
        <f>IND_Bal!U$39</f>
        <v>7.1523206245497821</v>
      </c>
      <c r="H25" s="168"/>
      <c r="I25" s="26"/>
      <c r="J25" s="96" t="str">
        <f>IND_Commodities!$C$25</f>
        <v>INDELC</v>
      </c>
      <c r="K25" s="97">
        <f>(F36*H36)+(F40*H40)+(F44*H44)+(F53*H53)+(F58*H58)+(F62*H62)+(F67*H67)</f>
        <v>0</v>
      </c>
      <c r="L25" s="97">
        <f>ICH!F32+ICH!F47+ICH!F61+ICH!F68+ICH!F89</f>
        <v>7.1523206245497821</v>
      </c>
      <c r="M25" s="169"/>
      <c r="N25" s="214">
        <f t="shared" si="1"/>
        <v>0</v>
      </c>
      <c r="O25" s="26"/>
      <c r="P25" s="26"/>
      <c r="Q25" s="26"/>
      <c r="R25" s="26"/>
    </row>
    <row r="26" spans="1:18">
      <c r="A26" s="26"/>
      <c r="B26" s="26"/>
      <c r="C26" s="26"/>
      <c r="D26" s="26"/>
      <c r="E26" s="26"/>
      <c r="F26" s="96" t="s">
        <v>1126</v>
      </c>
      <c r="G26" s="97">
        <f>IND_Bal!V$39</f>
        <v>1.8003086004756379</v>
      </c>
      <c r="H26" s="168"/>
      <c r="I26" s="26"/>
      <c r="J26" s="96" t="s">
        <v>1126</v>
      </c>
      <c r="K26" s="97">
        <f>(F54*H53)+(F63*H62)+(F68*H67)</f>
        <v>0</v>
      </c>
      <c r="L26" s="97">
        <f>ICH!F33+ICH!F88</f>
        <v>1.8003086004756379</v>
      </c>
      <c r="M26" s="169"/>
      <c r="N26" s="214">
        <f t="shared" si="1"/>
        <v>0</v>
      </c>
      <c r="O26" s="26"/>
      <c r="P26" s="26"/>
      <c r="Q26" s="26"/>
      <c r="R26" s="26"/>
    </row>
    <row r="27" spans="1:18">
      <c r="A27" s="26"/>
      <c r="B27" s="26"/>
      <c r="C27" s="26"/>
      <c r="D27" s="26"/>
      <c r="E27" s="26"/>
      <c r="F27" s="26"/>
      <c r="G27" s="64">
        <f>SUM(G12:G26)</f>
        <v>10.70231346819636</v>
      </c>
      <c r="H27" s="173">
        <f>SUM(H12:H26)</f>
        <v>0</v>
      </c>
      <c r="I27" s="26"/>
      <c r="J27" s="96" t="str">
        <f>IND_Commodities!$C$44</f>
        <v>INDHH2</v>
      </c>
      <c r="K27" s="97"/>
      <c r="L27" s="97"/>
      <c r="M27" s="169">
        <f>('IAM  ICL'!G56*'IAM  ICL'!H53)+('IAM  ICL'!G60*'IAM  ICL'!H58)</f>
        <v>0</v>
      </c>
      <c r="N27" s="214"/>
      <c r="O27" s="26"/>
      <c r="P27" s="26"/>
      <c r="Q27" s="26"/>
      <c r="R27" s="26"/>
    </row>
    <row r="28" spans="1:1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64">
        <f>SUM(K12:K27)</f>
        <v>0</v>
      </c>
      <c r="L28" s="64">
        <f>SUM(L12:L27)</f>
        <v>10.70231346819636</v>
      </c>
      <c r="M28" s="173">
        <f>SUM(M12:M27)</f>
        <v>0</v>
      </c>
      <c r="N28" s="214"/>
      <c r="O28" s="26"/>
      <c r="P28" s="26"/>
      <c r="Q28" s="26"/>
      <c r="R28" s="26"/>
    </row>
    <row r="29" spans="1:1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64"/>
      <c r="L29" s="64"/>
      <c r="M29" s="26"/>
      <c r="N29" s="26"/>
      <c r="O29" s="26"/>
      <c r="P29" s="26"/>
      <c r="Q29" s="26"/>
      <c r="R29" s="26"/>
    </row>
    <row r="30" spans="1:18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26"/>
      <c r="B31" s="26"/>
      <c r="C31" s="26"/>
      <c r="D31" s="26"/>
      <c r="E31" s="40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26"/>
      <c r="B32" s="26"/>
      <c r="C32" s="26"/>
      <c r="D32" s="26"/>
      <c r="E32" s="40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</row>
    <row r="33" spans="1:18" ht="18.75">
      <c r="A33" s="27" t="s">
        <v>1127</v>
      </c>
      <c r="B33" s="43"/>
      <c r="C33" s="43"/>
      <c r="D33" s="43"/>
      <c r="E33" s="40" t="str">
        <f>IF($B$5="","DeAct","~FI_T")</f>
        <v>DeAct</v>
      </c>
      <c r="F33" s="40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89" t="s">
        <v>1110</v>
      </c>
      <c r="B34" s="89" t="s">
        <v>318</v>
      </c>
      <c r="C34" s="89" t="s">
        <v>327</v>
      </c>
      <c r="D34" s="89" t="s">
        <v>718</v>
      </c>
      <c r="E34" s="89" t="s">
        <v>719</v>
      </c>
      <c r="F34" s="90" t="s">
        <v>1111</v>
      </c>
      <c r="G34" s="90" t="s">
        <v>1112</v>
      </c>
      <c r="H34" s="90" t="s">
        <v>801</v>
      </c>
      <c r="I34" s="90" t="s">
        <v>727</v>
      </c>
      <c r="J34" s="90" t="s">
        <v>725</v>
      </c>
      <c r="K34" s="90" t="s">
        <v>724</v>
      </c>
      <c r="L34" s="26"/>
      <c r="M34" s="26"/>
      <c r="N34" s="26"/>
      <c r="O34" s="26"/>
      <c r="P34" s="26"/>
      <c r="Q34" s="26"/>
      <c r="R34" s="26"/>
    </row>
    <row r="35" spans="1:18" ht="13.5" thickBot="1">
      <c r="A35" s="177" t="s">
        <v>1113</v>
      </c>
      <c r="B35" s="75"/>
      <c r="C35" s="75"/>
      <c r="D35" s="75"/>
      <c r="E35" s="75"/>
      <c r="F35" s="75"/>
      <c r="G35" s="75"/>
      <c r="H35" s="164" t="s">
        <v>339</v>
      </c>
      <c r="I35" s="178" t="s">
        <v>1055</v>
      </c>
      <c r="J35" s="179" t="s">
        <v>1114</v>
      </c>
      <c r="K35" s="179"/>
      <c r="L35" s="26"/>
      <c r="M35" s="26"/>
      <c r="N35" s="26"/>
      <c r="O35" s="26"/>
      <c r="P35" s="26"/>
      <c r="Q35" s="26"/>
      <c r="R35" s="26"/>
    </row>
    <row r="36" spans="1:18">
      <c r="A36" s="49" t="str">
        <f>IND_Bal!$B$108</f>
        <v>IAM</v>
      </c>
      <c r="B36" s="94" t="s">
        <v>355</v>
      </c>
      <c r="C36" s="95" t="s">
        <v>356</v>
      </c>
      <c r="D36" s="96" t="str">
        <f>IND_Commodities!$C$25</f>
        <v>INDELC</v>
      </c>
      <c r="E36" s="96"/>
      <c r="F36" s="60">
        <v>0.5</v>
      </c>
      <c r="G36" s="49"/>
      <c r="H36" s="183">
        <f>$B$4*D11</f>
        <v>0</v>
      </c>
      <c r="I36" s="51">
        <v>30</v>
      </c>
      <c r="J36" s="51"/>
      <c r="K36" s="51"/>
      <c r="L36" s="26"/>
      <c r="M36" s="26"/>
      <c r="N36" s="26"/>
      <c r="O36" s="26"/>
      <c r="P36" s="26"/>
      <c r="Q36" s="26"/>
      <c r="R36" s="26"/>
    </row>
    <row r="37" spans="1:18">
      <c r="A37" s="49"/>
      <c r="B37" s="49"/>
      <c r="C37" s="49"/>
      <c r="D37" s="96" t="str">
        <f>IND_Commodities!$C$15</f>
        <v>INDGAS</v>
      </c>
      <c r="E37" s="98"/>
      <c r="F37" s="51">
        <v>30</v>
      </c>
      <c r="G37" s="49"/>
      <c r="H37" s="183"/>
      <c r="I37" s="49"/>
      <c r="J37" s="49"/>
      <c r="K37" s="49"/>
      <c r="L37" s="26"/>
      <c r="M37" s="26"/>
      <c r="N37" s="26"/>
      <c r="O37" s="26"/>
      <c r="P37" s="26"/>
      <c r="Q37" s="26"/>
      <c r="R37" s="26"/>
    </row>
    <row r="38" spans="1:18">
      <c r="A38" s="49"/>
      <c r="B38" s="49"/>
      <c r="C38" s="49"/>
      <c r="D38" s="96"/>
      <c r="E38" s="86" t="str">
        <f>IND_Commodities!$C$88</f>
        <v>IAM</v>
      </c>
      <c r="F38" s="49"/>
      <c r="G38" s="49">
        <v>1</v>
      </c>
      <c r="H38" s="49"/>
      <c r="I38" s="49"/>
      <c r="J38" s="49"/>
      <c r="K38" s="49"/>
      <c r="L38" s="26"/>
      <c r="M38" s="26"/>
      <c r="N38" s="26"/>
      <c r="O38" s="26"/>
      <c r="P38" s="26"/>
      <c r="Q38" s="26"/>
      <c r="R38" s="26"/>
    </row>
    <row r="39" spans="1:18">
      <c r="A39" s="170" t="s">
        <v>202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26"/>
      <c r="M39" s="26"/>
      <c r="N39" s="26"/>
      <c r="O39" s="26"/>
      <c r="P39" s="26"/>
      <c r="Q39" s="26"/>
      <c r="R39" s="26"/>
    </row>
    <row r="40" spans="1:18">
      <c r="A40" s="49" t="str">
        <f>IND_Bal!$B$108</f>
        <v>IAM</v>
      </c>
      <c r="B40" s="94" t="s">
        <v>353</v>
      </c>
      <c r="C40" s="95" t="s">
        <v>354</v>
      </c>
      <c r="D40" s="96" t="str">
        <f>IND_Commodities!$C$25</f>
        <v>INDELC</v>
      </c>
      <c r="E40" s="96"/>
      <c r="F40" s="51">
        <v>0.5</v>
      </c>
      <c r="G40" s="49"/>
      <c r="H40" s="183">
        <f>$B$4*D12</f>
        <v>0</v>
      </c>
      <c r="I40" s="51">
        <v>30</v>
      </c>
      <c r="J40" s="51"/>
      <c r="K40" s="51"/>
      <c r="L40" s="26"/>
      <c r="M40" s="26"/>
      <c r="N40" s="26"/>
      <c r="O40" s="26"/>
      <c r="P40" s="26"/>
      <c r="Q40" s="26"/>
      <c r="R40" s="26"/>
    </row>
    <row r="41" spans="1:18">
      <c r="A41" s="49"/>
      <c r="B41" s="98"/>
      <c r="C41" s="98"/>
      <c r="D41" s="96" t="str">
        <f>IND_Commodities!$C$15</f>
        <v>INDGAS</v>
      </c>
      <c r="E41" s="98"/>
      <c r="F41" s="51">
        <v>20.399999999999999</v>
      </c>
      <c r="G41" s="49"/>
      <c r="H41" s="183"/>
      <c r="I41" s="49"/>
      <c r="J41" s="49"/>
      <c r="K41" s="49"/>
      <c r="L41" s="26"/>
      <c r="M41" s="26"/>
      <c r="N41" s="26"/>
      <c r="O41" s="26"/>
      <c r="P41" s="26"/>
      <c r="Q41" s="26"/>
      <c r="R41" s="26"/>
    </row>
    <row r="42" spans="1:18">
      <c r="A42" s="49"/>
      <c r="B42" s="49"/>
      <c r="C42" s="49"/>
      <c r="D42" s="96"/>
      <c r="E42" s="86" t="str">
        <f>IND_Commodities!$C$88</f>
        <v>IAM</v>
      </c>
      <c r="F42" s="49"/>
      <c r="G42" s="49">
        <v>1</v>
      </c>
      <c r="H42" s="49"/>
      <c r="I42" s="49"/>
      <c r="J42" s="49"/>
      <c r="K42" s="49"/>
      <c r="L42" s="26"/>
      <c r="M42" s="26"/>
      <c r="N42" s="26"/>
      <c r="O42" s="26"/>
      <c r="P42" s="26"/>
      <c r="Q42" s="26"/>
      <c r="R42" s="26"/>
    </row>
    <row r="43" spans="1:18">
      <c r="A43" s="170" t="s">
        <v>202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26"/>
      <c r="M43" s="26"/>
      <c r="N43" s="26"/>
      <c r="O43" s="26"/>
      <c r="P43" s="26"/>
      <c r="Q43" s="26"/>
      <c r="R43" s="26"/>
    </row>
    <row r="44" spans="1:18">
      <c r="A44" s="49" t="str">
        <f>IND_Bal!$B$108</f>
        <v>IAM</v>
      </c>
      <c r="B44" s="94" t="s">
        <v>351</v>
      </c>
      <c r="C44" s="95" t="s">
        <v>352</v>
      </c>
      <c r="D44" s="96" t="str">
        <f>IND_Commodities!$C$25</f>
        <v>INDELC</v>
      </c>
      <c r="E44" s="96"/>
      <c r="F44" s="51">
        <v>1.03</v>
      </c>
      <c r="G44" s="49"/>
      <c r="H44" s="183">
        <f>$B$4*D13</f>
        <v>0</v>
      </c>
      <c r="I44" s="51">
        <v>30</v>
      </c>
      <c r="J44" s="51"/>
      <c r="K44" s="51"/>
      <c r="L44" s="26"/>
      <c r="M44" s="26"/>
      <c r="N44" s="26"/>
      <c r="O44" s="26"/>
      <c r="P44" s="26"/>
      <c r="Q44" s="26"/>
      <c r="R44" s="26"/>
    </row>
    <row r="45" spans="1:18">
      <c r="A45" s="49"/>
      <c r="B45" s="49"/>
      <c r="C45" s="49"/>
      <c r="D45" s="96" t="str">
        <f>IND_Commodities!$C$15</f>
        <v>INDGAS</v>
      </c>
      <c r="E45" s="49"/>
      <c r="F45" s="189">
        <v>20.399999999999999</v>
      </c>
      <c r="G45" s="49"/>
      <c r="H45" s="49"/>
      <c r="I45" s="49"/>
      <c r="J45" s="49"/>
      <c r="K45" s="49"/>
      <c r="L45" s="26"/>
      <c r="M45" s="26"/>
      <c r="N45" s="26"/>
      <c r="O45" s="26"/>
      <c r="P45" s="26"/>
      <c r="Q45" s="26"/>
      <c r="R45" s="26"/>
    </row>
    <row r="46" spans="1:18">
      <c r="A46" s="49"/>
      <c r="B46" s="49"/>
      <c r="C46" s="49"/>
      <c r="D46" s="96"/>
      <c r="E46" s="86" t="str">
        <f>IND_Commodities!$C$88</f>
        <v>IAM</v>
      </c>
      <c r="F46" s="49"/>
      <c r="G46" s="49">
        <v>1</v>
      </c>
      <c r="H46" s="49"/>
      <c r="I46" s="49"/>
      <c r="J46" s="49"/>
      <c r="K46" s="49"/>
      <c r="L46" s="26"/>
      <c r="M46" s="26"/>
      <c r="N46" s="26"/>
      <c r="O46" s="26"/>
      <c r="P46" s="26"/>
      <c r="Q46" s="26"/>
      <c r="R46" s="26"/>
    </row>
    <row r="47" spans="1:18">
      <c r="A47" s="170" t="s">
        <v>202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26"/>
      <c r="M47" s="26"/>
      <c r="N47" s="26"/>
      <c r="O47" s="26"/>
      <c r="P47" s="26"/>
      <c r="Q47" s="26"/>
      <c r="R47" s="26"/>
    </row>
    <row r="48" spans="1:1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26"/>
      <c r="B49" s="26"/>
      <c r="C49" s="26"/>
      <c r="D49" s="26"/>
      <c r="E49" s="40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 ht="18.75">
      <c r="A50" s="27" t="s">
        <v>1128</v>
      </c>
      <c r="B50" s="43"/>
      <c r="C50" s="43"/>
      <c r="D50" s="43"/>
      <c r="E50" s="40" t="str">
        <f>IF($B$5="","DeAct","~FI_T")</f>
        <v>DeAct</v>
      </c>
      <c r="F50" s="40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173"/>
      <c r="R50" s="173"/>
    </row>
    <row r="51" spans="1:18">
      <c r="A51" s="89" t="s">
        <v>1110</v>
      </c>
      <c r="B51" s="89" t="s">
        <v>318</v>
      </c>
      <c r="C51" s="89" t="s">
        <v>327</v>
      </c>
      <c r="D51" s="89" t="s">
        <v>718</v>
      </c>
      <c r="E51" s="89" t="s">
        <v>719</v>
      </c>
      <c r="F51" s="90" t="s">
        <v>1111</v>
      </c>
      <c r="G51" s="90" t="s">
        <v>1112</v>
      </c>
      <c r="H51" s="90" t="s">
        <v>801</v>
      </c>
      <c r="I51" s="90" t="s">
        <v>727</v>
      </c>
      <c r="J51" s="90" t="s">
        <v>725</v>
      </c>
      <c r="K51" s="90" t="s">
        <v>724</v>
      </c>
      <c r="L51" s="26"/>
      <c r="M51" s="26"/>
      <c r="N51" s="26"/>
      <c r="O51" s="26"/>
      <c r="P51" s="26"/>
      <c r="Q51" s="26"/>
      <c r="R51" s="26"/>
    </row>
    <row r="52" spans="1:18" ht="13.5" thickBot="1">
      <c r="A52" s="177" t="s">
        <v>1113</v>
      </c>
      <c r="B52" s="75"/>
      <c r="C52" s="75"/>
      <c r="D52" s="75"/>
      <c r="E52" s="75"/>
      <c r="F52" s="75"/>
      <c r="G52" s="75"/>
      <c r="H52" s="164" t="s">
        <v>339</v>
      </c>
      <c r="I52" s="178" t="s">
        <v>1055</v>
      </c>
      <c r="J52" s="179" t="s">
        <v>1114</v>
      </c>
      <c r="K52" s="179"/>
      <c r="L52" s="26"/>
      <c r="M52" s="26"/>
      <c r="N52" s="26"/>
      <c r="O52" s="26"/>
      <c r="P52" s="26"/>
      <c r="Q52" s="26"/>
      <c r="R52" s="26"/>
    </row>
    <row r="53" spans="1:18">
      <c r="A53" s="49" t="str">
        <f>IND_Bal!$B$109</f>
        <v>ICL</v>
      </c>
      <c r="B53" s="94" t="s">
        <v>421</v>
      </c>
      <c r="C53" s="95" t="s">
        <v>422</v>
      </c>
      <c r="D53" s="96" t="str">
        <f>IND_Commodities!$C$25</f>
        <v>INDELC</v>
      </c>
      <c r="E53" s="217"/>
      <c r="F53" s="51">
        <v>9.9</v>
      </c>
      <c r="G53" s="49"/>
      <c r="H53" s="183">
        <f>'IAM  ICL'!$B$5*'IAM  ICL'!D17</f>
        <v>0</v>
      </c>
      <c r="I53" s="51">
        <v>30</v>
      </c>
      <c r="J53" s="51"/>
      <c r="K53" s="51"/>
      <c r="L53" s="26"/>
      <c r="M53" s="26"/>
      <c r="N53" s="26"/>
      <c r="O53" s="26"/>
      <c r="P53" s="26"/>
      <c r="Q53" s="26"/>
      <c r="R53" s="26"/>
    </row>
    <row r="54" spans="1:18">
      <c r="A54" s="49"/>
      <c r="B54" s="49"/>
      <c r="C54" s="49"/>
      <c r="D54" s="96" t="str">
        <f>IND_Commodities!$C$33</f>
        <v>ICLHTH</v>
      </c>
      <c r="E54" s="49"/>
      <c r="F54" s="51">
        <v>1.2</v>
      </c>
      <c r="G54" s="49"/>
      <c r="H54" s="183"/>
      <c r="I54" s="49"/>
      <c r="J54" s="49"/>
      <c r="K54" s="49"/>
      <c r="L54" s="26"/>
      <c r="M54" s="26"/>
      <c r="N54" s="26"/>
      <c r="O54" s="26"/>
      <c r="P54" s="26"/>
      <c r="Q54" s="26"/>
      <c r="R54" s="26"/>
    </row>
    <row r="55" spans="1:18">
      <c r="A55" s="49"/>
      <c r="B55" s="49"/>
      <c r="C55" s="49"/>
      <c r="D55" s="217"/>
      <c r="E55" s="86" t="str">
        <f>IND_Commodities!$C$89</f>
        <v>ICL</v>
      </c>
      <c r="F55" s="49"/>
      <c r="G55" s="49">
        <v>1</v>
      </c>
      <c r="H55" s="49"/>
      <c r="I55" s="49"/>
      <c r="J55" s="49"/>
      <c r="K55" s="49"/>
      <c r="L55" s="26"/>
      <c r="M55" s="26"/>
      <c r="N55" s="26"/>
      <c r="O55" s="26"/>
      <c r="P55" s="26"/>
      <c r="Q55" s="26"/>
      <c r="R55" s="26"/>
    </row>
    <row r="56" spans="1:18">
      <c r="A56" s="49"/>
      <c r="B56" s="49"/>
      <c r="C56" s="49"/>
      <c r="D56" s="217"/>
      <c r="E56" s="96" t="str">
        <f>IND_Commodities!$C$44</f>
        <v>INDHH2</v>
      </c>
      <c r="F56" s="49"/>
      <c r="G56" s="51">
        <v>3.38</v>
      </c>
      <c r="H56" s="49"/>
      <c r="I56" s="49"/>
      <c r="J56" s="49"/>
      <c r="K56" s="49"/>
      <c r="L56" s="26"/>
      <c r="M56" s="26"/>
      <c r="N56" s="26"/>
      <c r="O56" s="26"/>
      <c r="P56" s="26"/>
      <c r="Q56" s="26"/>
      <c r="R56" s="26"/>
    </row>
    <row r="57" spans="1:18">
      <c r="A57" s="170" t="s">
        <v>202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26"/>
      <c r="M57" s="26"/>
      <c r="N57" s="26"/>
      <c r="O57" s="26"/>
      <c r="P57" s="26"/>
      <c r="Q57" s="26"/>
      <c r="R57" s="26"/>
    </row>
    <row r="58" spans="1:18">
      <c r="A58" s="49" t="str">
        <f>IND_Bal!$B$109</f>
        <v>ICL</v>
      </c>
      <c r="B58" s="94" t="s">
        <v>417</v>
      </c>
      <c r="C58" s="95" t="s">
        <v>418</v>
      </c>
      <c r="D58" s="96" t="str">
        <f>IND_Commodities!$C$25</f>
        <v>INDELC</v>
      </c>
      <c r="E58" s="217"/>
      <c r="F58" s="51">
        <v>7.5</v>
      </c>
      <c r="G58" s="49"/>
      <c r="H58" s="183">
        <f>'IAM  ICL'!$B$5*'IAM  ICL'!D18</f>
        <v>0</v>
      </c>
      <c r="I58" s="51">
        <v>30</v>
      </c>
      <c r="J58" s="51"/>
      <c r="K58" s="51"/>
      <c r="L58" s="26"/>
      <c r="M58" s="26"/>
      <c r="N58" s="26"/>
      <c r="O58" s="26"/>
      <c r="P58" s="26"/>
      <c r="Q58" s="26"/>
      <c r="R58" s="26"/>
    </row>
    <row r="59" spans="1:18">
      <c r="A59" s="49"/>
      <c r="B59" s="49"/>
      <c r="C59" s="49"/>
      <c r="D59" s="217"/>
      <c r="E59" s="86" t="str">
        <f>IND_Commodities!$C$89</f>
        <v>ICL</v>
      </c>
      <c r="F59" s="49"/>
      <c r="G59" s="49">
        <v>1</v>
      </c>
      <c r="H59" s="49"/>
      <c r="I59" s="49"/>
      <c r="J59" s="49"/>
      <c r="K59" s="49"/>
      <c r="L59" s="26"/>
      <c r="M59" s="26"/>
      <c r="N59" s="26"/>
      <c r="O59" s="26"/>
      <c r="P59" s="26"/>
      <c r="Q59" s="26"/>
      <c r="R59" s="26"/>
    </row>
    <row r="60" spans="1:18">
      <c r="A60" s="49"/>
      <c r="B60" s="49"/>
      <c r="C60" s="49"/>
      <c r="D60" s="217"/>
      <c r="E60" s="96" t="str">
        <f>IND_Commodities!$C$44</f>
        <v>INDHH2</v>
      </c>
      <c r="F60" s="49"/>
      <c r="G60" s="51">
        <v>3.38</v>
      </c>
      <c r="H60" s="49"/>
      <c r="I60" s="49"/>
      <c r="J60" s="49"/>
      <c r="K60" s="49"/>
      <c r="L60" s="26"/>
      <c r="M60" s="26"/>
      <c r="N60" s="26"/>
      <c r="O60" s="26"/>
      <c r="P60" s="26"/>
      <c r="Q60" s="26"/>
      <c r="R60" s="26"/>
    </row>
    <row r="61" spans="1:18">
      <c r="A61" s="170" t="s">
        <v>202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26"/>
      <c r="M61" s="26"/>
      <c r="N61" s="26"/>
      <c r="O61" s="26"/>
      <c r="P61" s="26"/>
      <c r="Q61" s="26"/>
      <c r="R61" s="26"/>
    </row>
    <row r="62" spans="1:18">
      <c r="A62" s="49" t="str">
        <f>IND_Bal!$B$109</f>
        <v>ICL</v>
      </c>
      <c r="B62" s="218" t="s">
        <v>423</v>
      </c>
      <c r="C62" s="219" t="s">
        <v>424</v>
      </c>
      <c r="D62" s="96" t="str">
        <f>IND_Commodities!$C$25</f>
        <v>INDELC</v>
      </c>
      <c r="E62" s="217"/>
      <c r="F62" s="51">
        <v>12.82</v>
      </c>
      <c r="G62" s="49"/>
      <c r="H62" s="183">
        <f>'IAM  ICL'!$B$5*'IAM  ICL'!D19</f>
        <v>0</v>
      </c>
      <c r="I62" s="51">
        <v>20</v>
      </c>
      <c r="J62" s="51"/>
      <c r="K62" s="51"/>
      <c r="L62" s="26"/>
      <c r="M62" s="26"/>
      <c r="N62" s="26"/>
      <c r="O62" s="26"/>
      <c r="P62" s="26"/>
      <c r="Q62" s="26"/>
      <c r="R62" s="26"/>
    </row>
    <row r="63" spans="1:18">
      <c r="A63" s="49"/>
      <c r="B63" s="49"/>
      <c r="C63" s="49"/>
      <c r="D63" s="96" t="str">
        <f>IND_Commodities!$C$33</f>
        <v>ICLHTH</v>
      </c>
      <c r="E63" s="49"/>
      <c r="F63" s="51">
        <v>0</v>
      </c>
      <c r="G63" s="49"/>
      <c r="H63" s="183"/>
      <c r="I63" s="49"/>
      <c r="J63" s="49"/>
      <c r="K63" s="49"/>
      <c r="L63" s="26"/>
      <c r="M63" s="26"/>
      <c r="N63" s="26"/>
      <c r="O63" s="26"/>
      <c r="P63" s="26"/>
      <c r="Q63" s="26"/>
      <c r="R63" s="26"/>
    </row>
    <row r="64" spans="1:18">
      <c r="A64" s="49"/>
      <c r="B64" s="49"/>
      <c r="C64" s="49"/>
      <c r="D64" s="217"/>
      <c r="E64" s="86" t="str">
        <f>IND_Commodities!$C$89</f>
        <v>ICL</v>
      </c>
      <c r="F64" s="49"/>
      <c r="G64" s="49">
        <v>1</v>
      </c>
      <c r="H64" s="49"/>
      <c r="I64" s="49"/>
      <c r="J64" s="49"/>
      <c r="K64" s="49"/>
      <c r="L64" s="26"/>
      <c r="M64" s="26"/>
      <c r="N64" s="26"/>
      <c r="O64" s="26"/>
      <c r="P64" s="26"/>
      <c r="Q64" s="26"/>
      <c r="R64" s="26"/>
    </row>
    <row r="65" spans="1:18">
      <c r="A65" s="49"/>
      <c r="B65" s="49"/>
      <c r="C65" s="49"/>
      <c r="D65" s="217"/>
      <c r="E65" s="96" t="str">
        <f>IND_Commodities!$C$44</f>
        <v>INDHH2</v>
      </c>
      <c r="F65" s="49"/>
      <c r="G65" s="51">
        <v>3.38</v>
      </c>
      <c r="H65" s="49"/>
      <c r="I65" s="49"/>
      <c r="J65" s="49"/>
      <c r="K65" s="49"/>
      <c r="L65" s="26"/>
      <c r="M65" s="26"/>
      <c r="N65" s="26"/>
      <c r="O65" s="26"/>
      <c r="P65" s="26"/>
      <c r="Q65" s="26"/>
      <c r="R65" s="26"/>
    </row>
    <row r="66" spans="1:18">
      <c r="A66" s="170" t="s">
        <v>202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26"/>
      <c r="M66" s="26"/>
      <c r="N66" s="26"/>
      <c r="O66" s="26"/>
      <c r="P66" s="26"/>
      <c r="Q66" s="26"/>
      <c r="R66" s="26"/>
    </row>
    <row r="67" spans="1:18">
      <c r="A67" s="49" t="str">
        <f>IND_Bal!$B$109</f>
        <v>ICL</v>
      </c>
      <c r="B67" s="218" t="s">
        <v>425</v>
      </c>
      <c r="C67" s="219" t="s">
        <v>426</v>
      </c>
      <c r="D67" s="96" t="str">
        <f>IND_Commodities!$C$25</f>
        <v>INDELC</v>
      </c>
      <c r="E67" s="217"/>
      <c r="F67" s="51">
        <v>10.69</v>
      </c>
      <c r="G67" s="49"/>
      <c r="H67" s="183">
        <f>'IAM  ICL'!$B$5*'IAM  ICL'!D20</f>
        <v>0</v>
      </c>
      <c r="I67" s="51">
        <v>20</v>
      </c>
      <c r="J67" s="51"/>
      <c r="K67" s="51"/>
      <c r="L67" s="26"/>
      <c r="M67" s="26"/>
      <c r="N67" s="26"/>
      <c r="O67" s="26"/>
      <c r="P67" s="26"/>
      <c r="Q67" s="26"/>
      <c r="R67" s="26"/>
    </row>
    <row r="68" spans="1:18">
      <c r="A68" s="49"/>
      <c r="B68" s="49"/>
      <c r="C68" s="49"/>
      <c r="D68" s="96" t="str">
        <f>IND_Commodities!$C$33</f>
        <v>ICLHTH</v>
      </c>
      <c r="E68" s="49"/>
      <c r="F68" s="51">
        <v>2.19</v>
      </c>
      <c r="G68" s="49"/>
      <c r="H68" s="183"/>
      <c r="I68" s="49"/>
      <c r="J68" s="49"/>
      <c r="K68" s="49"/>
      <c r="L68" s="26"/>
      <c r="M68" s="26"/>
      <c r="N68" s="26"/>
      <c r="O68" s="26"/>
      <c r="P68" s="26"/>
      <c r="Q68" s="26"/>
      <c r="R68" s="26"/>
    </row>
    <row r="69" spans="1:18">
      <c r="A69" s="49"/>
      <c r="B69" s="49"/>
      <c r="C69" s="49"/>
      <c r="D69" s="217"/>
      <c r="E69" s="86" t="str">
        <f>IND_Commodities!$C$89</f>
        <v>ICL</v>
      </c>
      <c r="F69" s="49"/>
      <c r="G69" s="49">
        <v>1</v>
      </c>
      <c r="H69" s="49"/>
      <c r="I69" s="49"/>
      <c r="J69" s="49"/>
      <c r="K69" s="49"/>
      <c r="L69" s="26"/>
      <c r="M69" s="26"/>
      <c r="N69" s="26"/>
      <c r="O69" s="26"/>
      <c r="P69" s="26"/>
      <c r="Q69" s="26"/>
      <c r="R69" s="26"/>
    </row>
    <row r="70" spans="1:18">
      <c r="A70" s="49"/>
      <c r="B70" s="49"/>
      <c r="C70" s="49"/>
      <c r="D70" s="217"/>
      <c r="E70" s="96" t="str">
        <f>IND_Commodities!$C$44</f>
        <v>INDHH2</v>
      </c>
      <c r="F70" s="49"/>
      <c r="G70" s="51">
        <v>3.38</v>
      </c>
      <c r="H70" s="49"/>
      <c r="I70" s="49"/>
      <c r="J70" s="49"/>
      <c r="K70" s="49"/>
      <c r="L70" s="26"/>
      <c r="M70" s="26"/>
      <c r="N70" s="26"/>
      <c r="O70" s="26"/>
      <c r="P70" s="26"/>
      <c r="Q70" s="26"/>
      <c r="R70" s="26"/>
    </row>
    <row r="71" spans="1:18">
      <c r="A71" s="170" t="s">
        <v>202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26"/>
      <c r="M71" s="26"/>
      <c r="N71" s="26"/>
      <c r="O71" s="26"/>
      <c r="P71" s="26"/>
      <c r="Q71" s="26"/>
      <c r="R71" s="26"/>
    </row>
    <row r="72" spans="1:18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26"/>
      <c r="B74" s="62"/>
      <c r="C74" s="26"/>
      <c r="D74" s="26"/>
      <c r="E74" s="40"/>
      <c r="F74" s="63"/>
      <c r="G74" s="63"/>
      <c r="H74" s="64"/>
      <c r="I74" s="65"/>
      <c r="J74" s="26"/>
      <c r="K74" s="26"/>
      <c r="L74" s="26"/>
      <c r="M74" s="26"/>
      <c r="N74" s="26"/>
      <c r="O74" s="26"/>
      <c r="P74" s="26"/>
      <c r="Q74" s="26"/>
      <c r="R74" s="26"/>
    </row>
    <row r="75" spans="1:18" ht="18.75">
      <c r="A75" s="220" t="s">
        <v>1129</v>
      </c>
      <c r="B75" s="221"/>
      <c r="C75" s="221"/>
      <c r="D75" s="26"/>
      <c r="E75" s="40" t="str">
        <f>IF($B$5="","DeAct","~FI_T")</f>
        <v>DeAct</v>
      </c>
      <c r="F75" s="222"/>
      <c r="G75" s="222"/>
      <c r="H75" s="222"/>
      <c r="I75" s="222"/>
      <c r="J75" s="222"/>
      <c r="K75" s="222"/>
      <c r="L75" s="26"/>
      <c r="M75" s="26"/>
      <c r="N75" s="26"/>
      <c r="O75" s="26"/>
      <c r="P75" s="26"/>
      <c r="Q75" s="26"/>
      <c r="R75" s="26"/>
    </row>
    <row r="76" spans="1:18" ht="26.25" thickBot="1">
      <c r="A76" s="89" t="s">
        <v>1110</v>
      </c>
      <c r="B76" s="73" t="s">
        <v>318</v>
      </c>
      <c r="C76" s="73" t="s">
        <v>327</v>
      </c>
      <c r="D76" s="73" t="s">
        <v>718</v>
      </c>
      <c r="E76" s="73" t="s">
        <v>719</v>
      </c>
      <c r="F76" s="48" t="s">
        <v>1130</v>
      </c>
      <c r="G76" s="48" t="s">
        <v>727</v>
      </c>
      <c r="H76" s="48" t="s">
        <v>724</v>
      </c>
      <c r="I76" s="48" t="s">
        <v>725</v>
      </c>
      <c r="J76" s="48" t="s">
        <v>801</v>
      </c>
      <c r="K76" s="48" t="s">
        <v>803</v>
      </c>
      <c r="L76" s="26"/>
      <c r="M76" s="26"/>
      <c r="N76" s="26"/>
      <c r="O76" s="26"/>
      <c r="P76" s="26"/>
      <c r="Q76" s="26"/>
      <c r="R76" s="26"/>
    </row>
    <row r="77" spans="1:18" ht="13.5" thickBot="1">
      <c r="A77" s="177" t="s">
        <v>1113</v>
      </c>
      <c r="B77" s="75"/>
      <c r="C77" s="75"/>
      <c r="D77" s="75"/>
      <c r="E77" s="75"/>
      <c r="F77" s="75"/>
      <c r="G77" s="179"/>
      <c r="H77" s="178"/>
      <c r="I77" s="179" t="s">
        <v>1114</v>
      </c>
      <c r="J77" s="179"/>
      <c r="K77" s="179"/>
      <c r="L77" s="26"/>
      <c r="M77" s="26"/>
      <c r="N77" s="26"/>
      <c r="O77" s="26"/>
      <c r="P77" s="26"/>
      <c r="Q77" s="26"/>
      <c r="R77" s="26"/>
    </row>
    <row r="78" spans="1:18">
      <c r="A78" s="49"/>
      <c r="B78" s="76" t="s">
        <v>419</v>
      </c>
      <c r="C78" s="191" t="s">
        <v>420</v>
      </c>
      <c r="D78" s="96" t="str">
        <f>IND_Commodities!$C$13</f>
        <v>INDHFO</v>
      </c>
      <c r="E78" s="49" t="str">
        <f>IND_Commodities!$C$33</f>
        <v>ICLHTH</v>
      </c>
      <c r="F78" s="67">
        <v>1.288</v>
      </c>
      <c r="G78" s="51">
        <v>25</v>
      </c>
      <c r="H78" s="51"/>
      <c r="I78" s="51"/>
      <c r="J78" s="71">
        <f>(F63*H62+F68*H67+F54*H53)/K78</f>
        <v>0</v>
      </c>
      <c r="K78" s="51">
        <v>0.8</v>
      </c>
      <c r="L78" s="26"/>
      <c r="M78" s="26"/>
      <c r="N78" s="26"/>
      <c r="O78" s="26"/>
      <c r="P78" s="26"/>
      <c r="Q78" s="26"/>
      <c r="R78" s="26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90"/>
  <sheetViews>
    <sheetView topLeftCell="A7" zoomScale="75" zoomScaleNormal="75" workbookViewId="0">
      <selection activeCell="E33" sqref="E33"/>
    </sheetView>
  </sheetViews>
  <sheetFormatPr defaultColWidth="9.140625" defaultRowHeight="12.75"/>
  <cols>
    <col min="1" max="1" width="13.140625" style="25" customWidth="1"/>
    <col min="2" max="2" width="16.85546875" style="25" customWidth="1"/>
    <col min="3" max="3" width="41.140625" style="25" bestFit="1" customWidth="1"/>
    <col min="4" max="5" width="9.140625" style="25"/>
    <col min="6" max="6" width="9.7109375" style="25" bestFit="1" customWidth="1"/>
    <col min="7" max="7" width="9.28515625" style="25" bestFit="1" customWidth="1"/>
    <col min="8" max="16384" width="9.140625" style="25"/>
  </cols>
  <sheetData>
    <row r="1" spans="1:20" ht="18.75">
      <c r="A1" s="103" t="s">
        <v>1131</v>
      </c>
      <c r="B1" s="43"/>
      <c r="C1" s="43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70"/>
      <c r="R1" s="470"/>
      <c r="S1" s="470"/>
      <c r="T1" s="470"/>
    </row>
    <row r="2" spans="1:20">
      <c r="A2" s="40" t="s">
        <v>1082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470"/>
      <c r="R2" s="470"/>
      <c r="S2" s="470"/>
      <c r="T2" s="470"/>
    </row>
    <row r="3" spans="1:20" ht="13.5" thickBot="1">
      <c r="A3" s="84" t="s">
        <v>319</v>
      </c>
      <c r="B3" s="84" t="s">
        <v>1083</v>
      </c>
      <c r="C3" s="84" t="s">
        <v>202</v>
      </c>
      <c r="D3" s="83" t="s">
        <v>1084</v>
      </c>
      <c r="E3" s="83" t="s">
        <v>1085</v>
      </c>
      <c r="F3" s="83" t="s">
        <v>1086</v>
      </c>
      <c r="G3" s="83" t="s">
        <v>1087</v>
      </c>
      <c r="H3" s="83" t="s">
        <v>1088</v>
      </c>
      <c r="I3" s="83" t="s">
        <v>1089</v>
      </c>
      <c r="J3" s="83" t="s">
        <v>1090</v>
      </c>
      <c r="K3" s="83" t="s">
        <v>1091</v>
      </c>
      <c r="L3" s="83" t="s">
        <v>1092</v>
      </c>
      <c r="M3" s="83" t="s">
        <v>1093</v>
      </c>
      <c r="N3" s="83" t="s">
        <v>1094</v>
      </c>
      <c r="O3" s="83" t="s">
        <v>1095</v>
      </c>
      <c r="P3" s="83" t="s">
        <v>1096</v>
      </c>
      <c r="Q3" s="83" t="s">
        <v>1097</v>
      </c>
      <c r="R3" s="83" t="s">
        <v>1098</v>
      </c>
      <c r="S3" s="83" t="s">
        <v>1099</v>
      </c>
      <c r="T3" s="470"/>
    </row>
    <row r="4" spans="1:20">
      <c r="A4" s="86" t="str">
        <f>IND_Commodities!C90</f>
        <v>ICH</v>
      </c>
      <c r="B4" s="104">
        <f>F18</f>
        <v>9.6435880892013817</v>
      </c>
      <c r="C4" s="49" t="str">
        <f>IND_Commodities!D90</f>
        <v>Other Chemicals Demand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88">
        <f>SUM(D4:S4)</f>
        <v>0</v>
      </c>
    </row>
    <row r="5" spans="1:20">
      <c r="A5" s="86" t="s">
        <v>997</v>
      </c>
      <c r="B5" s="26"/>
      <c r="C5" s="26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88">
        <f t="shared" ref="T5:T6" si="0">SUM(D5:S5)</f>
        <v>0</v>
      </c>
    </row>
    <row r="6" spans="1:20">
      <c r="A6" s="86" t="s">
        <v>999</v>
      </c>
      <c r="B6" s="26"/>
      <c r="C6" s="26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88">
        <f t="shared" si="0"/>
        <v>0</v>
      </c>
    </row>
    <row r="7" spans="1:20">
      <c r="A7" s="86" t="s">
        <v>1001</v>
      </c>
      <c r="B7" s="26"/>
      <c r="C7" s="26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88">
        <f t="shared" ref="T7:T8" si="1">SUM(D7:S7)</f>
        <v>0</v>
      </c>
    </row>
    <row r="8" spans="1:20">
      <c r="A8" s="86" t="s">
        <v>1003</v>
      </c>
      <c r="B8" s="26"/>
      <c r="C8" s="26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88">
        <f t="shared" si="1"/>
        <v>0</v>
      </c>
    </row>
    <row r="9" spans="1:20" ht="18.75">
      <c r="A9" s="105"/>
      <c r="B9" s="106"/>
      <c r="C9" s="107"/>
      <c r="D9" s="26"/>
      <c r="E9" s="40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470"/>
      <c r="R9" s="470"/>
      <c r="S9" s="470"/>
      <c r="T9" s="470"/>
    </row>
    <row r="10" spans="1:20" ht="18.75">
      <c r="A10" s="26"/>
      <c r="B10" s="27" t="s">
        <v>1132</v>
      </c>
      <c r="C10" s="28"/>
      <c r="D10" s="26"/>
      <c r="E10" s="40" t="str">
        <f>IF($B$4="","DeAct","~FI_T")</f>
        <v>~FI_T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470"/>
      <c r="R10" s="470"/>
      <c r="S10" s="470"/>
      <c r="T10" s="470"/>
    </row>
    <row r="11" spans="1:20" ht="26.25" thickBot="1">
      <c r="A11" s="26"/>
      <c r="B11" s="31" t="s">
        <v>318</v>
      </c>
      <c r="C11" s="31" t="s">
        <v>327</v>
      </c>
      <c r="D11" s="31" t="s">
        <v>718</v>
      </c>
      <c r="E11" s="31" t="s">
        <v>719</v>
      </c>
      <c r="F11" s="48" t="s">
        <v>1133</v>
      </c>
      <c r="G11" s="48" t="s">
        <v>1111</v>
      </c>
      <c r="H11" s="48" t="s">
        <v>1112</v>
      </c>
      <c r="I11" s="48" t="s">
        <v>1134</v>
      </c>
      <c r="J11" s="26"/>
      <c r="K11" s="26"/>
      <c r="L11" s="26"/>
      <c r="M11" s="26"/>
      <c r="N11" s="26"/>
      <c r="O11" s="26"/>
      <c r="P11" s="26"/>
      <c r="Q11" s="470"/>
      <c r="R11" s="470"/>
      <c r="S11" s="470"/>
      <c r="T11" s="470"/>
    </row>
    <row r="12" spans="1:20">
      <c r="A12" s="26"/>
      <c r="B12" s="94" t="s">
        <v>358</v>
      </c>
      <c r="C12" s="95" t="s">
        <v>359</v>
      </c>
      <c r="D12" s="109" t="s">
        <v>1135</v>
      </c>
      <c r="E12" s="72"/>
      <c r="F12" s="38">
        <f>G34</f>
        <v>3.2000559950123897</v>
      </c>
      <c r="G12" s="38">
        <f>IF($F$18=0,0,IF(F12/$B$4=0,"",F12/$B$4))</f>
        <v>0.33183250522652685</v>
      </c>
      <c r="H12" s="110"/>
      <c r="I12" s="60"/>
      <c r="J12" s="26"/>
      <c r="K12" s="26"/>
      <c r="L12" s="26"/>
      <c r="M12" s="26"/>
      <c r="N12" s="26"/>
      <c r="O12" s="26"/>
      <c r="P12" s="26"/>
      <c r="Q12" s="470"/>
      <c r="R12" s="470"/>
      <c r="S12" s="470"/>
      <c r="T12" s="470"/>
    </row>
    <row r="13" spans="1:20">
      <c r="A13" s="26"/>
      <c r="B13" s="49"/>
      <c r="C13" s="72"/>
      <c r="D13" s="49" t="str">
        <f>IND_Commodities!C107</f>
        <v>ICHPRC</v>
      </c>
      <c r="E13" s="72"/>
      <c r="F13" s="38">
        <f>G48</f>
        <v>0</v>
      </c>
      <c r="G13" s="38" t="str">
        <f>IF($F$18=0,0,IF(F13/$B$4=0,"",F13/$B$4))</f>
        <v/>
      </c>
      <c r="H13" s="110"/>
      <c r="I13" s="60"/>
      <c r="J13" s="26"/>
      <c r="K13" s="26"/>
      <c r="L13" s="26"/>
      <c r="M13" s="26"/>
      <c r="N13" s="26"/>
      <c r="O13" s="26"/>
      <c r="P13" s="26"/>
      <c r="Q13" s="470"/>
      <c r="R13" s="470"/>
      <c r="S13" s="470"/>
      <c r="T13" s="470"/>
    </row>
    <row r="14" spans="1:20">
      <c r="A14" s="26"/>
      <c r="B14" s="49"/>
      <c r="C14" s="72"/>
      <c r="D14" s="49" t="str">
        <f>IND_Commodities!C108</f>
        <v>ICHMCH</v>
      </c>
      <c r="E14" s="72"/>
      <c r="F14" s="38">
        <f>G62</f>
        <v>6.443532094188992</v>
      </c>
      <c r="G14" s="38">
        <f>IF($F$18=0,0,IF(F14/$B$4=0,"",F14/$B$4))</f>
        <v>0.66816749477347315</v>
      </c>
      <c r="H14" s="110"/>
      <c r="I14" s="60"/>
      <c r="J14" s="26"/>
      <c r="K14" s="26"/>
      <c r="L14" s="26"/>
      <c r="M14" s="26"/>
      <c r="N14" s="26"/>
      <c r="O14" s="26"/>
      <c r="P14" s="26"/>
      <c r="Q14" s="470"/>
      <c r="R14" s="470"/>
      <c r="S14" s="470"/>
      <c r="T14" s="470"/>
    </row>
    <row r="15" spans="1:20">
      <c r="A15" s="26"/>
      <c r="B15" s="49"/>
      <c r="C15" s="72"/>
      <c r="D15" s="49" t="str">
        <f>IND_Commodities!C109</f>
        <v>ICHELE</v>
      </c>
      <c r="E15" s="72"/>
      <c r="F15" s="38">
        <f>G69</f>
        <v>0</v>
      </c>
      <c r="G15" s="38" t="str">
        <f>IF($F$18=0,0,IF(F15/$B$4=0,"",F15/$B$4))</f>
        <v/>
      </c>
      <c r="H15" s="110"/>
      <c r="I15" s="60"/>
      <c r="J15" s="26"/>
      <c r="K15" s="26"/>
      <c r="L15" s="26"/>
      <c r="M15" s="26"/>
      <c r="N15" s="26"/>
      <c r="O15" s="26"/>
      <c r="P15" s="26"/>
      <c r="Q15" s="470"/>
      <c r="R15" s="470"/>
      <c r="S15" s="470"/>
      <c r="T15" s="470"/>
    </row>
    <row r="16" spans="1:20">
      <c r="A16" s="113"/>
      <c r="B16" s="49"/>
      <c r="C16" s="72"/>
      <c r="D16" s="49" t="str">
        <f>IND_Commodities!C110</f>
        <v>ICHOTH</v>
      </c>
      <c r="E16" s="72"/>
      <c r="F16" s="38">
        <f>G90</f>
        <v>0</v>
      </c>
      <c r="G16" s="38" t="str">
        <f>IF($F$18=0,0,IF(F16/$B$4=0,"",F16/$B$4))</f>
        <v/>
      </c>
      <c r="H16" s="110"/>
      <c r="I16" s="60"/>
      <c r="J16" s="26"/>
      <c r="K16" s="26"/>
      <c r="L16" s="26"/>
      <c r="M16" s="26"/>
      <c r="N16" s="26"/>
      <c r="O16" s="26"/>
      <c r="P16" s="26"/>
      <c r="Q16" s="470"/>
      <c r="R16" s="470"/>
      <c r="S16" s="470"/>
      <c r="T16" s="470"/>
    </row>
    <row r="17" spans="1:16">
      <c r="A17" s="113"/>
      <c r="B17" s="49"/>
      <c r="C17" s="72"/>
      <c r="D17" s="72"/>
      <c r="E17" s="72" t="str">
        <f>A4</f>
        <v>ICH</v>
      </c>
      <c r="F17" s="38"/>
      <c r="G17" s="38"/>
      <c r="H17" s="58">
        <v>1</v>
      </c>
      <c r="I17" s="38"/>
      <c r="J17" s="26"/>
      <c r="K17" s="26"/>
      <c r="L17" s="26"/>
      <c r="M17" s="26"/>
      <c r="N17" s="26"/>
      <c r="O17" s="26"/>
      <c r="P17" s="26"/>
    </row>
    <row r="18" spans="1:16" ht="13.5" thickBot="1">
      <c r="A18" s="26"/>
      <c r="B18" s="114" t="s">
        <v>1136</v>
      </c>
      <c r="C18" s="84"/>
      <c r="D18" s="84"/>
      <c r="E18" s="84"/>
      <c r="F18" s="115">
        <f>SUM(F12:F16)</f>
        <v>9.6435880892013817</v>
      </c>
      <c r="G18" s="115"/>
      <c r="H18" s="84"/>
      <c r="I18" s="84"/>
      <c r="J18" s="26"/>
      <c r="K18" s="26"/>
      <c r="L18" s="26"/>
      <c r="M18" s="26"/>
      <c r="N18" s="26"/>
      <c r="O18" s="26"/>
      <c r="P18" s="26"/>
    </row>
    <row r="19" spans="1:1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>
      <c r="A20" s="26"/>
      <c r="B20" s="26"/>
      <c r="C20" s="26"/>
      <c r="D20" s="40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>
      <c r="A21" s="26"/>
      <c r="B21" s="26"/>
      <c r="C21" s="26"/>
      <c r="D21" s="26"/>
      <c r="E21" s="3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>
      <c r="A22" s="26"/>
      <c r="B22" s="26"/>
      <c r="C22" s="26"/>
      <c r="D22" s="26"/>
      <c r="E22" s="4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ht="15">
      <c r="A23" s="26"/>
      <c r="B23" s="26"/>
      <c r="C23" s="26"/>
      <c r="D23" s="26"/>
      <c r="E23" s="40" t="str">
        <f>IF($B$4="","DeAct","~FI_T")</f>
        <v>~FI_T</v>
      </c>
      <c r="F23" s="117" t="s">
        <v>1137</v>
      </c>
      <c r="G23" s="117" t="s">
        <v>1137</v>
      </c>
      <c r="H23" s="117" t="s">
        <v>1137</v>
      </c>
      <c r="I23" s="117" t="s">
        <v>1137</v>
      </c>
      <c r="J23" s="26"/>
      <c r="K23" s="26"/>
      <c r="L23" s="117"/>
      <c r="M23" s="117"/>
      <c r="N23" s="26"/>
      <c r="O23" s="26"/>
      <c r="P23" s="26"/>
    </row>
    <row r="24" spans="1:16" ht="26.25" thickBot="1">
      <c r="A24" s="470"/>
      <c r="B24" s="198" t="s">
        <v>318</v>
      </c>
      <c r="C24" s="47" t="s">
        <v>327</v>
      </c>
      <c r="D24" s="47" t="s">
        <v>718</v>
      </c>
      <c r="E24" s="47" t="s">
        <v>719</v>
      </c>
      <c r="F24" s="48" t="s">
        <v>1138</v>
      </c>
      <c r="G24" s="48" t="s">
        <v>1139</v>
      </c>
      <c r="H24" s="48" t="s">
        <v>1111</v>
      </c>
      <c r="I24" s="48" t="s">
        <v>1112</v>
      </c>
      <c r="J24" s="48" t="s">
        <v>801</v>
      </c>
      <c r="K24" s="48" t="s">
        <v>727</v>
      </c>
      <c r="L24" s="48" t="s">
        <v>725</v>
      </c>
      <c r="M24" s="48" t="s">
        <v>724</v>
      </c>
      <c r="N24" s="118" t="s">
        <v>1140</v>
      </c>
      <c r="O24" s="118" t="s">
        <v>791</v>
      </c>
      <c r="P24" s="118" t="s">
        <v>803</v>
      </c>
    </row>
    <row r="25" spans="1:16">
      <c r="A25" s="470"/>
      <c r="B25" s="109" t="str">
        <f t="shared" ref="B25:B33" si="2">"ICHSTM"&amp;RIGHT(D25,3)&amp;"00"</f>
        <v>ICHSTMCOA00</v>
      </c>
      <c r="C25" s="50" t="s">
        <v>402</v>
      </c>
      <c r="D25" s="49" t="str">
        <f>IND_Bal!$C$44</f>
        <v>INDCOA</v>
      </c>
      <c r="E25" s="49" t="str">
        <f t="shared" ref="E25:E33" si="3">$D$12</f>
        <v>ICHHTH</v>
      </c>
      <c r="F25" s="119">
        <f>IND_Bal!$C$125</f>
        <v>0</v>
      </c>
      <c r="G25" s="38">
        <f t="shared" ref="G25:G32" si="4">I25*F25/H25</f>
        <v>0</v>
      </c>
      <c r="H25" s="120">
        <f t="shared" ref="H25:H31" si="5">1/0.8</f>
        <v>1.25</v>
      </c>
      <c r="I25" s="58">
        <v>1</v>
      </c>
      <c r="J25" s="121">
        <f t="shared" ref="J25:J32" si="6">G25/P25/O25</f>
        <v>0</v>
      </c>
      <c r="K25" s="51">
        <v>30</v>
      </c>
      <c r="L25" s="51"/>
      <c r="M25" s="51"/>
      <c r="N25" s="38">
        <v>1</v>
      </c>
      <c r="O25" s="122">
        <v>31.536000000000001</v>
      </c>
      <c r="P25" s="123">
        <v>0.65</v>
      </c>
    </row>
    <row r="26" spans="1:16">
      <c r="A26" s="470"/>
      <c r="B26" s="109" t="str">
        <f t="shared" si="2"/>
        <v>ICHSTMCOK00</v>
      </c>
      <c r="C26" s="50" t="s">
        <v>404</v>
      </c>
      <c r="D26" s="49" t="str">
        <f>IND_Bal!$F$44</f>
        <v>INDCOK</v>
      </c>
      <c r="E26" s="49" t="str">
        <f t="shared" si="3"/>
        <v>ICHHTH</v>
      </c>
      <c r="F26" s="119">
        <f>IND_Bal!$F$125</f>
        <v>0</v>
      </c>
      <c r="G26" s="38">
        <f t="shared" si="4"/>
        <v>0</v>
      </c>
      <c r="H26" s="124">
        <f t="shared" si="5"/>
        <v>1.25</v>
      </c>
      <c r="I26" s="58">
        <v>1</v>
      </c>
      <c r="J26" s="38">
        <f t="shared" si="6"/>
        <v>0</v>
      </c>
      <c r="K26" s="51">
        <v>30</v>
      </c>
      <c r="L26" s="51"/>
      <c r="M26" s="51"/>
      <c r="N26" s="38">
        <v>1</v>
      </c>
      <c r="O26" s="49">
        <v>31.536000000000001</v>
      </c>
      <c r="P26" s="51">
        <v>0.65</v>
      </c>
    </row>
    <row r="27" spans="1:16">
      <c r="A27" s="470"/>
      <c r="B27" s="109" t="str">
        <f t="shared" si="2"/>
        <v>ICHSTMLPG00</v>
      </c>
      <c r="C27" s="50" t="s">
        <v>416</v>
      </c>
      <c r="D27" s="49" t="str">
        <f>IND_Bal!$H$44</f>
        <v>INDLPG</v>
      </c>
      <c r="E27" s="49" t="str">
        <f t="shared" si="3"/>
        <v>ICHHTH</v>
      </c>
      <c r="F27" s="119">
        <f>IND_Bal!$H$125</f>
        <v>0.13684501123760154</v>
      </c>
      <c r="G27" s="38">
        <f t="shared" si="4"/>
        <v>0.10947600899008122</v>
      </c>
      <c r="H27" s="124">
        <f t="shared" si="5"/>
        <v>1.25</v>
      </c>
      <c r="I27" s="58">
        <v>1</v>
      </c>
      <c r="J27" s="38">
        <f t="shared" si="6"/>
        <v>5.3407099573664881E-3</v>
      </c>
      <c r="K27" s="51">
        <v>30</v>
      </c>
      <c r="L27" s="51"/>
      <c r="M27" s="51"/>
      <c r="N27" s="38">
        <v>1</v>
      </c>
      <c r="O27" s="49">
        <v>31.536000000000001</v>
      </c>
      <c r="P27" s="51">
        <v>0.65</v>
      </c>
    </row>
    <row r="28" spans="1:16">
      <c r="A28" s="470"/>
      <c r="B28" s="109" t="str">
        <f t="shared" si="2"/>
        <v>ICHSTMLFO00</v>
      </c>
      <c r="C28" s="50" t="s">
        <v>414</v>
      </c>
      <c r="D28" s="49" t="str">
        <f>IND_Bal!$I$44</f>
        <v>INDLFO</v>
      </c>
      <c r="E28" s="49" t="str">
        <f t="shared" si="3"/>
        <v>ICHHTH</v>
      </c>
      <c r="F28" s="119">
        <f>IND_Bal!$I$125</f>
        <v>0.86160932796462297</v>
      </c>
      <c r="G28" s="38">
        <f t="shared" si="4"/>
        <v>0.68928746237169836</v>
      </c>
      <c r="H28" s="124">
        <f t="shared" si="5"/>
        <v>1.25</v>
      </c>
      <c r="I28" s="58">
        <v>1</v>
      </c>
      <c r="J28" s="38">
        <f t="shared" si="6"/>
        <v>3.3626403152036174E-2</v>
      </c>
      <c r="K28" s="51">
        <v>30</v>
      </c>
      <c r="L28" s="51"/>
      <c r="M28" s="51"/>
      <c r="N28" s="38">
        <v>1</v>
      </c>
      <c r="O28" s="49">
        <v>31.536000000000001</v>
      </c>
      <c r="P28" s="51">
        <v>0.65</v>
      </c>
    </row>
    <row r="29" spans="1:16">
      <c r="A29" s="470"/>
      <c r="B29" s="109" t="str">
        <f t="shared" si="2"/>
        <v>ICHSTMHFO00</v>
      </c>
      <c r="C29" s="50" t="s">
        <v>410</v>
      </c>
      <c r="D29" s="49" t="str">
        <f>IND_Bal!$K$44</f>
        <v>INDHFO</v>
      </c>
      <c r="E29" s="49" t="str">
        <f t="shared" si="3"/>
        <v>ICHHTH</v>
      </c>
      <c r="F29" s="119">
        <f>IND_Bal!$K$125</f>
        <v>0.16128869235273877</v>
      </c>
      <c r="G29" s="38">
        <f t="shared" si="4"/>
        <v>0.12903095388219102</v>
      </c>
      <c r="H29" s="124">
        <f t="shared" si="5"/>
        <v>1.25</v>
      </c>
      <c r="I29" s="58">
        <v>1</v>
      </c>
      <c r="J29" s="38">
        <f t="shared" si="6"/>
        <v>6.2946841647246133E-3</v>
      </c>
      <c r="K29" s="51">
        <v>30</v>
      </c>
      <c r="L29" s="51"/>
      <c r="M29" s="51"/>
      <c r="N29" s="38">
        <v>1</v>
      </c>
      <c r="O29" s="49">
        <v>31.536000000000001</v>
      </c>
      <c r="P29" s="51">
        <v>0.65</v>
      </c>
    </row>
    <row r="30" spans="1:16">
      <c r="A30" s="470"/>
      <c r="B30" s="109" t="str">
        <f t="shared" si="2"/>
        <v>ICHSTMGAS00</v>
      </c>
      <c r="C30" s="50" t="s">
        <v>408</v>
      </c>
      <c r="D30" s="49" t="str">
        <f>IND_Bal!$M$44</f>
        <v>INDGAS</v>
      </c>
      <c r="E30" s="49" t="str">
        <f t="shared" si="3"/>
        <v>ICHHTH</v>
      </c>
      <c r="F30" s="119">
        <f>IND_Bal!$M$125</f>
        <v>0.58994121161597679</v>
      </c>
      <c r="G30" s="38">
        <f t="shared" si="4"/>
        <v>0.47195296929278141</v>
      </c>
      <c r="H30" s="124">
        <f t="shared" si="5"/>
        <v>1.25</v>
      </c>
      <c r="I30" s="58">
        <v>1</v>
      </c>
      <c r="J30" s="38">
        <f t="shared" si="6"/>
        <v>2.3023893049837128E-2</v>
      </c>
      <c r="K30" s="51">
        <v>30</v>
      </c>
      <c r="L30" s="51"/>
      <c r="M30" s="51"/>
      <c r="N30" s="38">
        <v>1</v>
      </c>
      <c r="O30" s="49">
        <v>31.536000000000001</v>
      </c>
      <c r="P30" s="51">
        <v>0.65</v>
      </c>
    </row>
    <row r="31" spans="1:16">
      <c r="A31" s="470"/>
      <c r="B31" s="109" t="str">
        <f t="shared" si="2"/>
        <v>ICHSTMBIO00</v>
      </c>
      <c r="C31" s="50" t="s">
        <v>399</v>
      </c>
      <c r="D31" s="49" t="str">
        <f>IND_Bal!$R$44</f>
        <v>INDBIO</v>
      </c>
      <c r="E31" s="49" t="str">
        <f t="shared" si="3"/>
        <v>ICHHTH</v>
      </c>
      <c r="F31" s="119">
        <f>IND_Bal!$R$125</f>
        <v>0</v>
      </c>
      <c r="G31" s="38">
        <f t="shared" si="4"/>
        <v>0</v>
      </c>
      <c r="H31" s="124">
        <f t="shared" si="5"/>
        <v>1.25</v>
      </c>
      <c r="I31" s="58">
        <v>1</v>
      </c>
      <c r="J31" s="38">
        <f t="shared" si="6"/>
        <v>0</v>
      </c>
      <c r="K31" s="51">
        <v>30</v>
      </c>
      <c r="L31" s="51"/>
      <c r="M31" s="51"/>
      <c r="N31" s="38">
        <v>1</v>
      </c>
      <c r="O31" s="49">
        <v>31.536000000000001</v>
      </c>
      <c r="P31" s="51">
        <v>0.65</v>
      </c>
    </row>
    <row r="32" spans="1:16">
      <c r="A32" s="470"/>
      <c r="B32" s="109" t="str">
        <f t="shared" si="2"/>
        <v>ICHSTMELC00</v>
      </c>
      <c r="C32" s="50" t="s">
        <v>406</v>
      </c>
      <c r="D32" s="49" t="str">
        <f>IND_Bal!$U$44</f>
        <v>INDELC</v>
      </c>
      <c r="E32" s="49" t="str">
        <f t="shared" si="3"/>
        <v>ICHHTH</v>
      </c>
      <c r="F32" s="119">
        <f>IND_Bal!$U$125</f>
        <v>0</v>
      </c>
      <c r="G32" s="38">
        <f t="shared" si="4"/>
        <v>0</v>
      </c>
      <c r="H32" s="124">
        <v>1</v>
      </c>
      <c r="I32" s="58">
        <v>1</v>
      </c>
      <c r="J32" s="38">
        <f t="shared" si="6"/>
        <v>0</v>
      </c>
      <c r="K32" s="51">
        <v>30</v>
      </c>
      <c r="L32" s="51"/>
      <c r="M32" s="51"/>
      <c r="N32" s="38">
        <v>1</v>
      </c>
      <c r="O32" s="49">
        <v>31.536000000000001</v>
      </c>
      <c r="P32" s="51">
        <v>0.65</v>
      </c>
    </row>
    <row r="33" spans="1:16">
      <c r="A33" s="470"/>
      <c r="B33" s="109" t="str">
        <f t="shared" si="2"/>
        <v>ICHSTMHTH00</v>
      </c>
      <c r="C33" s="61" t="s">
        <v>412</v>
      </c>
      <c r="D33" s="125" t="s">
        <v>288</v>
      </c>
      <c r="E33" s="49" t="str">
        <f t="shared" si="3"/>
        <v>ICHHTH</v>
      </c>
      <c r="F33" s="119">
        <f>IND_Bal!$V$125</f>
        <v>1.8003086004756379</v>
      </c>
      <c r="G33" s="38">
        <f>I33*F33/H33</f>
        <v>1.8003086004756379</v>
      </c>
      <c r="H33" s="126">
        <v>1</v>
      </c>
      <c r="I33" s="58">
        <v>1</v>
      </c>
      <c r="J33" s="57">
        <f>G33/P33/O33</f>
        <v>8.782678650409971E-2</v>
      </c>
      <c r="K33" s="51">
        <v>30</v>
      </c>
      <c r="L33" s="51"/>
      <c r="M33" s="51"/>
      <c r="N33" s="38">
        <v>1</v>
      </c>
      <c r="O33" s="55">
        <v>31.536000000000001</v>
      </c>
      <c r="P33" s="127">
        <v>0.65</v>
      </c>
    </row>
    <row r="34" spans="1:16" ht="13.5" thickBot="1">
      <c r="A34" s="470"/>
      <c r="B34" s="199" t="s">
        <v>1141</v>
      </c>
      <c r="C34" s="84"/>
      <c r="D34" s="84"/>
      <c r="E34" s="84"/>
      <c r="F34" s="115">
        <f>SUM(F25:F33)</f>
        <v>3.549992843646578</v>
      </c>
      <c r="G34" s="115">
        <f>SUM(G25:G33)</f>
        <v>3.2000559950123897</v>
      </c>
      <c r="H34" s="128"/>
      <c r="I34" s="128"/>
      <c r="J34" s="115">
        <f>SUM(J25:J33)</f>
        <v>0.15611247682806412</v>
      </c>
      <c r="K34" s="84"/>
      <c r="L34" s="84"/>
      <c r="M34" s="84"/>
      <c r="N34" s="84"/>
      <c r="O34" s="84"/>
      <c r="P34" s="84"/>
    </row>
    <row r="35" spans="1:16">
      <c r="A35" s="26"/>
      <c r="B35" s="26"/>
      <c r="C35" s="26"/>
      <c r="D35" s="26"/>
      <c r="E35" s="26"/>
      <c r="F35" s="26"/>
      <c r="G35" s="63"/>
      <c r="H35" s="129"/>
      <c r="I35" s="26"/>
      <c r="J35" s="26"/>
      <c r="K35" s="26"/>
      <c r="L35" s="41"/>
      <c r="M35" s="26"/>
      <c r="N35" s="26"/>
      <c r="O35" s="26"/>
      <c r="P35" s="26"/>
    </row>
    <row r="36" spans="1:16">
      <c r="A36" s="26"/>
      <c r="B36" s="26"/>
      <c r="C36" s="26"/>
      <c r="D36" s="26"/>
      <c r="E36" s="40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>
      <c r="A37" s="26"/>
      <c r="B37" s="26"/>
      <c r="C37" s="26"/>
      <c r="D37" s="26"/>
      <c r="E37" s="4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15">
      <c r="A38" s="26"/>
      <c r="B38" s="26"/>
      <c r="C38" s="26"/>
      <c r="D38" s="26"/>
      <c r="E38" s="40"/>
      <c r="F38" s="117" t="s">
        <v>1137</v>
      </c>
      <c r="G38" s="117" t="s">
        <v>1137</v>
      </c>
      <c r="H38" s="131" t="s">
        <v>1137</v>
      </c>
      <c r="I38" s="117" t="s">
        <v>1137</v>
      </c>
      <c r="J38" s="26"/>
      <c r="K38" s="117" t="s">
        <v>1137</v>
      </c>
      <c r="L38" s="26"/>
      <c r="M38" s="117"/>
      <c r="N38" s="117"/>
      <c r="O38" s="26"/>
      <c r="P38" s="26"/>
    </row>
    <row r="39" spans="1:16" ht="26.25" thickBot="1">
      <c r="A39" s="26"/>
      <c r="B39" s="47" t="s">
        <v>318</v>
      </c>
      <c r="C39" s="47" t="s">
        <v>327</v>
      </c>
      <c r="D39" s="47" t="s">
        <v>718</v>
      </c>
      <c r="E39" s="47" t="s">
        <v>719</v>
      </c>
      <c r="F39" s="48" t="s">
        <v>1138</v>
      </c>
      <c r="G39" s="48" t="s">
        <v>1139</v>
      </c>
      <c r="H39" s="48" t="s">
        <v>1111</v>
      </c>
      <c r="I39" s="48" t="s">
        <v>1112</v>
      </c>
      <c r="J39" s="48" t="s">
        <v>801</v>
      </c>
      <c r="K39" s="48" t="s">
        <v>727</v>
      </c>
      <c r="L39" s="48" t="s">
        <v>725</v>
      </c>
      <c r="M39" s="48" t="s">
        <v>724</v>
      </c>
      <c r="N39" s="26"/>
      <c r="O39" s="26"/>
      <c r="P39" s="26"/>
    </row>
    <row r="40" spans="1:16">
      <c r="A40" s="26"/>
      <c r="B40" s="49" t="str">
        <f t="shared" ref="B40:B47" si="7">LEFT(E40,6)&amp;RIGHT(D40,3)&amp;"00"</f>
        <v>ICHPRCCOA00</v>
      </c>
      <c r="C40" s="50" t="s">
        <v>384</v>
      </c>
      <c r="D40" s="49" t="str">
        <f>IND_Bal!$C$44</f>
        <v>INDCOA</v>
      </c>
      <c r="E40" s="49" t="str">
        <f t="shared" ref="E40:E47" si="8">$D$13</f>
        <v>ICHPRC</v>
      </c>
      <c r="F40" s="119">
        <f>IND_Bal!$C$126</f>
        <v>0</v>
      </c>
      <c r="G40" s="38">
        <f t="shared" ref="G40:G47" si="9">I40*F40/H40</f>
        <v>0</v>
      </c>
      <c r="H40" s="120">
        <f t="shared" ref="H40:H46" si="10">1/0.8</f>
        <v>1.25</v>
      </c>
      <c r="I40" s="58">
        <v>1</v>
      </c>
      <c r="J40" s="38">
        <f t="shared" ref="J40:J47" si="11">G40</f>
        <v>0</v>
      </c>
      <c r="K40" s="51">
        <v>30</v>
      </c>
      <c r="L40" s="51"/>
      <c r="M40" s="51"/>
      <c r="N40" s="26"/>
      <c r="O40" s="26"/>
      <c r="P40" s="26"/>
    </row>
    <row r="41" spans="1:16">
      <c r="A41" s="26"/>
      <c r="B41" s="49" t="str">
        <f t="shared" si="7"/>
        <v>ICHPRCCOK00</v>
      </c>
      <c r="C41" s="50" t="s">
        <v>386</v>
      </c>
      <c r="D41" s="49" t="str">
        <f>IND_Bal!$F$44</f>
        <v>INDCOK</v>
      </c>
      <c r="E41" s="49" t="str">
        <f t="shared" si="8"/>
        <v>ICHPRC</v>
      </c>
      <c r="F41" s="119">
        <f>IND_Bal!$F$126</f>
        <v>0</v>
      </c>
      <c r="G41" s="38">
        <f t="shared" si="9"/>
        <v>0</v>
      </c>
      <c r="H41" s="124">
        <f t="shared" si="10"/>
        <v>1.25</v>
      </c>
      <c r="I41" s="58">
        <v>1</v>
      </c>
      <c r="J41" s="38">
        <f t="shared" si="11"/>
        <v>0</v>
      </c>
      <c r="K41" s="51">
        <v>30</v>
      </c>
      <c r="L41" s="51"/>
      <c r="M41" s="51"/>
      <c r="N41" s="26"/>
      <c r="O41" s="26"/>
      <c r="P41" s="26"/>
    </row>
    <row r="42" spans="1:16">
      <c r="A42" s="26"/>
      <c r="B42" s="49" t="str">
        <f t="shared" si="7"/>
        <v>ICHPRCLPG00</v>
      </c>
      <c r="C42" s="50" t="s">
        <v>396</v>
      </c>
      <c r="D42" s="49" t="str">
        <f>IND_Bal!$H$44</f>
        <v>INDLPG</v>
      </c>
      <c r="E42" s="49" t="str">
        <f t="shared" si="8"/>
        <v>ICHPRC</v>
      </c>
      <c r="F42" s="119">
        <f>IND_Bal!$H$126</f>
        <v>0</v>
      </c>
      <c r="G42" s="38">
        <f t="shared" si="9"/>
        <v>0</v>
      </c>
      <c r="H42" s="124">
        <f t="shared" si="10"/>
        <v>1.25</v>
      </c>
      <c r="I42" s="58">
        <v>1</v>
      </c>
      <c r="J42" s="38">
        <f t="shared" si="11"/>
        <v>0</v>
      </c>
      <c r="K42" s="51">
        <v>30</v>
      </c>
      <c r="L42" s="51"/>
      <c r="M42" s="51"/>
      <c r="N42" s="26"/>
      <c r="O42" s="26"/>
      <c r="P42" s="26"/>
    </row>
    <row r="43" spans="1:16">
      <c r="A43" s="26"/>
      <c r="B43" s="49" t="str">
        <f t="shared" si="7"/>
        <v>ICHPRCLFO00</v>
      </c>
      <c r="C43" s="50" t="s">
        <v>394</v>
      </c>
      <c r="D43" s="49" t="str">
        <f>IND_Bal!$I$44</f>
        <v>INDLFO</v>
      </c>
      <c r="E43" s="49" t="str">
        <f t="shared" si="8"/>
        <v>ICHPRC</v>
      </c>
      <c r="F43" s="119">
        <f>IND_Bal!$I$126</f>
        <v>0</v>
      </c>
      <c r="G43" s="38">
        <f>I43*F43/H43</f>
        <v>0</v>
      </c>
      <c r="H43" s="124">
        <f t="shared" si="10"/>
        <v>1.25</v>
      </c>
      <c r="I43" s="58">
        <v>1</v>
      </c>
      <c r="J43" s="38">
        <f>G43</f>
        <v>0</v>
      </c>
      <c r="K43" s="51">
        <v>30</v>
      </c>
      <c r="L43" s="51"/>
      <c r="M43" s="51"/>
      <c r="N43" s="26"/>
      <c r="O43" s="26"/>
      <c r="P43" s="26"/>
    </row>
    <row r="44" spans="1:16">
      <c r="A44" s="26"/>
      <c r="B44" s="49" t="str">
        <f t="shared" si="7"/>
        <v>ICHPRCHFO00</v>
      </c>
      <c r="C44" s="50" t="s">
        <v>392</v>
      </c>
      <c r="D44" s="49" t="str">
        <f>IND_Bal!$K$44</f>
        <v>INDHFO</v>
      </c>
      <c r="E44" s="49" t="str">
        <f t="shared" si="8"/>
        <v>ICHPRC</v>
      </c>
      <c r="F44" s="119">
        <f>IND_Bal!$K$126</f>
        <v>0</v>
      </c>
      <c r="G44" s="38">
        <f t="shared" si="9"/>
        <v>0</v>
      </c>
      <c r="H44" s="124">
        <f t="shared" si="10"/>
        <v>1.25</v>
      </c>
      <c r="I44" s="58">
        <v>1</v>
      </c>
      <c r="J44" s="38">
        <f t="shared" si="11"/>
        <v>0</v>
      </c>
      <c r="K44" s="51">
        <v>30</v>
      </c>
      <c r="L44" s="51"/>
      <c r="M44" s="51"/>
      <c r="N44" s="26"/>
      <c r="O44" s="26"/>
      <c r="P44" s="26"/>
    </row>
    <row r="45" spans="1:16">
      <c r="A45" s="26"/>
      <c r="B45" s="49" t="str">
        <f t="shared" si="7"/>
        <v>ICHPRCGAS00</v>
      </c>
      <c r="C45" s="50" t="s">
        <v>390</v>
      </c>
      <c r="D45" s="49" t="str">
        <f>IND_Bal!$M$44</f>
        <v>INDGAS</v>
      </c>
      <c r="E45" s="49" t="str">
        <f t="shared" si="8"/>
        <v>ICHPRC</v>
      </c>
      <c r="F45" s="119">
        <f>IND_Bal!$M$126</f>
        <v>0</v>
      </c>
      <c r="G45" s="38">
        <f t="shared" si="9"/>
        <v>0</v>
      </c>
      <c r="H45" s="124">
        <f t="shared" si="10"/>
        <v>1.25</v>
      </c>
      <c r="I45" s="58">
        <v>1</v>
      </c>
      <c r="J45" s="38">
        <f t="shared" si="11"/>
        <v>0</v>
      </c>
      <c r="K45" s="51">
        <v>30</v>
      </c>
      <c r="L45" s="51"/>
      <c r="M45" s="51"/>
      <c r="N45" s="26"/>
      <c r="O45" s="26"/>
      <c r="P45" s="26"/>
    </row>
    <row r="46" spans="1:16">
      <c r="A46" s="26"/>
      <c r="B46" s="49" t="str">
        <f t="shared" si="7"/>
        <v>ICHPRCBIO00</v>
      </c>
      <c r="C46" s="50" t="s">
        <v>382</v>
      </c>
      <c r="D46" s="49" t="str">
        <f>IND_Bal!$R$44</f>
        <v>INDBIO</v>
      </c>
      <c r="E46" s="49" t="str">
        <f t="shared" si="8"/>
        <v>ICHPRC</v>
      </c>
      <c r="F46" s="119">
        <f>IND_Bal!$R$126</f>
        <v>0</v>
      </c>
      <c r="G46" s="38">
        <f t="shared" si="9"/>
        <v>0</v>
      </c>
      <c r="H46" s="124">
        <f t="shared" si="10"/>
        <v>1.25</v>
      </c>
      <c r="I46" s="58">
        <v>1</v>
      </c>
      <c r="J46" s="38">
        <f t="shared" si="11"/>
        <v>0</v>
      </c>
      <c r="K46" s="51">
        <v>30</v>
      </c>
      <c r="L46" s="51"/>
      <c r="M46" s="51"/>
      <c r="N46" s="26"/>
      <c r="O46" s="26"/>
      <c r="P46" s="26"/>
    </row>
    <row r="47" spans="1:16">
      <c r="A47" s="26"/>
      <c r="B47" s="49" t="str">
        <f t="shared" si="7"/>
        <v>ICHPRCELC00</v>
      </c>
      <c r="C47" s="50" t="s">
        <v>388</v>
      </c>
      <c r="D47" s="49" t="str">
        <f>IND_Bal!$U$44</f>
        <v>INDELC</v>
      </c>
      <c r="E47" s="49" t="str">
        <f t="shared" si="8"/>
        <v>ICHPRC</v>
      </c>
      <c r="F47" s="119">
        <f>IND_Bal!$U$126</f>
        <v>0</v>
      </c>
      <c r="G47" s="38">
        <f t="shared" si="9"/>
        <v>0</v>
      </c>
      <c r="H47" s="126">
        <v>1</v>
      </c>
      <c r="I47" s="58">
        <v>1</v>
      </c>
      <c r="J47" s="38">
        <f t="shared" si="11"/>
        <v>0</v>
      </c>
      <c r="K47" s="51">
        <v>30</v>
      </c>
      <c r="L47" s="51"/>
      <c r="M47" s="51"/>
      <c r="N47" s="26"/>
      <c r="O47" s="26"/>
      <c r="P47" s="26"/>
    </row>
    <row r="48" spans="1:16" ht="13.5" thickBot="1">
      <c r="A48" s="26"/>
      <c r="B48" s="114" t="s">
        <v>1136</v>
      </c>
      <c r="C48" s="84"/>
      <c r="D48" s="84"/>
      <c r="E48" s="84"/>
      <c r="F48" s="115">
        <f>SUM(F40:F47)</f>
        <v>0</v>
      </c>
      <c r="G48" s="115">
        <f>SUM(G40:G47)</f>
        <v>0</v>
      </c>
      <c r="H48" s="128"/>
      <c r="I48" s="128"/>
      <c r="J48" s="115">
        <f>SUM(J40:J47)</f>
        <v>0</v>
      </c>
      <c r="K48" s="84"/>
      <c r="L48" s="84"/>
      <c r="M48" s="84"/>
      <c r="N48" s="26"/>
      <c r="O48" s="26"/>
      <c r="P48" s="26"/>
    </row>
    <row r="49" spans="1:16">
      <c r="A49" s="26"/>
      <c r="B49" s="26"/>
      <c r="C49" s="26"/>
      <c r="D49" s="26"/>
      <c r="E49" s="26"/>
      <c r="F49" s="26"/>
      <c r="G49" s="26"/>
      <c r="H49" s="129"/>
      <c r="I49" s="26"/>
      <c r="J49" s="26"/>
      <c r="K49" s="26"/>
      <c r="L49" s="26"/>
      <c r="M49" s="26"/>
      <c r="N49" s="26"/>
      <c r="O49" s="26"/>
      <c r="P49" s="26"/>
    </row>
    <row r="50" spans="1:16">
      <c r="A50" s="26"/>
      <c r="B50" s="26"/>
      <c r="C50" s="26"/>
      <c r="D50" s="26"/>
      <c r="E50" s="40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>
      <c r="A51" s="26"/>
      <c r="B51" s="26"/>
      <c r="C51" s="26"/>
      <c r="D51" s="26"/>
      <c r="E51" s="40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ht="15">
      <c r="A52" s="26"/>
      <c r="B52" s="26"/>
      <c r="C52" s="26"/>
      <c r="D52" s="26"/>
      <c r="E52" s="40" t="str">
        <f>IF($B$4="","DeAct","~FI_T")</f>
        <v>~FI_T</v>
      </c>
      <c r="F52" s="117" t="s">
        <v>1137</v>
      </c>
      <c r="G52" s="117" t="s">
        <v>1137</v>
      </c>
      <c r="H52" s="131" t="s">
        <v>1137</v>
      </c>
      <c r="I52" s="117" t="s">
        <v>1137</v>
      </c>
      <c r="J52" s="117"/>
      <c r="K52" s="117"/>
      <c r="L52" s="26"/>
      <c r="M52" s="26"/>
      <c r="N52" s="26"/>
      <c r="O52" s="26"/>
      <c r="P52" s="26"/>
    </row>
    <row r="53" spans="1:16" ht="26.25" thickBot="1">
      <c r="A53" s="26"/>
      <c r="B53" s="47" t="s">
        <v>318</v>
      </c>
      <c r="C53" s="47" t="s">
        <v>327</v>
      </c>
      <c r="D53" s="47" t="s">
        <v>718</v>
      </c>
      <c r="E53" s="47" t="s">
        <v>719</v>
      </c>
      <c r="F53" s="48" t="s">
        <v>1138</v>
      </c>
      <c r="G53" s="48" t="s">
        <v>1139</v>
      </c>
      <c r="H53" s="48" t="s">
        <v>1111</v>
      </c>
      <c r="I53" s="48" t="s">
        <v>1112</v>
      </c>
      <c r="J53" s="48" t="s">
        <v>801</v>
      </c>
      <c r="K53" s="48" t="s">
        <v>727</v>
      </c>
      <c r="L53" s="48" t="s">
        <v>725</v>
      </c>
      <c r="M53" s="48" t="s">
        <v>724</v>
      </c>
      <c r="N53" s="26"/>
      <c r="O53" s="26"/>
      <c r="P53" s="26"/>
    </row>
    <row r="54" spans="1:16">
      <c r="A54" s="26"/>
      <c r="B54" s="49" t="str">
        <f t="shared" ref="B54:B61" si="12">LEFT(E54,6)&amp;RIGHT(D54,3)&amp;"00"</f>
        <v>ICHMCHCOA00</v>
      </c>
      <c r="C54" s="50" t="s">
        <v>366</v>
      </c>
      <c r="D54" s="49" t="str">
        <f>IND_Bal!$C$44</f>
        <v>INDCOA</v>
      </c>
      <c r="E54" s="49" t="str">
        <f t="shared" ref="E54:E61" si="13">$D$14</f>
        <v>ICHMCH</v>
      </c>
      <c r="F54" s="119">
        <f>IND_Bal!$C$127</f>
        <v>0</v>
      </c>
      <c r="G54" s="38">
        <f t="shared" ref="G54:G60" si="14">I54*F54/H54</f>
        <v>0</v>
      </c>
      <c r="H54" s="120">
        <f t="shared" ref="H54:H60" si="15">1/0.5</f>
        <v>2</v>
      </c>
      <c r="I54" s="58">
        <v>1</v>
      </c>
      <c r="J54" s="38">
        <f t="shared" ref="J54:J61" si="16">G54</f>
        <v>0</v>
      </c>
      <c r="K54" s="51">
        <v>30</v>
      </c>
      <c r="L54" s="51"/>
      <c r="M54" s="51"/>
      <c r="N54" s="26"/>
      <c r="O54" s="26"/>
      <c r="P54" s="26"/>
    </row>
    <row r="55" spans="1:16">
      <c r="A55" s="26"/>
      <c r="B55" s="49" t="str">
        <f t="shared" si="12"/>
        <v>ICHMCHCOK00</v>
      </c>
      <c r="C55" s="50" t="s">
        <v>368</v>
      </c>
      <c r="D55" s="49" t="str">
        <f>IND_Bal!$F$44</f>
        <v>INDCOK</v>
      </c>
      <c r="E55" s="49" t="str">
        <f t="shared" si="13"/>
        <v>ICHMCH</v>
      </c>
      <c r="F55" s="119">
        <f>IND_Bal!$F$127</f>
        <v>0</v>
      </c>
      <c r="G55" s="38">
        <f t="shared" si="14"/>
        <v>0</v>
      </c>
      <c r="H55" s="124">
        <f t="shared" si="15"/>
        <v>2</v>
      </c>
      <c r="I55" s="58">
        <v>1</v>
      </c>
      <c r="J55" s="38">
        <f t="shared" si="16"/>
        <v>0</v>
      </c>
      <c r="K55" s="51">
        <v>30</v>
      </c>
      <c r="L55" s="51"/>
      <c r="M55" s="51"/>
      <c r="N55" s="26"/>
      <c r="O55" s="26"/>
      <c r="P55" s="26"/>
    </row>
    <row r="56" spans="1:16">
      <c r="A56" s="26"/>
      <c r="B56" s="49" t="str">
        <f t="shared" si="12"/>
        <v>ICHMCHLPG00</v>
      </c>
      <c r="C56" s="50" t="s">
        <v>378</v>
      </c>
      <c r="D56" s="49" t="str">
        <f>IND_Bal!$H$44</f>
        <v>INDLPG</v>
      </c>
      <c r="E56" s="49" t="str">
        <f t="shared" si="13"/>
        <v>ICHMCH</v>
      </c>
      <c r="F56" s="119">
        <f>IND_Bal!$H$127</f>
        <v>0</v>
      </c>
      <c r="G56" s="38">
        <f t="shared" si="14"/>
        <v>0</v>
      </c>
      <c r="H56" s="124">
        <f t="shared" si="15"/>
        <v>2</v>
      </c>
      <c r="I56" s="58">
        <v>1</v>
      </c>
      <c r="J56" s="38">
        <f t="shared" si="16"/>
        <v>0</v>
      </c>
      <c r="K56" s="51">
        <v>30</v>
      </c>
      <c r="L56" s="51"/>
      <c r="M56" s="51"/>
      <c r="N56" s="26"/>
      <c r="O56" s="26"/>
      <c r="P56" s="26"/>
    </row>
    <row r="57" spans="1:16">
      <c r="A57" s="26"/>
      <c r="B57" s="49" t="str">
        <f t="shared" si="12"/>
        <v>ICHMCHLFO00</v>
      </c>
      <c r="C57" s="50" t="s">
        <v>376</v>
      </c>
      <c r="D57" s="49" t="str">
        <f>IND_Bal!$I$44</f>
        <v>INDLFO</v>
      </c>
      <c r="E57" s="49" t="str">
        <f t="shared" si="13"/>
        <v>ICHMCH</v>
      </c>
      <c r="F57" s="119">
        <f>IND_Bal!$I$127</f>
        <v>0</v>
      </c>
      <c r="G57" s="38">
        <f t="shared" si="14"/>
        <v>0</v>
      </c>
      <c r="H57" s="124">
        <f t="shared" si="15"/>
        <v>2</v>
      </c>
      <c r="I57" s="58">
        <v>1</v>
      </c>
      <c r="J57" s="38">
        <f t="shared" si="16"/>
        <v>0</v>
      </c>
      <c r="K57" s="51">
        <v>30</v>
      </c>
      <c r="L57" s="51"/>
      <c r="M57" s="51"/>
      <c r="N57" s="26"/>
      <c r="O57" s="26"/>
      <c r="P57" s="26"/>
    </row>
    <row r="58" spans="1:16">
      <c r="A58" s="26"/>
      <c r="B58" s="49" t="str">
        <f t="shared" si="12"/>
        <v>ICHMCHHFO00</v>
      </c>
      <c r="C58" s="50" t="s">
        <v>374</v>
      </c>
      <c r="D58" s="49" t="str">
        <f>IND_Bal!$K$44</f>
        <v>INDHFO</v>
      </c>
      <c r="E58" s="49" t="str">
        <f t="shared" si="13"/>
        <v>ICHMCH</v>
      </c>
      <c r="F58" s="119">
        <f>IND_Bal!$K$127</f>
        <v>0</v>
      </c>
      <c r="G58" s="38">
        <f t="shared" si="14"/>
        <v>0</v>
      </c>
      <c r="H58" s="124">
        <f t="shared" si="15"/>
        <v>2</v>
      </c>
      <c r="I58" s="58">
        <v>1</v>
      </c>
      <c r="J58" s="38">
        <f t="shared" si="16"/>
        <v>0</v>
      </c>
      <c r="K58" s="51">
        <v>30</v>
      </c>
      <c r="L58" s="51"/>
      <c r="M58" s="51"/>
      <c r="N58" s="26"/>
      <c r="O58" s="26"/>
      <c r="P58" s="26"/>
    </row>
    <row r="59" spans="1:16">
      <c r="A59" s="26"/>
      <c r="B59" s="49" t="str">
        <f t="shared" si="12"/>
        <v>ICHMCHGAS00</v>
      </c>
      <c r="C59" s="50" t="s">
        <v>372</v>
      </c>
      <c r="D59" s="49" t="str">
        <f>IND_Bal!$M$44</f>
        <v>INDGAS</v>
      </c>
      <c r="E59" s="49" t="str">
        <f t="shared" si="13"/>
        <v>ICHMCH</v>
      </c>
      <c r="F59" s="119">
        <f>IND_Bal!$M$127</f>
        <v>0</v>
      </c>
      <c r="G59" s="38">
        <f t="shared" si="14"/>
        <v>0</v>
      </c>
      <c r="H59" s="124">
        <f t="shared" si="15"/>
        <v>2</v>
      </c>
      <c r="I59" s="58">
        <v>1</v>
      </c>
      <c r="J59" s="38">
        <f t="shared" si="16"/>
        <v>0</v>
      </c>
      <c r="K59" s="51">
        <v>30</v>
      </c>
      <c r="L59" s="51"/>
      <c r="M59" s="51"/>
      <c r="N59" s="26"/>
      <c r="O59" s="26"/>
      <c r="P59" s="26"/>
    </row>
    <row r="60" spans="1:16">
      <c r="A60" s="26"/>
      <c r="B60" s="49" t="str">
        <f t="shared" si="12"/>
        <v>ICHMCHBIO00</v>
      </c>
      <c r="C60" s="50" t="s">
        <v>364</v>
      </c>
      <c r="D60" s="49" t="str">
        <f>IND_Bal!$R$44</f>
        <v>INDBIO</v>
      </c>
      <c r="E60" s="49" t="str">
        <f t="shared" si="13"/>
        <v>ICHMCH</v>
      </c>
      <c r="F60" s="119">
        <f>IND_Bal!$R$127</f>
        <v>0</v>
      </c>
      <c r="G60" s="38">
        <f t="shared" si="14"/>
        <v>0</v>
      </c>
      <c r="H60" s="124">
        <f t="shared" si="15"/>
        <v>2</v>
      </c>
      <c r="I60" s="58">
        <v>1</v>
      </c>
      <c r="J60" s="38">
        <f t="shared" si="16"/>
        <v>0</v>
      </c>
      <c r="K60" s="51">
        <v>30</v>
      </c>
      <c r="L60" s="51"/>
      <c r="M60" s="51"/>
      <c r="N60" s="26"/>
      <c r="O60" s="26"/>
      <c r="P60" s="26"/>
    </row>
    <row r="61" spans="1:16">
      <c r="A61" s="26"/>
      <c r="B61" s="49" t="str">
        <f t="shared" si="12"/>
        <v>ICHMCHELC00</v>
      </c>
      <c r="C61" s="50" t="s">
        <v>370</v>
      </c>
      <c r="D61" s="49" t="str">
        <f>IND_Bal!$U$44</f>
        <v>INDELC</v>
      </c>
      <c r="E61" s="49" t="str">
        <f t="shared" si="13"/>
        <v>ICHMCH</v>
      </c>
      <c r="F61" s="119">
        <f>IND_Bal!$U$127</f>
        <v>7.1523206245497821</v>
      </c>
      <c r="G61" s="38">
        <f>I61*F61/H61</f>
        <v>6.443532094188992</v>
      </c>
      <c r="H61" s="126">
        <v>1.1100000000000001</v>
      </c>
      <c r="I61" s="58">
        <v>1</v>
      </c>
      <c r="J61" s="38">
        <f t="shared" si="16"/>
        <v>6.443532094188992</v>
      </c>
      <c r="K61" s="51">
        <v>30</v>
      </c>
      <c r="L61" s="51"/>
      <c r="M61" s="51"/>
      <c r="N61" s="26"/>
      <c r="O61" s="26"/>
      <c r="P61" s="26"/>
    </row>
    <row r="62" spans="1:16" ht="13.5" thickBot="1">
      <c r="A62" s="26"/>
      <c r="B62" s="114" t="s">
        <v>1136</v>
      </c>
      <c r="C62" s="84"/>
      <c r="D62" s="84"/>
      <c r="E62" s="84"/>
      <c r="F62" s="115">
        <f>SUM(F54:F61)</f>
        <v>7.1523206245497821</v>
      </c>
      <c r="G62" s="115">
        <f>SUM(G54:G61)</f>
        <v>6.443532094188992</v>
      </c>
      <c r="H62" s="128"/>
      <c r="I62" s="128"/>
      <c r="J62" s="115">
        <f>SUM(J54:J61)</f>
        <v>6.443532094188992</v>
      </c>
      <c r="K62" s="84"/>
      <c r="L62" s="84"/>
      <c r="M62" s="84"/>
      <c r="N62" s="26"/>
      <c r="O62" s="26"/>
      <c r="P62" s="26"/>
    </row>
    <row r="63" spans="1:16">
      <c r="A63" s="26"/>
      <c r="B63" s="26"/>
      <c r="C63" s="26"/>
      <c r="D63" s="26"/>
      <c r="E63" s="26"/>
      <c r="F63" s="63"/>
      <c r="G63" s="26"/>
      <c r="H63" s="129"/>
      <c r="I63" s="26"/>
      <c r="J63" s="26"/>
      <c r="K63" s="26"/>
      <c r="L63" s="26"/>
      <c r="M63" s="26"/>
      <c r="N63" s="26"/>
      <c r="O63" s="26"/>
      <c r="P63" s="26"/>
    </row>
    <row r="64" spans="1:16">
      <c r="A64" s="26"/>
      <c r="B64" s="26"/>
      <c r="C64" s="26"/>
      <c r="D64" s="26"/>
      <c r="E64" s="40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>
      <c r="A65" s="26"/>
      <c r="B65" s="26"/>
      <c r="C65" s="26"/>
      <c r="D65" s="26"/>
      <c r="E65" s="40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ht="15">
      <c r="A66" s="26"/>
      <c r="B66" s="26"/>
      <c r="C66" s="26"/>
      <c r="D66" s="26"/>
      <c r="E66" s="130" t="str">
        <f>IF(F69=0,"","~FI_T")</f>
        <v/>
      </c>
      <c r="F66" s="117" t="s">
        <v>1137</v>
      </c>
      <c r="G66" s="117" t="s">
        <v>1137</v>
      </c>
      <c r="H66" s="131" t="s">
        <v>1137</v>
      </c>
      <c r="I66" s="117" t="s">
        <v>1137</v>
      </c>
      <c r="J66" s="117"/>
      <c r="K66" s="117"/>
      <c r="L66" s="26"/>
      <c r="M66" s="26"/>
      <c r="N66" s="26"/>
      <c r="O66" s="26"/>
      <c r="P66" s="26"/>
    </row>
    <row r="67" spans="1:16" ht="26.25" thickBot="1">
      <c r="A67" s="26"/>
      <c r="B67" s="47" t="s">
        <v>318</v>
      </c>
      <c r="C67" s="47" t="s">
        <v>327</v>
      </c>
      <c r="D67" s="47" t="s">
        <v>718</v>
      </c>
      <c r="E67" s="47" t="s">
        <v>719</v>
      </c>
      <c r="F67" s="48" t="s">
        <v>1138</v>
      </c>
      <c r="G67" s="48" t="s">
        <v>1139</v>
      </c>
      <c r="H67" s="48" t="s">
        <v>1111</v>
      </c>
      <c r="I67" s="48" t="s">
        <v>1112</v>
      </c>
      <c r="J67" s="48" t="s">
        <v>801</v>
      </c>
      <c r="K67" s="48" t="s">
        <v>727</v>
      </c>
      <c r="L67" s="48" t="s">
        <v>725</v>
      </c>
      <c r="M67" s="48" t="s">
        <v>724</v>
      </c>
      <c r="N67" s="26"/>
      <c r="O67" s="26"/>
      <c r="P67" s="26"/>
    </row>
    <row r="68" spans="1:16" ht="25.5">
      <c r="A68" s="26"/>
      <c r="B68" s="49" t="str">
        <f>LEFT(E68,6)&amp;RIGHT(D68,3)&amp;"00"</f>
        <v>ICHELEELC00</v>
      </c>
      <c r="C68" s="50" t="s">
        <v>361</v>
      </c>
      <c r="D68" s="49" t="str">
        <f>IND_Bal!$U$44</f>
        <v>INDELC</v>
      </c>
      <c r="E68" s="49" t="str">
        <f>$D$15</f>
        <v>ICHELE</v>
      </c>
      <c r="F68" s="119">
        <f>IND_Bal!$U$128</f>
        <v>0</v>
      </c>
      <c r="G68" s="38">
        <f>I68*F68/H68</f>
        <v>0</v>
      </c>
      <c r="H68" s="132">
        <v>1</v>
      </c>
      <c r="I68" s="58">
        <v>1</v>
      </c>
      <c r="J68" s="38">
        <f>G68</f>
        <v>0</v>
      </c>
      <c r="K68" s="51">
        <v>30</v>
      </c>
      <c r="L68" s="51"/>
      <c r="M68" s="51"/>
      <c r="N68" s="26"/>
      <c r="O68" s="26"/>
      <c r="P68" s="26"/>
    </row>
    <row r="69" spans="1:16" ht="13.5" thickBot="1">
      <c r="A69" s="26"/>
      <c r="B69" s="114" t="s">
        <v>1136</v>
      </c>
      <c r="C69" s="84"/>
      <c r="D69" s="84"/>
      <c r="E69" s="84"/>
      <c r="F69" s="115">
        <f>SUM(F68:F68)</f>
        <v>0</v>
      </c>
      <c r="G69" s="115">
        <f>SUM(G68:G68)</f>
        <v>0</v>
      </c>
      <c r="H69" s="128"/>
      <c r="I69" s="128"/>
      <c r="J69" s="115"/>
      <c r="K69" s="84"/>
      <c r="L69" s="84"/>
      <c r="M69" s="84"/>
      <c r="N69" s="26"/>
      <c r="O69" s="26"/>
      <c r="P69" s="26"/>
    </row>
    <row r="70" spans="1:16">
      <c r="A70" s="26"/>
      <c r="B70" s="26"/>
      <c r="C70" s="26"/>
      <c r="D70" s="26"/>
      <c r="E70" s="26"/>
      <c r="F70" s="63"/>
      <c r="G70" s="26"/>
      <c r="H70" s="129"/>
      <c r="I70" s="26"/>
      <c r="J70" s="26"/>
      <c r="K70" s="26"/>
      <c r="L70" s="26"/>
      <c r="M70" s="26"/>
      <c r="N70" s="26"/>
      <c r="O70" s="26"/>
      <c r="P70" s="26"/>
    </row>
    <row r="71" spans="1:16">
      <c r="A71" s="26"/>
      <c r="B71" s="113"/>
      <c r="C71" s="113"/>
      <c r="D71" s="113"/>
      <c r="E71" s="40"/>
      <c r="F71" s="113"/>
      <c r="G71" s="113"/>
      <c r="H71" s="113"/>
      <c r="I71" s="113"/>
      <c r="J71" s="113"/>
      <c r="K71" s="113"/>
      <c r="L71" s="113"/>
      <c r="M71" s="113"/>
      <c r="N71" s="26"/>
      <c r="O71" s="26"/>
      <c r="P71" s="26"/>
    </row>
    <row r="72" spans="1:16">
      <c r="A72" s="26"/>
      <c r="B72" s="113"/>
      <c r="C72" s="26"/>
      <c r="D72" s="26"/>
      <c r="E72" s="40"/>
      <c r="F72" s="113"/>
      <c r="G72" s="113"/>
      <c r="H72" s="113"/>
      <c r="I72" s="113"/>
      <c r="J72" s="113"/>
      <c r="K72" s="113"/>
      <c r="L72" s="113"/>
      <c r="M72" s="113"/>
      <c r="N72" s="26"/>
      <c r="O72" s="26"/>
      <c r="P72" s="26"/>
    </row>
    <row r="73" spans="1:16" ht="15">
      <c r="A73" s="26"/>
      <c r="B73" s="26"/>
      <c r="C73" s="26"/>
      <c r="D73" s="26"/>
      <c r="E73" s="130" t="str">
        <f>IF(F90=0,"","~FI_T")</f>
        <v/>
      </c>
      <c r="F73" s="133" t="s">
        <v>1137</v>
      </c>
      <c r="G73" s="117" t="s">
        <v>1137</v>
      </c>
      <c r="H73" s="131" t="s">
        <v>1137</v>
      </c>
      <c r="I73" s="117" t="s">
        <v>1137</v>
      </c>
      <c r="J73" s="133"/>
      <c r="K73" s="133"/>
      <c r="L73" s="113"/>
      <c r="M73" s="113"/>
      <c r="N73" s="26"/>
      <c r="O73" s="26"/>
      <c r="P73" s="26"/>
    </row>
    <row r="74" spans="1:16" ht="26.25" thickBot="1">
      <c r="A74" s="26"/>
      <c r="B74" s="47" t="s">
        <v>318</v>
      </c>
      <c r="C74" s="47" t="s">
        <v>327</v>
      </c>
      <c r="D74" s="47" t="s">
        <v>718</v>
      </c>
      <c r="E74" s="47" t="s">
        <v>719</v>
      </c>
      <c r="F74" s="134" t="s">
        <v>1138</v>
      </c>
      <c r="G74" s="134" t="s">
        <v>1139</v>
      </c>
      <c r="H74" s="134" t="s">
        <v>1142</v>
      </c>
      <c r="I74" s="134" t="s">
        <v>1143</v>
      </c>
      <c r="J74" s="134" t="s">
        <v>801</v>
      </c>
      <c r="K74" s="134" t="s">
        <v>727</v>
      </c>
      <c r="L74" s="134" t="s">
        <v>725</v>
      </c>
      <c r="M74" s="470"/>
      <c r="N74" s="26"/>
      <c r="O74" s="26"/>
      <c r="P74" s="26"/>
    </row>
    <row r="75" spans="1:16">
      <c r="A75" s="26"/>
      <c r="B75" s="109" t="s">
        <v>379</v>
      </c>
      <c r="C75" s="135" t="s">
        <v>380</v>
      </c>
      <c r="D75" s="125" t="str">
        <f>IF(F75&gt;0,IND_Bal!$C$44,"")</f>
        <v/>
      </c>
      <c r="E75" s="49" t="str">
        <f>$D$16</f>
        <v>ICHOTH</v>
      </c>
      <c r="F75" s="119">
        <f>IND_Bal!$C$129</f>
        <v>0</v>
      </c>
      <c r="G75" s="39"/>
      <c r="H75" s="39" t="str">
        <f t="shared" ref="H75:H89" si="17">IF($F$90*F75&gt;0,F75/$F$90,"")</f>
        <v/>
      </c>
      <c r="I75" s="137"/>
      <c r="J75" s="136"/>
      <c r="K75" s="42"/>
      <c r="L75" s="42"/>
      <c r="M75" s="470"/>
      <c r="N75" s="26"/>
      <c r="O75" s="26"/>
      <c r="P75" s="26"/>
    </row>
    <row r="76" spans="1:16">
      <c r="A76" s="26"/>
      <c r="B76" s="109"/>
      <c r="C76" s="135" t="str">
        <f t="shared" ref="C76:C89" si="18">IF(F76&lt;=0,"*","")</f>
        <v>*</v>
      </c>
      <c r="D76" s="49" t="str">
        <f>IND_Bal!$D$44</f>
        <v>INDPEA</v>
      </c>
      <c r="E76" s="109"/>
      <c r="F76" s="119">
        <f>IND_Bal!$D$129</f>
        <v>0</v>
      </c>
      <c r="G76" s="39"/>
      <c r="H76" s="39" t="str">
        <f t="shared" si="17"/>
        <v/>
      </c>
      <c r="I76" s="137"/>
      <c r="J76" s="136"/>
      <c r="K76" s="42"/>
      <c r="L76" s="42"/>
      <c r="M76" s="470"/>
      <c r="N76" s="26"/>
      <c r="O76" s="26"/>
      <c r="P76" s="26"/>
    </row>
    <row r="77" spans="1:16">
      <c r="A77" s="26"/>
      <c r="B77" s="109"/>
      <c r="C77" s="135" t="str">
        <f t="shared" si="18"/>
        <v>*</v>
      </c>
      <c r="D77" s="49" t="str">
        <f>IND_Bal!$E$44</f>
        <v>INDCOH</v>
      </c>
      <c r="E77" s="109"/>
      <c r="F77" s="119">
        <f>IND_Bal!$E$129</f>
        <v>0</v>
      </c>
      <c r="G77" s="39"/>
      <c r="H77" s="39" t="str">
        <f t="shared" si="17"/>
        <v/>
      </c>
      <c r="I77" s="137"/>
      <c r="J77" s="136"/>
      <c r="K77" s="42"/>
      <c r="L77" s="42"/>
      <c r="M77" s="470"/>
      <c r="N77" s="26"/>
      <c r="O77" s="26"/>
      <c r="P77" s="26"/>
    </row>
    <row r="78" spans="1:16">
      <c r="A78" s="26"/>
      <c r="B78" s="109"/>
      <c r="C78" s="135" t="str">
        <f t="shared" si="18"/>
        <v>*</v>
      </c>
      <c r="D78" s="49" t="str">
        <f>IND_Bal!$F$44</f>
        <v>INDCOK</v>
      </c>
      <c r="E78" s="109"/>
      <c r="F78" s="119">
        <f>IND_Bal!$F$129</f>
        <v>0</v>
      </c>
      <c r="G78" s="39"/>
      <c r="H78" s="39" t="str">
        <f t="shared" si="17"/>
        <v/>
      </c>
      <c r="I78" s="137"/>
      <c r="J78" s="136"/>
      <c r="K78" s="42"/>
      <c r="L78" s="42"/>
      <c r="M78" s="470"/>
      <c r="N78" s="26"/>
      <c r="O78" s="26"/>
      <c r="P78" s="26"/>
    </row>
    <row r="79" spans="1:16">
      <c r="A79" s="26"/>
      <c r="B79" s="109"/>
      <c r="C79" s="135" t="str">
        <f t="shared" si="18"/>
        <v>*</v>
      </c>
      <c r="D79" s="49" t="str">
        <f>IND_Bal!$G$44</f>
        <v>INDRFG</v>
      </c>
      <c r="E79" s="109"/>
      <c r="F79" s="119">
        <f>IND_Bal!$G$129</f>
        <v>0</v>
      </c>
      <c r="G79" s="39"/>
      <c r="H79" s="39" t="str">
        <f t="shared" si="17"/>
        <v/>
      </c>
      <c r="I79" s="137"/>
      <c r="J79" s="136"/>
      <c r="K79" s="42"/>
      <c r="L79" s="42"/>
      <c r="M79" s="470"/>
      <c r="N79" s="26"/>
      <c r="O79" s="26"/>
      <c r="P79" s="26"/>
    </row>
    <row r="80" spans="1:16">
      <c r="A80" s="26"/>
      <c r="B80" s="109"/>
      <c r="C80" s="135" t="str">
        <f t="shared" si="18"/>
        <v>*</v>
      </c>
      <c r="D80" s="49" t="str">
        <f>IND_Bal!$H$44</f>
        <v>INDLPG</v>
      </c>
      <c r="E80" s="109"/>
      <c r="F80" s="119">
        <f>IND_Bal!$H$129</f>
        <v>0</v>
      </c>
      <c r="G80" s="39"/>
      <c r="H80" s="39" t="str">
        <f t="shared" si="17"/>
        <v/>
      </c>
      <c r="I80" s="137"/>
      <c r="J80" s="136"/>
      <c r="K80" s="42"/>
      <c r="L80" s="42"/>
      <c r="M80" s="470"/>
      <c r="N80" s="26"/>
      <c r="O80" s="26"/>
      <c r="P80" s="26"/>
    </row>
    <row r="81" spans="1:16">
      <c r="A81" s="26"/>
      <c r="B81" s="109"/>
      <c r="C81" s="135" t="str">
        <f t="shared" si="18"/>
        <v>*</v>
      </c>
      <c r="D81" s="49" t="str">
        <f>IND_Bal!$I$44</f>
        <v>INDLFO</v>
      </c>
      <c r="E81" s="109"/>
      <c r="F81" s="119">
        <f>IND_Bal!$I$129</f>
        <v>0</v>
      </c>
      <c r="G81" s="39"/>
      <c r="H81" s="39" t="str">
        <f t="shared" si="17"/>
        <v/>
      </c>
      <c r="I81" s="137"/>
      <c r="J81" s="136"/>
      <c r="K81" s="42"/>
      <c r="L81" s="42"/>
      <c r="M81" s="470"/>
      <c r="N81" s="26"/>
      <c r="O81" s="26"/>
      <c r="P81" s="26"/>
    </row>
    <row r="82" spans="1:16">
      <c r="A82" s="26"/>
      <c r="B82" s="109"/>
      <c r="C82" s="135" t="str">
        <f t="shared" si="18"/>
        <v>*</v>
      </c>
      <c r="D82" s="49" t="str">
        <f>IND_Bal!$J$44</f>
        <v>INDNAP</v>
      </c>
      <c r="E82" s="109"/>
      <c r="F82" s="119">
        <f>IND_Bal!$J$129</f>
        <v>0</v>
      </c>
      <c r="G82" s="39"/>
      <c r="H82" s="39" t="str">
        <f t="shared" si="17"/>
        <v/>
      </c>
      <c r="I82" s="137"/>
      <c r="J82" s="136"/>
      <c r="K82" s="42"/>
      <c r="L82" s="42"/>
      <c r="M82" s="470"/>
      <c r="N82" s="26"/>
      <c r="O82" s="26"/>
      <c r="P82" s="26"/>
    </row>
    <row r="83" spans="1:16">
      <c r="A83" s="26"/>
      <c r="B83" s="109"/>
      <c r="C83" s="135" t="str">
        <f t="shared" si="18"/>
        <v>*</v>
      </c>
      <c r="D83" s="49" t="str">
        <f>IND_Bal!$K$44</f>
        <v>INDHFO</v>
      </c>
      <c r="E83" s="109"/>
      <c r="F83" s="119">
        <f>IND_Bal!$K$129</f>
        <v>0</v>
      </c>
      <c r="G83" s="39"/>
      <c r="H83" s="39" t="str">
        <f t="shared" si="17"/>
        <v/>
      </c>
      <c r="I83" s="137"/>
      <c r="J83" s="136"/>
      <c r="K83" s="42"/>
      <c r="L83" s="42"/>
      <c r="M83" s="470"/>
      <c r="N83" s="26"/>
      <c r="O83" s="26"/>
      <c r="P83" s="26"/>
    </row>
    <row r="84" spans="1:16">
      <c r="A84" s="26"/>
      <c r="B84" s="109"/>
      <c r="C84" s="135" t="str">
        <f t="shared" si="18"/>
        <v>*</v>
      </c>
      <c r="D84" s="49" t="str">
        <f>IND_Bal!$M$44</f>
        <v>INDGAS</v>
      </c>
      <c r="E84" s="109"/>
      <c r="F84" s="119">
        <f>IND_Bal!$M$129</f>
        <v>0</v>
      </c>
      <c r="G84" s="39"/>
      <c r="H84" s="39" t="str">
        <f t="shared" si="17"/>
        <v/>
      </c>
      <c r="I84" s="138"/>
      <c r="J84" s="136"/>
      <c r="K84" s="42"/>
      <c r="L84" s="139"/>
      <c r="M84" s="470"/>
      <c r="N84" s="26"/>
      <c r="O84" s="26"/>
      <c r="P84" s="26"/>
    </row>
    <row r="85" spans="1:16">
      <c r="A85" s="26"/>
      <c r="B85" s="109"/>
      <c r="C85" s="135" t="str">
        <f t="shared" si="18"/>
        <v>*</v>
      </c>
      <c r="D85" s="49" t="str">
        <f>IND_Bal!$N$44</f>
        <v>INDCOG</v>
      </c>
      <c r="E85" s="109"/>
      <c r="F85" s="119">
        <f>IND_Bal!$N$129</f>
        <v>0</v>
      </c>
      <c r="G85" s="39"/>
      <c r="H85" s="39" t="str">
        <f t="shared" si="17"/>
        <v/>
      </c>
      <c r="I85" s="137"/>
      <c r="J85" s="136"/>
      <c r="K85" s="42"/>
      <c r="L85" s="42"/>
      <c r="M85" s="470"/>
      <c r="N85" s="26"/>
      <c r="O85" s="26"/>
      <c r="P85" s="26"/>
    </row>
    <row r="86" spans="1:16">
      <c r="A86" s="26"/>
      <c r="B86" s="109"/>
      <c r="C86" s="135" t="str">
        <f t="shared" si="18"/>
        <v>*</v>
      </c>
      <c r="D86" s="49" t="str">
        <f>IND_Bal!$R$44</f>
        <v>INDBIO</v>
      </c>
      <c r="E86" s="109"/>
      <c r="F86" s="119">
        <f>IND_Bal!$R$129</f>
        <v>0</v>
      </c>
      <c r="G86" s="39"/>
      <c r="H86" s="39" t="str">
        <f t="shared" si="17"/>
        <v/>
      </c>
      <c r="I86" s="138"/>
      <c r="J86" s="136"/>
      <c r="K86" s="42"/>
      <c r="L86" s="139"/>
      <c r="M86" s="470"/>
      <c r="N86" s="26"/>
      <c r="O86" s="26"/>
      <c r="P86" s="26"/>
    </row>
    <row r="87" spans="1:16">
      <c r="A87" s="26"/>
      <c r="B87" s="109"/>
      <c r="C87" s="135" t="str">
        <f t="shared" si="18"/>
        <v>*</v>
      </c>
      <c r="D87" s="49" t="str">
        <f>IND_Bal!$T$44</f>
        <v>INDWASL</v>
      </c>
      <c r="E87" s="109"/>
      <c r="F87" s="119">
        <f>IND_Bal!$T$129</f>
        <v>0</v>
      </c>
      <c r="G87" s="39"/>
      <c r="H87" s="39"/>
      <c r="I87" s="39" t="str">
        <f>IF($F$90*F87&gt;0,F87/$F$90,"")</f>
        <v/>
      </c>
      <c r="J87" s="136"/>
      <c r="K87" s="42"/>
      <c r="L87" s="139"/>
      <c r="M87" s="470"/>
      <c r="N87" s="26"/>
      <c r="O87" s="26"/>
      <c r="P87" s="26"/>
    </row>
    <row r="88" spans="1:16">
      <c r="A88" s="26"/>
      <c r="B88" s="109"/>
      <c r="C88" s="135" t="str">
        <f t="shared" si="18"/>
        <v>*</v>
      </c>
      <c r="D88" s="125" t="s">
        <v>288</v>
      </c>
      <c r="E88" s="109"/>
      <c r="F88" s="119">
        <f>IND_Bal!$V$129</f>
        <v>0</v>
      </c>
      <c r="G88" s="39"/>
      <c r="H88" s="39" t="str">
        <f t="shared" si="17"/>
        <v/>
      </c>
      <c r="I88" s="138"/>
      <c r="J88" s="136"/>
      <c r="K88" s="42"/>
      <c r="L88" s="139"/>
      <c r="M88" s="470"/>
      <c r="N88" s="26"/>
      <c r="O88" s="26"/>
      <c r="P88" s="26"/>
    </row>
    <row r="89" spans="1:16">
      <c r="A89" s="26"/>
      <c r="B89" s="109"/>
      <c r="C89" s="135" t="str">
        <f t="shared" si="18"/>
        <v>*</v>
      </c>
      <c r="D89" s="49" t="str">
        <f>IND_Bal!$U$44</f>
        <v>INDELC</v>
      </c>
      <c r="E89" s="109"/>
      <c r="F89" s="119">
        <f>IND_Bal!$U$129</f>
        <v>0</v>
      </c>
      <c r="G89" s="39"/>
      <c r="H89" s="39" t="str">
        <f t="shared" si="17"/>
        <v/>
      </c>
      <c r="I89" s="138"/>
      <c r="J89" s="136"/>
      <c r="K89" s="42"/>
      <c r="L89" s="139"/>
      <c r="M89" s="470"/>
      <c r="N89" s="26"/>
      <c r="O89" s="26"/>
      <c r="P89" s="26"/>
    </row>
    <row r="90" spans="1:16" ht="13.5" thickBot="1">
      <c r="A90" s="26"/>
      <c r="B90" s="114" t="s">
        <v>1136</v>
      </c>
      <c r="C90" s="84"/>
      <c r="D90" s="84"/>
      <c r="E90" s="84"/>
      <c r="F90" s="140">
        <f>SUMIF(F75:F89,"&gt;0",F75:F89)</f>
        <v>0</v>
      </c>
      <c r="G90" s="140">
        <f>F90</f>
        <v>0</v>
      </c>
      <c r="H90" s="141"/>
      <c r="I90" s="141"/>
      <c r="J90" s="140"/>
      <c r="K90" s="142"/>
      <c r="L90" s="142"/>
      <c r="M90" s="470"/>
      <c r="N90" s="26"/>
      <c r="O90" s="26"/>
      <c r="P90" s="26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9" ma:contentTypeDescription="Create a new document." ma:contentTypeScope="" ma:versionID="e65a81a2b168daca9e55ef64af43d0c8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04e5c3f63ef199a395775dc61bce0287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79EA3D-D72C-48E9-9B64-61D92B8A6A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E59059-12AA-490F-B5C2-4584F899C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0C03E2-E316-4827-8EC2-C834146375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EB2018</vt:lpstr>
      <vt:lpstr>IND_Bal</vt:lpstr>
      <vt:lpstr>IND_Processes</vt:lpstr>
      <vt:lpstr>IND_Fuel</vt:lpstr>
      <vt:lpstr>IND_Commodities</vt:lpstr>
      <vt:lpstr>CHP</vt:lpstr>
      <vt:lpstr>IIS</vt:lpstr>
      <vt:lpstr>IAM  ICL</vt:lpstr>
      <vt:lpstr>ICH</vt:lpstr>
      <vt:lpstr>IPP</vt:lpstr>
      <vt:lpstr>IAL  ICU</vt:lpstr>
      <vt:lpstr>INF</vt:lpstr>
      <vt:lpstr>ICM  ILM  IGH  IGF</vt:lpstr>
      <vt:lpstr>INM</vt:lpstr>
      <vt:lpstr>IOI</vt:lpstr>
      <vt:lpstr>NEC</vt:lpstr>
      <vt:lpstr>NEO</vt:lpstr>
      <vt:lpstr>MIN_Mat</vt:lpstr>
      <vt:lpstr>EMI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KanORS</dc:creator>
  <cp:keywords/>
  <dc:description/>
  <cp:lastModifiedBy>Olex</cp:lastModifiedBy>
  <cp:revision/>
  <dcterms:created xsi:type="dcterms:W3CDTF">2008-02-11T06:46:23Z</dcterms:created>
  <dcterms:modified xsi:type="dcterms:W3CDTF">2020-11-02T15:48:37Z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12345</vt:lpwstr>
  </property>
  <property fmtid="{D5CDD505-2E9C-101B-9397-08002B2CF9AE}" pid="4" name="ContentTypeId">
    <vt:lpwstr>0x01010087B74FDAF7A4FB4D876E5EA45926113E</vt:lpwstr>
  </property>
  <property fmtid="{D5CDD505-2E9C-101B-9397-08002B2CF9AE}" pid="5" name="SaveCode">
    <vt:r8>314388453960418</vt:r8>
  </property>
</Properties>
</file>