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codeName="ThisWorkbook"/>
  <mc:AlternateContent xmlns:mc="http://schemas.openxmlformats.org/markup-compatibility/2006">
    <mc:Choice Requires="x15">
      <x15ac:absPath xmlns:x15ac="http://schemas.microsoft.com/office/spreadsheetml/2010/11/ac" url="C:\Irish-TIMES-model\"/>
    </mc:Choice>
  </mc:AlternateContent>
  <xr:revisionPtr revIDLastSave="0" documentId="13_ncr:1_{387B1B4F-B0CA-4C6E-A3A7-576A3CBEDE1E}" xr6:coauthVersionLast="45" xr6:coauthVersionMax="45" xr10:uidLastSave="{00000000-0000-0000-0000-000000000000}"/>
  <bookViews>
    <workbookView xWindow="-108" yWindow="-108" windowWidth="23256" windowHeight="12576" firstSheet="3" activeTab="7" xr2:uid="{00000000-000D-0000-FFFF-FFFF00000000}"/>
  </bookViews>
  <sheets>
    <sheet name="Cover" sheetId="55" r:id="rId1"/>
    <sheet name="Intro" sheetId="57" r:id="rId2"/>
    <sheet name="EB2018" sheetId="56" r:id="rId3"/>
    <sheet name="Regions" sheetId="67" r:id="rId4"/>
    <sheet name="Primary" sheetId="64" r:id="rId5"/>
    <sheet name="Secondary" sheetId="65" r:id="rId6"/>
    <sheet name="Commodities" sheetId="40" r:id="rId7"/>
    <sheet name="Blending" sheetId="68" r:id="rId8"/>
    <sheet name="Stock" sheetId="59" r:id="rId9"/>
    <sheet name="Demands" sheetId="43" r:id="rId10"/>
    <sheet name="On-Road Fac." sheetId="63" r:id="rId11"/>
    <sheet name="ACT2FLO" sheetId="58" r:id="rId12"/>
    <sheet name="Efficiency" sheetId="60" r:id="rId13"/>
    <sheet name="AF" sheetId="61" r:id="rId14"/>
  </sheets>
  <definedNames>
    <definedName name="__123Graph_AEUMILKPN" hidden="1">#REF!</definedName>
    <definedName name="_Regression_Y" hidden="1">#REF!</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17" i="68" l="1"/>
  <c r="O16" i="68"/>
  <c r="O15" i="68"/>
  <c r="O14" i="68"/>
  <c r="N17" i="68"/>
  <c r="N16" i="68"/>
  <c r="N15" i="68"/>
  <c r="N14" i="68"/>
  <c r="C137" i="43" l="1"/>
  <c r="E137" i="43"/>
  <c r="L15" i="68" l="1"/>
  <c r="K15" i="68"/>
  <c r="J15" i="68"/>
  <c r="I15" i="68"/>
  <c r="H15" i="68"/>
  <c r="L12" i="68"/>
  <c r="K12" i="68"/>
  <c r="J12" i="68"/>
  <c r="I12" i="68"/>
  <c r="H12" i="68"/>
  <c r="L9" i="68"/>
  <c r="K9" i="68"/>
  <c r="J9" i="68"/>
  <c r="I9" i="68"/>
  <c r="H9" i="68"/>
  <c r="I6" i="68"/>
  <c r="J6" i="68"/>
  <c r="K6" i="68"/>
  <c r="L6" i="68"/>
  <c r="H6" i="68"/>
  <c r="E16" i="68" l="1"/>
  <c r="D14" i="68"/>
  <c r="C14" i="68"/>
  <c r="D15" i="68"/>
  <c r="G139" i="59" l="1"/>
  <c r="H139" i="59" s="1"/>
  <c r="I139" i="59" s="1"/>
  <c r="J139" i="59" s="1"/>
  <c r="K139" i="59" s="1"/>
  <c r="L139" i="59" s="1"/>
  <c r="M139" i="59" s="1"/>
  <c r="N139" i="59" s="1"/>
  <c r="O139" i="59" s="1"/>
  <c r="P139" i="59" s="1"/>
  <c r="Q139" i="59" s="1"/>
  <c r="R139" i="59" s="1"/>
  <c r="S139" i="59" s="1"/>
  <c r="T139" i="59" s="1"/>
  <c r="U139" i="59" s="1"/>
  <c r="V139" i="59" s="1"/>
  <c r="W139" i="59" s="1"/>
  <c r="X139" i="59" s="1"/>
  <c r="Y139" i="59" s="1"/>
  <c r="Z139" i="59" s="1"/>
  <c r="AA139" i="59" s="1"/>
  <c r="AB139" i="59" s="1"/>
  <c r="AC139" i="59" s="1"/>
  <c r="AD139" i="59" s="1"/>
  <c r="AE139" i="59" s="1"/>
  <c r="F140" i="59"/>
  <c r="G140" i="59" s="1"/>
  <c r="H140" i="59" s="1"/>
  <c r="I140" i="59" s="1"/>
  <c r="J140" i="59" s="1"/>
  <c r="K140" i="59" s="1"/>
  <c r="L140" i="59" s="1"/>
  <c r="M140" i="59" s="1"/>
  <c r="N140" i="59" s="1"/>
  <c r="O140" i="59" s="1"/>
  <c r="P140" i="59" s="1"/>
  <c r="Q140" i="59" s="1"/>
  <c r="R140" i="59" s="1"/>
  <c r="S140" i="59" s="1"/>
  <c r="T140" i="59" s="1"/>
  <c r="U140" i="59" s="1"/>
  <c r="V140" i="59" s="1"/>
  <c r="W140" i="59" s="1"/>
  <c r="X140" i="59" s="1"/>
  <c r="Y140" i="59" s="1"/>
  <c r="Z140" i="59" s="1"/>
  <c r="AA140" i="59" s="1"/>
  <c r="AB140" i="59" s="1"/>
  <c r="AC140" i="59" s="1"/>
  <c r="AD140" i="59" s="1"/>
  <c r="AE140" i="59" s="1"/>
  <c r="F139" i="59"/>
  <c r="AH139" i="59"/>
  <c r="E139" i="59"/>
  <c r="E140" i="59"/>
  <c r="A140" i="59"/>
  <c r="AH140" i="59" s="1"/>
  <c r="B140" i="59"/>
  <c r="AI140" i="59" s="1"/>
  <c r="B139" i="59"/>
  <c r="AI139" i="59" s="1"/>
  <c r="A139" i="59"/>
  <c r="B138" i="59"/>
  <c r="AI138" i="59" s="1"/>
  <c r="A138" i="59"/>
  <c r="AH138" i="59" s="1"/>
  <c r="C54" i="59"/>
  <c r="B137" i="59"/>
  <c r="B136" i="59"/>
  <c r="A137" i="59"/>
  <c r="A136" i="59"/>
  <c r="C55" i="59" l="1"/>
  <c r="C78" i="59"/>
  <c r="C77" i="59"/>
  <c r="C76" i="59"/>
  <c r="C74" i="59"/>
  <c r="C73" i="59"/>
  <c r="C70" i="59"/>
  <c r="C66" i="59"/>
  <c r="C63" i="59"/>
  <c r="C57" i="59"/>
  <c r="C53" i="59"/>
  <c r="C72" i="59"/>
  <c r="C64" i="59"/>
  <c r="C62" i="59"/>
  <c r="C56" i="59"/>
  <c r="C52" i="59"/>
  <c r="C50" i="59"/>
  <c r="I5" i="68"/>
  <c r="E13" i="68"/>
  <c r="D12" i="68"/>
  <c r="D11" i="68"/>
  <c r="E10" i="68"/>
  <c r="D9" i="68"/>
  <c r="D8" i="68"/>
  <c r="J8" i="68"/>
  <c r="J5" i="68"/>
  <c r="M51" i="68"/>
  <c r="N51" i="68" s="1"/>
  <c r="O51" i="68" s="1"/>
  <c r="P51" i="68" s="1"/>
  <c r="Q51" i="68" s="1"/>
  <c r="R51" i="68" s="1"/>
  <c r="S51" i="68" s="1"/>
  <c r="T51" i="68" s="1"/>
  <c r="U51" i="68" s="1"/>
  <c r="W51" i="68"/>
  <c r="X51" i="68" s="1"/>
  <c r="Y51" i="68" s="1"/>
  <c r="Z51" i="68" s="1"/>
  <c r="AA51" i="68" s="1"/>
  <c r="AB51" i="68" s="1"/>
  <c r="AC51" i="68" s="1"/>
  <c r="AD51" i="68" s="1"/>
  <c r="AE51" i="68" s="1"/>
  <c r="AF51" i="68" s="1"/>
  <c r="K51" i="68"/>
  <c r="D51" i="68"/>
  <c r="E51" i="68"/>
  <c r="F51" i="68"/>
  <c r="G51" i="68"/>
  <c r="H51" i="68"/>
  <c r="I51" i="68"/>
  <c r="J51" i="68"/>
  <c r="H5" i="68" s="1"/>
  <c r="D52" i="68"/>
  <c r="E52" i="68"/>
  <c r="F52" i="68"/>
  <c r="G52" i="68"/>
  <c r="H52" i="68"/>
  <c r="I52" i="68"/>
  <c r="J52" i="68"/>
  <c r="H8" i="68" s="1"/>
  <c r="K52" i="68"/>
  <c r="L52" i="68" s="1"/>
  <c r="M52" i="68" s="1"/>
  <c r="N52" i="68" s="1"/>
  <c r="O52" i="68" s="1"/>
  <c r="P52" i="68" s="1"/>
  <c r="Q52" i="68" s="1"/>
  <c r="R52" i="68" s="1"/>
  <c r="S52" i="68" s="1"/>
  <c r="T52" i="68" s="1"/>
  <c r="U52" i="68" s="1"/>
  <c r="C52" i="68"/>
  <c r="C51" i="68"/>
  <c r="B52" i="68"/>
  <c r="B51" i="68"/>
  <c r="B41" i="68"/>
  <c r="B39" i="68"/>
  <c r="W52" i="68"/>
  <c r="X52" i="68" s="1"/>
  <c r="Y52" i="68" s="1"/>
  <c r="Z52" i="68" s="1"/>
  <c r="AA52" i="68" s="1"/>
  <c r="AB52" i="68" s="1"/>
  <c r="AC52" i="68" s="1"/>
  <c r="AD52" i="68" s="1"/>
  <c r="AE52" i="68" s="1"/>
  <c r="AF52" i="68" s="1"/>
  <c r="AG52" i="68" s="1"/>
  <c r="AH52" i="68" s="1"/>
  <c r="AI52" i="68" s="1"/>
  <c r="AJ52" i="68" s="1"/>
  <c r="AK52" i="68" s="1"/>
  <c r="AL52" i="68" s="1"/>
  <c r="AM52" i="68" s="1"/>
  <c r="AN52" i="68" s="1"/>
  <c r="AO52" i="68" s="1"/>
  <c r="AP52" i="68" s="1"/>
  <c r="L8" i="68" s="1"/>
  <c r="E7" i="68"/>
  <c r="D6" i="68"/>
  <c r="D5" i="68"/>
  <c r="C5" i="68"/>
  <c r="B40" i="68"/>
  <c r="B38" i="68"/>
  <c r="C11" i="68"/>
  <c r="C8" i="68"/>
  <c r="AG51" i="68" l="1"/>
  <c r="AH51" i="68" s="1"/>
  <c r="AI51" i="68" s="1"/>
  <c r="AJ51" i="68" s="1"/>
  <c r="AK51" i="68" s="1"/>
  <c r="AL51" i="68" s="1"/>
  <c r="AM51" i="68" s="1"/>
  <c r="AN51" i="68" s="1"/>
  <c r="AO51" i="68" s="1"/>
  <c r="AP51" i="68" s="1"/>
  <c r="L5" i="68" s="1"/>
  <c r="K5" i="68"/>
  <c r="I8" i="68"/>
  <c r="K8" i="68"/>
  <c r="E6" i="61"/>
  <c r="F6" i="61"/>
  <c r="G6" i="61"/>
  <c r="H6" i="61"/>
  <c r="I6" i="61"/>
  <c r="J6" i="61"/>
  <c r="K6" i="61"/>
  <c r="L6" i="61"/>
  <c r="M6" i="61"/>
  <c r="N6" i="61"/>
  <c r="O6" i="61"/>
  <c r="P6" i="61"/>
  <c r="Q6" i="61"/>
  <c r="R6" i="61"/>
  <c r="S6" i="61"/>
  <c r="T6" i="61"/>
  <c r="U6" i="61"/>
  <c r="V6" i="61"/>
  <c r="W6" i="61"/>
  <c r="X6" i="61"/>
  <c r="Y6" i="61"/>
  <c r="Z6" i="61"/>
  <c r="AA6" i="61"/>
  <c r="AB6" i="61"/>
  <c r="AC6" i="61"/>
  <c r="AD6" i="61"/>
  <c r="E7" i="61"/>
  <c r="F7" i="61"/>
  <c r="G7" i="61"/>
  <c r="H7" i="61"/>
  <c r="I7" i="61"/>
  <c r="J7" i="61"/>
  <c r="K7" i="61"/>
  <c r="L7" i="61"/>
  <c r="M7" i="61"/>
  <c r="N7" i="61"/>
  <c r="O7" i="61"/>
  <c r="P7" i="61"/>
  <c r="Q7" i="61"/>
  <c r="R7" i="61"/>
  <c r="S7" i="61"/>
  <c r="T7" i="61"/>
  <c r="U7" i="61"/>
  <c r="V7" i="61"/>
  <c r="W7" i="61"/>
  <c r="X7" i="61"/>
  <c r="Y7" i="61"/>
  <c r="Z7" i="61"/>
  <c r="AA7" i="61"/>
  <c r="AB7" i="61"/>
  <c r="AC7" i="61"/>
  <c r="AD7" i="61"/>
  <c r="E8" i="61"/>
  <c r="F8" i="61"/>
  <c r="G8" i="61"/>
  <c r="H8" i="61"/>
  <c r="I8" i="61"/>
  <c r="J8" i="61"/>
  <c r="K8" i="61"/>
  <c r="L8" i="61"/>
  <c r="M8" i="61"/>
  <c r="N8" i="61"/>
  <c r="O8" i="61"/>
  <c r="P8" i="61"/>
  <c r="Q8" i="61"/>
  <c r="R8" i="61"/>
  <c r="S8" i="61"/>
  <c r="T8" i="61"/>
  <c r="U8" i="61"/>
  <c r="V8" i="61"/>
  <c r="W8" i="61"/>
  <c r="X8" i="61"/>
  <c r="Y8" i="61"/>
  <c r="Z8" i="61"/>
  <c r="AA8" i="61"/>
  <c r="AB8" i="61"/>
  <c r="AC8" i="61"/>
  <c r="AD8" i="61"/>
  <c r="E9" i="61"/>
  <c r="F9" i="61"/>
  <c r="G9" i="61"/>
  <c r="H9" i="61"/>
  <c r="I9" i="61"/>
  <c r="J9" i="61"/>
  <c r="K9" i="61"/>
  <c r="L9" i="61"/>
  <c r="M9" i="61"/>
  <c r="N9" i="61"/>
  <c r="O9" i="61"/>
  <c r="P9" i="61"/>
  <c r="Q9" i="61"/>
  <c r="R9" i="61"/>
  <c r="S9" i="61"/>
  <c r="T9" i="61"/>
  <c r="U9" i="61"/>
  <c r="V9" i="61"/>
  <c r="W9" i="61"/>
  <c r="X9" i="61"/>
  <c r="Y9" i="61"/>
  <c r="Z9" i="61"/>
  <c r="AA9" i="61"/>
  <c r="AB9" i="61"/>
  <c r="AC9" i="61"/>
  <c r="AD9" i="61"/>
  <c r="E10" i="61"/>
  <c r="F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1" i="61"/>
  <c r="F11" i="61"/>
  <c r="G11" i="61"/>
  <c r="H11" i="61"/>
  <c r="I11" i="61"/>
  <c r="J11" i="61"/>
  <c r="K11" i="61"/>
  <c r="L11" i="61"/>
  <c r="M11" i="61"/>
  <c r="N11" i="61"/>
  <c r="O11" i="61"/>
  <c r="P11" i="61"/>
  <c r="Q11" i="61"/>
  <c r="R11" i="61"/>
  <c r="S11" i="61"/>
  <c r="T11" i="61"/>
  <c r="U11" i="61"/>
  <c r="V11" i="61"/>
  <c r="W11" i="61"/>
  <c r="X11" i="61"/>
  <c r="Y11" i="61"/>
  <c r="Z11" i="61"/>
  <c r="AA11" i="61"/>
  <c r="AB11" i="61"/>
  <c r="AC11" i="61"/>
  <c r="AD11" i="61"/>
  <c r="E12" i="61"/>
  <c r="F12" i="61"/>
  <c r="G12" i="61"/>
  <c r="H12" i="61"/>
  <c r="I12" i="61"/>
  <c r="J12" i="61"/>
  <c r="K12" i="61"/>
  <c r="L12" i="61"/>
  <c r="M12" i="61"/>
  <c r="N12" i="61"/>
  <c r="O12" i="61"/>
  <c r="P12" i="61"/>
  <c r="Q12" i="61"/>
  <c r="R12" i="61"/>
  <c r="S12" i="61"/>
  <c r="T12" i="61"/>
  <c r="U12" i="61"/>
  <c r="V12" i="61"/>
  <c r="W12" i="61"/>
  <c r="X12" i="61"/>
  <c r="Y12" i="61"/>
  <c r="Z12" i="61"/>
  <c r="AA12" i="61"/>
  <c r="AB12" i="61"/>
  <c r="AC12" i="61"/>
  <c r="AD12" i="61"/>
  <c r="E13" i="61"/>
  <c r="F13" i="61"/>
  <c r="G13" i="61"/>
  <c r="H13" i="61"/>
  <c r="I13" i="61"/>
  <c r="J13" i="61"/>
  <c r="K13" i="61"/>
  <c r="L13" i="61"/>
  <c r="M13" i="61"/>
  <c r="N13" i="61"/>
  <c r="O13" i="61"/>
  <c r="P13" i="61"/>
  <c r="Q13" i="61"/>
  <c r="R13" i="61"/>
  <c r="S13" i="61"/>
  <c r="T13" i="61"/>
  <c r="U13" i="61"/>
  <c r="V13" i="61"/>
  <c r="W13" i="61"/>
  <c r="X13" i="61"/>
  <c r="Y13" i="61"/>
  <c r="Z13" i="61"/>
  <c r="AA13" i="61"/>
  <c r="AB13" i="61"/>
  <c r="AC13" i="61"/>
  <c r="AD13" i="61"/>
  <c r="E14" i="61"/>
  <c r="F14" i="61"/>
  <c r="G14" i="61"/>
  <c r="H14" i="61"/>
  <c r="I14" i="61"/>
  <c r="J14" i="61"/>
  <c r="K14" i="61"/>
  <c r="L14" i="61"/>
  <c r="M14" i="61"/>
  <c r="N14" i="61"/>
  <c r="O14" i="61"/>
  <c r="P14" i="61"/>
  <c r="Q14" i="61"/>
  <c r="R14" i="61"/>
  <c r="S14" i="61"/>
  <c r="T14" i="61"/>
  <c r="U14" i="61"/>
  <c r="V14" i="61"/>
  <c r="W14" i="61"/>
  <c r="X14" i="61"/>
  <c r="Y14" i="61"/>
  <c r="Z14" i="61"/>
  <c r="AA14" i="61"/>
  <c r="AB14" i="61"/>
  <c r="AC14" i="61"/>
  <c r="AD14" i="61"/>
  <c r="E15" i="61"/>
  <c r="F15" i="61"/>
  <c r="G15" i="61"/>
  <c r="H15" i="61"/>
  <c r="I15" i="61"/>
  <c r="J15" i="61"/>
  <c r="K15" i="61"/>
  <c r="L15" i="61"/>
  <c r="M15" i="61"/>
  <c r="N15" i="61"/>
  <c r="O15" i="61"/>
  <c r="P15" i="61"/>
  <c r="Q15" i="61"/>
  <c r="R15" i="61"/>
  <c r="S15" i="61"/>
  <c r="T15" i="61"/>
  <c r="U15" i="61"/>
  <c r="V15" i="61"/>
  <c r="W15" i="61"/>
  <c r="X15" i="61"/>
  <c r="Y15" i="61"/>
  <c r="Z15" i="61"/>
  <c r="AA15" i="61"/>
  <c r="AB15" i="61"/>
  <c r="AC15" i="61"/>
  <c r="AD15" i="61"/>
  <c r="E16" i="61"/>
  <c r="F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F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F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F19" i="61"/>
  <c r="G19" i="61"/>
  <c r="H19" i="61"/>
  <c r="I19" i="61"/>
  <c r="J19" i="61"/>
  <c r="K19" i="61"/>
  <c r="L19" i="61"/>
  <c r="M19" i="61"/>
  <c r="N19" i="61"/>
  <c r="O19" i="61"/>
  <c r="P19" i="61"/>
  <c r="Q19" i="61"/>
  <c r="R19" i="61"/>
  <c r="S19" i="61"/>
  <c r="T19" i="61"/>
  <c r="U19" i="61"/>
  <c r="V19" i="61"/>
  <c r="W19" i="61"/>
  <c r="X19" i="61"/>
  <c r="Y19" i="61"/>
  <c r="Z19" i="61"/>
  <c r="AA19" i="61"/>
  <c r="AB19" i="61"/>
  <c r="AC19" i="61"/>
  <c r="AD19" i="61"/>
  <c r="E20" i="61"/>
  <c r="F20" i="61"/>
  <c r="G20" i="61"/>
  <c r="H20" i="61"/>
  <c r="I20" i="61"/>
  <c r="J20" i="61"/>
  <c r="K20" i="61"/>
  <c r="L20" i="61"/>
  <c r="M20" i="61"/>
  <c r="N20" i="61"/>
  <c r="O20" i="61"/>
  <c r="P20" i="61"/>
  <c r="Q20" i="61"/>
  <c r="R20" i="61"/>
  <c r="S20" i="61"/>
  <c r="T20" i="61"/>
  <c r="U20" i="61"/>
  <c r="V20" i="61"/>
  <c r="W20" i="61"/>
  <c r="X20" i="61"/>
  <c r="Y20" i="61"/>
  <c r="Z20" i="61"/>
  <c r="AA20" i="61"/>
  <c r="AB20" i="61"/>
  <c r="AC20" i="61"/>
  <c r="AD20" i="61"/>
  <c r="E21" i="61"/>
  <c r="F21" i="61"/>
  <c r="G21" i="61"/>
  <c r="H21" i="61"/>
  <c r="I21" i="61"/>
  <c r="J21" i="61"/>
  <c r="K21" i="61"/>
  <c r="L21" i="61"/>
  <c r="M21" i="61"/>
  <c r="N21" i="61"/>
  <c r="O21" i="61"/>
  <c r="P21" i="61"/>
  <c r="Q21" i="61"/>
  <c r="R21" i="61"/>
  <c r="S21" i="61"/>
  <c r="T21" i="61"/>
  <c r="U21" i="61"/>
  <c r="V21" i="61"/>
  <c r="W21" i="61"/>
  <c r="X21" i="61"/>
  <c r="Y21" i="61"/>
  <c r="Z21" i="61"/>
  <c r="AA21" i="61"/>
  <c r="AB21" i="61"/>
  <c r="AC21" i="61"/>
  <c r="AD21" i="61"/>
  <c r="E22" i="61"/>
  <c r="F22" i="61"/>
  <c r="G22" i="61"/>
  <c r="H22" i="61"/>
  <c r="I22" i="61"/>
  <c r="J22" i="61"/>
  <c r="K22" i="61"/>
  <c r="L22" i="61"/>
  <c r="M22" i="61"/>
  <c r="N22" i="61"/>
  <c r="O22" i="61"/>
  <c r="P22" i="61"/>
  <c r="Q22" i="61"/>
  <c r="R22" i="61"/>
  <c r="S22" i="61"/>
  <c r="T22" i="61"/>
  <c r="U22" i="61"/>
  <c r="V22" i="61"/>
  <c r="W22" i="61"/>
  <c r="X22" i="61"/>
  <c r="Y22" i="61"/>
  <c r="Z22" i="61"/>
  <c r="AA22" i="61"/>
  <c r="AB22" i="61"/>
  <c r="AC22" i="61"/>
  <c r="AD22" i="61"/>
  <c r="E23" i="61"/>
  <c r="F23" i="61"/>
  <c r="G23" i="61"/>
  <c r="H23" i="61"/>
  <c r="I23" i="61"/>
  <c r="J23" i="61"/>
  <c r="K23" i="61"/>
  <c r="L23" i="61"/>
  <c r="M23" i="61"/>
  <c r="N23" i="61"/>
  <c r="O23" i="61"/>
  <c r="P23" i="61"/>
  <c r="Q23" i="61"/>
  <c r="R23" i="61"/>
  <c r="S23" i="61"/>
  <c r="T23" i="61"/>
  <c r="U23" i="61"/>
  <c r="V23" i="61"/>
  <c r="W23" i="61"/>
  <c r="X23" i="61"/>
  <c r="Y23" i="61"/>
  <c r="Z23" i="61"/>
  <c r="AA23" i="61"/>
  <c r="AB23" i="61"/>
  <c r="AC23" i="61"/>
  <c r="AD23" i="61"/>
  <c r="E24" i="61"/>
  <c r="F24" i="61"/>
  <c r="G24" i="61"/>
  <c r="H24" i="61"/>
  <c r="I24" i="61"/>
  <c r="J24" i="61"/>
  <c r="K24" i="61"/>
  <c r="L24" i="61"/>
  <c r="M24" i="61"/>
  <c r="N24" i="61"/>
  <c r="O24" i="61"/>
  <c r="P24" i="61"/>
  <c r="Q24" i="61"/>
  <c r="R24" i="61"/>
  <c r="S24" i="61"/>
  <c r="T24" i="61"/>
  <c r="U24" i="61"/>
  <c r="V24" i="61"/>
  <c r="W24" i="61"/>
  <c r="X24" i="61"/>
  <c r="Y24" i="61"/>
  <c r="Z24" i="61"/>
  <c r="AA24" i="61"/>
  <c r="AB24" i="61"/>
  <c r="AC24" i="61"/>
  <c r="AD24" i="61"/>
  <c r="E25" i="61"/>
  <c r="F25" i="61"/>
  <c r="G25" i="61"/>
  <c r="H25" i="61"/>
  <c r="I25" i="61"/>
  <c r="J25" i="61"/>
  <c r="K25" i="61"/>
  <c r="L25" i="61"/>
  <c r="M25" i="61"/>
  <c r="N25" i="61"/>
  <c r="O25" i="61"/>
  <c r="P25" i="61"/>
  <c r="Q25" i="61"/>
  <c r="R25" i="61"/>
  <c r="S25" i="61"/>
  <c r="T25" i="61"/>
  <c r="U25" i="61"/>
  <c r="V25" i="61"/>
  <c r="W25" i="61"/>
  <c r="X25" i="61"/>
  <c r="Y25" i="61"/>
  <c r="Z25" i="61"/>
  <c r="AA25" i="61"/>
  <c r="AB25" i="61"/>
  <c r="AC25" i="61"/>
  <c r="AD25" i="61"/>
  <c r="D8" i="61"/>
  <c r="D22" i="61"/>
  <c r="D19" i="61"/>
  <c r="D20" i="61"/>
  <c r="D21" i="61"/>
  <c r="D7" i="61"/>
  <c r="D9" i="61"/>
  <c r="D10" i="61"/>
  <c r="D11" i="61"/>
  <c r="D12" i="61"/>
  <c r="D13" i="61"/>
  <c r="D14" i="61"/>
  <c r="D15" i="61"/>
  <c r="D16" i="61"/>
  <c r="D17" i="61"/>
  <c r="D18" i="61"/>
  <c r="D6" i="61"/>
  <c r="M7" i="65" l="1"/>
  <c r="M8" i="65"/>
  <c r="M9" i="65"/>
  <c r="M10" i="65"/>
  <c r="M11" i="65"/>
  <c r="M12" i="65"/>
  <c r="M13" i="65"/>
  <c r="M14" i="65"/>
  <c r="M15" i="65"/>
  <c r="M16" i="65"/>
  <c r="M17" i="65"/>
  <c r="M6" i="65"/>
  <c r="L7" i="65"/>
  <c r="L8" i="65"/>
  <c r="L9" i="65"/>
  <c r="L10" i="65"/>
  <c r="L11" i="65"/>
  <c r="L12" i="65"/>
  <c r="L13" i="65"/>
  <c r="L14" i="65"/>
  <c r="L15" i="65"/>
  <c r="L16" i="65"/>
  <c r="L17" i="65"/>
  <c r="B17" i="65"/>
  <c r="B15" i="65"/>
  <c r="B14" i="65"/>
  <c r="B9" i="65"/>
  <c r="B8" i="65"/>
  <c r="B7" i="65"/>
  <c r="B10" i="65"/>
  <c r="B11" i="65"/>
  <c r="B12" i="65"/>
  <c r="B13" i="65"/>
  <c r="B16" i="65"/>
  <c r="B6" i="65"/>
  <c r="D24" i="61" l="1"/>
  <c r="F74" i="59" l="1"/>
  <c r="H74" i="59"/>
  <c r="I74" i="59"/>
  <c r="J74" i="59"/>
  <c r="K74" i="59"/>
  <c r="L74" i="59"/>
  <c r="N74" i="59"/>
  <c r="O74" i="59"/>
  <c r="P74" i="59"/>
  <c r="Q74" i="59"/>
  <c r="R74" i="59"/>
  <c r="S74" i="59"/>
  <c r="T74" i="59"/>
  <c r="U74" i="59"/>
  <c r="V74" i="59"/>
  <c r="X74" i="59"/>
  <c r="Y74" i="59"/>
  <c r="AA74" i="59"/>
  <c r="AB74" i="59"/>
  <c r="AC74" i="59"/>
  <c r="AD74" i="59"/>
  <c r="AE74" i="59"/>
  <c r="C8" i="43" l="1"/>
  <c r="B8" i="43"/>
  <c r="B7" i="43" l="1"/>
  <c r="D7" i="43"/>
  <c r="E7" i="43"/>
  <c r="F7" i="43"/>
  <c r="G7" i="43"/>
  <c r="H7" i="43"/>
  <c r="I7" i="43"/>
  <c r="J7" i="43"/>
  <c r="K7" i="43"/>
  <c r="L7" i="43"/>
  <c r="M7" i="43"/>
  <c r="N7" i="43"/>
  <c r="O7" i="43"/>
  <c r="P7" i="43"/>
  <c r="Q7" i="43"/>
  <c r="R7" i="43"/>
  <c r="S7" i="43"/>
  <c r="T7" i="43"/>
  <c r="U7" i="43"/>
  <c r="V7" i="43"/>
  <c r="W7" i="43"/>
  <c r="X7" i="43"/>
  <c r="Y7" i="43"/>
  <c r="Z7" i="43"/>
  <c r="AA7" i="43"/>
  <c r="AB7" i="43"/>
  <c r="AC7" i="43"/>
  <c r="C7" i="43"/>
  <c r="E7" i="67" l="1"/>
  <c r="F7" i="67"/>
  <c r="G7" i="67"/>
  <c r="H7" i="67"/>
  <c r="I7" i="67"/>
  <c r="J7" i="67"/>
  <c r="K7" i="67"/>
  <c r="L7" i="67"/>
  <c r="M7" i="67"/>
  <c r="N7" i="67"/>
  <c r="O7" i="67"/>
  <c r="P7" i="67"/>
  <c r="Q7" i="67"/>
  <c r="R7" i="67"/>
  <c r="S7" i="67"/>
  <c r="T7" i="67"/>
  <c r="U7" i="67"/>
  <c r="V7" i="67"/>
  <c r="W7" i="67"/>
  <c r="X7" i="67"/>
  <c r="Y7" i="67"/>
  <c r="Z7" i="67"/>
  <c r="AA7" i="67"/>
  <c r="AB7" i="67"/>
  <c r="AC7" i="67"/>
  <c r="AD7" i="67"/>
  <c r="D7" i="67"/>
  <c r="C7" i="67"/>
  <c r="E6" i="67"/>
  <c r="F6" i="67"/>
  <c r="G6" i="67"/>
  <c r="H6" i="67"/>
  <c r="I6" i="67"/>
  <c r="J6" i="67"/>
  <c r="K6" i="67"/>
  <c r="L6" i="67"/>
  <c r="M6" i="67"/>
  <c r="N6" i="67"/>
  <c r="O6" i="67"/>
  <c r="P6" i="67"/>
  <c r="Q6" i="67"/>
  <c r="R6" i="67"/>
  <c r="S6" i="67"/>
  <c r="T6" i="67"/>
  <c r="U6" i="67"/>
  <c r="V6" i="67"/>
  <c r="W6" i="67"/>
  <c r="X6" i="67"/>
  <c r="Y6" i="67"/>
  <c r="Z6" i="67"/>
  <c r="AA6" i="67"/>
  <c r="AB6" i="67"/>
  <c r="AC6" i="67"/>
  <c r="AD6" i="67"/>
  <c r="D6" i="67"/>
  <c r="C6" i="67"/>
  <c r="D3" i="67" a="1"/>
  <c r="D3" i="67" s="1"/>
  <c r="E3" i="67" a="1"/>
  <c r="E3" i="67" s="1"/>
  <c r="G3" i="67" a="1"/>
  <c r="G3" i="67" s="1"/>
  <c r="M3" i="67" a="1"/>
  <c r="M3" i="67" s="1"/>
  <c r="R3" i="67" a="1"/>
  <c r="R3" i="67" s="1"/>
  <c r="U3" i="67" a="1"/>
  <c r="U3" i="67" s="1"/>
  <c r="AA3" i="67" a="1"/>
  <c r="AA3" i="67" s="1"/>
  <c r="AC3" i="67" a="1"/>
  <c r="AC3" i="67" s="1"/>
  <c r="C3" i="67" a="1"/>
  <c r="C3" i="67" s="1"/>
  <c r="AD5" i="67"/>
  <c r="AD3" i="67" s="1" a="1"/>
  <c r="AD3" i="67" s="1"/>
  <c r="AC5" i="67"/>
  <c r="AB5" i="67"/>
  <c r="AA5" i="67"/>
  <c r="Z5" i="67"/>
  <c r="Y5" i="67"/>
  <c r="X5" i="67"/>
  <c r="W5" i="67"/>
  <c r="W3" i="67" s="1" a="1"/>
  <c r="W3" i="67" s="1"/>
  <c r="V5" i="67"/>
  <c r="V3" i="67" s="1" a="1"/>
  <c r="V3" i="67" s="1"/>
  <c r="U5" i="67"/>
  <c r="T5" i="67"/>
  <c r="S5" i="67"/>
  <c r="R5" i="67"/>
  <c r="Q5" i="67"/>
  <c r="P5" i="67"/>
  <c r="O5" i="67"/>
  <c r="O3" i="67" s="1" a="1"/>
  <c r="O3" i="67" s="1"/>
  <c r="N5" i="67"/>
  <c r="N3" i="67" s="1" a="1"/>
  <c r="N3" i="67" s="1"/>
  <c r="M5" i="67"/>
  <c r="L5" i="67"/>
  <c r="K5" i="67"/>
  <c r="K3" i="67" s="1" a="1"/>
  <c r="K3" i="67" s="1"/>
  <c r="J5" i="67"/>
  <c r="I5" i="67"/>
  <c r="H5" i="67"/>
  <c r="G5" i="67"/>
  <c r="F5" i="67"/>
  <c r="F3" i="67" s="1" a="1"/>
  <c r="F3" i="67" s="1"/>
  <c r="E5" i="67"/>
  <c r="Z3" i="67" l="1" a="1"/>
  <c r="Z3" i="67" s="1"/>
  <c r="S3" i="67" a="1"/>
  <c r="S3" i="67" s="1"/>
  <c r="L3" i="67" a="1"/>
  <c r="L3" i="67" s="1"/>
  <c r="Y3" i="67" a="1"/>
  <c r="Y3" i="67" s="1"/>
  <c r="X3" i="67" a="1"/>
  <c r="X3" i="67" s="1"/>
  <c r="Q3" i="67" a="1"/>
  <c r="Q3" i="67" s="1"/>
  <c r="J3" i="67" a="1"/>
  <c r="J3" i="67" s="1"/>
  <c r="P3" i="67" a="1"/>
  <c r="P3" i="67" s="1"/>
  <c r="I3" i="67" a="1"/>
  <c r="I3" i="67" s="1"/>
  <c r="H3" i="67" a="1"/>
  <c r="H3" i="67" s="1"/>
  <c r="AB3" i="67" a="1"/>
  <c r="AB3" i="67" s="1"/>
  <c r="T3" i="67" a="1"/>
  <c r="T3" i="67" s="1"/>
  <c r="H56" i="60" l="1"/>
  <c r="I56" i="60"/>
  <c r="J56" i="60"/>
  <c r="K56" i="60"/>
  <c r="L56" i="60"/>
  <c r="M56" i="60"/>
  <c r="N56" i="60"/>
  <c r="O56" i="60"/>
  <c r="P56" i="60"/>
  <c r="Q56" i="60"/>
  <c r="R56" i="60"/>
  <c r="S56" i="60"/>
  <c r="T56" i="60"/>
  <c r="U56" i="60"/>
  <c r="V56" i="60"/>
  <c r="W56" i="60"/>
  <c r="X56" i="60"/>
  <c r="Y56" i="60"/>
  <c r="Z56" i="60"/>
  <c r="AA56" i="60"/>
  <c r="AB56" i="60"/>
  <c r="AC56" i="60"/>
  <c r="AD56" i="60"/>
  <c r="H57" i="60"/>
  <c r="I57" i="60"/>
  <c r="J57" i="60"/>
  <c r="K57" i="60"/>
  <c r="L57" i="60"/>
  <c r="M57" i="60"/>
  <c r="N57" i="60"/>
  <c r="O57" i="60"/>
  <c r="P57" i="60"/>
  <c r="Q57" i="60"/>
  <c r="R57" i="60"/>
  <c r="S57" i="60"/>
  <c r="T57" i="60"/>
  <c r="U57" i="60"/>
  <c r="V57" i="60"/>
  <c r="W57" i="60"/>
  <c r="X57" i="60"/>
  <c r="Y57" i="60"/>
  <c r="Z57" i="60"/>
  <c r="AA57" i="60"/>
  <c r="AB57" i="60"/>
  <c r="AC57" i="60"/>
  <c r="AD57" i="60"/>
  <c r="H58" i="60"/>
  <c r="I58" i="60"/>
  <c r="J58" i="60"/>
  <c r="K58" i="60"/>
  <c r="L58" i="60"/>
  <c r="M58" i="60"/>
  <c r="N58" i="60"/>
  <c r="O58" i="60"/>
  <c r="P58" i="60"/>
  <c r="Q58" i="60"/>
  <c r="R58" i="60"/>
  <c r="S58" i="60"/>
  <c r="T58" i="60"/>
  <c r="U58" i="60"/>
  <c r="V58" i="60"/>
  <c r="W58" i="60"/>
  <c r="X58" i="60"/>
  <c r="Y58" i="60"/>
  <c r="Z58" i="60"/>
  <c r="AA58" i="60"/>
  <c r="AB58" i="60"/>
  <c r="AC58" i="60"/>
  <c r="AD58" i="60"/>
  <c r="H59" i="60"/>
  <c r="I59" i="60"/>
  <c r="J59" i="60"/>
  <c r="K59" i="60"/>
  <c r="L59" i="60"/>
  <c r="M59" i="60"/>
  <c r="N59" i="60"/>
  <c r="O59" i="60"/>
  <c r="P59" i="60"/>
  <c r="Q59" i="60"/>
  <c r="R59" i="60"/>
  <c r="S59" i="60"/>
  <c r="T59" i="60"/>
  <c r="U59" i="60"/>
  <c r="V59" i="60"/>
  <c r="W59" i="60"/>
  <c r="X59" i="60"/>
  <c r="Y59" i="60"/>
  <c r="Z59" i="60"/>
  <c r="AA59" i="60"/>
  <c r="AB59" i="60"/>
  <c r="AC59" i="60"/>
  <c r="AD59" i="60"/>
  <c r="E56" i="60"/>
  <c r="F56" i="60"/>
  <c r="G56" i="60"/>
  <c r="E57" i="60"/>
  <c r="F57" i="60"/>
  <c r="G57" i="60"/>
  <c r="E58" i="60"/>
  <c r="F58" i="60"/>
  <c r="G58" i="60"/>
  <c r="E59" i="60"/>
  <c r="F59" i="60"/>
  <c r="G59" i="60"/>
  <c r="D57" i="60"/>
  <c r="D58" i="60"/>
  <c r="D59" i="60"/>
  <c r="D56" i="60"/>
  <c r="D60" i="60" l="1"/>
  <c r="D61" i="60"/>
  <c r="D62" i="60"/>
  <c r="D63" i="60"/>
  <c r="D64" i="60"/>
  <c r="C31" i="43" l="1"/>
  <c r="D89" i="59" l="1"/>
  <c r="D70" i="59"/>
  <c r="D69" i="59"/>
  <c r="D68" i="59"/>
  <c r="D66" i="59"/>
  <c r="D64" i="59"/>
  <c r="D63" i="59"/>
  <c r="D62" i="59"/>
  <c r="D60" i="59"/>
  <c r="D59" i="59"/>
  <c r="D58" i="59"/>
  <c r="D57" i="59"/>
  <c r="D56" i="59"/>
  <c r="D55" i="59"/>
  <c r="D54" i="59"/>
  <c r="D53" i="59"/>
  <c r="D52" i="59"/>
  <c r="D50" i="59"/>
  <c r="E86" i="59"/>
  <c r="C55" i="43"/>
  <c r="C41" i="43"/>
  <c r="C27" i="43"/>
  <c r="C18" i="43"/>
  <c r="C306" i="43"/>
  <c r="C305" i="43"/>
  <c r="C304" i="43"/>
  <c r="B307" i="43"/>
  <c r="D305" i="43" s="1"/>
  <c r="C346" i="43"/>
  <c r="D148" i="43"/>
  <c r="C338" i="43"/>
  <c r="C329" i="43"/>
  <c r="B288" i="43"/>
  <c r="D304" i="43" l="1"/>
  <c r="B306" i="43"/>
  <c r="D306" i="43" s="1"/>
  <c r="B315" i="43"/>
  <c r="D313" i="43" s="1"/>
  <c r="B298" i="43"/>
  <c r="D295" i="43" s="1"/>
  <c r="C297" i="43"/>
  <c r="C296" i="43"/>
  <c r="C295" i="43"/>
  <c r="C313" i="43" s="1"/>
  <c r="D141" i="43"/>
  <c r="D140" i="43"/>
  <c r="C287" i="43"/>
  <c r="C286" i="43"/>
  <c r="C285" i="43"/>
  <c r="B287" i="43" s="1"/>
  <c r="I329" i="43" l="1"/>
  <c r="I346" i="43"/>
  <c r="I27" i="43"/>
  <c r="I55" i="43"/>
  <c r="I18" i="43"/>
  <c r="I41" i="43"/>
  <c r="I338" i="43"/>
  <c r="K86" i="59"/>
  <c r="R27" i="43"/>
  <c r="R329" i="43"/>
  <c r="R18" i="43"/>
  <c r="R55" i="43"/>
  <c r="R346" i="43"/>
  <c r="T86" i="59"/>
  <c r="R41" i="43"/>
  <c r="R338" i="43"/>
  <c r="Z27" i="43"/>
  <c r="Z329" i="43"/>
  <c r="Z18" i="43"/>
  <c r="AB86" i="59"/>
  <c r="Z55" i="43"/>
  <c r="Z346" i="43"/>
  <c r="Z41" i="43"/>
  <c r="Z338" i="43"/>
  <c r="U86" i="59"/>
  <c r="S329" i="43"/>
  <c r="S55" i="43"/>
  <c r="S27" i="43"/>
  <c r="S346" i="43"/>
  <c r="S18" i="43"/>
  <c r="S338" i="43"/>
  <c r="S41" i="43"/>
  <c r="Y329" i="43"/>
  <c r="Y55" i="43"/>
  <c r="Y346" i="43"/>
  <c r="Y18" i="43"/>
  <c r="Y41" i="43"/>
  <c r="Y338" i="43"/>
  <c r="AA86" i="59"/>
  <c r="Y27" i="43"/>
  <c r="M86" i="59"/>
  <c r="K27" i="43"/>
  <c r="K329" i="43"/>
  <c r="K55" i="43"/>
  <c r="K346" i="43"/>
  <c r="K338" i="43"/>
  <c r="K18" i="43"/>
  <c r="K41" i="43"/>
  <c r="D338" i="43"/>
  <c r="F86" i="59"/>
  <c r="D329" i="43"/>
  <c r="D27" i="43"/>
  <c r="D55" i="43"/>
  <c r="D346" i="43"/>
  <c r="D41" i="43"/>
  <c r="D18" i="43"/>
  <c r="L338" i="43"/>
  <c r="N86" i="59"/>
  <c r="L27" i="43"/>
  <c r="L329" i="43"/>
  <c r="L55" i="43"/>
  <c r="L346" i="43"/>
  <c r="L18" i="43"/>
  <c r="L41" i="43"/>
  <c r="T338" i="43"/>
  <c r="T329" i="43"/>
  <c r="V86" i="59"/>
  <c r="T27" i="43"/>
  <c r="T55" i="43"/>
  <c r="T346" i="43"/>
  <c r="T41" i="43"/>
  <c r="T18" i="43"/>
  <c r="AB338" i="43"/>
  <c r="AD86" i="59"/>
  <c r="AB329" i="43"/>
  <c r="AB27" i="43"/>
  <c r="AB55" i="43"/>
  <c r="AB346" i="43"/>
  <c r="AB18" i="43"/>
  <c r="AB41" i="43"/>
  <c r="J27" i="43"/>
  <c r="J329" i="43"/>
  <c r="J55" i="43"/>
  <c r="J346" i="43"/>
  <c r="J18" i="43"/>
  <c r="J41" i="43"/>
  <c r="J338" i="43"/>
  <c r="L86" i="59"/>
  <c r="E41" i="43"/>
  <c r="E338" i="43"/>
  <c r="E27" i="43"/>
  <c r="G86" i="59"/>
  <c r="E329" i="43"/>
  <c r="E55" i="43"/>
  <c r="E346" i="43"/>
  <c r="E18" i="43"/>
  <c r="U41" i="43"/>
  <c r="U338" i="43"/>
  <c r="U27" i="43"/>
  <c r="W86" i="59"/>
  <c r="U329" i="43"/>
  <c r="U55" i="43"/>
  <c r="U346" i="43"/>
  <c r="U18" i="43"/>
  <c r="N18" i="43"/>
  <c r="N41" i="43"/>
  <c r="P86" i="59"/>
  <c r="N338" i="43"/>
  <c r="N27" i="43"/>
  <c r="N329" i="43"/>
  <c r="N55" i="43"/>
  <c r="N346" i="43"/>
  <c r="X86" i="59"/>
  <c r="V41" i="43"/>
  <c r="V338" i="43"/>
  <c r="V27" i="43"/>
  <c r="V18" i="43"/>
  <c r="V329" i="43"/>
  <c r="V55" i="43"/>
  <c r="V346" i="43"/>
  <c r="Q329" i="43"/>
  <c r="Q55" i="43"/>
  <c r="Q346" i="43"/>
  <c r="Q18" i="43"/>
  <c r="Q41" i="43"/>
  <c r="Q27" i="43"/>
  <c r="Q338" i="43"/>
  <c r="S86" i="59"/>
  <c r="AC86" i="59"/>
  <c r="AA346" i="43"/>
  <c r="AA338" i="43"/>
  <c r="AA27" i="43"/>
  <c r="AA55" i="43"/>
  <c r="AA329" i="43"/>
  <c r="AA18" i="43"/>
  <c r="AA41" i="43"/>
  <c r="M41" i="43"/>
  <c r="M338" i="43"/>
  <c r="M27" i="43"/>
  <c r="O86" i="59"/>
  <c r="M329" i="43"/>
  <c r="M55" i="43"/>
  <c r="M346" i="43"/>
  <c r="M18" i="43"/>
  <c r="AC41" i="43"/>
  <c r="AC338" i="43"/>
  <c r="AC27" i="43"/>
  <c r="AE86" i="59"/>
  <c r="AC329" i="43"/>
  <c r="AC55" i="43"/>
  <c r="AC346" i="43"/>
  <c r="AC18" i="43"/>
  <c r="F41" i="43"/>
  <c r="F338" i="43"/>
  <c r="H86" i="59"/>
  <c r="F18" i="43"/>
  <c r="F27" i="43"/>
  <c r="F329" i="43"/>
  <c r="F55" i="43"/>
  <c r="F346" i="43"/>
  <c r="G18" i="43"/>
  <c r="G338" i="43"/>
  <c r="G41" i="43"/>
  <c r="G55" i="43"/>
  <c r="I86" i="59"/>
  <c r="G329" i="43"/>
  <c r="G27" i="43"/>
  <c r="G346" i="43"/>
  <c r="O18" i="43"/>
  <c r="O346" i="43"/>
  <c r="O55" i="43"/>
  <c r="O41" i="43"/>
  <c r="O338" i="43"/>
  <c r="Q86" i="59"/>
  <c r="O27" i="43"/>
  <c r="O329" i="43"/>
  <c r="W18" i="43"/>
  <c r="W338" i="43"/>
  <c r="W41" i="43"/>
  <c r="Y86" i="59"/>
  <c r="W329" i="43"/>
  <c r="W27" i="43"/>
  <c r="W55" i="43"/>
  <c r="W346" i="43"/>
  <c r="H55" i="43"/>
  <c r="H346" i="43"/>
  <c r="H18" i="43"/>
  <c r="H41" i="43"/>
  <c r="H329" i="43"/>
  <c r="H338" i="43"/>
  <c r="J86" i="59"/>
  <c r="H27" i="43"/>
  <c r="P55" i="43"/>
  <c r="P346" i="43"/>
  <c r="P41" i="43"/>
  <c r="P18" i="43"/>
  <c r="P338" i="43"/>
  <c r="R86" i="59"/>
  <c r="P329" i="43"/>
  <c r="P27" i="43"/>
  <c r="X55" i="43"/>
  <c r="X346" i="43"/>
  <c r="X18" i="43"/>
  <c r="X41" i="43"/>
  <c r="X338" i="43"/>
  <c r="X329" i="43"/>
  <c r="Z86" i="59"/>
  <c r="X27" i="43"/>
  <c r="B314" i="43"/>
  <c r="D314" i="43" s="1"/>
  <c r="B297" i="43"/>
  <c r="D297" i="43" s="1"/>
  <c r="D287" i="43"/>
  <c r="D285" i="43"/>
  <c r="D286" i="43"/>
  <c r="A89" i="59"/>
  <c r="A96" i="59" s="1"/>
  <c r="A88" i="59"/>
  <c r="A95" i="59" s="1"/>
  <c r="B86" i="59"/>
  <c r="C86" i="59"/>
  <c r="D86" i="59"/>
  <c r="A86" i="59"/>
  <c r="D296" i="43" l="1"/>
  <c r="B35" i="61"/>
  <c r="B36" i="61"/>
  <c r="B37" i="61"/>
  <c r="B61" i="61"/>
  <c r="B4" i="61" l="1"/>
  <c r="B5" i="61"/>
  <c r="A8" i="58" l="1"/>
  <c r="A9" i="58"/>
  <c r="E38" i="60"/>
  <c r="F38" i="60"/>
  <c r="G38" i="60"/>
  <c r="H38" i="60"/>
  <c r="I38" i="60"/>
  <c r="J38" i="60"/>
  <c r="K38" i="60"/>
  <c r="L38" i="60"/>
  <c r="M38" i="60"/>
  <c r="N38" i="60"/>
  <c r="O38" i="60"/>
  <c r="P38" i="60"/>
  <c r="Q38" i="60"/>
  <c r="R38" i="60"/>
  <c r="S38" i="60"/>
  <c r="T38" i="60"/>
  <c r="U38" i="60"/>
  <c r="V38" i="60"/>
  <c r="W38" i="60"/>
  <c r="X38" i="60"/>
  <c r="Y38" i="60"/>
  <c r="Z38" i="60"/>
  <c r="AA38" i="60"/>
  <c r="AB38" i="60"/>
  <c r="AC38" i="60"/>
  <c r="AD38" i="60"/>
  <c r="E39" i="60"/>
  <c r="F39" i="60"/>
  <c r="G39" i="60"/>
  <c r="H39" i="60"/>
  <c r="I39" i="60"/>
  <c r="J39" i="60"/>
  <c r="K39" i="60"/>
  <c r="L39" i="60"/>
  <c r="M39" i="60"/>
  <c r="N39" i="60"/>
  <c r="O39" i="60"/>
  <c r="P39" i="60"/>
  <c r="Q39" i="60"/>
  <c r="R39" i="60"/>
  <c r="S39" i="60"/>
  <c r="T39" i="60"/>
  <c r="U39" i="60"/>
  <c r="V39" i="60"/>
  <c r="W39" i="60"/>
  <c r="X39" i="60"/>
  <c r="Y39" i="60"/>
  <c r="Z39" i="60"/>
  <c r="AA39" i="60"/>
  <c r="AB39" i="60"/>
  <c r="AC39" i="60"/>
  <c r="AD39" i="60"/>
  <c r="D38" i="60"/>
  <c r="D39" i="60"/>
  <c r="C38" i="60"/>
  <c r="C39" i="60"/>
  <c r="A6" i="60"/>
  <c r="A39" i="60" s="1"/>
  <c r="A5" i="60"/>
  <c r="A38" i="60" s="1"/>
  <c r="D14" i="65" l="1"/>
  <c r="C14" i="65"/>
  <c r="D34" i="64"/>
  <c r="D33" i="64"/>
  <c r="M34" i="64"/>
  <c r="M33" i="64"/>
  <c r="M32" i="64"/>
  <c r="M23" i="64"/>
  <c r="E40" i="60" l="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D53" i="60"/>
  <c r="D54" i="60"/>
  <c r="D55" i="60"/>
  <c r="D40" i="60"/>
  <c r="C40" i="60"/>
  <c r="C41" i="60"/>
  <c r="C42" i="60"/>
  <c r="C43" i="60"/>
  <c r="C44" i="60"/>
  <c r="C45" i="60"/>
  <c r="C46" i="60"/>
  <c r="C47" i="60"/>
  <c r="C48" i="60"/>
  <c r="C49" i="60"/>
  <c r="C50" i="60"/>
  <c r="C51" i="60"/>
  <c r="C52" i="60"/>
  <c r="C53" i="60"/>
  <c r="C54" i="60"/>
  <c r="C55" i="60"/>
  <c r="C56" i="60"/>
  <c r="C57" i="60"/>
  <c r="C58" i="60"/>
  <c r="C59" i="60"/>
  <c r="B60" i="60"/>
  <c r="C60" i="60"/>
  <c r="E60" i="60"/>
  <c r="F60" i="60"/>
  <c r="G60" i="60"/>
  <c r="H60" i="60"/>
  <c r="I60" i="60"/>
  <c r="J60" i="60"/>
  <c r="K60" i="60"/>
  <c r="L60" i="60"/>
  <c r="M60" i="60"/>
  <c r="N60" i="60"/>
  <c r="O60" i="60"/>
  <c r="P60" i="60"/>
  <c r="Q60" i="60"/>
  <c r="R60" i="60"/>
  <c r="S60" i="60"/>
  <c r="T60" i="60"/>
  <c r="U60" i="60"/>
  <c r="V60" i="60"/>
  <c r="W60" i="60"/>
  <c r="X60" i="60"/>
  <c r="Y60" i="60"/>
  <c r="Z60" i="60"/>
  <c r="AA60" i="60"/>
  <c r="AB60" i="60"/>
  <c r="AC60" i="60"/>
  <c r="AD60" i="60"/>
  <c r="B61" i="60"/>
  <c r="C61" i="60"/>
  <c r="E61" i="60"/>
  <c r="F61" i="60"/>
  <c r="G61" i="60"/>
  <c r="H61" i="60"/>
  <c r="I61" i="60"/>
  <c r="J61" i="60"/>
  <c r="K61" i="60"/>
  <c r="L61" i="60"/>
  <c r="M61" i="60"/>
  <c r="N61" i="60"/>
  <c r="O61" i="60"/>
  <c r="P61" i="60"/>
  <c r="Q61" i="60"/>
  <c r="R61" i="60"/>
  <c r="S61" i="60"/>
  <c r="T61" i="60"/>
  <c r="U61" i="60"/>
  <c r="V61" i="60"/>
  <c r="W61" i="60"/>
  <c r="X61" i="60"/>
  <c r="Y61" i="60"/>
  <c r="Z61" i="60"/>
  <c r="AA61" i="60"/>
  <c r="AB61" i="60"/>
  <c r="AC61" i="60"/>
  <c r="AD61" i="60"/>
  <c r="B62" i="60"/>
  <c r="C62" i="60"/>
  <c r="E62" i="60"/>
  <c r="F62" i="60"/>
  <c r="G62" i="60"/>
  <c r="H62" i="60"/>
  <c r="I62" i="60"/>
  <c r="J62" i="60"/>
  <c r="K62" i="60"/>
  <c r="L62" i="60"/>
  <c r="M62" i="60"/>
  <c r="N62" i="60"/>
  <c r="O62" i="60"/>
  <c r="P62" i="60"/>
  <c r="Q62" i="60"/>
  <c r="R62" i="60"/>
  <c r="S62" i="60"/>
  <c r="T62" i="60"/>
  <c r="U62" i="60"/>
  <c r="V62" i="60"/>
  <c r="W62" i="60"/>
  <c r="X62" i="60"/>
  <c r="Y62" i="60"/>
  <c r="Z62" i="60"/>
  <c r="AA62" i="60"/>
  <c r="AB62" i="60"/>
  <c r="AC62" i="60"/>
  <c r="AD62" i="60"/>
  <c r="B63" i="60"/>
  <c r="C63" i="60"/>
  <c r="E63" i="60"/>
  <c r="F63" i="60"/>
  <c r="G63" i="60"/>
  <c r="H63" i="60"/>
  <c r="I63" i="60"/>
  <c r="J63" i="60"/>
  <c r="K63" i="60"/>
  <c r="L63" i="60"/>
  <c r="M63" i="60"/>
  <c r="N63" i="60"/>
  <c r="O63" i="60"/>
  <c r="P63" i="60"/>
  <c r="Q63" i="60"/>
  <c r="R63" i="60"/>
  <c r="S63" i="60"/>
  <c r="T63" i="60"/>
  <c r="U63" i="60"/>
  <c r="V63" i="60"/>
  <c r="W63" i="60"/>
  <c r="X63" i="60"/>
  <c r="Y63" i="60"/>
  <c r="Z63" i="60"/>
  <c r="AA63" i="60"/>
  <c r="AB63" i="60"/>
  <c r="AC63" i="60"/>
  <c r="AD63" i="60"/>
  <c r="B64" i="60"/>
  <c r="C64" i="60"/>
  <c r="E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H68" i="59" l="1"/>
  <c r="I68" i="59"/>
  <c r="J68" i="59"/>
  <c r="K68" i="59"/>
  <c r="L68" i="59"/>
  <c r="M68" i="59"/>
  <c r="N68" i="59"/>
  <c r="O68" i="59"/>
  <c r="P68" i="59"/>
  <c r="Q68" i="59"/>
  <c r="R68" i="59"/>
  <c r="S68" i="59"/>
  <c r="T68" i="59"/>
  <c r="U68" i="59"/>
  <c r="V68" i="59"/>
  <c r="W68" i="59"/>
  <c r="X68" i="59"/>
  <c r="Y68" i="59"/>
  <c r="Z68" i="59"/>
  <c r="AA68" i="59"/>
  <c r="AB68" i="59"/>
  <c r="AC68" i="59"/>
  <c r="AD68" i="59"/>
  <c r="AE68" i="59"/>
  <c r="H69" i="59"/>
  <c r="I69" i="59"/>
  <c r="J69" i="59"/>
  <c r="K69" i="59"/>
  <c r="L69" i="59"/>
  <c r="M69" i="59"/>
  <c r="N69" i="59"/>
  <c r="O69" i="59"/>
  <c r="P69" i="59"/>
  <c r="Q69" i="59"/>
  <c r="R69" i="59"/>
  <c r="S69" i="59"/>
  <c r="T69" i="59"/>
  <c r="U69" i="59"/>
  <c r="V69" i="59"/>
  <c r="W69" i="59"/>
  <c r="X69" i="59"/>
  <c r="Y69" i="59"/>
  <c r="Z69" i="59"/>
  <c r="AA69" i="59"/>
  <c r="AB69" i="59"/>
  <c r="AC69" i="59"/>
  <c r="AD69" i="59"/>
  <c r="AE69" i="59"/>
  <c r="F69" i="59"/>
  <c r="F68" i="59"/>
  <c r="G66" i="59"/>
  <c r="H66" i="59"/>
  <c r="I66" i="59"/>
  <c r="J66" i="59"/>
  <c r="K66" i="59"/>
  <c r="L66" i="59"/>
  <c r="M66" i="59"/>
  <c r="N66" i="59"/>
  <c r="O66" i="59"/>
  <c r="P66" i="59"/>
  <c r="Q66" i="59"/>
  <c r="R66" i="59"/>
  <c r="S66" i="59"/>
  <c r="T66" i="59"/>
  <c r="U66" i="59"/>
  <c r="V66" i="59"/>
  <c r="W66" i="59"/>
  <c r="X66" i="59"/>
  <c r="Y66" i="59"/>
  <c r="Z66" i="59"/>
  <c r="AA66" i="59"/>
  <c r="AB66" i="59"/>
  <c r="AC66" i="59"/>
  <c r="AD66" i="59"/>
  <c r="AE66" i="59"/>
  <c r="F66"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F50" i="59"/>
  <c r="E50" i="59" l="1"/>
  <c r="E66" i="59"/>
  <c r="H16" i="60"/>
  <c r="H49" i="60" s="1"/>
  <c r="F9" i="60"/>
  <c r="F42" i="60" s="1"/>
  <c r="C81" i="59" l="1"/>
  <c r="C80" i="59"/>
  <c r="D81" i="59"/>
  <c r="D80" i="59"/>
  <c r="D78" i="59"/>
  <c r="D77" i="59"/>
  <c r="D76" i="59"/>
  <c r="A81" i="59"/>
  <c r="A80" i="59"/>
  <c r="A77" i="59"/>
  <c r="A78" i="59"/>
  <c r="A76" i="59"/>
  <c r="B60" i="61" l="1"/>
  <c r="B58" i="61"/>
  <c r="B59" i="61"/>
  <c r="B57" i="61"/>
  <c r="B55" i="61"/>
  <c r="B56" i="61"/>
  <c r="B54" i="61"/>
  <c r="B52" i="61"/>
  <c r="B53" i="61"/>
  <c r="B51" i="61"/>
  <c r="B50" i="61"/>
  <c r="B48" i="61"/>
  <c r="B49" i="61"/>
  <c r="B47" i="61"/>
  <c r="B39" i="61"/>
  <c r="B40" i="61"/>
  <c r="B41" i="61"/>
  <c r="B42" i="61"/>
  <c r="B43" i="61"/>
  <c r="B44" i="61"/>
  <c r="B45" i="61"/>
  <c r="B46" i="61"/>
  <c r="B38" i="61"/>
  <c r="B24" i="61"/>
  <c r="B25" i="61"/>
  <c r="B23" i="61"/>
  <c r="B21" i="61"/>
  <c r="B22" i="61"/>
  <c r="B20" i="61"/>
  <c r="B19" i="61"/>
  <c r="B17" i="61"/>
  <c r="B18" i="61"/>
  <c r="B16" i="61"/>
  <c r="B8" i="61"/>
  <c r="B9" i="61"/>
  <c r="B10" i="61"/>
  <c r="B11" i="61"/>
  <c r="B12" i="61"/>
  <c r="B13" i="61"/>
  <c r="B14" i="61"/>
  <c r="B15" i="61"/>
  <c r="B7" i="61"/>
  <c r="B6" i="61"/>
  <c r="D7" i="65" l="1"/>
  <c r="D8" i="65"/>
  <c r="D9" i="65"/>
  <c r="D10" i="65"/>
  <c r="D11" i="65"/>
  <c r="D12" i="65"/>
  <c r="D13" i="65"/>
  <c r="D15" i="65"/>
  <c r="D16" i="65"/>
  <c r="D17" i="65"/>
  <c r="D6" i="65"/>
  <c r="M31" i="64" l="1"/>
  <c r="N31" i="64"/>
  <c r="N32" i="64"/>
  <c r="N33" i="64"/>
  <c r="D31" i="64"/>
  <c r="C15" i="65" s="1"/>
  <c r="D32" i="64"/>
  <c r="C16" i="65" s="1"/>
  <c r="C17" i="65"/>
  <c r="N13" i="64"/>
  <c r="N14" i="64"/>
  <c r="N10" i="64" l="1"/>
  <c r="E111" i="61" l="1"/>
  <c r="F111" i="61"/>
  <c r="G111" i="61"/>
  <c r="H111" i="61"/>
  <c r="I111" i="61"/>
  <c r="J111" i="61"/>
  <c r="K111" i="61"/>
  <c r="L111" i="61"/>
  <c r="M111" i="61"/>
  <c r="N111" i="61"/>
  <c r="O111" i="61"/>
  <c r="P111" i="61"/>
  <c r="Q111" i="61"/>
  <c r="R111" i="61"/>
  <c r="S111" i="61"/>
  <c r="T111" i="61"/>
  <c r="U111" i="61"/>
  <c r="V111" i="61"/>
  <c r="W111" i="61"/>
  <c r="X111" i="61"/>
  <c r="Y111" i="61"/>
  <c r="Z111" i="61"/>
  <c r="AA111" i="61"/>
  <c r="AB111" i="61"/>
  <c r="AC111" i="61"/>
  <c r="AD111" i="61"/>
  <c r="D111" i="61"/>
  <c r="E98" i="61"/>
  <c r="F98" i="61"/>
  <c r="G98" i="61"/>
  <c r="H98" i="61"/>
  <c r="I98" i="61"/>
  <c r="J98" i="61"/>
  <c r="K98" i="61"/>
  <c r="L98" i="61"/>
  <c r="M98" i="61"/>
  <c r="N98" i="61"/>
  <c r="O98" i="61"/>
  <c r="P98" i="61"/>
  <c r="Q98" i="61"/>
  <c r="R98" i="61"/>
  <c r="S98" i="61"/>
  <c r="T98" i="61"/>
  <c r="U98" i="61"/>
  <c r="V98" i="61"/>
  <c r="W98" i="61"/>
  <c r="X98" i="61"/>
  <c r="Y98" i="61"/>
  <c r="Z98" i="61"/>
  <c r="AA98" i="61"/>
  <c r="AB98" i="61"/>
  <c r="AC98" i="61"/>
  <c r="AD98" i="61"/>
  <c r="D23" i="61"/>
  <c r="D25" i="61"/>
  <c r="E88" i="61"/>
  <c r="F88" i="61" s="1"/>
  <c r="G88" i="61" s="1"/>
  <c r="H88" i="61" s="1"/>
  <c r="I88" i="61" s="1"/>
  <c r="J88" i="61" s="1"/>
  <c r="K88" i="61" s="1"/>
  <c r="L88" i="61" s="1"/>
  <c r="M88" i="61" s="1"/>
  <c r="N88" i="61" s="1"/>
  <c r="O88" i="61" s="1"/>
  <c r="P88" i="61" s="1"/>
  <c r="Q88" i="61" s="1"/>
  <c r="R88" i="61" s="1"/>
  <c r="S88" i="61" s="1"/>
  <c r="T88" i="61" s="1"/>
  <c r="U88" i="61" s="1"/>
  <c r="V88" i="61" s="1"/>
  <c r="W88" i="61" s="1"/>
  <c r="X88" i="61" s="1"/>
  <c r="Y88" i="61" s="1"/>
  <c r="Z88" i="61" s="1"/>
  <c r="AA88" i="61" s="1"/>
  <c r="AB88" i="61" s="1"/>
  <c r="AC88" i="61" s="1"/>
  <c r="AD88" i="61" s="1"/>
  <c r="E85" i="61"/>
  <c r="F85" i="61" s="1"/>
  <c r="E84" i="61"/>
  <c r="F84" i="61" s="1"/>
  <c r="G84" i="61" s="1"/>
  <c r="H84" i="61" s="1"/>
  <c r="I84" i="61" s="1"/>
  <c r="J84" i="61" s="1"/>
  <c r="K84" i="61" s="1"/>
  <c r="L84" i="61" s="1"/>
  <c r="M84" i="61" s="1"/>
  <c r="N84" i="61" s="1"/>
  <c r="O84" i="61" s="1"/>
  <c r="P84" i="61" s="1"/>
  <c r="Q84" i="61" s="1"/>
  <c r="R84" i="61" s="1"/>
  <c r="S84" i="61" s="1"/>
  <c r="T84" i="61" s="1"/>
  <c r="U84" i="61" s="1"/>
  <c r="V84" i="61" s="1"/>
  <c r="W84" i="61" s="1"/>
  <c r="X84" i="61" s="1"/>
  <c r="Y84" i="61" s="1"/>
  <c r="Z84" i="61" s="1"/>
  <c r="AA84" i="61" s="1"/>
  <c r="AB84" i="61" s="1"/>
  <c r="AC84" i="61" s="1"/>
  <c r="AD84" i="61" s="1"/>
  <c r="E83" i="61"/>
  <c r="E112" i="61" s="1"/>
  <c r="AD78" i="61"/>
  <c r="AC78" i="61"/>
  <c r="AB78" i="61"/>
  <c r="AA78" i="61"/>
  <c r="Z78" i="61"/>
  <c r="Y78" i="61"/>
  <c r="X78" i="61"/>
  <c r="W78" i="61"/>
  <c r="V78" i="61"/>
  <c r="U78" i="61"/>
  <c r="T78" i="61"/>
  <c r="S78" i="61"/>
  <c r="R78" i="61"/>
  <c r="Q78" i="61"/>
  <c r="P78" i="61"/>
  <c r="O78" i="61"/>
  <c r="N78" i="61"/>
  <c r="M78" i="61"/>
  <c r="L78" i="61"/>
  <c r="K78" i="61"/>
  <c r="J78" i="61"/>
  <c r="I78" i="61"/>
  <c r="H78" i="61"/>
  <c r="G78" i="61"/>
  <c r="F78" i="61"/>
  <c r="E78" i="61"/>
  <c r="D78" i="61"/>
  <c r="AD77" i="61"/>
  <c r="AC77" i="61"/>
  <c r="AB77" i="61"/>
  <c r="AA77" i="61"/>
  <c r="Z77" i="61"/>
  <c r="Y77" i="61"/>
  <c r="X77" i="61"/>
  <c r="W77" i="61"/>
  <c r="V77" i="61"/>
  <c r="U77" i="61"/>
  <c r="T77" i="61"/>
  <c r="S77" i="61"/>
  <c r="R77" i="61"/>
  <c r="Q77" i="61"/>
  <c r="P77" i="61"/>
  <c r="O77" i="61"/>
  <c r="N77" i="61"/>
  <c r="M77" i="61"/>
  <c r="L77" i="61"/>
  <c r="K77" i="61"/>
  <c r="J77" i="61"/>
  <c r="I77" i="61"/>
  <c r="H77" i="61"/>
  <c r="G77" i="61"/>
  <c r="F77" i="61"/>
  <c r="E77" i="61"/>
  <c r="D77" i="61"/>
  <c r="AD75" i="61"/>
  <c r="AC75" i="61"/>
  <c r="AB75" i="61"/>
  <c r="AA75" i="61"/>
  <c r="Z75" i="61"/>
  <c r="Y75" i="61"/>
  <c r="X75" i="61"/>
  <c r="W75" i="61"/>
  <c r="V75" i="61"/>
  <c r="U75" i="61"/>
  <c r="T75" i="61"/>
  <c r="S75" i="61"/>
  <c r="R75" i="61"/>
  <c r="Q75" i="61"/>
  <c r="P75" i="61"/>
  <c r="O75" i="61"/>
  <c r="N75" i="61"/>
  <c r="M75" i="61"/>
  <c r="L75" i="61"/>
  <c r="K75" i="61"/>
  <c r="J75" i="61"/>
  <c r="I75" i="61"/>
  <c r="H75" i="61"/>
  <c r="G75" i="61"/>
  <c r="F75" i="61"/>
  <c r="E75" i="61"/>
  <c r="D75" i="61"/>
  <c r="AD74" i="61"/>
  <c r="AD76" i="61" s="1"/>
  <c r="AC74" i="61"/>
  <c r="AC76" i="61" s="1"/>
  <c r="AB74" i="61"/>
  <c r="AB76" i="61" s="1"/>
  <c r="AA74" i="61"/>
  <c r="AA76" i="61" s="1"/>
  <c r="Z74" i="61"/>
  <c r="Z76" i="61" s="1"/>
  <c r="Y74" i="61"/>
  <c r="X74" i="61"/>
  <c r="X76" i="61" s="1"/>
  <c r="W74" i="61"/>
  <c r="W76" i="61" s="1"/>
  <c r="V74" i="61"/>
  <c r="V76" i="61" s="1"/>
  <c r="U74" i="61"/>
  <c r="U76" i="61" s="1"/>
  <c r="T74" i="61"/>
  <c r="T76" i="61" s="1"/>
  <c r="S74" i="61"/>
  <c r="S76" i="61" s="1"/>
  <c r="R74" i="61"/>
  <c r="R76" i="61" s="1"/>
  <c r="Q74" i="61"/>
  <c r="Q76" i="61" s="1"/>
  <c r="P74" i="61"/>
  <c r="P76" i="61" s="1"/>
  <c r="O74" i="61"/>
  <c r="O76" i="61" s="1"/>
  <c r="N74" i="61"/>
  <c r="N76" i="61" s="1"/>
  <c r="M74" i="61"/>
  <c r="M76" i="61" s="1"/>
  <c r="L74" i="61"/>
  <c r="L76" i="61" s="1"/>
  <c r="K74" i="61"/>
  <c r="K76" i="61" s="1"/>
  <c r="J74" i="61"/>
  <c r="J76" i="61" s="1"/>
  <c r="I74" i="61"/>
  <c r="I76" i="61" s="1"/>
  <c r="H74" i="61"/>
  <c r="H76" i="61" s="1"/>
  <c r="G74" i="61"/>
  <c r="G76" i="61" s="1"/>
  <c r="F74" i="61"/>
  <c r="F76" i="61" s="1"/>
  <c r="E74" i="61"/>
  <c r="E76" i="61" s="1"/>
  <c r="D74" i="61"/>
  <c r="D76" i="61" s="1"/>
  <c r="B99" i="43" l="1"/>
  <c r="G85" i="61"/>
  <c r="Y76" i="61"/>
  <c r="F83" i="61"/>
  <c r="G83" i="61" l="1"/>
  <c r="H85" i="61"/>
  <c r="I85" i="61" l="1"/>
  <c r="H83" i="61"/>
  <c r="G112" i="61"/>
  <c r="J85" i="61" l="1"/>
  <c r="I83" i="61"/>
  <c r="H112" i="61"/>
  <c r="E25" i="60"/>
  <c r="E26" i="60"/>
  <c r="E24" i="60"/>
  <c r="F24" i="60" s="1"/>
  <c r="E26" i="58"/>
  <c r="F26" i="58" s="1"/>
  <c r="G26" i="58" s="1"/>
  <c r="H26" i="58" s="1"/>
  <c r="I26" i="58" s="1"/>
  <c r="J26" i="58" s="1"/>
  <c r="K26" i="58" s="1"/>
  <c r="L26" i="58" s="1"/>
  <c r="M26" i="58" s="1"/>
  <c r="N26" i="58" s="1"/>
  <c r="O26" i="58" s="1"/>
  <c r="P26" i="58" s="1"/>
  <c r="Q26" i="58" s="1"/>
  <c r="R26" i="58" s="1"/>
  <c r="S26" i="58" s="1"/>
  <c r="T26" i="58" s="1"/>
  <c r="U26" i="58" s="1"/>
  <c r="V26" i="58" s="1"/>
  <c r="W26" i="58" s="1"/>
  <c r="X26" i="58" s="1"/>
  <c r="Y26" i="58" s="1"/>
  <c r="Z26" i="58" s="1"/>
  <c r="AA26" i="58" s="1"/>
  <c r="AB26" i="58" s="1"/>
  <c r="AC26" i="58" s="1"/>
  <c r="AD26" i="58" s="1"/>
  <c r="G24" i="60" l="1"/>
  <c r="F25" i="60"/>
  <c r="F26" i="60"/>
  <c r="J83" i="61"/>
  <c r="I112" i="61"/>
  <c r="K85" i="61"/>
  <c r="N24" i="64"/>
  <c r="N25" i="64"/>
  <c r="N26" i="64"/>
  <c r="N27" i="64"/>
  <c r="N28" i="64"/>
  <c r="N29" i="64"/>
  <c r="N30" i="64"/>
  <c r="N23" i="64"/>
  <c r="M24" i="64"/>
  <c r="M25" i="64"/>
  <c r="M26" i="64"/>
  <c r="M27" i="64"/>
  <c r="M28" i="64"/>
  <c r="M29" i="64"/>
  <c r="M30" i="64"/>
  <c r="D24" i="64"/>
  <c r="C7" i="65" s="1"/>
  <c r="N6" i="64"/>
  <c r="D25" i="64"/>
  <c r="C8" i="65" s="1"/>
  <c r="N7" i="64"/>
  <c r="D26" i="64"/>
  <c r="C9" i="65" s="1"/>
  <c r="N8" i="64"/>
  <c r="D27" i="64"/>
  <c r="C10" i="65" s="1"/>
  <c r="N9" i="64"/>
  <c r="D28" i="64"/>
  <c r="C11" i="65" s="1"/>
  <c r="D29" i="64"/>
  <c r="C12" i="65" s="1"/>
  <c r="N11" i="64"/>
  <c r="D30" i="64"/>
  <c r="C13" i="65" s="1"/>
  <c r="N12" i="64"/>
  <c r="N15" i="64"/>
  <c r="N5" i="64"/>
  <c r="D23" i="64"/>
  <c r="C6" i="65" s="1"/>
  <c r="L6" i="65" s="1"/>
  <c r="G26" i="60" l="1"/>
  <c r="G25" i="60"/>
  <c r="H24" i="60"/>
  <c r="L85" i="61"/>
  <c r="K83" i="61"/>
  <c r="J112" i="61"/>
  <c r="E695" i="60"/>
  <c r="E697" i="60" s="1"/>
  <c r="F695" i="60"/>
  <c r="F697" i="60" s="1"/>
  <c r="G695" i="60"/>
  <c r="G697" i="60" s="1"/>
  <c r="E696" i="60"/>
  <c r="E698" i="60" s="1"/>
  <c r="F696" i="60"/>
  <c r="F698" i="60" s="1"/>
  <c r="G696" i="60"/>
  <c r="G698" i="60" s="1"/>
  <c r="C696" i="60"/>
  <c r="C698" i="60" s="1"/>
  <c r="C695" i="60"/>
  <c r="C697" i="60" s="1"/>
  <c r="E681" i="60"/>
  <c r="F681" i="60"/>
  <c r="G681" i="60"/>
  <c r="C681" i="60"/>
  <c r="D689" i="60"/>
  <c r="D688" i="60"/>
  <c r="D687" i="60"/>
  <c r="D686" i="60"/>
  <c r="D685" i="60"/>
  <c r="D684" i="60"/>
  <c r="D683" i="60"/>
  <c r="D682" i="60"/>
  <c r="D680" i="60"/>
  <c r="D681" i="60" s="1"/>
  <c r="D679" i="60"/>
  <c r="D678" i="60"/>
  <c r="G677" i="60"/>
  <c r="F677" i="60"/>
  <c r="E677" i="60"/>
  <c r="D677" i="60"/>
  <c r="D676" i="60"/>
  <c r="D675" i="60"/>
  <c r="D674" i="60"/>
  <c r="D673" i="60"/>
  <c r="D672" i="60"/>
  <c r="C150" i="43"/>
  <c r="A26" i="58"/>
  <c r="G24" i="58"/>
  <c r="H24" i="58" s="1"/>
  <c r="I24" i="58" s="1"/>
  <c r="J24" i="58" s="1"/>
  <c r="K24" i="58" s="1"/>
  <c r="L24" i="58" s="1"/>
  <c r="M24" i="58" s="1"/>
  <c r="N24" i="58" s="1"/>
  <c r="O24" i="58" s="1"/>
  <c r="P24" i="58" s="1"/>
  <c r="Q24" i="58" s="1"/>
  <c r="R24" i="58" s="1"/>
  <c r="S24" i="58" s="1"/>
  <c r="T24" i="58" s="1"/>
  <c r="U24" i="58" s="1"/>
  <c r="V24" i="58" s="1"/>
  <c r="W24" i="58" s="1"/>
  <c r="X24" i="58" s="1"/>
  <c r="Y24" i="58" s="1"/>
  <c r="Z24" i="58" s="1"/>
  <c r="AA24" i="58" s="1"/>
  <c r="AB24" i="58" s="1"/>
  <c r="AC24" i="58" s="1"/>
  <c r="AD24" i="58" s="1"/>
  <c r="B67" i="58"/>
  <c r="B68" i="58"/>
  <c r="C149" i="43"/>
  <c r="A25" i="58"/>
  <c r="A24" i="58"/>
  <c r="D130" i="43"/>
  <c r="F130" i="43"/>
  <c r="G130" i="43"/>
  <c r="H130" i="43"/>
  <c r="I130" i="43"/>
  <c r="J130" i="43"/>
  <c r="K130" i="43"/>
  <c r="L130" i="43"/>
  <c r="M130" i="43"/>
  <c r="N130" i="43"/>
  <c r="O130" i="43"/>
  <c r="P130" i="43"/>
  <c r="Q130" i="43"/>
  <c r="R130" i="43"/>
  <c r="S130" i="43"/>
  <c r="T130" i="43"/>
  <c r="U130" i="43"/>
  <c r="V130" i="43"/>
  <c r="W130" i="43"/>
  <c r="X130" i="43"/>
  <c r="Y130" i="43"/>
  <c r="Z130" i="43"/>
  <c r="AA130" i="43"/>
  <c r="AB130" i="43"/>
  <c r="AC130" i="43"/>
  <c r="C128" i="43"/>
  <c r="C129" i="43"/>
  <c r="B107" i="43" s="1"/>
  <c r="B108" i="43" s="1"/>
  <c r="C107" i="43"/>
  <c r="A110" i="43"/>
  <c r="A109" i="43"/>
  <c r="A108" i="43"/>
  <c r="A107" i="43"/>
  <c r="C96" i="43"/>
  <c r="A99" i="43"/>
  <c r="A97" i="43"/>
  <c r="A98" i="43"/>
  <c r="A96" i="43"/>
  <c r="C86" i="43"/>
  <c r="A87" i="43"/>
  <c r="A88" i="43"/>
  <c r="A86" i="43"/>
  <c r="A71" i="43"/>
  <c r="A72" i="43"/>
  <c r="A73" i="43"/>
  <c r="A74" i="43"/>
  <c r="A75" i="43"/>
  <c r="A76" i="43"/>
  <c r="A77" i="43"/>
  <c r="A78" i="43"/>
  <c r="A70" i="43"/>
  <c r="C70" i="43"/>
  <c r="B69" i="58" l="1"/>
  <c r="D24" i="58" s="1"/>
  <c r="F24" i="58" s="1"/>
  <c r="H25" i="60"/>
  <c r="I24" i="60"/>
  <c r="H26" i="60"/>
  <c r="L83" i="61"/>
  <c r="K112" i="61"/>
  <c r="M85" i="61"/>
  <c r="E129" i="43"/>
  <c r="E130" i="43" s="1"/>
  <c r="D696" i="60"/>
  <c r="D698" i="60" s="1"/>
  <c r="G699" i="60"/>
  <c r="G700" i="60" s="1"/>
  <c r="F699" i="60"/>
  <c r="F700" i="60" s="1"/>
  <c r="E699" i="60"/>
  <c r="E700" i="60" s="1"/>
  <c r="C699" i="60"/>
  <c r="C700" i="60" s="1"/>
  <c r="D695" i="60"/>
  <c r="D697" i="60" s="1"/>
  <c r="D25" i="58" l="1"/>
  <c r="E25" i="58" s="1"/>
  <c r="F25" i="58" s="1"/>
  <c r="G25" i="58" s="1"/>
  <c r="I26" i="60"/>
  <c r="J24" i="60"/>
  <c r="I25" i="60"/>
  <c r="N85" i="61"/>
  <c r="M83" i="61"/>
  <c r="L112" i="61"/>
  <c r="D699" i="60"/>
  <c r="D700" i="60" s="1"/>
  <c r="D3" i="43"/>
  <c r="E3" i="43"/>
  <c r="F3" i="43"/>
  <c r="G3" i="43"/>
  <c r="H3" i="43"/>
  <c r="I3" i="43"/>
  <c r="J3" i="43"/>
  <c r="K3" i="43"/>
  <c r="L3" i="43"/>
  <c r="M3" i="43"/>
  <c r="N3" i="43"/>
  <c r="O3" i="43"/>
  <c r="P3" i="43"/>
  <c r="Q3" i="43"/>
  <c r="R3" i="43"/>
  <c r="S3" i="43"/>
  <c r="T3" i="43"/>
  <c r="U3" i="43"/>
  <c r="V3" i="43"/>
  <c r="W3" i="43"/>
  <c r="X3" i="43"/>
  <c r="Y3" i="43"/>
  <c r="Z3" i="43"/>
  <c r="AA3" i="43"/>
  <c r="AB3" i="43"/>
  <c r="AC3" i="43"/>
  <c r="C3" i="43"/>
  <c r="B5" i="43"/>
  <c r="B6" i="43"/>
  <c r="B9" i="43"/>
  <c r="B10" i="43"/>
  <c r="B11" i="43"/>
  <c r="B12" i="43"/>
  <c r="B13" i="43"/>
  <c r="B4" i="43"/>
  <c r="A31" i="60"/>
  <c r="A64" i="60" s="1"/>
  <c r="A30" i="60"/>
  <c r="A63" i="60" s="1"/>
  <c r="D12" i="43"/>
  <c r="F12" i="43"/>
  <c r="G12" i="43"/>
  <c r="H12" i="43"/>
  <c r="I12" i="43"/>
  <c r="J12" i="43"/>
  <c r="K12" i="43"/>
  <c r="L12" i="43"/>
  <c r="M12" i="43"/>
  <c r="N12" i="43"/>
  <c r="O12" i="43"/>
  <c r="S12" i="43"/>
  <c r="T12" i="43"/>
  <c r="U12" i="43"/>
  <c r="V12" i="43"/>
  <c r="W12" i="43"/>
  <c r="Y12" i="43"/>
  <c r="Z12" i="43"/>
  <c r="AA12" i="43"/>
  <c r="AB12" i="43"/>
  <c r="AC12" i="43"/>
  <c r="D13" i="43"/>
  <c r="F13" i="43"/>
  <c r="G13" i="43"/>
  <c r="H13" i="43"/>
  <c r="I13" i="43"/>
  <c r="J13" i="43"/>
  <c r="K13" i="43"/>
  <c r="L13" i="43"/>
  <c r="M13" i="43"/>
  <c r="N13" i="43"/>
  <c r="O13" i="43"/>
  <c r="S13" i="43"/>
  <c r="T13" i="43"/>
  <c r="U13" i="43"/>
  <c r="V13" i="43"/>
  <c r="W13" i="43"/>
  <c r="Y13" i="43"/>
  <c r="Z13" i="43"/>
  <c r="AA13" i="43"/>
  <c r="AB13" i="43"/>
  <c r="AC13" i="43"/>
  <c r="B620" i="43"/>
  <c r="B621" i="43"/>
  <c r="B622" i="43"/>
  <c r="D622" i="43"/>
  <c r="C621" i="43"/>
  <c r="D621" i="43"/>
  <c r="E621" i="43"/>
  <c r="F621" i="43"/>
  <c r="G621" i="43"/>
  <c r="C622" i="43"/>
  <c r="E622" i="43"/>
  <c r="F622" i="43"/>
  <c r="G622" i="43"/>
  <c r="D620" i="43"/>
  <c r="E620" i="43"/>
  <c r="F620" i="43"/>
  <c r="G620" i="43"/>
  <c r="C620" i="43"/>
  <c r="C639" i="43"/>
  <c r="D639" i="43"/>
  <c r="E639" i="43"/>
  <c r="F639" i="43"/>
  <c r="G639" i="43"/>
  <c r="C640" i="43"/>
  <c r="D640" i="43"/>
  <c r="E640" i="43"/>
  <c r="F640" i="43"/>
  <c r="G640" i="43"/>
  <c r="C641" i="43"/>
  <c r="D641" i="43"/>
  <c r="E641" i="43"/>
  <c r="F641" i="43"/>
  <c r="G641" i="43"/>
  <c r="B640" i="43"/>
  <c r="B649" i="43" s="1"/>
  <c r="B641" i="43"/>
  <c r="B650" i="43" s="1"/>
  <c r="B639" i="43"/>
  <c r="B648" i="43" s="1"/>
  <c r="C604" i="43"/>
  <c r="C603" i="43"/>
  <c r="A604" i="43"/>
  <c r="A603" i="43"/>
  <c r="A591" i="43"/>
  <c r="A592" i="43"/>
  <c r="A590" i="43"/>
  <c r="C40" i="59"/>
  <c r="C41" i="59"/>
  <c r="B41" i="59"/>
  <c r="B40" i="59"/>
  <c r="E113" i="61" l="1"/>
  <c r="F623" i="43"/>
  <c r="X603" i="43" s="1"/>
  <c r="X12" i="43" s="1"/>
  <c r="J25" i="60"/>
  <c r="K24" i="60"/>
  <c r="J26" i="60"/>
  <c r="H25" i="58"/>
  <c r="G113" i="61"/>
  <c r="N83" i="61"/>
  <c r="M112" i="61"/>
  <c r="O85" i="61"/>
  <c r="F650" i="43"/>
  <c r="C623" i="43"/>
  <c r="Q603" i="43" s="1"/>
  <c r="Q12" i="43" s="1"/>
  <c r="G650" i="43"/>
  <c r="C650" i="43"/>
  <c r="E623" i="43"/>
  <c r="R603" i="43" s="1"/>
  <c r="R12" i="43" s="1"/>
  <c r="D650" i="43"/>
  <c r="F648" i="43"/>
  <c r="D623" i="43"/>
  <c r="E603" i="43" s="1"/>
  <c r="E12" i="43" s="1"/>
  <c r="G648" i="43"/>
  <c r="C12" i="43"/>
  <c r="C13" i="43"/>
  <c r="E648" i="43"/>
  <c r="G623" i="43"/>
  <c r="P603" i="43" s="1"/>
  <c r="P12" i="43" s="1"/>
  <c r="C649" i="43"/>
  <c r="E650" i="43"/>
  <c r="G649" i="43"/>
  <c r="D648" i="43"/>
  <c r="F649" i="43"/>
  <c r="C648" i="43"/>
  <c r="E649" i="43"/>
  <c r="D649" i="43"/>
  <c r="A97" i="59"/>
  <c r="A99" i="59"/>
  <c r="A109" i="59"/>
  <c r="A113" i="59"/>
  <c r="A115" i="59"/>
  <c r="A119" i="59"/>
  <c r="K26" i="60" l="1"/>
  <c r="L24" i="60"/>
  <c r="K25" i="60"/>
  <c r="I25" i="58"/>
  <c r="H113" i="61"/>
  <c r="P85" i="61"/>
  <c r="O83" i="61"/>
  <c r="N112" i="61"/>
  <c r="F651" i="43"/>
  <c r="X604" i="43" s="1"/>
  <c r="X13" i="43" s="1"/>
  <c r="E651" i="43"/>
  <c r="R604" i="43" s="1"/>
  <c r="R13" i="43" s="1"/>
  <c r="D651" i="43"/>
  <c r="E604" i="43" s="1"/>
  <c r="E13" i="43" s="1"/>
  <c r="G651" i="43"/>
  <c r="P604" i="43" s="1"/>
  <c r="P13" i="43" s="1"/>
  <c r="C651" i="43"/>
  <c r="Q604" i="43" s="1"/>
  <c r="Q13" i="43" s="1"/>
  <c r="A28" i="60"/>
  <c r="A61" i="60" s="1"/>
  <c r="A29" i="60"/>
  <c r="A62" i="60" s="1"/>
  <c r="A27" i="60"/>
  <c r="A60" i="60" s="1"/>
  <c r="A10" i="43"/>
  <c r="A9" i="43"/>
  <c r="C36" i="59"/>
  <c r="C37" i="59"/>
  <c r="C38" i="59"/>
  <c r="B37" i="59"/>
  <c r="B38" i="59"/>
  <c r="B36" i="59"/>
  <c r="L25" i="60" l="1"/>
  <c r="M24" i="60"/>
  <c r="L26" i="60"/>
  <c r="J25" i="58"/>
  <c r="I113" i="61"/>
  <c r="P83" i="61"/>
  <c r="O112" i="61"/>
  <c r="Q85" i="61"/>
  <c r="C591" i="43"/>
  <c r="C592" i="43"/>
  <c r="C590" i="43"/>
  <c r="B589" i="43"/>
  <c r="B602" i="43" s="1"/>
  <c r="H539" i="43"/>
  <c r="E570" i="43" s="1"/>
  <c r="C539" i="43"/>
  <c r="D539" i="43"/>
  <c r="E539" i="43"/>
  <c r="F539" i="43"/>
  <c r="G539" i="43"/>
  <c r="I539" i="43"/>
  <c r="J539" i="43"/>
  <c r="K539" i="43"/>
  <c r="L539" i="43"/>
  <c r="C540" i="43"/>
  <c r="D540" i="43"/>
  <c r="E540" i="43"/>
  <c r="F540" i="43"/>
  <c r="G540" i="43"/>
  <c r="H540" i="43"/>
  <c r="I540" i="43"/>
  <c r="J540" i="43"/>
  <c r="K540" i="43"/>
  <c r="L540" i="43"/>
  <c r="C541" i="43"/>
  <c r="D541" i="43"/>
  <c r="E541" i="43"/>
  <c r="F541" i="43"/>
  <c r="G541" i="43"/>
  <c r="H541" i="43"/>
  <c r="I541" i="43"/>
  <c r="J541" i="43"/>
  <c r="K541" i="43"/>
  <c r="L541" i="43"/>
  <c r="C542" i="43"/>
  <c r="D542" i="43"/>
  <c r="E542" i="43"/>
  <c r="F542" i="43"/>
  <c r="G542" i="43"/>
  <c r="H542" i="43"/>
  <c r="I542" i="43"/>
  <c r="J542" i="43"/>
  <c r="K542" i="43"/>
  <c r="L542" i="43"/>
  <c r="C543" i="43"/>
  <c r="D543" i="43"/>
  <c r="E543" i="43"/>
  <c r="F543" i="43"/>
  <c r="G543" i="43"/>
  <c r="H543" i="43"/>
  <c r="I543" i="43"/>
  <c r="J543" i="43"/>
  <c r="K543" i="43"/>
  <c r="L543" i="43"/>
  <c r="C544" i="43"/>
  <c r="D544" i="43"/>
  <c r="E544" i="43"/>
  <c r="F544" i="43"/>
  <c r="G544" i="43"/>
  <c r="H544" i="43"/>
  <c r="I544" i="43"/>
  <c r="J544" i="43"/>
  <c r="K544" i="43"/>
  <c r="L544" i="43"/>
  <c r="C545" i="43"/>
  <c r="D545" i="43"/>
  <c r="E545" i="43"/>
  <c r="F545" i="43"/>
  <c r="G545" i="43"/>
  <c r="H545" i="43"/>
  <c r="I545" i="43"/>
  <c r="J545" i="43"/>
  <c r="K545" i="43"/>
  <c r="L545" i="43"/>
  <c r="C546" i="43"/>
  <c r="D546" i="43"/>
  <c r="E546" i="43"/>
  <c r="F546" i="43"/>
  <c r="G546" i="43"/>
  <c r="H546" i="43"/>
  <c r="I546" i="43"/>
  <c r="J546" i="43"/>
  <c r="K546" i="43"/>
  <c r="L546" i="43"/>
  <c r="C547" i="43"/>
  <c r="D547" i="43"/>
  <c r="E547" i="43"/>
  <c r="F547" i="43"/>
  <c r="G547" i="43"/>
  <c r="H547" i="43"/>
  <c r="I547" i="43"/>
  <c r="J547" i="43"/>
  <c r="K547" i="43"/>
  <c r="L547" i="43"/>
  <c r="C548" i="43"/>
  <c r="D548" i="43"/>
  <c r="E548" i="43"/>
  <c r="F548" i="43"/>
  <c r="G548" i="43"/>
  <c r="H548" i="43"/>
  <c r="I548" i="43"/>
  <c r="J548" i="43"/>
  <c r="K548" i="43"/>
  <c r="L548" i="43"/>
  <c r="C549" i="43"/>
  <c r="D549" i="43"/>
  <c r="E549" i="43"/>
  <c r="F549" i="43"/>
  <c r="G549" i="43"/>
  <c r="H549" i="43"/>
  <c r="I549" i="43"/>
  <c r="J549" i="43"/>
  <c r="K549" i="43"/>
  <c r="L549" i="43"/>
  <c r="B540" i="43"/>
  <c r="B541" i="43"/>
  <c r="B542" i="43"/>
  <c r="B543" i="43"/>
  <c r="B544" i="43"/>
  <c r="B545" i="43"/>
  <c r="B546" i="43"/>
  <c r="B547" i="43"/>
  <c r="B548" i="43"/>
  <c r="B549" i="43"/>
  <c r="B539" i="43"/>
  <c r="E569" i="43"/>
  <c r="D569" i="43"/>
  <c r="F569" i="43"/>
  <c r="G569" i="43"/>
  <c r="H569" i="43"/>
  <c r="I569" i="43"/>
  <c r="J569" i="43"/>
  <c r="K569" i="43"/>
  <c r="L569" i="43"/>
  <c r="M569" i="43"/>
  <c r="N569" i="43"/>
  <c r="O569" i="43"/>
  <c r="P569" i="43"/>
  <c r="Q569" i="43"/>
  <c r="R569" i="43"/>
  <c r="S569" i="43"/>
  <c r="T569" i="43"/>
  <c r="U569" i="43"/>
  <c r="V569" i="43"/>
  <c r="W569" i="43"/>
  <c r="X569" i="43"/>
  <c r="Y569" i="43"/>
  <c r="Z569" i="43"/>
  <c r="AA569" i="43"/>
  <c r="AB569" i="43"/>
  <c r="AC569" i="43"/>
  <c r="E468" i="43"/>
  <c r="E467" i="43"/>
  <c r="A29" i="58"/>
  <c r="A30" i="58"/>
  <c r="A28" i="58"/>
  <c r="E30" i="58"/>
  <c r="F30" i="58" s="1"/>
  <c r="G30" i="58" s="1"/>
  <c r="H30" i="58" s="1"/>
  <c r="I30" i="58" s="1"/>
  <c r="J30" i="58" s="1"/>
  <c r="K30" i="58" s="1"/>
  <c r="L30" i="58" s="1"/>
  <c r="M30" i="58" s="1"/>
  <c r="N30" i="58" s="1"/>
  <c r="O30" i="58" s="1"/>
  <c r="P30" i="58" s="1"/>
  <c r="Q30" i="58" s="1"/>
  <c r="R30" i="58" s="1"/>
  <c r="S30" i="58" s="1"/>
  <c r="T30" i="58" s="1"/>
  <c r="U30" i="58" s="1"/>
  <c r="V30" i="58" s="1"/>
  <c r="W30" i="58" s="1"/>
  <c r="X30" i="58" s="1"/>
  <c r="Y30" i="58" s="1"/>
  <c r="Z30" i="58" s="1"/>
  <c r="AA30" i="58" s="1"/>
  <c r="AB30" i="58" s="1"/>
  <c r="AC30" i="58" s="1"/>
  <c r="AD30" i="58" s="1"/>
  <c r="N24" i="60" l="1"/>
  <c r="M26" i="60"/>
  <c r="M25" i="60"/>
  <c r="K25" i="58"/>
  <c r="J113" i="61"/>
  <c r="R85" i="61"/>
  <c r="Q83" i="61"/>
  <c r="P112" i="61"/>
  <c r="Y570" i="43"/>
  <c r="W570" i="43"/>
  <c r="O570" i="43"/>
  <c r="C9" i="43"/>
  <c r="C11" i="43"/>
  <c r="T570" i="43"/>
  <c r="AC570" i="43"/>
  <c r="V570" i="43"/>
  <c r="J570" i="43"/>
  <c r="M570" i="43"/>
  <c r="G570" i="43"/>
  <c r="AB570" i="43"/>
  <c r="F570" i="43"/>
  <c r="Z570" i="43"/>
  <c r="Q570" i="43"/>
  <c r="H570" i="43"/>
  <c r="X570" i="43"/>
  <c r="I570" i="43"/>
  <c r="R570" i="43"/>
  <c r="K570" i="43"/>
  <c r="S570" i="43"/>
  <c r="AA570" i="43"/>
  <c r="P570" i="43"/>
  <c r="L570" i="43"/>
  <c r="D570" i="43"/>
  <c r="U570" i="43"/>
  <c r="N570" i="43"/>
  <c r="C10" i="43"/>
  <c r="A25" i="60"/>
  <c r="A58" i="60" s="1"/>
  <c r="A26" i="60"/>
  <c r="A59" i="60" s="1"/>
  <c r="A24" i="60"/>
  <c r="A57" i="60" s="1"/>
  <c r="N25" i="60" l="1"/>
  <c r="N26" i="60"/>
  <c r="O24" i="60"/>
  <c r="L25" i="58"/>
  <c r="K113" i="61"/>
  <c r="R83" i="61"/>
  <c r="Q112" i="61"/>
  <c r="S85" i="61"/>
  <c r="F274" i="59"/>
  <c r="F277" i="59"/>
  <c r="F276" i="59"/>
  <c r="F275" i="59"/>
  <c r="D288" i="59"/>
  <c r="C288" i="59"/>
  <c r="B288" i="59"/>
  <c r="A288" i="59"/>
  <c r="E288" i="59" s="1"/>
  <c r="P24" i="60" l="1"/>
  <c r="O26" i="60"/>
  <c r="O25" i="60"/>
  <c r="M25" i="58"/>
  <c r="L113" i="61"/>
  <c r="B87" i="61"/>
  <c r="B116" i="61"/>
  <c r="T85" i="61"/>
  <c r="B88" i="61"/>
  <c r="B117" i="61"/>
  <c r="B86" i="61"/>
  <c r="B115" i="61"/>
  <c r="S83" i="61"/>
  <c r="R112" i="61"/>
  <c r="B110" i="43"/>
  <c r="D74" i="59"/>
  <c r="C34" i="59"/>
  <c r="B34" i="59"/>
  <c r="C174" i="59"/>
  <c r="C175" i="59"/>
  <c r="A74" i="59"/>
  <c r="A122" i="59" s="1"/>
  <c r="P26" i="60" l="1"/>
  <c r="P25" i="60"/>
  <c r="Q24" i="60"/>
  <c r="N25" i="58"/>
  <c r="M113" i="61"/>
  <c r="T83" i="61"/>
  <c r="S112" i="61"/>
  <c r="U85" i="61"/>
  <c r="E289" i="59"/>
  <c r="C178" i="59"/>
  <c r="A289" i="59"/>
  <c r="X8" i="43" s="1"/>
  <c r="D289" i="59"/>
  <c r="K8" i="43" s="1"/>
  <c r="B289" i="59"/>
  <c r="E8" i="43" s="1"/>
  <c r="C289" i="59"/>
  <c r="U8" i="43" s="1"/>
  <c r="D73" i="59"/>
  <c r="D72" i="59"/>
  <c r="C32" i="59"/>
  <c r="C33" i="59"/>
  <c r="B33" i="59"/>
  <c r="B32" i="59"/>
  <c r="A73" i="59"/>
  <c r="A121" i="59" s="1"/>
  <c r="A72" i="59"/>
  <c r="A120" i="59" s="1"/>
  <c r="D177" i="59"/>
  <c r="F73" i="59" s="1"/>
  <c r="E177" i="59"/>
  <c r="G73" i="59" s="1"/>
  <c r="F177" i="59"/>
  <c r="H73" i="59" s="1"/>
  <c r="G177" i="59"/>
  <c r="I73" i="59" s="1"/>
  <c r="H177" i="59"/>
  <c r="J73" i="59" s="1"/>
  <c r="I177" i="59"/>
  <c r="K73" i="59" s="1"/>
  <c r="J177" i="59"/>
  <c r="L73" i="59" s="1"/>
  <c r="K177" i="59"/>
  <c r="M73" i="59" s="1"/>
  <c r="L177" i="59"/>
  <c r="N73" i="59" s="1"/>
  <c r="M177" i="59"/>
  <c r="O73" i="59" s="1"/>
  <c r="N177" i="59"/>
  <c r="P73" i="59" s="1"/>
  <c r="O177" i="59"/>
  <c r="Q73" i="59" s="1"/>
  <c r="P177" i="59"/>
  <c r="R73" i="59" s="1"/>
  <c r="Q177" i="59"/>
  <c r="S73" i="59" s="1"/>
  <c r="R177" i="59"/>
  <c r="T73" i="59" s="1"/>
  <c r="S177" i="59"/>
  <c r="U73" i="59" s="1"/>
  <c r="T177" i="59"/>
  <c r="V73" i="59" s="1"/>
  <c r="U177" i="59"/>
  <c r="W73" i="59" s="1"/>
  <c r="V177" i="59"/>
  <c r="X73" i="59" s="1"/>
  <c r="W177" i="59"/>
  <c r="Y73" i="59" s="1"/>
  <c r="X177" i="59"/>
  <c r="Z73" i="59" s="1"/>
  <c r="Y177" i="59"/>
  <c r="AA73" i="59" s="1"/>
  <c r="Z177" i="59"/>
  <c r="AB73" i="59" s="1"/>
  <c r="AA177" i="59"/>
  <c r="AC73" i="59" s="1"/>
  <c r="AB177" i="59"/>
  <c r="AD73" i="59" s="1"/>
  <c r="AC177" i="59"/>
  <c r="AE73" i="59" s="1"/>
  <c r="D176" i="59"/>
  <c r="F72" i="59" s="1"/>
  <c r="E176" i="59"/>
  <c r="G72" i="59" s="1"/>
  <c r="F176" i="59"/>
  <c r="H72" i="59" s="1"/>
  <c r="G176" i="59"/>
  <c r="I72" i="59" s="1"/>
  <c r="H176" i="59"/>
  <c r="J72" i="59" s="1"/>
  <c r="I176" i="59"/>
  <c r="K72" i="59" s="1"/>
  <c r="J176" i="59"/>
  <c r="L72" i="59" s="1"/>
  <c r="K176" i="59"/>
  <c r="M72" i="59" s="1"/>
  <c r="L176" i="59"/>
  <c r="N72" i="59" s="1"/>
  <c r="M176" i="59"/>
  <c r="O72" i="59" s="1"/>
  <c r="N176" i="59"/>
  <c r="P72" i="59" s="1"/>
  <c r="O176" i="59"/>
  <c r="Q72" i="59" s="1"/>
  <c r="P176" i="59"/>
  <c r="R72" i="59" s="1"/>
  <c r="Q176" i="59"/>
  <c r="S72" i="59" s="1"/>
  <c r="R176" i="59"/>
  <c r="T72" i="59" s="1"/>
  <c r="S176" i="59"/>
  <c r="U72" i="59" s="1"/>
  <c r="T176" i="59"/>
  <c r="V72" i="59" s="1"/>
  <c r="U176" i="59"/>
  <c r="W72" i="59" s="1"/>
  <c r="V176" i="59"/>
  <c r="X72" i="59" s="1"/>
  <c r="W176" i="59"/>
  <c r="Y72" i="59" s="1"/>
  <c r="X176" i="59"/>
  <c r="Z72" i="59" s="1"/>
  <c r="Y176" i="59"/>
  <c r="AA72" i="59" s="1"/>
  <c r="Z176" i="59"/>
  <c r="AB72" i="59" s="1"/>
  <c r="AA176" i="59"/>
  <c r="AC72" i="59" s="1"/>
  <c r="AB176" i="59"/>
  <c r="AD72" i="59" s="1"/>
  <c r="AC176" i="59"/>
  <c r="AE72" i="59" s="1"/>
  <c r="C401" i="43"/>
  <c r="C402" i="43"/>
  <c r="C400" i="43"/>
  <c r="D467" i="43"/>
  <c r="F467" i="43"/>
  <c r="G467" i="43"/>
  <c r="H467" i="43"/>
  <c r="I467" i="43"/>
  <c r="J467" i="43"/>
  <c r="K467" i="43"/>
  <c r="L467" i="43"/>
  <c r="M467" i="43"/>
  <c r="N467" i="43"/>
  <c r="O467" i="43"/>
  <c r="P467" i="43"/>
  <c r="Q467" i="43"/>
  <c r="R467" i="43"/>
  <c r="S467" i="43"/>
  <c r="T467" i="43"/>
  <c r="U467" i="43"/>
  <c r="V467" i="43"/>
  <c r="W467" i="43"/>
  <c r="X467" i="43"/>
  <c r="Y467" i="43"/>
  <c r="Z467" i="43"/>
  <c r="AA467" i="43"/>
  <c r="AB467" i="43"/>
  <c r="AC467" i="43"/>
  <c r="AC415" i="43"/>
  <c r="AB415" i="43"/>
  <c r="AA415" i="43"/>
  <c r="Z415" i="43"/>
  <c r="Y415" i="43"/>
  <c r="X415" i="43"/>
  <c r="W415" i="43"/>
  <c r="V415" i="43"/>
  <c r="U415" i="43"/>
  <c r="T415" i="43"/>
  <c r="S415" i="43"/>
  <c r="R415" i="43"/>
  <c r="Q415" i="43"/>
  <c r="P415" i="43"/>
  <c r="O415" i="43"/>
  <c r="N415" i="43"/>
  <c r="M415" i="43"/>
  <c r="L415" i="43"/>
  <c r="K415" i="43"/>
  <c r="J415" i="43"/>
  <c r="I415" i="43"/>
  <c r="H415" i="43"/>
  <c r="G415" i="43"/>
  <c r="F415" i="43"/>
  <c r="E415" i="43"/>
  <c r="D415" i="43"/>
  <c r="C415" i="43"/>
  <c r="D428" i="43"/>
  <c r="E428" i="43"/>
  <c r="F428" i="43"/>
  <c r="G428" i="43"/>
  <c r="H428" i="43"/>
  <c r="I428" i="43"/>
  <c r="J428" i="43"/>
  <c r="K428" i="43"/>
  <c r="L428" i="43"/>
  <c r="M428" i="43"/>
  <c r="N428" i="43"/>
  <c r="O428" i="43"/>
  <c r="P428" i="43"/>
  <c r="Q428" i="43"/>
  <c r="R428" i="43"/>
  <c r="S428" i="43"/>
  <c r="T428" i="43"/>
  <c r="U428" i="43"/>
  <c r="V428" i="43"/>
  <c r="W428" i="43"/>
  <c r="X428" i="43"/>
  <c r="Y428" i="43"/>
  <c r="Z428" i="43"/>
  <c r="AA428" i="43"/>
  <c r="AB428" i="43"/>
  <c r="AC428" i="43"/>
  <c r="C428" i="43"/>
  <c r="E74" i="59" l="1"/>
  <c r="X178" i="59"/>
  <c r="Z74" i="59" s="1"/>
  <c r="U178" i="59"/>
  <c r="W74" i="59" s="1"/>
  <c r="K178" i="59"/>
  <c r="M74" i="59" s="1"/>
  <c r="E178" i="59"/>
  <c r="G74" i="59" s="1"/>
  <c r="E73" i="59"/>
  <c r="B87" i="43" s="1"/>
  <c r="C177" i="59"/>
  <c r="E72" i="59"/>
  <c r="Q25" i="60"/>
  <c r="R24" i="60"/>
  <c r="Q26" i="60"/>
  <c r="O25" i="58"/>
  <c r="N113" i="61"/>
  <c r="V85" i="61"/>
  <c r="U83" i="61"/>
  <c r="T112" i="61"/>
  <c r="D468" i="43"/>
  <c r="F472" i="43"/>
  <c r="H472" i="43"/>
  <c r="P472" i="43"/>
  <c r="X472" i="43"/>
  <c r="J472" i="43"/>
  <c r="R472" i="43"/>
  <c r="L472" i="43"/>
  <c r="T472" i="43"/>
  <c r="AB472" i="43"/>
  <c r="T468" i="43"/>
  <c r="L468" i="43"/>
  <c r="AC468" i="43"/>
  <c r="Z468" i="43"/>
  <c r="R468" i="43"/>
  <c r="J468" i="43"/>
  <c r="S468" i="43"/>
  <c r="Z472" i="43"/>
  <c r="Y468" i="43"/>
  <c r="Q468" i="43"/>
  <c r="I468" i="43"/>
  <c r="AA468" i="43"/>
  <c r="K468" i="43"/>
  <c r="X468" i="43"/>
  <c r="P468" i="43"/>
  <c r="H468" i="43"/>
  <c r="M468" i="43"/>
  <c r="O468" i="43"/>
  <c r="U468" i="43"/>
  <c r="AB468" i="43"/>
  <c r="W468" i="43"/>
  <c r="V468" i="43"/>
  <c r="F468" i="43"/>
  <c r="C176" i="59"/>
  <c r="Y472" i="43"/>
  <c r="W472" i="43"/>
  <c r="O472" i="43"/>
  <c r="G472" i="43"/>
  <c r="D472" i="43"/>
  <c r="V472" i="43"/>
  <c r="N472" i="43"/>
  <c r="M472" i="43"/>
  <c r="AC472" i="43"/>
  <c r="U472" i="43"/>
  <c r="E472" i="43"/>
  <c r="AA472" i="43"/>
  <c r="S472" i="43"/>
  <c r="K472" i="43"/>
  <c r="Q472" i="43"/>
  <c r="I472" i="43"/>
  <c r="N468" i="43"/>
  <c r="G468" i="43"/>
  <c r="D88" i="59"/>
  <c r="C89" i="59"/>
  <c r="C88" i="59"/>
  <c r="C6" i="59"/>
  <c r="C7" i="59"/>
  <c r="B7" i="59"/>
  <c r="B6" i="59"/>
  <c r="C29" i="59"/>
  <c r="B29" i="59"/>
  <c r="C28" i="59"/>
  <c r="B28" i="59"/>
  <c r="C27" i="59"/>
  <c r="B27" i="59"/>
  <c r="C25" i="59"/>
  <c r="B25" i="59"/>
  <c r="C23" i="59"/>
  <c r="B23" i="59"/>
  <c r="C22" i="59"/>
  <c r="B22" i="59"/>
  <c r="C21" i="59"/>
  <c r="B21" i="59"/>
  <c r="C19" i="59"/>
  <c r="B19" i="59"/>
  <c r="C18" i="59"/>
  <c r="B18" i="59"/>
  <c r="C17" i="59"/>
  <c r="B17" i="59"/>
  <c r="C16" i="59"/>
  <c r="B16" i="59"/>
  <c r="C15" i="59"/>
  <c r="B15" i="59"/>
  <c r="C14" i="59"/>
  <c r="B14" i="59"/>
  <c r="C13" i="59"/>
  <c r="B13" i="59"/>
  <c r="C12" i="59"/>
  <c r="B12" i="59"/>
  <c r="C11" i="59"/>
  <c r="B11" i="59"/>
  <c r="C159" i="59"/>
  <c r="R26" i="60" l="1"/>
  <c r="S24" i="60"/>
  <c r="R25" i="60"/>
  <c r="P25" i="58"/>
  <c r="O113" i="61"/>
  <c r="V83" i="61"/>
  <c r="U112" i="61"/>
  <c r="W85" i="61"/>
  <c r="B86" i="43"/>
  <c r="C570" i="43"/>
  <c r="C472" i="43"/>
  <c r="C468" i="43"/>
  <c r="H162" i="59"/>
  <c r="J54" i="59" s="1"/>
  <c r="T24" i="60" l="1"/>
  <c r="S25" i="60"/>
  <c r="S26" i="60"/>
  <c r="Q25" i="58"/>
  <c r="P113" i="61"/>
  <c r="X85" i="61"/>
  <c r="W83" i="61"/>
  <c r="V112" i="61"/>
  <c r="AC626" i="60"/>
  <c r="AC636" i="60" s="1"/>
  <c r="AB626" i="60"/>
  <c r="AB171" i="59" s="1"/>
  <c r="AD64" i="59" s="1"/>
  <c r="AA626" i="60"/>
  <c r="AA638" i="60" s="1"/>
  <c r="Z626" i="60"/>
  <c r="Z638" i="60" s="1"/>
  <c r="Y626" i="60"/>
  <c r="Y635" i="60" s="1"/>
  <c r="X626" i="60"/>
  <c r="X171" i="59" s="1"/>
  <c r="Z64" i="59" s="1"/>
  <c r="W626" i="60"/>
  <c r="W171" i="59" s="1"/>
  <c r="Y64" i="59" s="1"/>
  <c r="V626" i="60"/>
  <c r="V171" i="59" s="1"/>
  <c r="X64" i="59" s="1"/>
  <c r="U626" i="60"/>
  <c r="U636" i="60" s="1"/>
  <c r="T626" i="60"/>
  <c r="T637" i="60" s="1"/>
  <c r="S626" i="60"/>
  <c r="S171" i="59" s="1"/>
  <c r="U64" i="59" s="1"/>
  <c r="R626" i="60"/>
  <c r="R634" i="60" s="1"/>
  <c r="Q626" i="60"/>
  <c r="Q635" i="60" s="1"/>
  <c r="P626" i="60"/>
  <c r="P171" i="59" s="1"/>
  <c r="R64" i="59" s="1"/>
  <c r="O626" i="60"/>
  <c r="O171" i="59" s="1"/>
  <c r="Q64" i="59" s="1"/>
  <c r="N626" i="60"/>
  <c r="N171" i="59" s="1"/>
  <c r="P64" i="59" s="1"/>
  <c r="M626" i="60"/>
  <c r="M171" i="59" s="1"/>
  <c r="O64" i="59" s="1"/>
  <c r="L626" i="60"/>
  <c r="L171" i="59" s="1"/>
  <c r="N64" i="59" s="1"/>
  <c r="K626" i="60"/>
  <c r="K171" i="59" s="1"/>
  <c r="M64" i="59" s="1"/>
  <c r="J626" i="60"/>
  <c r="J638" i="60" s="1"/>
  <c r="I626" i="60"/>
  <c r="I639" i="60" s="1"/>
  <c r="H626" i="60"/>
  <c r="H171" i="59" s="1"/>
  <c r="J64" i="59" s="1"/>
  <c r="G626" i="60"/>
  <c r="G634" i="60" s="1"/>
  <c r="F626" i="60"/>
  <c r="F171" i="59" s="1"/>
  <c r="H64" i="59" s="1"/>
  <c r="E626" i="60"/>
  <c r="E171" i="59" s="1"/>
  <c r="G64" i="59" s="1"/>
  <c r="D626" i="60"/>
  <c r="D171" i="59" s="1"/>
  <c r="F64" i="59" s="1"/>
  <c r="C625" i="60"/>
  <c r="C624" i="60"/>
  <c r="C623" i="60"/>
  <c r="C622" i="60"/>
  <c r="C621" i="60"/>
  <c r="C620" i="60"/>
  <c r="C619" i="60"/>
  <c r="AC578" i="60"/>
  <c r="AC170" i="59" s="1"/>
  <c r="AE63" i="59" s="1"/>
  <c r="AB578" i="60"/>
  <c r="AB170" i="59" s="1"/>
  <c r="AD63" i="59" s="1"/>
  <c r="AA578" i="60"/>
  <c r="AA170" i="59" s="1"/>
  <c r="AC63" i="59" s="1"/>
  <c r="Z578" i="60"/>
  <c r="Y578" i="60"/>
  <c r="Y590" i="60" s="1"/>
  <c r="X578" i="60"/>
  <c r="X170" i="59" s="1"/>
  <c r="Z63" i="59" s="1"/>
  <c r="W578" i="60"/>
  <c r="W170" i="59" s="1"/>
  <c r="Y63" i="59" s="1"/>
  <c r="V578" i="60"/>
  <c r="V170" i="59" s="1"/>
  <c r="X63" i="59" s="1"/>
  <c r="U578" i="60"/>
  <c r="U170" i="59" s="1"/>
  <c r="W63" i="59" s="1"/>
  <c r="T578" i="60"/>
  <c r="T170" i="59" s="1"/>
  <c r="V63" i="59" s="1"/>
  <c r="S578" i="60"/>
  <c r="S170" i="59" s="1"/>
  <c r="U63" i="59" s="1"/>
  <c r="R578" i="60"/>
  <c r="R590" i="60" s="1"/>
  <c r="Q578" i="60"/>
  <c r="P578" i="60"/>
  <c r="P170" i="59" s="1"/>
  <c r="R63" i="59" s="1"/>
  <c r="O578" i="60"/>
  <c r="O170" i="59" s="1"/>
  <c r="Q63" i="59" s="1"/>
  <c r="N578" i="60"/>
  <c r="N170" i="59" s="1"/>
  <c r="P63" i="59" s="1"/>
  <c r="M578" i="60"/>
  <c r="M170" i="59" s="1"/>
  <c r="O63" i="59" s="1"/>
  <c r="L578" i="60"/>
  <c r="L170" i="59" s="1"/>
  <c r="N63" i="59" s="1"/>
  <c r="K578" i="60"/>
  <c r="K170" i="59" s="1"/>
  <c r="M63" i="59" s="1"/>
  <c r="J578" i="60"/>
  <c r="J590" i="60" s="1"/>
  <c r="I578" i="60"/>
  <c r="H578" i="60"/>
  <c r="H170" i="59" s="1"/>
  <c r="J63" i="59" s="1"/>
  <c r="G578" i="60"/>
  <c r="G170" i="59" s="1"/>
  <c r="I63" i="59" s="1"/>
  <c r="F578" i="60"/>
  <c r="F170" i="59" s="1"/>
  <c r="H63" i="59" s="1"/>
  <c r="E578" i="60"/>
  <c r="E170" i="59" s="1"/>
  <c r="G63" i="59" s="1"/>
  <c r="D578" i="60"/>
  <c r="D170" i="59" s="1"/>
  <c r="F63" i="59" s="1"/>
  <c r="C577" i="60"/>
  <c r="C576" i="60"/>
  <c r="C575" i="60"/>
  <c r="C574" i="60"/>
  <c r="C573" i="60"/>
  <c r="C572" i="60"/>
  <c r="C571" i="60"/>
  <c r="AC530" i="60"/>
  <c r="AB530" i="60"/>
  <c r="AB541" i="60" s="1"/>
  <c r="AA530" i="60"/>
  <c r="Z530" i="60"/>
  <c r="Y530" i="60"/>
  <c r="X530" i="60"/>
  <c r="X537" i="60" s="1"/>
  <c r="W530" i="60"/>
  <c r="W538" i="60" s="1"/>
  <c r="V530" i="60"/>
  <c r="V539" i="60" s="1"/>
  <c r="U530" i="60"/>
  <c r="T530" i="60"/>
  <c r="T541" i="60" s="1"/>
  <c r="S530" i="60"/>
  <c r="R530" i="60"/>
  <c r="Q530" i="60"/>
  <c r="P530" i="60"/>
  <c r="O530" i="60"/>
  <c r="O538" i="60" s="1"/>
  <c r="N530" i="60"/>
  <c r="N539" i="60" s="1"/>
  <c r="M530" i="60"/>
  <c r="M540" i="60" s="1"/>
  <c r="L530" i="60"/>
  <c r="K530" i="60"/>
  <c r="J530" i="60"/>
  <c r="I530" i="60"/>
  <c r="H530" i="60"/>
  <c r="H537" i="60" s="1"/>
  <c r="G530" i="60"/>
  <c r="G538" i="60" s="1"/>
  <c r="F530" i="60"/>
  <c r="F539" i="60" s="1"/>
  <c r="E530" i="60"/>
  <c r="D530" i="60"/>
  <c r="D537" i="60" s="1"/>
  <c r="C529" i="60"/>
  <c r="C528" i="60"/>
  <c r="C527" i="60"/>
  <c r="C526" i="60"/>
  <c r="C525" i="60"/>
  <c r="C524" i="60"/>
  <c r="C523" i="60"/>
  <c r="P482" i="60"/>
  <c r="H482" i="60"/>
  <c r="H493" i="60" s="1"/>
  <c r="X482" i="60"/>
  <c r="AC482" i="60"/>
  <c r="AB482" i="60"/>
  <c r="AB168" i="59" s="1"/>
  <c r="AD60" i="59" s="1"/>
  <c r="AA482" i="60"/>
  <c r="Z482" i="60"/>
  <c r="Y482" i="60"/>
  <c r="Y492" i="60" s="1"/>
  <c r="W482" i="60"/>
  <c r="W494" i="60" s="1"/>
  <c r="U482" i="60"/>
  <c r="T482" i="60"/>
  <c r="S482" i="60"/>
  <c r="R482" i="60"/>
  <c r="R491" i="60" s="1"/>
  <c r="Q482" i="60"/>
  <c r="Q492" i="60" s="1"/>
  <c r="O482" i="60"/>
  <c r="N482" i="60"/>
  <c r="M482" i="60"/>
  <c r="L482" i="60"/>
  <c r="K482" i="60"/>
  <c r="K490" i="60" s="1"/>
  <c r="J482" i="60"/>
  <c r="I482" i="60"/>
  <c r="I492" i="60" s="1"/>
  <c r="G482" i="60"/>
  <c r="G168" i="59" s="1"/>
  <c r="I60" i="59" s="1"/>
  <c r="E482" i="60"/>
  <c r="D482" i="60"/>
  <c r="C481" i="60"/>
  <c r="C480" i="60"/>
  <c r="C479" i="60"/>
  <c r="C478" i="60"/>
  <c r="C477" i="60"/>
  <c r="C476" i="60"/>
  <c r="C475" i="60"/>
  <c r="AC434" i="60"/>
  <c r="AC446" i="60" s="1"/>
  <c r="AB434" i="60"/>
  <c r="AA434" i="60"/>
  <c r="AA443" i="60" s="1"/>
  <c r="Z434" i="60"/>
  <c r="Z445" i="60" s="1"/>
  <c r="Y434" i="60"/>
  <c r="Y444" i="60" s="1"/>
  <c r="X434" i="60"/>
  <c r="X444" i="60" s="1"/>
  <c r="W434" i="60"/>
  <c r="W447" i="60" s="1"/>
  <c r="U434" i="60"/>
  <c r="U442" i="60" s="1"/>
  <c r="T434" i="60"/>
  <c r="T447" i="60" s="1"/>
  <c r="S434" i="60"/>
  <c r="S447" i="60" s="1"/>
  <c r="R434" i="60"/>
  <c r="R441" i="60" s="1"/>
  <c r="Q434" i="60"/>
  <c r="Q444" i="60" s="1"/>
  <c r="P434" i="60"/>
  <c r="P444" i="60" s="1"/>
  <c r="O434" i="60"/>
  <c r="O441" i="60" s="1"/>
  <c r="M434" i="60"/>
  <c r="M442" i="60" s="1"/>
  <c r="L434" i="60"/>
  <c r="L444" i="60" s="1"/>
  <c r="K434" i="60"/>
  <c r="J434" i="60"/>
  <c r="J441" i="60" s="1"/>
  <c r="I434" i="60"/>
  <c r="I447" i="60" s="1"/>
  <c r="H434" i="60"/>
  <c r="H446" i="60" s="1"/>
  <c r="G434" i="60"/>
  <c r="G446" i="60" s="1"/>
  <c r="E434" i="60"/>
  <c r="E442" i="60" s="1"/>
  <c r="D434" i="60"/>
  <c r="D447" i="60" s="1"/>
  <c r="C433" i="60"/>
  <c r="C432" i="60"/>
  <c r="C431" i="60"/>
  <c r="C430" i="60"/>
  <c r="C429" i="60"/>
  <c r="C428" i="60"/>
  <c r="C427" i="60"/>
  <c r="A13" i="60"/>
  <c r="A46" i="60" s="1"/>
  <c r="V386" i="60"/>
  <c r="V166" i="59" s="1"/>
  <c r="X58" i="59" s="1"/>
  <c r="L386" i="60"/>
  <c r="L166" i="59" s="1"/>
  <c r="N58" i="59" s="1"/>
  <c r="D386" i="60"/>
  <c r="D166" i="59" s="1"/>
  <c r="F58" i="59" s="1"/>
  <c r="AC386" i="60"/>
  <c r="AC166" i="59" s="1"/>
  <c r="AE58" i="59" s="1"/>
  <c r="AB386" i="60"/>
  <c r="AB166" i="59" s="1"/>
  <c r="AD58" i="59" s="1"/>
  <c r="AA386" i="60"/>
  <c r="Z386" i="60"/>
  <c r="Z166" i="59" s="1"/>
  <c r="AB58" i="59" s="1"/>
  <c r="Y386" i="60"/>
  <c r="Y166" i="59" s="1"/>
  <c r="AA58" i="59" s="1"/>
  <c r="X386" i="60"/>
  <c r="X166" i="59" s="1"/>
  <c r="Z58" i="59" s="1"/>
  <c r="W386" i="60"/>
  <c r="W166" i="59" s="1"/>
  <c r="Y58" i="59" s="1"/>
  <c r="U386" i="60"/>
  <c r="U166" i="59" s="1"/>
  <c r="W58" i="59" s="1"/>
  <c r="T386" i="60"/>
  <c r="T166" i="59" s="1"/>
  <c r="V58" i="59" s="1"/>
  <c r="S386" i="60"/>
  <c r="S166" i="59" s="1"/>
  <c r="U58" i="59" s="1"/>
  <c r="R386" i="60"/>
  <c r="Q386" i="60"/>
  <c r="Q166" i="59" s="1"/>
  <c r="S58" i="59" s="1"/>
  <c r="P386" i="60"/>
  <c r="P166" i="59" s="1"/>
  <c r="R58" i="59" s="1"/>
  <c r="O386" i="60"/>
  <c r="O166" i="59" s="1"/>
  <c r="Q58" i="59" s="1"/>
  <c r="M386" i="60"/>
  <c r="M166" i="59" s="1"/>
  <c r="O58" i="59" s="1"/>
  <c r="K386" i="60"/>
  <c r="K166" i="59" s="1"/>
  <c r="M58" i="59" s="1"/>
  <c r="J386" i="60"/>
  <c r="J166" i="59" s="1"/>
  <c r="L58" i="59" s="1"/>
  <c r="I386" i="60"/>
  <c r="I166" i="59" s="1"/>
  <c r="K58" i="59" s="1"/>
  <c r="H386" i="60"/>
  <c r="G386" i="60"/>
  <c r="G166" i="59" s="1"/>
  <c r="I58" i="59" s="1"/>
  <c r="E386" i="60"/>
  <c r="E166" i="59" s="1"/>
  <c r="G58" i="59" s="1"/>
  <c r="C384" i="60"/>
  <c r="C383" i="60"/>
  <c r="C382" i="60"/>
  <c r="C381" i="60"/>
  <c r="C380" i="60"/>
  <c r="C379" i="60"/>
  <c r="H206" i="60"/>
  <c r="A16" i="58"/>
  <c r="AI137" i="59"/>
  <c r="A57" i="59"/>
  <c r="A105" i="59" s="1"/>
  <c r="C335" i="60"/>
  <c r="D338" i="60"/>
  <c r="D290" i="60"/>
  <c r="D164" i="59" s="1"/>
  <c r="F56" i="59" s="1"/>
  <c r="E338" i="60"/>
  <c r="F338" i="60"/>
  <c r="F346" i="60" s="1"/>
  <c r="G338" i="60"/>
  <c r="G345" i="60" s="1"/>
  <c r="H338" i="60"/>
  <c r="H351" i="60" s="1"/>
  <c r="I338" i="60"/>
  <c r="J338" i="60"/>
  <c r="J350" i="60" s="1"/>
  <c r="K338" i="60"/>
  <c r="K349" i="60" s="1"/>
  <c r="L338" i="60"/>
  <c r="M338" i="60"/>
  <c r="M351" i="60" s="1"/>
  <c r="N338" i="60"/>
  <c r="N345" i="60" s="1"/>
  <c r="O338" i="60"/>
  <c r="P338" i="60"/>
  <c r="Q338" i="60"/>
  <c r="R338" i="60"/>
  <c r="S338" i="60"/>
  <c r="S345" i="60" s="1"/>
  <c r="T338" i="60"/>
  <c r="U338" i="60"/>
  <c r="V338" i="60"/>
  <c r="V345" i="60" s="1"/>
  <c r="W338" i="60"/>
  <c r="X338" i="60"/>
  <c r="X348" i="60" s="1"/>
  <c r="Y338" i="60"/>
  <c r="Z338" i="60"/>
  <c r="Z349" i="60" s="1"/>
  <c r="AA338" i="60"/>
  <c r="AA349" i="60" s="1"/>
  <c r="AB338" i="60"/>
  <c r="AC338" i="60"/>
  <c r="C332" i="60"/>
  <c r="C333" i="60"/>
  <c r="C334" i="60"/>
  <c r="C336" i="60"/>
  <c r="C337" i="60"/>
  <c r="C331" i="60"/>
  <c r="V290" i="60"/>
  <c r="N290" i="60"/>
  <c r="N301" i="60" s="1"/>
  <c r="F290" i="60"/>
  <c r="F301" i="60" s="1"/>
  <c r="AC290" i="60"/>
  <c r="AC302" i="60" s="1"/>
  <c r="AB290" i="60"/>
  <c r="AB164" i="59" s="1"/>
  <c r="AD56" i="59" s="1"/>
  <c r="AA290" i="60"/>
  <c r="Z290" i="60"/>
  <c r="Z299" i="60" s="1"/>
  <c r="Y290" i="60"/>
  <c r="X290" i="60"/>
  <c r="W290" i="60"/>
  <c r="U290" i="60"/>
  <c r="U302" i="60" s="1"/>
  <c r="T290" i="60"/>
  <c r="T164" i="59" s="1"/>
  <c r="V56" i="59" s="1"/>
  <c r="S290" i="60"/>
  <c r="S303" i="60" s="1"/>
  <c r="R290" i="60"/>
  <c r="Q290" i="60"/>
  <c r="P290" i="60"/>
  <c r="P300" i="60" s="1"/>
  <c r="O290" i="60"/>
  <c r="M290" i="60"/>
  <c r="M302" i="60" s="1"/>
  <c r="L290" i="60"/>
  <c r="L164" i="59" s="1"/>
  <c r="N56" i="59" s="1"/>
  <c r="K290" i="60"/>
  <c r="K303" i="60" s="1"/>
  <c r="J290" i="60"/>
  <c r="J299" i="60" s="1"/>
  <c r="I290" i="60"/>
  <c r="H290" i="60"/>
  <c r="H300" i="60" s="1"/>
  <c r="G290" i="60"/>
  <c r="E290" i="60"/>
  <c r="E302" i="60" s="1"/>
  <c r="C289" i="60"/>
  <c r="C288" i="60"/>
  <c r="C287" i="60"/>
  <c r="C286" i="60"/>
  <c r="C285" i="60"/>
  <c r="C284" i="60"/>
  <c r="C283" i="60"/>
  <c r="D242" i="60"/>
  <c r="E242" i="60"/>
  <c r="F242" i="60"/>
  <c r="G242" i="60"/>
  <c r="H242" i="60"/>
  <c r="I242" i="60"/>
  <c r="J242" i="60"/>
  <c r="K242" i="60"/>
  <c r="L242" i="60"/>
  <c r="M242" i="60"/>
  <c r="N242" i="60"/>
  <c r="O242" i="60"/>
  <c r="P242" i="60"/>
  <c r="Q242" i="60"/>
  <c r="R242" i="60"/>
  <c r="S242" i="60"/>
  <c r="T242" i="60"/>
  <c r="U242" i="60"/>
  <c r="V242" i="60"/>
  <c r="W242" i="60"/>
  <c r="X242" i="60"/>
  <c r="Y242" i="60"/>
  <c r="Z242" i="60"/>
  <c r="AA242" i="60"/>
  <c r="AB242" i="60"/>
  <c r="AC242" i="60"/>
  <c r="C236" i="60"/>
  <c r="C237" i="60"/>
  <c r="C238" i="60"/>
  <c r="C239" i="60"/>
  <c r="C240" i="60"/>
  <c r="C241" i="60"/>
  <c r="C235" i="60"/>
  <c r="D193" i="60"/>
  <c r="E193" i="60"/>
  <c r="F193" i="60"/>
  <c r="G193" i="60"/>
  <c r="H202" i="60"/>
  <c r="I193" i="60"/>
  <c r="J193" i="60"/>
  <c r="K193" i="60"/>
  <c r="L193" i="60"/>
  <c r="M193" i="60"/>
  <c r="N193" i="60"/>
  <c r="O193" i="60"/>
  <c r="P193" i="60"/>
  <c r="Q193" i="60"/>
  <c r="R193" i="60"/>
  <c r="S193" i="60"/>
  <c r="T193" i="60"/>
  <c r="U193" i="60"/>
  <c r="V193" i="60"/>
  <c r="W193" i="60"/>
  <c r="X193" i="60"/>
  <c r="Y193" i="60"/>
  <c r="Z193" i="60"/>
  <c r="AA193" i="60"/>
  <c r="AB193" i="60"/>
  <c r="AC193" i="60"/>
  <c r="C187" i="60"/>
  <c r="C188" i="60"/>
  <c r="C189" i="60"/>
  <c r="C190" i="60"/>
  <c r="C191" i="60"/>
  <c r="C192" i="60"/>
  <c r="C186" i="60"/>
  <c r="T26" i="60" l="1"/>
  <c r="T25" i="60"/>
  <c r="U24" i="60"/>
  <c r="R25" i="58"/>
  <c r="Q113" i="61"/>
  <c r="B104" i="61"/>
  <c r="B75" i="61"/>
  <c r="X83" i="61"/>
  <c r="W112" i="61"/>
  <c r="Y85" i="61"/>
  <c r="U590" i="60"/>
  <c r="S589" i="60"/>
  <c r="AC589" i="60"/>
  <c r="O399" i="60"/>
  <c r="K398" i="60"/>
  <c r="AC588" i="60"/>
  <c r="W395" i="60"/>
  <c r="D443" i="60"/>
  <c r="AB489" i="60"/>
  <c r="Y445" i="60"/>
  <c r="N350" i="60"/>
  <c r="W399" i="60"/>
  <c r="T445" i="60"/>
  <c r="W396" i="60"/>
  <c r="O395" i="60"/>
  <c r="V636" i="60"/>
  <c r="X393" i="60"/>
  <c r="M447" i="60"/>
  <c r="P591" i="60"/>
  <c r="G636" i="60"/>
  <c r="J395" i="60"/>
  <c r="O591" i="60"/>
  <c r="N346" i="60"/>
  <c r="U397" i="60"/>
  <c r="K394" i="60"/>
  <c r="Z444" i="60"/>
  <c r="K591" i="60"/>
  <c r="M589" i="60"/>
  <c r="AB639" i="60"/>
  <c r="AC396" i="60"/>
  <c r="D394" i="60"/>
  <c r="I444" i="60"/>
  <c r="G591" i="60"/>
  <c r="G589" i="60"/>
  <c r="P639" i="60"/>
  <c r="J634" i="60"/>
  <c r="F345" i="60"/>
  <c r="AC633" i="60"/>
  <c r="AC640" i="60" s="1"/>
  <c r="J396" i="60"/>
  <c r="W446" i="60"/>
  <c r="M590" i="60"/>
  <c r="E588" i="60"/>
  <c r="U633" i="60"/>
  <c r="G587" i="60"/>
  <c r="AC397" i="60"/>
  <c r="J399" i="60"/>
  <c r="AB395" i="60"/>
  <c r="U446" i="60"/>
  <c r="W441" i="60"/>
  <c r="K590" i="60"/>
  <c r="X587" i="60"/>
  <c r="AB637" i="60"/>
  <c r="L633" i="60"/>
  <c r="W589" i="60"/>
  <c r="T398" i="60"/>
  <c r="H441" i="60"/>
  <c r="H448" i="60" s="1"/>
  <c r="AA591" i="60"/>
  <c r="O587" i="60"/>
  <c r="D637" i="60"/>
  <c r="D633" i="60"/>
  <c r="Z346" i="60"/>
  <c r="Z399" i="60"/>
  <c r="G395" i="60"/>
  <c r="P447" i="60"/>
  <c r="AB585" i="60"/>
  <c r="P635" i="60"/>
  <c r="V346" i="60"/>
  <c r="X399" i="60"/>
  <c r="D399" i="60"/>
  <c r="D398" i="60"/>
  <c r="X396" i="60"/>
  <c r="Z395" i="60"/>
  <c r="D395" i="60"/>
  <c r="AC393" i="60"/>
  <c r="O447" i="60"/>
  <c r="R446" i="60"/>
  <c r="X445" i="60"/>
  <c r="T443" i="60"/>
  <c r="H591" i="60"/>
  <c r="E590" i="60"/>
  <c r="O589" i="60"/>
  <c r="W588" i="60"/>
  <c r="AA587" i="60"/>
  <c r="AA585" i="60"/>
  <c r="X639" i="60"/>
  <c r="AC637" i="60"/>
  <c r="W636" i="60"/>
  <c r="I635" i="60"/>
  <c r="AB633" i="60"/>
  <c r="Z396" i="60"/>
  <c r="P446" i="60"/>
  <c r="V588" i="60"/>
  <c r="L298" i="60"/>
  <c r="F350" i="60"/>
  <c r="AA345" i="60"/>
  <c r="T399" i="60"/>
  <c r="Z398" i="60"/>
  <c r="X397" i="60"/>
  <c r="P396" i="60"/>
  <c r="T395" i="60"/>
  <c r="V394" i="60"/>
  <c r="V393" i="60"/>
  <c r="G447" i="60"/>
  <c r="O446" i="60"/>
  <c r="P445" i="60"/>
  <c r="X442" i="60"/>
  <c r="G441" i="60"/>
  <c r="X591" i="60"/>
  <c r="AC590" i="60"/>
  <c r="AB589" i="60"/>
  <c r="L589" i="60"/>
  <c r="U588" i="60"/>
  <c r="W587" i="60"/>
  <c r="S585" i="60"/>
  <c r="H639" i="60"/>
  <c r="U637" i="60"/>
  <c r="O636" i="60"/>
  <c r="AA634" i="60"/>
  <c r="T633" i="60"/>
  <c r="G399" i="60"/>
  <c r="AB398" i="60"/>
  <c r="AB394" i="60"/>
  <c r="T585" i="60"/>
  <c r="H635" i="60"/>
  <c r="D298" i="60"/>
  <c r="Q399" i="60"/>
  <c r="V398" i="60"/>
  <c r="V397" i="60"/>
  <c r="O396" i="60"/>
  <c r="Q395" i="60"/>
  <c r="T394" i="60"/>
  <c r="U393" i="60"/>
  <c r="E447" i="60"/>
  <c r="O445" i="60"/>
  <c r="T442" i="60"/>
  <c r="W591" i="60"/>
  <c r="AA590" i="60"/>
  <c r="AA589" i="60"/>
  <c r="K589" i="60"/>
  <c r="O588" i="60"/>
  <c r="P587" i="60"/>
  <c r="L585" i="60"/>
  <c r="N636" i="60"/>
  <c r="S634" i="60"/>
  <c r="M633" i="60"/>
  <c r="N297" i="60"/>
  <c r="J349" i="60"/>
  <c r="M396" i="60"/>
  <c r="Q394" i="60"/>
  <c r="M393" i="60"/>
  <c r="AA447" i="60"/>
  <c r="Y446" i="60"/>
  <c r="S591" i="60"/>
  <c r="N588" i="60"/>
  <c r="K585" i="60"/>
  <c r="M637" i="60"/>
  <c r="F297" i="60"/>
  <c r="L399" i="60"/>
  <c r="Q398" i="60"/>
  <c r="M397" i="60"/>
  <c r="L395" i="60"/>
  <c r="L394" i="60"/>
  <c r="X447" i="60"/>
  <c r="X446" i="60"/>
  <c r="E446" i="60"/>
  <c r="D442" i="60"/>
  <c r="S590" i="60"/>
  <c r="U589" i="60"/>
  <c r="E589" i="60"/>
  <c r="M588" i="60"/>
  <c r="H587" i="60"/>
  <c r="D585" i="60"/>
  <c r="S638" i="60"/>
  <c r="L637" i="60"/>
  <c r="F636" i="60"/>
  <c r="K634" i="60"/>
  <c r="E633" i="60"/>
  <c r="K348" i="60"/>
  <c r="AB399" i="60"/>
  <c r="L398" i="60"/>
  <c r="G396" i="60"/>
  <c r="U447" i="60"/>
  <c r="X441" i="60"/>
  <c r="X448" i="60" s="1"/>
  <c r="W537" i="60"/>
  <c r="W544" i="60" s="1"/>
  <c r="T589" i="60"/>
  <c r="D589" i="60"/>
  <c r="F588" i="60"/>
  <c r="K638" i="60"/>
  <c r="E637" i="60"/>
  <c r="X635" i="60"/>
  <c r="H166" i="59"/>
  <c r="J58" i="59" s="1"/>
  <c r="H394" i="60"/>
  <c r="H398" i="60"/>
  <c r="H395" i="60"/>
  <c r="H399" i="60"/>
  <c r="H393" i="60"/>
  <c r="H397" i="60"/>
  <c r="R166" i="59"/>
  <c r="T58" i="59" s="1"/>
  <c r="R393" i="60"/>
  <c r="R397" i="60"/>
  <c r="R394" i="60"/>
  <c r="R398" i="60"/>
  <c r="R396" i="60"/>
  <c r="AA166" i="59"/>
  <c r="AC58" i="59" s="1"/>
  <c r="AA393" i="60"/>
  <c r="AA397" i="60"/>
  <c r="AA395" i="60"/>
  <c r="AA399" i="60"/>
  <c r="AA396" i="60"/>
  <c r="AA394" i="60"/>
  <c r="AA398" i="60"/>
  <c r="R395" i="60"/>
  <c r="Z205" i="60"/>
  <c r="Z162" i="59"/>
  <c r="AB54" i="59" s="1"/>
  <c r="R205" i="60"/>
  <c r="R162" i="59"/>
  <c r="T54" i="59" s="1"/>
  <c r="J205" i="60"/>
  <c r="J162" i="59"/>
  <c r="L54" i="59" s="1"/>
  <c r="AA249" i="60"/>
  <c r="AA163" i="59"/>
  <c r="AC55" i="59" s="1"/>
  <c r="C290" i="60"/>
  <c r="C164" i="59" s="1"/>
  <c r="H396" i="60"/>
  <c r="P202" i="60"/>
  <c r="P162" i="59"/>
  <c r="R54" i="59" s="1"/>
  <c r="Y250" i="60"/>
  <c r="Y163" i="59"/>
  <c r="AA55" i="59" s="1"/>
  <c r="I250" i="60"/>
  <c r="I163" i="59"/>
  <c r="K55" i="59" s="1"/>
  <c r="I300" i="60"/>
  <c r="I164" i="59"/>
  <c r="K56" i="59" s="1"/>
  <c r="R300" i="60"/>
  <c r="R164" i="59"/>
  <c r="T56" i="59" s="1"/>
  <c r="AA299" i="60"/>
  <c r="AA164" i="59"/>
  <c r="AC56" i="59" s="1"/>
  <c r="X202" i="60"/>
  <c r="X162" i="59"/>
  <c r="Z54" i="59" s="1"/>
  <c r="Q250" i="60"/>
  <c r="Q163" i="59"/>
  <c r="S55" i="59" s="1"/>
  <c r="AC345" i="60"/>
  <c r="AC165" i="59"/>
  <c r="AC351" i="60"/>
  <c r="U345" i="60"/>
  <c r="U165" i="59"/>
  <c r="U351" i="60"/>
  <c r="M345" i="60"/>
  <c r="M165" i="59"/>
  <c r="E345" i="60"/>
  <c r="E165" i="59"/>
  <c r="E351" i="60"/>
  <c r="R399" i="60"/>
  <c r="AB167" i="59"/>
  <c r="AD59" i="59" s="1"/>
  <c r="AB441" i="60"/>
  <c r="L493" i="60"/>
  <c r="L168" i="59"/>
  <c r="N60" i="59" s="1"/>
  <c r="L489" i="60"/>
  <c r="Q170" i="59"/>
  <c r="S63" i="59" s="1"/>
  <c r="Q587" i="60"/>
  <c r="Q591" i="60"/>
  <c r="Q588" i="60"/>
  <c r="Q585" i="60"/>
  <c r="Q589" i="60"/>
  <c r="I399" i="60"/>
  <c r="E393" i="60"/>
  <c r="K167" i="59"/>
  <c r="M59" i="59" s="1"/>
  <c r="K444" i="60"/>
  <c r="K441" i="60"/>
  <c r="K445" i="60"/>
  <c r="K442" i="60"/>
  <c r="AC442" i="60"/>
  <c r="U204" i="60"/>
  <c r="U162" i="59"/>
  <c r="W54" i="59" s="1"/>
  <c r="V251" i="60"/>
  <c r="V163" i="59"/>
  <c r="X55" i="59" s="1"/>
  <c r="F302" i="60"/>
  <c r="F164" i="59"/>
  <c r="H56" i="59" s="1"/>
  <c r="R347" i="60"/>
  <c r="R165" i="59"/>
  <c r="AA205" i="60"/>
  <c r="AA162" i="59"/>
  <c r="AC54" i="59" s="1"/>
  <c r="S205" i="60"/>
  <c r="S162" i="59"/>
  <c r="U54" i="59" s="1"/>
  <c r="K205" i="60"/>
  <c r="K162" i="59"/>
  <c r="M54" i="59" s="1"/>
  <c r="AB252" i="60"/>
  <c r="AB163" i="59"/>
  <c r="AD55" i="59" s="1"/>
  <c r="T252" i="60"/>
  <c r="T163" i="59"/>
  <c r="V55" i="59" s="1"/>
  <c r="L252" i="60"/>
  <c r="L163" i="59"/>
  <c r="N55" i="59" s="1"/>
  <c r="D252" i="60"/>
  <c r="D163" i="59"/>
  <c r="F55" i="59" s="1"/>
  <c r="E298" i="60"/>
  <c r="E164" i="59"/>
  <c r="G56" i="59" s="1"/>
  <c r="O297" i="60"/>
  <c r="O164" i="59"/>
  <c r="Q56" i="59" s="1"/>
  <c r="X301" i="60"/>
  <c r="X164" i="59"/>
  <c r="Z56" i="59" s="1"/>
  <c r="V302" i="60"/>
  <c r="V164" i="59"/>
  <c r="X56" i="59" s="1"/>
  <c r="T298" i="60"/>
  <c r="X349" i="60"/>
  <c r="X165" i="59"/>
  <c r="P349" i="60"/>
  <c r="P165" i="59"/>
  <c r="H349" i="60"/>
  <c r="H165" i="59"/>
  <c r="X351" i="60"/>
  <c r="R350" i="60"/>
  <c r="R349" i="60"/>
  <c r="P348" i="60"/>
  <c r="AC399" i="60"/>
  <c r="U399" i="60"/>
  <c r="M399" i="60"/>
  <c r="E399" i="60"/>
  <c r="W398" i="60"/>
  <c r="O398" i="60"/>
  <c r="G398" i="60"/>
  <c r="Y397" i="60"/>
  <c r="Q397" i="60"/>
  <c r="I397" i="60"/>
  <c r="S396" i="60"/>
  <c r="K396" i="60"/>
  <c r="AC395" i="60"/>
  <c r="U395" i="60"/>
  <c r="M395" i="60"/>
  <c r="E395" i="60"/>
  <c r="W394" i="60"/>
  <c r="O394" i="60"/>
  <c r="G394" i="60"/>
  <c r="Y393" i="60"/>
  <c r="Q393" i="60"/>
  <c r="I393" i="60"/>
  <c r="G167" i="59"/>
  <c r="I59" i="59" s="1"/>
  <c r="G442" i="60"/>
  <c r="G443" i="60"/>
  <c r="G444" i="60"/>
  <c r="P167" i="59"/>
  <c r="R59" i="59" s="1"/>
  <c r="P443" i="60"/>
  <c r="Y167" i="59"/>
  <c r="AA59" i="59" s="1"/>
  <c r="Y441" i="60"/>
  <c r="Y448" i="60" s="1"/>
  <c r="Y442" i="60"/>
  <c r="Y443" i="60"/>
  <c r="Y447" i="60"/>
  <c r="Q447" i="60"/>
  <c r="AA446" i="60"/>
  <c r="S446" i="60"/>
  <c r="K446" i="60"/>
  <c r="AC445" i="60"/>
  <c r="U445" i="60"/>
  <c r="G445" i="60"/>
  <c r="K443" i="60"/>
  <c r="R586" i="60"/>
  <c r="Q639" i="60"/>
  <c r="S249" i="60"/>
  <c r="S163" i="59"/>
  <c r="U55" i="59" s="1"/>
  <c r="K249" i="60"/>
  <c r="K163" i="59"/>
  <c r="M55" i="59" s="1"/>
  <c r="G297" i="60"/>
  <c r="G164" i="59"/>
  <c r="I56" i="59" s="1"/>
  <c r="P297" i="60"/>
  <c r="P164" i="59"/>
  <c r="R56" i="59" s="1"/>
  <c r="Y300" i="60"/>
  <c r="Y164" i="59"/>
  <c r="AA56" i="59" s="1"/>
  <c r="W350" i="60"/>
  <c r="W165" i="59"/>
  <c r="O350" i="60"/>
  <c r="O165" i="59"/>
  <c r="G350" i="60"/>
  <c r="G165" i="59"/>
  <c r="O349" i="60"/>
  <c r="P397" i="60"/>
  <c r="P393" i="60"/>
  <c r="H167" i="59"/>
  <c r="J59" i="59" s="1"/>
  <c r="H443" i="60"/>
  <c r="Q167" i="59"/>
  <c r="S59" i="59" s="1"/>
  <c r="Q441" i="60"/>
  <c r="Q445" i="60"/>
  <c r="Q442" i="60"/>
  <c r="Q443" i="60"/>
  <c r="Z167" i="59"/>
  <c r="AB59" i="59" s="1"/>
  <c r="Z442" i="60"/>
  <c r="H447" i="60"/>
  <c r="Z446" i="60"/>
  <c r="J446" i="60"/>
  <c r="AB445" i="60"/>
  <c r="Z443" i="60"/>
  <c r="J443" i="60"/>
  <c r="J489" i="60"/>
  <c r="J168" i="59"/>
  <c r="L60" i="59" s="1"/>
  <c r="J491" i="60"/>
  <c r="S489" i="60"/>
  <c r="S168" i="59"/>
  <c r="U60" i="59" s="1"/>
  <c r="S490" i="60"/>
  <c r="AC489" i="60"/>
  <c r="AC168" i="59"/>
  <c r="AE60" i="59" s="1"/>
  <c r="J540" i="60"/>
  <c r="J169" i="59"/>
  <c r="L62" i="59" s="1"/>
  <c r="J543" i="60"/>
  <c r="R540" i="60"/>
  <c r="R169" i="59"/>
  <c r="T62" i="59" s="1"/>
  <c r="R543" i="60"/>
  <c r="Z540" i="60"/>
  <c r="Z169" i="59"/>
  <c r="AB62" i="59" s="1"/>
  <c r="Z543" i="60"/>
  <c r="Q586" i="60"/>
  <c r="Y206" i="60"/>
  <c r="Y162" i="59"/>
  <c r="AA54" i="59" s="1"/>
  <c r="Q206" i="60"/>
  <c r="Q162" i="59"/>
  <c r="S54" i="59" s="1"/>
  <c r="I206" i="60"/>
  <c r="I162" i="59"/>
  <c r="K54" i="59" s="1"/>
  <c r="Z249" i="60"/>
  <c r="Z163" i="59"/>
  <c r="AB55" i="59" s="1"/>
  <c r="R249" i="60"/>
  <c r="R163" i="59"/>
  <c r="T55" i="59" s="1"/>
  <c r="J249" i="60"/>
  <c r="J163" i="59"/>
  <c r="L55" i="59" s="1"/>
  <c r="H297" i="60"/>
  <c r="H164" i="59"/>
  <c r="J56" i="59" s="1"/>
  <c r="Q300" i="60"/>
  <c r="Q164" i="59"/>
  <c r="S56" i="59" s="1"/>
  <c r="Z300" i="60"/>
  <c r="Z164" i="59"/>
  <c r="AB56" i="59" s="1"/>
  <c r="X300" i="60"/>
  <c r="V348" i="60"/>
  <c r="V165" i="59"/>
  <c r="N351" i="60"/>
  <c r="N165" i="59"/>
  <c r="F351" i="60"/>
  <c r="F165" i="59"/>
  <c r="P351" i="60"/>
  <c r="H348" i="60"/>
  <c r="W345" i="60"/>
  <c r="S399" i="60"/>
  <c r="K399" i="60"/>
  <c r="AC398" i="60"/>
  <c r="U398" i="60"/>
  <c r="M398" i="60"/>
  <c r="E398" i="60"/>
  <c r="W397" i="60"/>
  <c r="O397" i="60"/>
  <c r="G397" i="60"/>
  <c r="Y396" i="60"/>
  <c r="Q396" i="60"/>
  <c r="I396" i="60"/>
  <c r="S395" i="60"/>
  <c r="K395" i="60"/>
  <c r="AC394" i="60"/>
  <c r="U394" i="60"/>
  <c r="M394" i="60"/>
  <c r="E394" i="60"/>
  <c r="W393" i="60"/>
  <c r="O393" i="60"/>
  <c r="G393" i="60"/>
  <c r="I167" i="59"/>
  <c r="K59" i="59" s="1"/>
  <c r="I441" i="60"/>
  <c r="I445" i="60"/>
  <c r="I442" i="60"/>
  <c r="I443" i="60"/>
  <c r="R167" i="59"/>
  <c r="T59" i="59" s="1"/>
  <c r="R442" i="60"/>
  <c r="AA167" i="59"/>
  <c r="AC59" i="59" s="1"/>
  <c r="AA444" i="60"/>
  <c r="AA441" i="60"/>
  <c r="AA448" i="60" s="1"/>
  <c r="AA442" i="60"/>
  <c r="Q446" i="60"/>
  <c r="I446" i="60"/>
  <c r="AA445" i="60"/>
  <c r="R445" i="60"/>
  <c r="AB444" i="60"/>
  <c r="P442" i="60"/>
  <c r="Z441" i="60"/>
  <c r="K491" i="60"/>
  <c r="K168" i="59"/>
  <c r="M60" i="59" s="1"/>
  <c r="T494" i="60"/>
  <c r="T168" i="59"/>
  <c r="V60" i="59" s="1"/>
  <c r="T489" i="60"/>
  <c r="X494" i="60"/>
  <c r="X168" i="59"/>
  <c r="Z60" i="59" s="1"/>
  <c r="X493" i="60"/>
  <c r="K539" i="60"/>
  <c r="K169" i="59"/>
  <c r="M62" i="59" s="1"/>
  <c r="S539" i="60"/>
  <c r="S169" i="59"/>
  <c r="U62" i="59" s="1"/>
  <c r="AA539" i="60"/>
  <c r="AA169" i="59"/>
  <c r="AC62" i="59" s="1"/>
  <c r="Q590" i="60"/>
  <c r="J586" i="60"/>
  <c r="Z170" i="59"/>
  <c r="AB63" i="59" s="1"/>
  <c r="Z587" i="60"/>
  <c r="Z591" i="60"/>
  <c r="Z588" i="60"/>
  <c r="Z585" i="60"/>
  <c r="Z589" i="60"/>
  <c r="V204" i="60"/>
  <c r="V162" i="59"/>
  <c r="X54" i="59" s="1"/>
  <c r="N200" i="60"/>
  <c r="N162" i="59"/>
  <c r="P54" i="59" s="1"/>
  <c r="F200" i="60"/>
  <c r="F162" i="59"/>
  <c r="H54" i="59" s="1"/>
  <c r="W255" i="60"/>
  <c r="W163" i="59"/>
  <c r="Y55" i="59" s="1"/>
  <c r="O255" i="60"/>
  <c r="O163" i="59"/>
  <c r="Q55" i="59" s="1"/>
  <c r="G255" i="60"/>
  <c r="G163" i="59"/>
  <c r="I55" i="59" s="1"/>
  <c r="K299" i="60"/>
  <c r="K164" i="59"/>
  <c r="M56" i="59" s="1"/>
  <c r="AC298" i="60"/>
  <c r="AC164" i="59"/>
  <c r="AE56" i="59" s="1"/>
  <c r="AA346" i="60"/>
  <c r="AA165" i="59"/>
  <c r="S346" i="60"/>
  <c r="S165" i="59"/>
  <c r="K346" i="60"/>
  <c r="K165" i="59"/>
  <c r="AA348" i="60"/>
  <c r="R346" i="60"/>
  <c r="O345" i="60"/>
  <c r="P399" i="60"/>
  <c r="J398" i="60"/>
  <c r="AB397" i="60"/>
  <c r="T397" i="60"/>
  <c r="L397" i="60"/>
  <c r="D397" i="60"/>
  <c r="V396" i="60"/>
  <c r="X395" i="60"/>
  <c r="P395" i="60"/>
  <c r="Z394" i="60"/>
  <c r="J394" i="60"/>
  <c r="AB393" i="60"/>
  <c r="T393" i="60"/>
  <c r="L393" i="60"/>
  <c r="D393" i="60"/>
  <c r="L167" i="59"/>
  <c r="N59" i="59" s="1"/>
  <c r="L441" i="60"/>
  <c r="L448" i="60" s="1"/>
  <c r="L445" i="60"/>
  <c r="U167" i="59"/>
  <c r="W59" i="59" s="1"/>
  <c r="U443" i="60"/>
  <c r="U444" i="60"/>
  <c r="U441" i="60"/>
  <c r="AB447" i="60"/>
  <c r="L447" i="60"/>
  <c r="H444" i="60"/>
  <c r="R443" i="60"/>
  <c r="AB442" i="60"/>
  <c r="L442" i="60"/>
  <c r="Z590" i="60"/>
  <c r="J167" i="59"/>
  <c r="L59" i="59" s="1"/>
  <c r="J442" i="60"/>
  <c r="U489" i="60"/>
  <c r="U168" i="59"/>
  <c r="W60" i="59" s="1"/>
  <c r="I170" i="59"/>
  <c r="K63" i="59" s="1"/>
  <c r="I587" i="60"/>
  <c r="I591" i="60"/>
  <c r="I588" i="60"/>
  <c r="I585" i="60"/>
  <c r="I589" i="60"/>
  <c r="W203" i="60"/>
  <c r="W162" i="59"/>
  <c r="Y54" i="59" s="1"/>
  <c r="G203" i="60"/>
  <c r="G162" i="59"/>
  <c r="I54" i="59" s="1"/>
  <c r="P250" i="60"/>
  <c r="P163" i="59"/>
  <c r="R55" i="59" s="1"/>
  <c r="J300" i="60"/>
  <c r="J164" i="59"/>
  <c r="L56" i="59" s="1"/>
  <c r="T348" i="60"/>
  <c r="T165" i="59"/>
  <c r="Y399" i="60"/>
  <c r="E397" i="60"/>
  <c r="S394" i="60"/>
  <c r="T167" i="59"/>
  <c r="V59" i="59" s="1"/>
  <c r="T441" i="60"/>
  <c r="AC447" i="60"/>
  <c r="R170" i="59"/>
  <c r="T63" i="59" s="1"/>
  <c r="R587" i="60"/>
  <c r="R591" i="60"/>
  <c r="R588" i="60"/>
  <c r="R585" i="60"/>
  <c r="R589" i="60"/>
  <c r="E204" i="60"/>
  <c r="E162" i="59"/>
  <c r="G54" i="59" s="1"/>
  <c r="Z347" i="60"/>
  <c r="Z165" i="59"/>
  <c r="D345" i="60"/>
  <c r="D165" i="59"/>
  <c r="Z350" i="60"/>
  <c r="W349" i="60"/>
  <c r="Y398" i="60"/>
  <c r="I398" i="60"/>
  <c r="S397" i="60"/>
  <c r="K397" i="60"/>
  <c r="U396" i="60"/>
  <c r="E396" i="60"/>
  <c r="Y394" i="60"/>
  <c r="I394" i="60"/>
  <c r="S393" i="60"/>
  <c r="K393" i="60"/>
  <c r="D167" i="59"/>
  <c r="F59" i="59" s="1"/>
  <c r="D441" i="60"/>
  <c r="D448" i="60" s="1"/>
  <c r="D445" i="60"/>
  <c r="M167" i="59"/>
  <c r="O59" i="59" s="1"/>
  <c r="M443" i="60"/>
  <c r="M444" i="60"/>
  <c r="M441" i="60"/>
  <c r="M445" i="60"/>
  <c r="W167" i="59"/>
  <c r="Y59" i="59" s="1"/>
  <c r="W442" i="60"/>
  <c r="W443" i="60"/>
  <c r="W444" i="60"/>
  <c r="K447" i="60"/>
  <c r="M446" i="60"/>
  <c r="W445" i="60"/>
  <c r="J445" i="60"/>
  <c r="T444" i="60"/>
  <c r="D444" i="60"/>
  <c r="H442" i="60"/>
  <c r="I590" i="60"/>
  <c r="Z586" i="60"/>
  <c r="I171" i="59"/>
  <c r="K64" i="59" s="1"/>
  <c r="I636" i="60"/>
  <c r="I633" i="60"/>
  <c r="I637" i="60"/>
  <c r="I634" i="60"/>
  <c r="I638" i="60"/>
  <c r="Q171" i="59"/>
  <c r="S64" i="59" s="1"/>
  <c r="Q636" i="60"/>
  <c r="Q633" i="60"/>
  <c r="Q637" i="60"/>
  <c r="Q634" i="60"/>
  <c r="Q638" i="60"/>
  <c r="Y171" i="59"/>
  <c r="AA64" i="59" s="1"/>
  <c r="Y636" i="60"/>
  <c r="Y633" i="60"/>
  <c r="Y640" i="60" s="1"/>
  <c r="Y637" i="60"/>
  <c r="Y634" i="60"/>
  <c r="Y638" i="60"/>
  <c r="Y639" i="60"/>
  <c r="S167" i="59"/>
  <c r="U59" i="59" s="1"/>
  <c r="S444" i="60"/>
  <c r="S441" i="60"/>
  <c r="S445" i="60"/>
  <c r="S442" i="60"/>
  <c r="J444" i="60"/>
  <c r="H494" i="60"/>
  <c r="H168" i="59"/>
  <c r="J60" i="59" s="1"/>
  <c r="H495" i="60"/>
  <c r="Y170" i="59"/>
  <c r="AA63" i="59" s="1"/>
  <c r="Y587" i="60"/>
  <c r="Y591" i="60"/>
  <c r="Y588" i="60"/>
  <c r="Y585" i="60"/>
  <c r="Y589" i="60"/>
  <c r="I586" i="60"/>
  <c r="O203" i="60"/>
  <c r="O162" i="59"/>
  <c r="Q54" i="59" s="1"/>
  <c r="X250" i="60"/>
  <c r="X163" i="59"/>
  <c r="Z55" i="59" s="1"/>
  <c r="H250" i="60"/>
  <c r="H163" i="59"/>
  <c r="J55" i="59" s="1"/>
  <c r="S299" i="60"/>
  <c r="S164" i="59"/>
  <c r="U56" i="59" s="1"/>
  <c r="AB348" i="60"/>
  <c r="AB165" i="59"/>
  <c r="L345" i="60"/>
  <c r="L165" i="59"/>
  <c r="G349" i="60"/>
  <c r="S398" i="60"/>
  <c r="Y395" i="60"/>
  <c r="I395" i="60"/>
  <c r="AC167" i="59"/>
  <c r="AE59" i="59" s="1"/>
  <c r="AC443" i="60"/>
  <c r="AC444" i="60"/>
  <c r="AC441" i="60"/>
  <c r="S443" i="60"/>
  <c r="J170" i="59"/>
  <c r="L63" i="59" s="1"/>
  <c r="J587" i="60"/>
  <c r="J591" i="60"/>
  <c r="J588" i="60"/>
  <c r="J585" i="60"/>
  <c r="J589" i="60"/>
  <c r="AC204" i="60"/>
  <c r="AC162" i="59"/>
  <c r="AE54" i="59" s="1"/>
  <c r="M204" i="60"/>
  <c r="M162" i="59"/>
  <c r="O54" i="59" s="1"/>
  <c r="N251" i="60"/>
  <c r="N163" i="59"/>
  <c r="P55" i="59" s="1"/>
  <c r="F251" i="60"/>
  <c r="F163" i="59"/>
  <c r="H55" i="59" s="1"/>
  <c r="U298" i="60"/>
  <c r="U164" i="59"/>
  <c r="W56" i="59" s="1"/>
  <c r="J347" i="60"/>
  <c r="J165" i="59"/>
  <c r="AB200" i="60"/>
  <c r="AB162" i="59"/>
  <c r="AD54" i="59" s="1"/>
  <c r="T200" i="60"/>
  <c r="T162" i="59"/>
  <c r="V54" i="59" s="1"/>
  <c r="L200" i="60"/>
  <c r="L162" i="59"/>
  <c r="N54" i="59" s="1"/>
  <c r="D200" i="60"/>
  <c r="D162" i="59"/>
  <c r="F54" i="59" s="1"/>
  <c r="AC249" i="60"/>
  <c r="AC163" i="59"/>
  <c r="AE55" i="59" s="1"/>
  <c r="U249" i="60"/>
  <c r="U163" i="59"/>
  <c r="W55" i="59" s="1"/>
  <c r="M249" i="60"/>
  <c r="M163" i="59"/>
  <c r="O55" i="59" s="1"/>
  <c r="E255" i="60"/>
  <c r="E163" i="59"/>
  <c r="G55" i="59" s="1"/>
  <c r="M298" i="60"/>
  <c r="M164" i="59"/>
  <c r="O56" i="59" s="1"/>
  <c r="W297" i="60"/>
  <c r="W164" i="59"/>
  <c r="Y56" i="59" s="1"/>
  <c r="N302" i="60"/>
  <c r="N164" i="59"/>
  <c r="P56" i="59" s="1"/>
  <c r="W301" i="60"/>
  <c r="AB298" i="60"/>
  <c r="Y348" i="60"/>
  <c r="Y165" i="59"/>
  <c r="Q348" i="60"/>
  <c r="Q165" i="59"/>
  <c r="I348" i="60"/>
  <c r="I165" i="59"/>
  <c r="V350" i="60"/>
  <c r="S349" i="60"/>
  <c r="S348" i="60"/>
  <c r="J346" i="60"/>
  <c r="K345" i="60"/>
  <c r="V399" i="60"/>
  <c r="X398" i="60"/>
  <c r="P398" i="60"/>
  <c r="Z397" i="60"/>
  <c r="J397" i="60"/>
  <c r="AB396" i="60"/>
  <c r="T396" i="60"/>
  <c r="L396" i="60"/>
  <c r="D396" i="60"/>
  <c r="V395" i="60"/>
  <c r="X394" i="60"/>
  <c r="P394" i="60"/>
  <c r="Z393" i="60"/>
  <c r="J393" i="60"/>
  <c r="E167" i="59"/>
  <c r="G59" i="59" s="1"/>
  <c r="E443" i="60"/>
  <c r="E444" i="60"/>
  <c r="E441" i="60"/>
  <c r="E445" i="60"/>
  <c r="O167" i="59"/>
  <c r="Q59" i="59" s="1"/>
  <c r="O442" i="60"/>
  <c r="O443" i="60"/>
  <c r="O444" i="60"/>
  <c r="X167" i="59"/>
  <c r="Z59" i="59" s="1"/>
  <c r="X443" i="60"/>
  <c r="Z447" i="60"/>
  <c r="R447" i="60"/>
  <c r="J447" i="60"/>
  <c r="AB446" i="60"/>
  <c r="T446" i="60"/>
  <c r="L446" i="60"/>
  <c r="D446" i="60"/>
  <c r="H445" i="60"/>
  <c r="R444" i="60"/>
  <c r="AB443" i="60"/>
  <c r="L443" i="60"/>
  <c r="P441" i="60"/>
  <c r="Y586" i="60"/>
  <c r="J171" i="59"/>
  <c r="L64" i="59" s="1"/>
  <c r="J635" i="60"/>
  <c r="J639" i="60"/>
  <c r="J636" i="60"/>
  <c r="J633" i="60"/>
  <c r="J637" i="60"/>
  <c r="R171" i="59"/>
  <c r="T64" i="59" s="1"/>
  <c r="R635" i="60"/>
  <c r="R639" i="60"/>
  <c r="R636" i="60"/>
  <c r="R633" i="60"/>
  <c r="R637" i="60"/>
  <c r="Z171" i="59"/>
  <c r="AB64" i="59" s="1"/>
  <c r="Z635" i="60"/>
  <c r="Z639" i="60"/>
  <c r="Z636" i="60"/>
  <c r="Z633" i="60"/>
  <c r="Z637" i="60"/>
  <c r="R638" i="60"/>
  <c r="Z634" i="60"/>
  <c r="M489" i="60"/>
  <c r="M168" i="59"/>
  <c r="O60" i="59" s="1"/>
  <c r="W489" i="60"/>
  <c r="W168" i="59"/>
  <c r="Y60" i="59" s="1"/>
  <c r="P494" i="60"/>
  <c r="P168" i="59"/>
  <c r="R60" i="59" s="1"/>
  <c r="D539" i="60"/>
  <c r="D169" i="59"/>
  <c r="F62" i="59" s="1"/>
  <c r="L538" i="60"/>
  <c r="L169" i="59"/>
  <c r="N62" i="59" s="1"/>
  <c r="T538" i="60"/>
  <c r="T169" i="59"/>
  <c r="V62" i="59" s="1"/>
  <c r="AB538" i="60"/>
  <c r="AB169" i="59"/>
  <c r="AD62" i="59" s="1"/>
  <c r="L541" i="60"/>
  <c r="V591" i="60"/>
  <c r="N591" i="60"/>
  <c r="F591" i="60"/>
  <c r="X590" i="60"/>
  <c r="P590" i="60"/>
  <c r="H590" i="60"/>
  <c r="AB588" i="60"/>
  <c r="T588" i="60"/>
  <c r="L588" i="60"/>
  <c r="D588" i="60"/>
  <c r="V587" i="60"/>
  <c r="N587" i="60"/>
  <c r="F587" i="60"/>
  <c r="X586" i="60"/>
  <c r="P586" i="60"/>
  <c r="H586" i="60"/>
  <c r="AA171" i="59"/>
  <c r="AC64" i="59" s="1"/>
  <c r="W639" i="60"/>
  <c r="O639" i="60"/>
  <c r="G639" i="60"/>
  <c r="AA637" i="60"/>
  <c r="S637" i="60"/>
  <c r="K637" i="60"/>
  <c r="M636" i="60"/>
  <c r="E636" i="60"/>
  <c r="W635" i="60"/>
  <c r="O635" i="60"/>
  <c r="G635" i="60"/>
  <c r="AA633" i="60"/>
  <c r="S633" i="60"/>
  <c r="K633" i="60"/>
  <c r="D489" i="60"/>
  <c r="D168" i="59"/>
  <c r="F60" i="59" s="1"/>
  <c r="N489" i="60"/>
  <c r="N168" i="59"/>
  <c r="P60" i="59" s="1"/>
  <c r="Y493" i="60"/>
  <c r="Y168" i="59"/>
  <c r="AA60" i="59" s="1"/>
  <c r="N495" i="60"/>
  <c r="E539" i="60"/>
  <c r="E169" i="59"/>
  <c r="G62" i="59" s="1"/>
  <c r="M537" i="60"/>
  <c r="M169" i="59"/>
  <c r="O62" i="59" s="1"/>
  <c r="U537" i="60"/>
  <c r="U169" i="59"/>
  <c r="W62" i="59" s="1"/>
  <c r="AC537" i="60"/>
  <c r="AC169" i="59"/>
  <c r="AE62" i="59" s="1"/>
  <c r="AC540" i="60"/>
  <c r="AC591" i="60"/>
  <c r="U591" i="60"/>
  <c r="M591" i="60"/>
  <c r="E591" i="60"/>
  <c r="W590" i="60"/>
  <c r="O590" i="60"/>
  <c r="G590" i="60"/>
  <c r="AA588" i="60"/>
  <c r="S588" i="60"/>
  <c r="K588" i="60"/>
  <c r="AC587" i="60"/>
  <c r="U587" i="60"/>
  <c r="M587" i="60"/>
  <c r="E587" i="60"/>
  <c r="W586" i="60"/>
  <c r="O586" i="60"/>
  <c r="G586" i="60"/>
  <c r="T171" i="59"/>
  <c r="V64" i="59" s="1"/>
  <c r="V639" i="60"/>
  <c r="N639" i="60"/>
  <c r="F639" i="60"/>
  <c r="X638" i="60"/>
  <c r="P638" i="60"/>
  <c r="H638" i="60"/>
  <c r="AB636" i="60"/>
  <c r="T636" i="60"/>
  <c r="L636" i="60"/>
  <c r="D636" i="60"/>
  <c r="V635" i="60"/>
  <c r="N635" i="60"/>
  <c r="F635" i="60"/>
  <c r="X634" i="60"/>
  <c r="P634" i="60"/>
  <c r="H634" i="60"/>
  <c r="E492" i="60"/>
  <c r="E168" i="59"/>
  <c r="G60" i="59" s="1"/>
  <c r="O491" i="60"/>
  <c r="O168" i="59"/>
  <c r="Q60" i="59" s="1"/>
  <c r="Z492" i="60"/>
  <c r="Z168" i="59"/>
  <c r="AB60" i="59" s="1"/>
  <c r="F537" i="60"/>
  <c r="F169" i="59"/>
  <c r="H62" i="59" s="1"/>
  <c r="N537" i="60"/>
  <c r="N169" i="59"/>
  <c r="P62" i="59" s="1"/>
  <c r="V537" i="60"/>
  <c r="V169" i="59"/>
  <c r="X62" i="59" s="1"/>
  <c r="D542" i="60"/>
  <c r="U540" i="60"/>
  <c r="AB591" i="60"/>
  <c r="T591" i="60"/>
  <c r="L591" i="60"/>
  <c r="D591" i="60"/>
  <c r="V590" i="60"/>
  <c r="N590" i="60"/>
  <c r="F590" i="60"/>
  <c r="X589" i="60"/>
  <c r="P589" i="60"/>
  <c r="H589" i="60"/>
  <c r="AB587" i="60"/>
  <c r="T587" i="60"/>
  <c r="L587" i="60"/>
  <c r="D587" i="60"/>
  <c r="V586" i="60"/>
  <c r="N586" i="60"/>
  <c r="F586" i="60"/>
  <c r="X585" i="60"/>
  <c r="P585" i="60"/>
  <c r="H585" i="60"/>
  <c r="U171" i="59"/>
  <c r="W64" i="59" s="1"/>
  <c r="AC171" i="59"/>
  <c r="AE64" i="59" s="1"/>
  <c r="AC639" i="60"/>
  <c r="U639" i="60"/>
  <c r="M639" i="60"/>
  <c r="E639" i="60"/>
  <c r="W638" i="60"/>
  <c r="O638" i="60"/>
  <c r="G638" i="60"/>
  <c r="AA636" i="60"/>
  <c r="S636" i="60"/>
  <c r="K636" i="60"/>
  <c r="AC635" i="60"/>
  <c r="U635" i="60"/>
  <c r="M635" i="60"/>
  <c r="E635" i="60"/>
  <c r="W634" i="60"/>
  <c r="O634" i="60"/>
  <c r="Q493" i="60"/>
  <c r="Q168" i="59"/>
  <c r="S60" i="59" s="1"/>
  <c r="AA491" i="60"/>
  <c r="AA168" i="59"/>
  <c r="AC60" i="59" s="1"/>
  <c r="G543" i="60"/>
  <c r="G169" i="59"/>
  <c r="I62" i="59" s="1"/>
  <c r="O543" i="60"/>
  <c r="O169" i="59"/>
  <c r="Q62" i="59" s="1"/>
  <c r="W543" i="60"/>
  <c r="W169" i="59"/>
  <c r="Y62" i="59" s="1"/>
  <c r="S587" i="60"/>
  <c r="K587" i="60"/>
  <c r="AC586" i="60"/>
  <c r="U586" i="60"/>
  <c r="M586" i="60"/>
  <c r="E586" i="60"/>
  <c r="W585" i="60"/>
  <c r="O585" i="60"/>
  <c r="O592" i="60" s="1"/>
  <c r="G585" i="60"/>
  <c r="T639" i="60"/>
  <c r="L639" i="60"/>
  <c r="D639" i="60"/>
  <c r="V638" i="60"/>
  <c r="N638" i="60"/>
  <c r="F638" i="60"/>
  <c r="X637" i="60"/>
  <c r="P637" i="60"/>
  <c r="H637" i="60"/>
  <c r="AB635" i="60"/>
  <c r="T635" i="60"/>
  <c r="L635" i="60"/>
  <c r="D635" i="60"/>
  <c r="V634" i="60"/>
  <c r="N634" i="60"/>
  <c r="F634" i="60"/>
  <c r="X633" i="60"/>
  <c r="P633" i="60"/>
  <c r="H633" i="60"/>
  <c r="I493" i="60"/>
  <c r="I168" i="59"/>
  <c r="K60" i="59" s="1"/>
  <c r="R492" i="60"/>
  <c r="R168" i="59"/>
  <c r="T60" i="59" s="1"/>
  <c r="G494" i="60"/>
  <c r="AA490" i="60"/>
  <c r="H542" i="60"/>
  <c r="H169" i="59"/>
  <c r="J62" i="59" s="1"/>
  <c r="P542" i="60"/>
  <c r="P169" i="59"/>
  <c r="R62" i="59" s="1"/>
  <c r="X542" i="60"/>
  <c r="X169" i="59"/>
  <c r="Z62" i="59" s="1"/>
  <c r="E540" i="60"/>
  <c r="P537" i="60"/>
  <c r="AB590" i="60"/>
  <c r="T590" i="60"/>
  <c r="L590" i="60"/>
  <c r="D590" i="60"/>
  <c r="V589" i="60"/>
  <c r="N589" i="60"/>
  <c r="F589" i="60"/>
  <c r="X588" i="60"/>
  <c r="P588" i="60"/>
  <c r="H588" i="60"/>
  <c r="AB586" i="60"/>
  <c r="T586" i="60"/>
  <c r="L586" i="60"/>
  <c r="D586" i="60"/>
  <c r="V585" i="60"/>
  <c r="N585" i="60"/>
  <c r="F585" i="60"/>
  <c r="G171" i="59"/>
  <c r="I64" i="59" s="1"/>
  <c r="AA639" i="60"/>
  <c r="S639" i="60"/>
  <c r="K639" i="60"/>
  <c r="AC638" i="60"/>
  <c r="U638" i="60"/>
  <c r="M638" i="60"/>
  <c r="E638" i="60"/>
  <c r="W637" i="60"/>
  <c r="O637" i="60"/>
  <c r="G637" i="60"/>
  <c r="AA635" i="60"/>
  <c r="S635" i="60"/>
  <c r="K635" i="60"/>
  <c r="AC634" i="60"/>
  <c r="U634" i="60"/>
  <c r="M634" i="60"/>
  <c r="E634" i="60"/>
  <c r="W633" i="60"/>
  <c r="W640" i="60" s="1"/>
  <c r="O633" i="60"/>
  <c r="G633" i="60"/>
  <c r="I541" i="60"/>
  <c r="I169" i="59"/>
  <c r="K62" i="59" s="1"/>
  <c r="Q541" i="60"/>
  <c r="Q169" i="59"/>
  <c r="S62" i="59" s="1"/>
  <c r="Y541" i="60"/>
  <c r="Y169" i="59"/>
  <c r="AA62" i="59" s="1"/>
  <c r="G588" i="60"/>
  <c r="AA586" i="60"/>
  <c r="S586" i="60"/>
  <c r="K586" i="60"/>
  <c r="K592" i="60" s="1"/>
  <c r="AC585" i="60"/>
  <c r="AC611" i="60" s="1"/>
  <c r="AC612" i="60" s="1"/>
  <c r="AD18" i="60" s="1"/>
  <c r="AD51" i="60" s="1"/>
  <c r="U585" i="60"/>
  <c r="M585" i="60"/>
  <c r="E585" i="60"/>
  <c r="AB638" i="60"/>
  <c r="T638" i="60"/>
  <c r="L638" i="60"/>
  <c r="D638" i="60"/>
  <c r="V637" i="60"/>
  <c r="N637" i="60"/>
  <c r="F637" i="60"/>
  <c r="X636" i="60"/>
  <c r="P636" i="60"/>
  <c r="H636" i="60"/>
  <c r="AB634" i="60"/>
  <c r="T634" i="60"/>
  <c r="L634" i="60"/>
  <c r="D634" i="60"/>
  <c r="V633" i="60"/>
  <c r="N633" i="60"/>
  <c r="F633" i="60"/>
  <c r="I640" i="60"/>
  <c r="C626" i="60"/>
  <c r="C634" i="60" s="1"/>
  <c r="C578" i="60"/>
  <c r="C586" i="60" s="1"/>
  <c r="AA542" i="60"/>
  <c r="D538" i="60"/>
  <c r="V543" i="60"/>
  <c r="N543" i="60"/>
  <c r="F543" i="60"/>
  <c r="W542" i="60"/>
  <c r="O542" i="60"/>
  <c r="G542" i="60"/>
  <c r="X541" i="60"/>
  <c r="P541" i="60"/>
  <c r="H541" i="60"/>
  <c r="Y540" i="60"/>
  <c r="Q540" i="60"/>
  <c r="I540" i="60"/>
  <c r="Z539" i="60"/>
  <c r="R539" i="60"/>
  <c r="J539" i="60"/>
  <c r="AA538" i="60"/>
  <c r="S538" i="60"/>
  <c r="K538" i="60"/>
  <c r="AB537" i="60"/>
  <c r="T537" i="60"/>
  <c r="L537" i="60"/>
  <c r="S542" i="60"/>
  <c r="AC543" i="60"/>
  <c r="U543" i="60"/>
  <c r="M543" i="60"/>
  <c r="E543" i="60"/>
  <c r="V542" i="60"/>
  <c r="N542" i="60"/>
  <c r="F542" i="60"/>
  <c r="W541" i="60"/>
  <c r="O541" i="60"/>
  <c r="G541" i="60"/>
  <c r="X540" i="60"/>
  <c r="P540" i="60"/>
  <c r="H540" i="60"/>
  <c r="Y539" i="60"/>
  <c r="Q539" i="60"/>
  <c r="I539" i="60"/>
  <c r="Z538" i="60"/>
  <c r="R538" i="60"/>
  <c r="J538" i="60"/>
  <c r="AA537" i="60"/>
  <c r="S537" i="60"/>
  <c r="K537" i="60"/>
  <c r="AB543" i="60"/>
  <c r="T543" i="60"/>
  <c r="L543" i="60"/>
  <c r="AC542" i="60"/>
  <c r="U542" i="60"/>
  <c r="M542" i="60"/>
  <c r="E542" i="60"/>
  <c r="V541" i="60"/>
  <c r="N541" i="60"/>
  <c r="F541" i="60"/>
  <c r="W540" i="60"/>
  <c r="O540" i="60"/>
  <c r="G540" i="60"/>
  <c r="X539" i="60"/>
  <c r="P539" i="60"/>
  <c r="H539" i="60"/>
  <c r="Y538" i="60"/>
  <c r="Q538" i="60"/>
  <c r="I538" i="60"/>
  <c r="Z537" i="60"/>
  <c r="R537" i="60"/>
  <c r="J537" i="60"/>
  <c r="K542" i="60"/>
  <c r="D543" i="60"/>
  <c r="AA543" i="60"/>
  <c r="S543" i="60"/>
  <c r="K543" i="60"/>
  <c r="AB542" i="60"/>
  <c r="T542" i="60"/>
  <c r="L542" i="60"/>
  <c r="AC541" i="60"/>
  <c r="U541" i="60"/>
  <c r="M541" i="60"/>
  <c r="E541" i="60"/>
  <c r="V540" i="60"/>
  <c r="N540" i="60"/>
  <c r="F540" i="60"/>
  <c r="W539" i="60"/>
  <c r="O539" i="60"/>
  <c r="G539" i="60"/>
  <c r="X538" i="60"/>
  <c r="P538" i="60"/>
  <c r="H538" i="60"/>
  <c r="Y537" i="60"/>
  <c r="Q537" i="60"/>
  <c r="I537" i="60"/>
  <c r="D541" i="60"/>
  <c r="Y543" i="60"/>
  <c r="Q543" i="60"/>
  <c r="I543" i="60"/>
  <c r="Z542" i="60"/>
  <c r="R542" i="60"/>
  <c r="J542" i="60"/>
  <c r="AA541" i="60"/>
  <c r="S541" i="60"/>
  <c r="K541" i="60"/>
  <c r="AB540" i="60"/>
  <c r="T540" i="60"/>
  <c r="L540" i="60"/>
  <c r="AC539" i="60"/>
  <c r="U539" i="60"/>
  <c r="M539" i="60"/>
  <c r="V538" i="60"/>
  <c r="N538" i="60"/>
  <c r="F538" i="60"/>
  <c r="O537" i="60"/>
  <c r="G537" i="60"/>
  <c r="C530" i="60"/>
  <c r="C537" i="60" s="1"/>
  <c r="D540" i="60"/>
  <c r="X543" i="60"/>
  <c r="P543" i="60"/>
  <c r="H543" i="60"/>
  <c r="Y542" i="60"/>
  <c r="Q542" i="60"/>
  <c r="I542" i="60"/>
  <c r="Z541" i="60"/>
  <c r="R541" i="60"/>
  <c r="J541" i="60"/>
  <c r="AA540" i="60"/>
  <c r="S540" i="60"/>
  <c r="K540" i="60"/>
  <c r="AB539" i="60"/>
  <c r="T539" i="60"/>
  <c r="L539" i="60"/>
  <c r="AC538" i="60"/>
  <c r="U538" i="60"/>
  <c r="M538" i="60"/>
  <c r="E538" i="60"/>
  <c r="E537" i="60"/>
  <c r="AC495" i="60"/>
  <c r="U495" i="60"/>
  <c r="M495" i="60"/>
  <c r="E495" i="60"/>
  <c r="N494" i="60"/>
  <c r="W493" i="60"/>
  <c r="O493" i="60"/>
  <c r="G493" i="60"/>
  <c r="X492" i="60"/>
  <c r="P492" i="60"/>
  <c r="H492" i="60"/>
  <c r="Y491" i="60"/>
  <c r="Q491" i="60"/>
  <c r="I491" i="60"/>
  <c r="Z490" i="60"/>
  <c r="R490" i="60"/>
  <c r="J490" i="60"/>
  <c r="AA489" i="60"/>
  <c r="K489" i="60"/>
  <c r="P493" i="60"/>
  <c r="AB495" i="60"/>
  <c r="T495" i="60"/>
  <c r="L495" i="60"/>
  <c r="AC494" i="60"/>
  <c r="U494" i="60"/>
  <c r="M494" i="60"/>
  <c r="E494" i="60"/>
  <c r="N493" i="60"/>
  <c r="W492" i="60"/>
  <c r="O492" i="60"/>
  <c r="G492" i="60"/>
  <c r="X491" i="60"/>
  <c r="P491" i="60"/>
  <c r="H491" i="60"/>
  <c r="Y490" i="60"/>
  <c r="Q490" i="60"/>
  <c r="I490" i="60"/>
  <c r="Z489" i="60"/>
  <c r="R489" i="60"/>
  <c r="AA495" i="60"/>
  <c r="S495" i="60"/>
  <c r="K495" i="60"/>
  <c r="AB494" i="60"/>
  <c r="L494" i="60"/>
  <c r="AC493" i="60"/>
  <c r="U493" i="60"/>
  <c r="M493" i="60"/>
  <c r="E493" i="60"/>
  <c r="N492" i="60"/>
  <c r="W491" i="60"/>
  <c r="G491" i="60"/>
  <c r="X490" i="60"/>
  <c r="P490" i="60"/>
  <c r="H490" i="60"/>
  <c r="Y489" i="60"/>
  <c r="Q489" i="60"/>
  <c r="I489" i="60"/>
  <c r="Z495" i="60"/>
  <c r="R495" i="60"/>
  <c r="J495" i="60"/>
  <c r="AA494" i="60"/>
  <c r="S494" i="60"/>
  <c r="K494" i="60"/>
  <c r="AB493" i="60"/>
  <c r="T493" i="60"/>
  <c r="AC492" i="60"/>
  <c r="U492" i="60"/>
  <c r="M492" i="60"/>
  <c r="N491" i="60"/>
  <c r="W490" i="60"/>
  <c r="O490" i="60"/>
  <c r="G490" i="60"/>
  <c r="X489" i="60"/>
  <c r="P489" i="60"/>
  <c r="H489" i="60"/>
  <c r="O494" i="60"/>
  <c r="Y495" i="60"/>
  <c r="Q495" i="60"/>
  <c r="I495" i="60"/>
  <c r="Z494" i="60"/>
  <c r="R494" i="60"/>
  <c r="J494" i="60"/>
  <c r="AA493" i="60"/>
  <c r="S493" i="60"/>
  <c r="K493" i="60"/>
  <c r="AB492" i="60"/>
  <c r="T492" i="60"/>
  <c r="L492" i="60"/>
  <c r="AC491" i="60"/>
  <c r="U491" i="60"/>
  <c r="M491" i="60"/>
  <c r="E491" i="60"/>
  <c r="N490" i="60"/>
  <c r="O489" i="60"/>
  <c r="G489" i="60"/>
  <c r="X495" i="60"/>
  <c r="P495" i="60"/>
  <c r="Y494" i="60"/>
  <c r="Q494" i="60"/>
  <c r="I494" i="60"/>
  <c r="Z493" i="60"/>
  <c r="R493" i="60"/>
  <c r="J493" i="60"/>
  <c r="AA492" i="60"/>
  <c r="S492" i="60"/>
  <c r="K492" i="60"/>
  <c r="AB491" i="60"/>
  <c r="T491" i="60"/>
  <c r="L491" i="60"/>
  <c r="AC490" i="60"/>
  <c r="U490" i="60"/>
  <c r="M490" i="60"/>
  <c r="E490" i="60"/>
  <c r="Z491" i="60"/>
  <c r="W495" i="60"/>
  <c r="O495" i="60"/>
  <c r="G495" i="60"/>
  <c r="J492" i="60"/>
  <c r="S491" i="60"/>
  <c r="AB490" i="60"/>
  <c r="T490" i="60"/>
  <c r="L490" i="60"/>
  <c r="E489" i="60"/>
  <c r="D495" i="60"/>
  <c r="D491" i="60"/>
  <c r="D494" i="60"/>
  <c r="D490" i="60"/>
  <c r="D493" i="60"/>
  <c r="D492" i="60"/>
  <c r="F482" i="60"/>
  <c r="F168" i="59" s="1"/>
  <c r="H60" i="59" s="1"/>
  <c r="V482" i="60"/>
  <c r="V168" i="59" s="1"/>
  <c r="X60" i="59" s="1"/>
  <c r="C482" i="60"/>
  <c r="C168" i="59" s="1"/>
  <c r="F434" i="60"/>
  <c r="N434" i="60"/>
  <c r="V434" i="60"/>
  <c r="G448" i="60"/>
  <c r="W448" i="60"/>
  <c r="M448" i="60"/>
  <c r="U448" i="60"/>
  <c r="J448" i="60"/>
  <c r="R448" i="60"/>
  <c r="C434" i="60"/>
  <c r="S448" i="60"/>
  <c r="F386" i="60"/>
  <c r="C385" i="60"/>
  <c r="N386" i="60"/>
  <c r="C338" i="60"/>
  <c r="C165" i="59" s="1"/>
  <c r="AB351" i="60"/>
  <c r="T351" i="60"/>
  <c r="L351" i="60"/>
  <c r="AC350" i="60"/>
  <c r="U350" i="60"/>
  <c r="M350" i="60"/>
  <c r="E350" i="60"/>
  <c r="V349" i="60"/>
  <c r="N349" i="60"/>
  <c r="F349" i="60"/>
  <c r="W348" i="60"/>
  <c r="O348" i="60"/>
  <c r="G348" i="60"/>
  <c r="X347" i="60"/>
  <c r="P347" i="60"/>
  <c r="H347" i="60"/>
  <c r="Y346" i="60"/>
  <c r="Q346" i="60"/>
  <c r="I346" i="60"/>
  <c r="Z345" i="60"/>
  <c r="R345" i="60"/>
  <c r="J345" i="60"/>
  <c r="AA351" i="60"/>
  <c r="S351" i="60"/>
  <c r="K351" i="60"/>
  <c r="AB350" i="60"/>
  <c r="T350" i="60"/>
  <c r="L350" i="60"/>
  <c r="AC349" i="60"/>
  <c r="U349" i="60"/>
  <c r="M349" i="60"/>
  <c r="E349" i="60"/>
  <c r="N348" i="60"/>
  <c r="F348" i="60"/>
  <c r="W347" i="60"/>
  <c r="O347" i="60"/>
  <c r="G347" i="60"/>
  <c r="X346" i="60"/>
  <c r="P346" i="60"/>
  <c r="H346" i="60"/>
  <c r="Y345" i="60"/>
  <c r="Q345" i="60"/>
  <c r="I345" i="60"/>
  <c r="Z351" i="60"/>
  <c r="R351" i="60"/>
  <c r="J351" i="60"/>
  <c r="AA350" i="60"/>
  <c r="S350" i="60"/>
  <c r="K350" i="60"/>
  <c r="AB349" i="60"/>
  <c r="T349" i="60"/>
  <c r="L349" i="60"/>
  <c r="AC348" i="60"/>
  <c r="U348" i="60"/>
  <c r="M348" i="60"/>
  <c r="E348" i="60"/>
  <c r="V347" i="60"/>
  <c r="N347" i="60"/>
  <c r="F347" i="60"/>
  <c r="W346" i="60"/>
  <c r="O346" i="60"/>
  <c r="G346" i="60"/>
  <c r="X345" i="60"/>
  <c r="P345" i="60"/>
  <c r="H345" i="60"/>
  <c r="Q347" i="60"/>
  <c r="Y351" i="60"/>
  <c r="Q351" i="60"/>
  <c r="I351" i="60"/>
  <c r="L348" i="60"/>
  <c r="AC347" i="60"/>
  <c r="U347" i="60"/>
  <c r="M347" i="60"/>
  <c r="E347" i="60"/>
  <c r="Y347" i="60"/>
  <c r="I347" i="60"/>
  <c r="Y350" i="60"/>
  <c r="Q350" i="60"/>
  <c r="I350" i="60"/>
  <c r="AB347" i="60"/>
  <c r="T347" i="60"/>
  <c r="L347" i="60"/>
  <c r="AC346" i="60"/>
  <c r="U346" i="60"/>
  <c r="M346" i="60"/>
  <c r="E346" i="60"/>
  <c r="W351" i="60"/>
  <c r="O351" i="60"/>
  <c r="G351" i="60"/>
  <c r="X350" i="60"/>
  <c r="P350" i="60"/>
  <c r="H350" i="60"/>
  <c r="Y349" i="60"/>
  <c r="Q349" i="60"/>
  <c r="I349" i="60"/>
  <c r="Z348" i="60"/>
  <c r="R348" i="60"/>
  <c r="J348" i="60"/>
  <c r="AA347" i="60"/>
  <c r="S347" i="60"/>
  <c r="K347" i="60"/>
  <c r="AB346" i="60"/>
  <c r="T346" i="60"/>
  <c r="L346" i="60"/>
  <c r="V351" i="60"/>
  <c r="AB345" i="60"/>
  <c r="T345" i="60"/>
  <c r="D348" i="60"/>
  <c r="D351" i="60"/>
  <c r="D347" i="60"/>
  <c r="D350" i="60"/>
  <c r="D346" i="60"/>
  <c r="D349" i="60"/>
  <c r="C302" i="60"/>
  <c r="C298" i="60"/>
  <c r="Z303" i="60"/>
  <c r="R303" i="60"/>
  <c r="J303" i="60"/>
  <c r="AB302" i="60"/>
  <c r="T302" i="60"/>
  <c r="L302" i="60"/>
  <c r="D302" i="60"/>
  <c r="V301" i="60"/>
  <c r="M301" i="60"/>
  <c r="E301" i="60"/>
  <c r="W300" i="60"/>
  <c r="O300" i="60"/>
  <c r="G300" i="60"/>
  <c r="Y299" i="60"/>
  <c r="Q299" i="60"/>
  <c r="I299" i="60"/>
  <c r="AA298" i="60"/>
  <c r="S298" i="60"/>
  <c r="K298" i="60"/>
  <c r="AC297" i="60"/>
  <c r="U297" i="60"/>
  <c r="M297" i="60"/>
  <c r="E297" i="60"/>
  <c r="V297" i="60"/>
  <c r="Y303" i="60"/>
  <c r="Q303" i="60"/>
  <c r="I303" i="60"/>
  <c r="AA302" i="60"/>
  <c r="S302" i="60"/>
  <c r="K302" i="60"/>
  <c r="AC301" i="60"/>
  <c r="U301" i="60"/>
  <c r="L301" i="60"/>
  <c r="D301" i="60"/>
  <c r="V300" i="60"/>
  <c r="N300" i="60"/>
  <c r="F300" i="60"/>
  <c r="X299" i="60"/>
  <c r="P299" i="60"/>
  <c r="H299" i="60"/>
  <c r="Z298" i="60"/>
  <c r="R298" i="60"/>
  <c r="J298" i="60"/>
  <c r="AB297" i="60"/>
  <c r="T297" i="60"/>
  <c r="L297" i="60"/>
  <c r="D297" i="60"/>
  <c r="R299" i="60"/>
  <c r="X303" i="60"/>
  <c r="P303" i="60"/>
  <c r="H303" i="60"/>
  <c r="Z302" i="60"/>
  <c r="R302" i="60"/>
  <c r="J302" i="60"/>
  <c r="AB301" i="60"/>
  <c r="T301" i="60"/>
  <c r="K301" i="60"/>
  <c r="AC300" i="60"/>
  <c r="U300" i="60"/>
  <c r="M300" i="60"/>
  <c r="E300" i="60"/>
  <c r="W299" i="60"/>
  <c r="O299" i="60"/>
  <c r="G299" i="60"/>
  <c r="Y298" i="60"/>
  <c r="Q298" i="60"/>
  <c r="I298" i="60"/>
  <c r="AA297" i="60"/>
  <c r="S297" i="60"/>
  <c r="K297" i="60"/>
  <c r="P301" i="60"/>
  <c r="W303" i="60"/>
  <c r="O303" i="60"/>
  <c r="G303" i="60"/>
  <c r="Y302" i="60"/>
  <c r="Q302" i="60"/>
  <c r="I302" i="60"/>
  <c r="AA301" i="60"/>
  <c r="S301" i="60"/>
  <c r="J301" i="60"/>
  <c r="AB300" i="60"/>
  <c r="T300" i="60"/>
  <c r="L300" i="60"/>
  <c r="D300" i="60"/>
  <c r="V299" i="60"/>
  <c r="N299" i="60"/>
  <c r="F299" i="60"/>
  <c r="X298" i="60"/>
  <c r="P298" i="60"/>
  <c r="H298" i="60"/>
  <c r="Z297" i="60"/>
  <c r="R297" i="60"/>
  <c r="J297" i="60"/>
  <c r="V303" i="60"/>
  <c r="N303" i="60"/>
  <c r="F303" i="60"/>
  <c r="X302" i="60"/>
  <c r="P302" i="60"/>
  <c r="H302" i="60"/>
  <c r="Z301" i="60"/>
  <c r="R301" i="60"/>
  <c r="I301" i="60"/>
  <c r="AA300" i="60"/>
  <c r="S300" i="60"/>
  <c r="K300" i="60"/>
  <c r="AC299" i="60"/>
  <c r="U299" i="60"/>
  <c r="M299" i="60"/>
  <c r="E299" i="60"/>
  <c r="W298" i="60"/>
  <c r="O298" i="60"/>
  <c r="G298" i="60"/>
  <c r="Y297" i="60"/>
  <c r="Q297" i="60"/>
  <c r="I297" i="60"/>
  <c r="AC303" i="60"/>
  <c r="U303" i="60"/>
  <c r="M303" i="60"/>
  <c r="E303" i="60"/>
  <c r="W302" i="60"/>
  <c r="O302" i="60"/>
  <c r="G302" i="60"/>
  <c r="Y301" i="60"/>
  <c r="Q301" i="60"/>
  <c r="H301" i="60"/>
  <c r="AB299" i="60"/>
  <c r="T299" i="60"/>
  <c r="L299" i="60"/>
  <c r="D299" i="60"/>
  <c r="V298" i="60"/>
  <c r="N298" i="60"/>
  <c r="F298" i="60"/>
  <c r="X297" i="60"/>
  <c r="AA303" i="60"/>
  <c r="AB303" i="60"/>
  <c r="T303" i="60"/>
  <c r="L303" i="60"/>
  <c r="D303" i="60"/>
  <c r="O301" i="60"/>
  <c r="G301" i="60"/>
  <c r="C303" i="60"/>
  <c r="T204" i="60"/>
  <c r="T201" i="60"/>
  <c r="M251" i="60"/>
  <c r="D255" i="60"/>
  <c r="C242" i="60"/>
  <c r="D205" i="60"/>
  <c r="Y253" i="60"/>
  <c r="K253" i="60"/>
  <c r="AC252" i="60"/>
  <c r="U252" i="60"/>
  <c r="U251" i="60"/>
  <c r="AB253" i="60"/>
  <c r="R254" i="60"/>
  <c r="T253" i="60"/>
  <c r="S252" i="60"/>
  <c r="G251" i="60"/>
  <c r="Q254" i="60"/>
  <c r="S253" i="60"/>
  <c r="M252" i="60"/>
  <c r="W250" i="60"/>
  <c r="O254" i="60"/>
  <c r="Q253" i="60"/>
  <c r="K252" i="60"/>
  <c r="O250" i="60"/>
  <c r="I254" i="60"/>
  <c r="L253" i="60"/>
  <c r="AC251" i="60"/>
  <c r="Y249" i="60"/>
  <c r="G254" i="60"/>
  <c r="W251" i="60"/>
  <c r="Q249" i="60"/>
  <c r="W254" i="60"/>
  <c r="Z254" i="60"/>
  <c r="AA253" i="60"/>
  <c r="AA252" i="60"/>
  <c r="O251" i="60"/>
  <c r="E251" i="60"/>
  <c r="I253" i="60"/>
  <c r="E252" i="60"/>
  <c r="D253" i="60"/>
  <c r="G250" i="60"/>
  <c r="J254" i="60"/>
  <c r="I249" i="60"/>
  <c r="V255" i="60"/>
  <c r="AC255" i="60"/>
  <c r="U255" i="60"/>
  <c r="M255" i="60"/>
  <c r="V254" i="60"/>
  <c r="N254" i="60"/>
  <c r="F254" i="60"/>
  <c r="X253" i="60"/>
  <c r="P253" i="60"/>
  <c r="H253" i="60"/>
  <c r="Z252" i="60"/>
  <c r="R252" i="60"/>
  <c r="J252" i="60"/>
  <c r="AB251" i="60"/>
  <c r="T251" i="60"/>
  <c r="L251" i="60"/>
  <c r="D251" i="60"/>
  <c r="V250" i="60"/>
  <c r="N250" i="60"/>
  <c r="F250" i="60"/>
  <c r="X249" i="60"/>
  <c r="P249" i="60"/>
  <c r="H249" i="60"/>
  <c r="F255" i="60"/>
  <c r="AB255" i="60"/>
  <c r="T255" i="60"/>
  <c r="L255" i="60"/>
  <c r="AC254" i="60"/>
  <c r="U254" i="60"/>
  <c r="M254" i="60"/>
  <c r="E254" i="60"/>
  <c r="W253" i="60"/>
  <c r="O253" i="60"/>
  <c r="G253" i="60"/>
  <c r="Y252" i="60"/>
  <c r="Q252" i="60"/>
  <c r="I252" i="60"/>
  <c r="AA251" i="60"/>
  <c r="S251" i="60"/>
  <c r="K251" i="60"/>
  <c r="AC250" i="60"/>
  <c r="U250" i="60"/>
  <c r="M250" i="60"/>
  <c r="E250" i="60"/>
  <c r="W249" i="60"/>
  <c r="O249" i="60"/>
  <c r="G249" i="60"/>
  <c r="AA255" i="60"/>
  <c r="S255" i="60"/>
  <c r="K255" i="60"/>
  <c r="AB254" i="60"/>
  <c r="T254" i="60"/>
  <c r="L254" i="60"/>
  <c r="D254" i="60"/>
  <c r="V253" i="60"/>
  <c r="N253" i="60"/>
  <c r="F253" i="60"/>
  <c r="X252" i="60"/>
  <c r="P252" i="60"/>
  <c r="H252" i="60"/>
  <c r="Z251" i="60"/>
  <c r="R251" i="60"/>
  <c r="J251" i="60"/>
  <c r="AB250" i="60"/>
  <c r="T250" i="60"/>
  <c r="L250" i="60"/>
  <c r="D250" i="60"/>
  <c r="V249" i="60"/>
  <c r="N249" i="60"/>
  <c r="F249" i="60"/>
  <c r="N255" i="60"/>
  <c r="Z255" i="60"/>
  <c r="R255" i="60"/>
  <c r="J255" i="60"/>
  <c r="AA254" i="60"/>
  <c r="S254" i="60"/>
  <c r="K254" i="60"/>
  <c r="AC253" i="60"/>
  <c r="U253" i="60"/>
  <c r="M253" i="60"/>
  <c r="E253" i="60"/>
  <c r="W252" i="60"/>
  <c r="O252" i="60"/>
  <c r="G252" i="60"/>
  <c r="Y251" i="60"/>
  <c r="Q251" i="60"/>
  <c r="I251" i="60"/>
  <c r="AA250" i="60"/>
  <c r="S250" i="60"/>
  <c r="K250" i="60"/>
  <c r="D249" i="60"/>
  <c r="Y255" i="60"/>
  <c r="Q255" i="60"/>
  <c r="I255" i="60"/>
  <c r="V252" i="60"/>
  <c r="N252" i="60"/>
  <c r="F252" i="60"/>
  <c r="X251" i="60"/>
  <c r="P251" i="60"/>
  <c r="H251" i="60"/>
  <c r="Z250" i="60"/>
  <c r="R250" i="60"/>
  <c r="J250" i="60"/>
  <c r="AB249" i="60"/>
  <c r="T249" i="60"/>
  <c r="L249" i="60"/>
  <c r="X255" i="60"/>
  <c r="P255" i="60"/>
  <c r="H255" i="60"/>
  <c r="Y254" i="60"/>
  <c r="E249" i="60"/>
  <c r="X254" i="60"/>
  <c r="P254" i="60"/>
  <c r="H254" i="60"/>
  <c r="Z253" i="60"/>
  <c r="R253" i="60"/>
  <c r="J253" i="60"/>
  <c r="F204" i="60"/>
  <c r="S200" i="60"/>
  <c r="D204" i="60"/>
  <c r="C193" i="60"/>
  <c r="I201" i="60"/>
  <c r="V203" i="60"/>
  <c r="Y202" i="60"/>
  <c r="O202" i="60"/>
  <c r="AB204" i="60"/>
  <c r="Q201" i="60"/>
  <c r="M205" i="60"/>
  <c r="O204" i="60"/>
  <c r="Q203" i="60"/>
  <c r="I202" i="60"/>
  <c r="D201" i="60"/>
  <c r="E203" i="60"/>
  <c r="E200" i="60"/>
  <c r="P206" i="60"/>
  <c r="L205" i="60"/>
  <c r="N204" i="60"/>
  <c r="N203" i="60"/>
  <c r="G202" i="60"/>
  <c r="AC200" i="60"/>
  <c r="AC205" i="60"/>
  <c r="L204" i="60"/>
  <c r="I203" i="60"/>
  <c r="AB201" i="60"/>
  <c r="AA200" i="60"/>
  <c r="AB205" i="60"/>
  <c r="E205" i="60"/>
  <c r="G204" i="60"/>
  <c r="F203" i="60"/>
  <c r="Y201" i="60"/>
  <c r="U200" i="60"/>
  <c r="U205" i="60"/>
  <c r="W202" i="60"/>
  <c r="M200" i="60"/>
  <c r="T205" i="60"/>
  <c r="W204" i="60"/>
  <c r="Y203" i="60"/>
  <c r="Q202" i="60"/>
  <c r="L201" i="60"/>
  <c r="K200" i="60"/>
  <c r="X206" i="60"/>
  <c r="W206" i="60"/>
  <c r="O206" i="60"/>
  <c r="G206" i="60"/>
  <c r="Y205" i="60"/>
  <c r="Q205" i="60"/>
  <c r="I205" i="60"/>
  <c r="AA204" i="60"/>
  <c r="S204" i="60"/>
  <c r="K204" i="60"/>
  <c r="AC203" i="60"/>
  <c r="U203" i="60"/>
  <c r="M203" i="60"/>
  <c r="D203" i="60"/>
  <c r="V202" i="60"/>
  <c r="N202" i="60"/>
  <c r="F202" i="60"/>
  <c r="X201" i="60"/>
  <c r="P201" i="60"/>
  <c r="H201" i="60"/>
  <c r="Z200" i="60"/>
  <c r="R200" i="60"/>
  <c r="J200" i="60"/>
  <c r="V206" i="60"/>
  <c r="N206" i="60"/>
  <c r="F206" i="60"/>
  <c r="X205" i="60"/>
  <c r="P205" i="60"/>
  <c r="H205" i="60"/>
  <c r="Z204" i="60"/>
  <c r="R204" i="60"/>
  <c r="J204" i="60"/>
  <c r="AB203" i="60"/>
  <c r="T203" i="60"/>
  <c r="L203" i="60"/>
  <c r="AC202" i="60"/>
  <c r="U202" i="60"/>
  <c r="M202" i="60"/>
  <c r="E202" i="60"/>
  <c r="W201" i="60"/>
  <c r="O201" i="60"/>
  <c r="G201" i="60"/>
  <c r="Y200" i="60"/>
  <c r="Q200" i="60"/>
  <c r="I200" i="60"/>
  <c r="AC206" i="60"/>
  <c r="U206" i="60"/>
  <c r="M206" i="60"/>
  <c r="E206" i="60"/>
  <c r="W205" i="60"/>
  <c r="O205" i="60"/>
  <c r="G205" i="60"/>
  <c r="Y204" i="60"/>
  <c r="Q204" i="60"/>
  <c r="I204" i="60"/>
  <c r="AA203" i="60"/>
  <c r="S203" i="60"/>
  <c r="K203" i="60"/>
  <c r="AB202" i="60"/>
  <c r="T202" i="60"/>
  <c r="L202" i="60"/>
  <c r="D202" i="60"/>
  <c r="V201" i="60"/>
  <c r="N201" i="60"/>
  <c r="F201" i="60"/>
  <c r="X200" i="60"/>
  <c r="X207" i="60" s="1"/>
  <c r="P200" i="60"/>
  <c r="H200" i="60"/>
  <c r="H207" i="60" s="1"/>
  <c r="AB206" i="60"/>
  <c r="T206" i="60"/>
  <c r="L206" i="60"/>
  <c r="D206" i="60"/>
  <c r="V205" i="60"/>
  <c r="N205" i="60"/>
  <c r="F205" i="60"/>
  <c r="X204" i="60"/>
  <c r="P204" i="60"/>
  <c r="H204" i="60"/>
  <c r="Z203" i="60"/>
  <c r="R203" i="60"/>
  <c r="J203" i="60"/>
  <c r="AA202" i="60"/>
  <c r="S202" i="60"/>
  <c r="K202" i="60"/>
  <c r="AC201" i="60"/>
  <c r="U201" i="60"/>
  <c r="M201" i="60"/>
  <c r="E201" i="60"/>
  <c r="W200" i="60"/>
  <c r="O200" i="60"/>
  <c r="G200" i="60"/>
  <c r="AA206" i="60"/>
  <c r="S206" i="60"/>
  <c r="K206" i="60"/>
  <c r="Z202" i="60"/>
  <c r="R202" i="60"/>
  <c r="J202" i="60"/>
  <c r="V200" i="60"/>
  <c r="Z206" i="60"/>
  <c r="R206" i="60"/>
  <c r="J206" i="60"/>
  <c r="X203" i="60"/>
  <c r="P203" i="60"/>
  <c r="H203" i="60"/>
  <c r="AA201" i="60"/>
  <c r="S201" i="60"/>
  <c r="K201" i="60"/>
  <c r="Z201" i="60"/>
  <c r="R201" i="60"/>
  <c r="J201" i="60"/>
  <c r="C142" i="60"/>
  <c r="AC146" i="60"/>
  <c r="AB146" i="60"/>
  <c r="AA146" i="60"/>
  <c r="Z146" i="60"/>
  <c r="Y146" i="60"/>
  <c r="X146" i="60"/>
  <c r="W146" i="60"/>
  <c r="V146" i="60"/>
  <c r="U146" i="60"/>
  <c r="T146" i="60"/>
  <c r="S146" i="60"/>
  <c r="R146" i="60"/>
  <c r="Q146" i="60"/>
  <c r="P146" i="60"/>
  <c r="O146" i="60"/>
  <c r="N146" i="60"/>
  <c r="M146" i="60"/>
  <c r="L146" i="60"/>
  <c r="K146" i="60"/>
  <c r="J146" i="60"/>
  <c r="I146" i="60"/>
  <c r="H146" i="60"/>
  <c r="G146" i="60"/>
  <c r="F146" i="60"/>
  <c r="E146" i="60"/>
  <c r="D146" i="60"/>
  <c r="C145" i="60"/>
  <c r="C144" i="60"/>
  <c r="C143" i="60"/>
  <c r="C141" i="60"/>
  <c r="C140" i="60"/>
  <c r="C139" i="60"/>
  <c r="D99" i="60"/>
  <c r="C93" i="60"/>
  <c r="C94" i="60"/>
  <c r="C95" i="60"/>
  <c r="C96" i="60"/>
  <c r="C97" i="60"/>
  <c r="C98" i="60"/>
  <c r="C92" i="60"/>
  <c r="D91" i="60"/>
  <c r="D105" i="60" s="1"/>
  <c r="D118" i="60" s="1"/>
  <c r="D131" i="60" s="1"/>
  <c r="D138" i="60" s="1"/>
  <c r="D152" i="60" s="1"/>
  <c r="D165" i="60" s="1"/>
  <c r="D177" i="60" s="1"/>
  <c r="D185" i="60" s="1"/>
  <c r="D199" i="60" s="1"/>
  <c r="D212" i="60" s="1"/>
  <c r="D225" i="60" s="1"/>
  <c r="D234" i="60" s="1"/>
  <c r="D248" i="60" s="1"/>
  <c r="D261" i="60" s="1"/>
  <c r="D274" i="60" s="1"/>
  <c r="D282" i="60" s="1"/>
  <c r="D296" i="60" s="1"/>
  <c r="D309" i="60" s="1"/>
  <c r="D322" i="60" s="1"/>
  <c r="D330" i="60" s="1"/>
  <c r="D344" i="60" s="1"/>
  <c r="D357" i="60" s="1"/>
  <c r="D370" i="60" s="1"/>
  <c r="D378" i="60" s="1"/>
  <c r="D392" i="60" s="1"/>
  <c r="D405" i="60" s="1"/>
  <c r="D418" i="60" s="1"/>
  <c r="D426" i="60" s="1"/>
  <c r="D440" i="60" s="1"/>
  <c r="D453" i="60" s="1"/>
  <c r="D466" i="60" s="1"/>
  <c r="D474" i="60" s="1"/>
  <c r="D488" i="60" s="1"/>
  <c r="D501" i="60" s="1"/>
  <c r="D514" i="60" s="1"/>
  <c r="D522" i="60" s="1"/>
  <c r="D536" i="60" s="1"/>
  <c r="D549" i="60" s="1"/>
  <c r="D562" i="60" s="1"/>
  <c r="D570" i="60" s="1"/>
  <c r="D584" i="60" s="1"/>
  <c r="D597" i="60" s="1"/>
  <c r="D610" i="60" s="1"/>
  <c r="D618" i="60" s="1"/>
  <c r="D632" i="60" s="1"/>
  <c r="D645" i="60" s="1"/>
  <c r="D658" i="60" s="1"/>
  <c r="E91" i="60"/>
  <c r="E105" i="60" s="1"/>
  <c r="E118" i="60" s="1"/>
  <c r="E131" i="60" s="1"/>
  <c r="E138" i="60" s="1"/>
  <c r="E152" i="60" s="1"/>
  <c r="E165" i="60" s="1"/>
  <c r="E177" i="60" s="1"/>
  <c r="E185" i="60" s="1"/>
  <c r="E199" i="60" s="1"/>
  <c r="E212" i="60" s="1"/>
  <c r="E225" i="60" s="1"/>
  <c r="E234" i="60" s="1"/>
  <c r="E248" i="60" s="1"/>
  <c r="E261" i="60" s="1"/>
  <c r="E274" i="60" s="1"/>
  <c r="E282" i="60" s="1"/>
  <c r="E296" i="60" s="1"/>
  <c r="E309" i="60" s="1"/>
  <c r="E322" i="60" s="1"/>
  <c r="E330" i="60" s="1"/>
  <c r="E344" i="60" s="1"/>
  <c r="E357" i="60" s="1"/>
  <c r="E370" i="60" s="1"/>
  <c r="E378" i="60" s="1"/>
  <c r="E392" i="60" s="1"/>
  <c r="E405" i="60" s="1"/>
  <c r="E418" i="60" s="1"/>
  <c r="E426" i="60" s="1"/>
  <c r="E440" i="60" s="1"/>
  <c r="E453" i="60" s="1"/>
  <c r="E466" i="60" s="1"/>
  <c r="E474" i="60" s="1"/>
  <c r="E488" i="60" s="1"/>
  <c r="E501" i="60" s="1"/>
  <c r="E514" i="60" s="1"/>
  <c r="E522" i="60" s="1"/>
  <c r="E536" i="60" s="1"/>
  <c r="E549" i="60" s="1"/>
  <c r="E562" i="60" s="1"/>
  <c r="E570" i="60" s="1"/>
  <c r="E584" i="60" s="1"/>
  <c r="E597" i="60" s="1"/>
  <c r="E610" i="60" s="1"/>
  <c r="E618" i="60" s="1"/>
  <c r="E632" i="60" s="1"/>
  <c r="E645" i="60" s="1"/>
  <c r="E658" i="60" s="1"/>
  <c r="F91" i="60"/>
  <c r="F105" i="60" s="1"/>
  <c r="F118" i="60" s="1"/>
  <c r="F131" i="60" s="1"/>
  <c r="F138" i="60" s="1"/>
  <c r="F152" i="60" s="1"/>
  <c r="F165" i="60" s="1"/>
  <c r="F177" i="60" s="1"/>
  <c r="F185" i="60" s="1"/>
  <c r="F199" i="60" s="1"/>
  <c r="F212" i="60" s="1"/>
  <c r="F225" i="60" s="1"/>
  <c r="F234" i="60" s="1"/>
  <c r="F248" i="60" s="1"/>
  <c r="F261" i="60" s="1"/>
  <c r="F274" i="60" s="1"/>
  <c r="F282" i="60" s="1"/>
  <c r="F296" i="60" s="1"/>
  <c r="F309" i="60" s="1"/>
  <c r="F322" i="60" s="1"/>
  <c r="F330" i="60" s="1"/>
  <c r="F344" i="60" s="1"/>
  <c r="F357" i="60" s="1"/>
  <c r="F370" i="60" s="1"/>
  <c r="F378" i="60" s="1"/>
  <c r="F392" i="60" s="1"/>
  <c r="F405" i="60" s="1"/>
  <c r="F418" i="60" s="1"/>
  <c r="F426" i="60" s="1"/>
  <c r="F440" i="60" s="1"/>
  <c r="F453" i="60" s="1"/>
  <c r="F466" i="60" s="1"/>
  <c r="F474" i="60" s="1"/>
  <c r="F488" i="60" s="1"/>
  <c r="F501" i="60" s="1"/>
  <c r="F514" i="60" s="1"/>
  <c r="F522" i="60" s="1"/>
  <c r="F536" i="60" s="1"/>
  <c r="F549" i="60" s="1"/>
  <c r="F562" i="60" s="1"/>
  <c r="F570" i="60" s="1"/>
  <c r="F584" i="60" s="1"/>
  <c r="F597" i="60" s="1"/>
  <c r="F610" i="60" s="1"/>
  <c r="F618" i="60" s="1"/>
  <c r="F632" i="60" s="1"/>
  <c r="F645" i="60" s="1"/>
  <c r="F658" i="60" s="1"/>
  <c r="G91" i="60"/>
  <c r="G105" i="60" s="1"/>
  <c r="G118" i="60" s="1"/>
  <c r="G131" i="60" s="1"/>
  <c r="G138" i="60" s="1"/>
  <c r="G152" i="60" s="1"/>
  <c r="G165" i="60" s="1"/>
  <c r="G177" i="60" s="1"/>
  <c r="G185" i="60" s="1"/>
  <c r="G199" i="60" s="1"/>
  <c r="G212" i="60" s="1"/>
  <c r="G225" i="60" s="1"/>
  <c r="G234" i="60" s="1"/>
  <c r="G248" i="60" s="1"/>
  <c r="G261" i="60" s="1"/>
  <c r="G274" i="60" s="1"/>
  <c r="G282" i="60" s="1"/>
  <c r="G296" i="60" s="1"/>
  <c r="G309" i="60" s="1"/>
  <c r="G322" i="60" s="1"/>
  <c r="G330" i="60" s="1"/>
  <c r="G344" i="60" s="1"/>
  <c r="G357" i="60" s="1"/>
  <c r="G370" i="60" s="1"/>
  <c r="G378" i="60" s="1"/>
  <c r="G392" i="60" s="1"/>
  <c r="G405" i="60" s="1"/>
  <c r="G418" i="60" s="1"/>
  <c r="G426" i="60" s="1"/>
  <c r="G440" i="60" s="1"/>
  <c r="G453" i="60" s="1"/>
  <c r="G466" i="60" s="1"/>
  <c r="G474" i="60" s="1"/>
  <c r="G488" i="60" s="1"/>
  <c r="G501" i="60" s="1"/>
  <c r="G514" i="60" s="1"/>
  <c r="G522" i="60" s="1"/>
  <c r="G536" i="60" s="1"/>
  <c r="G549" i="60" s="1"/>
  <c r="G562" i="60" s="1"/>
  <c r="G570" i="60" s="1"/>
  <c r="G584" i="60" s="1"/>
  <c r="G597" i="60" s="1"/>
  <c r="G610" i="60" s="1"/>
  <c r="G618" i="60" s="1"/>
  <c r="G632" i="60" s="1"/>
  <c r="G645" i="60" s="1"/>
  <c r="G658" i="60" s="1"/>
  <c r="H91" i="60"/>
  <c r="H105" i="60" s="1"/>
  <c r="H118" i="60" s="1"/>
  <c r="H131" i="60" s="1"/>
  <c r="H138" i="60" s="1"/>
  <c r="H152" i="60" s="1"/>
  <c r="H165" i="60" s="1"/>
  <c r="H177" i="60" s="1"/>
  <c r="H185" i="60" s="1"/>
  <c r="H199" i="60" s="1"/>
  <c r="H212" i="60" s="1"/>
  <c r="H225" i="60" s="1"/>
  <c r="H234" i="60" s="1"/>
  <c r="H248" i="60" s="1"/>
  <c r="H261" i="60" s="1"/>
  <c r="H274" i="60" s="1"/>
  <c r="H282" i="60" s="1"/>
  <c r="H296" i="60" s="1"/>
  <c r="H309" i="60" s="1"/>
  <c r="H322" i="60" s="1"/>
  <c r="H330" i="60" s="1"/>
  <c r="H344" i="60" s="1"/>
  <c r="H357" i="60" s="1"/>
  <c r="H370" i="60" s="1"/>
  <c r="H378" i="60" s="1"/>
  <c r="H392" i="60" s="1"/>
  <c r="H405" i="60" s="1"/>
  <c r="H418" i="60" s="1"/>
  <c r="H426" i="60" s="1"/>
  <c r="H440" i="60" s="1"/>
  <c r="H453" i="60" s="1"/>
  <c r="H466" i="60" s="1"/>
  <c r="H474" i="60" s="1"/>
  <c r="H488" i="60" s="1"/>
  <c r="H501" i="60" s="1"/>
  <c r="H514" i="60" s="1"/>
  <c r="H522" i="60" s="1"/>
  <c r="H536" i="60" s="1"/>
  <c r="H549" i="60" s="1"/>
  <c r="H562" i="60" s="1"/>
  <c r="H570" i="60" s="1"/>
  <c r="H584" i="60" s="1"/>
  <c r="H597" i="60" s="1"/>
  <c r="H610" i="60" s="1"/>
  <c r="H618" i="60" s="1"/>
  <c r="H632" i="60" s="1"/>
  <c r="H645" i="60" s="1"/>
  <c r="H658" i="60" s="1"/>
  <c r="I91" i="60"/>
  <c r="I105" i="60" s="1"/>
  <c r="I118" i="60" s="1"/>
  <c r="I131" i="60" s="1"/>
  <c r="I138" i="60" s="1"/>
  <c r="I152" i="60" s="1"/>
  <c r="I165" i="60" s="1"/>
  <c r="I177" i="60" s="1"/>
  <c r="I185" i="60" s="1"/>
  <c r="I199" i="60" s="1"/>
  <c r="I212" i="60" s="1"/>
  <c r="I225" i="60" s="1"/>
  <c r="I234" i="60" s="1"/>
  <c r="I248" i="60" s="1"/>
  <c r="I261" i="60" s="1"/>
  <c r="I274" i="60" s="1"/>
  <c r="I282" i="60" s="1"/>
  <c r="I296" i="60" s="1"/>
  <c r="I309" i="60" s="1"/>
  <c r="I322" i="60" s="1"/>
  <c r="I330" i="60" s="1"/>
  <c r="I344" i="60" s="1"/>
  <c r="I357" i="60" s="1"/>
  <c r="I370" i="60" s="1"/>
  <c r="I378" i="60" s="1"/>
  <c r="I392" i="60" s="1"/>
  <c r="I405" i="60" s="1"/>
  <c r="I418" i="60" s="1"/>
  <c r="I426" i="60" s="1"/>
  <c r="I440" i="60" s="1"/>
  <c r="I453" i="60" s="1"/>
  <c r="I466" i="60" s="1"/>
  <c r="I474" i="60" s="1"/>
  <c r="I488" i="60" s="1"/>
  <c r="I501" i="60" s="1"/>
  <c r="I514" i="60" s="1"/>
  <c r="I522" i="60" s="1"/>
  <c r="I536" i="60" s="1"/>
  <c r="I549" i="60" s="1"/>
  <c r="I562" i="60" s="1"/>
  <c r="I570" i="60" s="1"/>
  <c r="I584" i="60" s="1"/>
  <c r="I597" i="60" s="1"/>
  <c r="I610" i="60" s="1"/>
  <c r="I618" i="60" s="1"/>
  <c r="I632" i="60" s="1"/>
  <c r="I645" i="60" s="1"/>
  <c r="I658" i="60" s="1"/>
  <c r="J91" i="60"/>
  <c r="J105" i="60" s="1"/>
  <c r="J118" i="60" s="1"/>
  <c r="J131" i="60" s="1"/>
  <c r="J138" i="60" s="1"/>
  <c r="J152" i="60" s="1"/>
  <c r="J165" i="60" s="1"/>
  <c r="J177" i="60" s="1"/>
  <c r="J185" i="60" s="1"/>
  <c r="J199" i="60" s="1"/>
  <c r="J212" i="60" s="1"/>
  <c r="J225" i="60" s="1"/>
  <c r="J234" i="60" s="1"/>
  <c r="J248" i="60" s="1"/>
  <c r="J261" i="60" s="1"/>
  <c r="J274" i="60" s="1"/>
  <c r="J282" i="60" s="1"/>
  <c r="J296" i="60" s="1"/>
  <c r="J309" i="60" s="1"/>
  <c r="J322" i="60" s="1"/>
  <c r="J330" i="60" s="1"/>
  <c r="J344" i="60" s="1"/>
  <c r="J357" i="60" s="1"/>
  <c r="J370" i="60" s="1"/>
  <c r="J378" i="60" s="1"/>
  <c r="J392" i="60" s="1"/>
  <c r="J405" i="60" s="1"/>
  <c r="J418" i="60" s="1"/>
  <c r="J426" i="60" s="1"/>
  <c r="J440" i="60" s="1"/>
  <c r="J453" i="60" s="1"/>
  <c r="J466" i="60" s="1"/>
  <c r="J474" i="60" s="1"/>
  <c r="J488" i="60" s="1"/>
  <c r="J501" i="60" s="1"/>
  <c r="J514" i="60" s="1"/>
  <c r="J522" i="60" s="1"/>
  <c r="J536" i="60" s="1"/>
  <c r="J549" i="60" s="1"/>
  <c r="J562" i="60" s="1"/>
  <c r="J570" i="60" s="1"/>
  <c r="J584" i="60" s="1"/>
  <c r="J597" i="60" s="1"/>
  <c r="J610" i="60" s="1"/>
  <c r="J618" i="60" s="1"/>
  <c r="J632" i="60" s="1"/>
  <c r="J645" i="60" s="1"/>
  <c r="J658" i="60" s="1"/>
  <c r="K91" i="60"/>
  <c r="K105" i="60" s="1"/>
  <c r="K118" i="60" s="1"/>
  <c r="K131" i="60" s="1"/>
  <c r="K138" i="60" s="1"/>
  <c r="K152" i="60" s="1"/>
  <c r="K165" i="60" s="1"/>
  <c r="K177" i="60" s="1"/>
  <c r="K185" i="60" s="1"/>
  <c r="K199" i="60" s="1"/>
  <c r="K212" i="60" s="1"/>
  <c r="K225" i="60" s="1"/>
  <c r="K234" i="60" s="1"/>
  <c r="K248" i="60" s="1"/>
  <c r="K261" i="60" s="1"/>
  <c r="K274" i="60" s="1"/>
  <c r="K282" i="60" s="1"/>
  <c r="K296" i="60" s="1"/>
  <c r="K309" i="60" s="1"/>
  <c r="K322" i="60" s="1"/>
  <c r="K330" i="60" s="1"/>
  <c r="K344" i="60" s="1"/>
  <c r="K357" i="60" s="1"/>
  <c r="K370" i="60" s="1"/>
  <c r="K378" i="60" s="1"/>
  <c r="K392" i="60" s="1"/>
  <c r="K405" i="60" s="1"/>
  <c r="K418" i="60" s="1"/>
  <c r="K426" i="60" s="1"/>
  <c r="K440" i="60" s="1"/>
  <c r="K453" i="60" s="1"/>
  <c r="K466" i="60" s="1"/>
  <c r="K474" i="60" s="1"/>
  <c r="K488" i="60" s="1"/>
  <c r="K501" i="60" s="1"/>
  <c r="K514" i="60" s="1"/>
  <c r="K522" i="60" s="1"/>
  <c r="K536" i="60" s="1"/>
  <c r="K549" i="60" s="1"/>
  <c r="K562" i="60" s="1"/>
  <c r="K570" i="60" s="1"/>
  <c r="K584" i="60" s="1"/>
  <c r="K597" i="60" s="1"/>
  <c r="K610" i="60" s="1"/>
  <c r="K618" i="60" s="1"/>
  <c r="K632" i="60" s="1"/>
  <c r="K645" i="60" s="1"/>
  <c r="K658" i="60" s="1"/>
  <c r="L91" i="60"/>
  <c r="L105" i="60" s="1"/>
  <c r="L118" i="60" s="1"/>
  <c r="L131" i="60" s="1"/>
  <c r="L138" i="60" s="1"/>
  <c r="L152" i="60" s="1"/>
  <c r="L165" i="60" s="1"/>
  <c r="L177" i="60" s="1"/>
  <c r="L185" i="60" s="1"/>
  <c r="L199" i="60" s="1"/>
  <c r="L212" i="60" s="1"/>
  <c r="L225" i="60" s="1"/>
  <c r="L234" i="60" s="1"/>
  <c r="L248" i="60" s="1"/>
  <c r="L261" i="60" s="1"/>
  <c r="L274" i="60" s="1"/>
  <c r="L282" i="60" s="1"/>
  <c r="L296" i="60" s="1"/>
  <c r="L309" i="60" s="1"/>
  <c r="L322" i="60" s="1"/>
  <c r="L330" i="60" s="1"/>
  <c r="L344" i="60" s="1"/>
  <c r="L357" i="60" s="1"/>
  <c r="L370" i="60" s="1"/>
  <c r="L378" i="60" s="1"/>
  <c r="L392" i="60" s="1"/>
  <c r="L405" i="60" s="1"/>
  <c r="L418" i="60" s="1"/>
  <c r="L426" i="60" s="1"/>
  <c r="L440" i="60" s="1"/>
  <c r="L453" i="60" s="1"/>
  <c r="L466" i="60" s="1"/>
  <c r="L474" i="60" s="1"/>
  <c r="L488" i="60" s="1"/>
  <c r="L501" i="60" s="1"/>
  <c r="L514" i="60" s="1"/>
  <c r="L522" i="60" s="1"/>
  <c r="L536" i="60" s="1"/>
  <c r="L549" i="60" s="1"/>
  <c r="L562" i="60" s="1"/>
  <c r="L570" i="60" s="1"/>
  <c r="L584" i="60" s="1"/>
  <c r="L597" i="60" s="1"/>
  <c r="L610" i="60" s="1"/>
  <c r="L618" i="60" s="1"/>
  <c r="L632" i="60" s="1"/>
  <c r="L645" i="60" s="1"/>
  <c r="L658" i="60" s="1"/>
  <c r="M91" i="60"/>
  <c r="M105" i="60" s="1"/>
  <c r="M118" i="60" s="1"/>
  <c r="M131" i="60" s="1"/>
  <c r="M138" i="60" s="1"/>
  <c r="M152" i="60" s="1"/>
  <c r="M165" i="60" s="1"/>
  <c r="M177" i="60" s="1"/>
  <c r="M185" i="60" s="1"/>
  <c r="M199" i="60" s="1"/>
  <c r="M212" i="60" s="1"/>
  <c r="M225" i="60" s="1"/>
  <c r="M234" i="60" s="1"/>
  <c r="M248" i="60" s="1"/>
  <c r="M261" i="60" s="1"/>
  <c r="M274" i="60" s="1"/>
  <c r="M282" i="60" s="1"/>
  <c r="M296" i="60" s="1"/>
  <c r="M309" i="60" s="1"/>
  <c r="M322" i="60" s="1"/>
  <c r="M330" i="60" s="1"/>
  <c r="M344" i="60" s="1"/>
  <c r="M357" i="60" s="1"/>
  <c r="M370" i="60" s="1"/>
  <c r="M378" i="60" s="1"/>
  <c r="M392" i="60" s="1"/>
  <c r="M405" i="60" s="1"/>
  <c r="M418" i="60" s="1"/>
  <c r="M426" i="60" s="1"/>
  <c r="M440" i="60" s="1"/>
  <c r="M453" i="60" s="1"/>
  <c r="M466" i="60" s="1"/>
  <c r="M474" i="60" s="1"/>
  <c r="M488" i="60" s="1"/>
  <c r="M501" i="60" s="1"/>
  <c r="M514" i="60" s="1"/>
  <c r="M522" i="60" s="1"/>
  <c r="M536" i="60" s="1"/>
  <c r="M549" i="60" s="1"/>
  <c r="M562" i="60" s="1"/>
  <c r="M570" i="60" s="1"/>
  <c r="M584" i="60" s="1"/>
  <c r="M597" i="60" s="1"/>
  <c r="M610" i="60" s="1"/>
  <c r="M618" i="60" s="1"/>
  <c r="M632" i="60" s="1"/>
  <c r="M645" i="60" s="1"/>
  <c r="M658" i="60" s="1"/>
  <c r="N91" i="60"/>
  <c r="N105" i="60" s="1"/>
  <c r="N118" i="60" s="1"/>
  <c r="N131" i="60" s="1"/>
  <c r="N138" i="60" s="1"/>
  <c r="N152" i="60" s="1"/>
  <c r="N165" i="60" s="1"/>
  <c r="N177" i="60" s="1"/>
  <c r="N185" i="60" s="1"/>
  <c r="N199" i="60" s="1"/>
  <c r="N212" i="60" s="1"/>
  <c r="N225" i="60" s="1"/>
  <c r="N234" i="60" s="1"/>
  <c r="N248" i="60" s="1"/>
  <c r="N261" i="60" s="1"/>
  <c r="N274" i="60" s="1"/>
  <c r="N282" i="60" s="1"/>
  <c r="N296" i="60" s="1"/>
  <c r="N309" i="60" s="1"/>
  <c r="N322" i="60" s="1"/>
  <c r="N330" i="60" s="1"/>
  <c r="N344" i="60" s="1"/>
  <c r="N357" i="60" s="1"/>
  <c r="N370" i="60" s="1"/>
  <c r="N378" i="60" s="1"/>
  <c r="N392" i="60" s="1"/>
  <c r="N405" i="60" s="1"/>
  <c r="N418" i="60" s="1"/>
  <c r="N426" i="60" s="1"/>
  <c r="N440" i="60" s="1"/>
  <c r="N453" i="60" s="1"/>
  <c r="N466" i="60" s="1"/>
  <c r="N474" i="60" s="1"/>
  <c r="N488" i="60" s="1"/>
  <c r="N501" i="60" s="1"/>
  <c r="N514" i="60" s="1"/>
  <c r="N522" i="60" s="1"/>
  <c r="N536" i="60" s="1"/>
  <c r="N549" i="60" s="1"/>
  <c r="N562" i="60" s="1"/>
  <c r="N570" i="60" s="1"/>
  <c r="N584" i="60" s="1"/>
  <c r="N597" i="60" s="1"/>
  <c r="N610" i="60" s="1"/>
  <c r="N618" i="60" s="1"/>
  <c r="N632" i="60" s="1"/>
  <c r="N645" i="60" s="1"/>
  <c r="N658" i="60" s="1"/>
  <c r="O91" i="60"/>
  <c r="O105" i="60" s="1"/>
  <c r="O118" i="60" s="1"/>
  <c r="O131" i="60" s="1"/>
  <c r="O138" i="60" s="1"/>
  <c r="O152" i="60" s="1"/>
  <c r="O165" i="60" s="1"/>
  <c r="O177" i="60" s="1"/>
  <c r="O185" i="60" s="1"/>
  <c r="O199" i="60" s="1"/>
  <c r="O212" i="60" s="1"/>
  <c r="O225" i="60" s="1"/>
  <c r="O234" i="60" s="1"/>
  <c r="O248" i="60" s="1"/>
  <c r="O261" i="60" s="1"/>
  <c r="O274" i="60" s="1"/>
  <c r="O282" i="60" s="1"/>
  <c r="O296" i="60" s="1"/>
  <c r="O309" i="60" s="1"/>
  <c r="O322" i="60" s="1"/>
  <c r="O330" i="60" s="1"/>
  <c r="O344" i="60" s="1"/>
  <c r="O357" i="60" s="1"/>
  <c r="O370" i="60" s="1"/>
  <c r="O378" i="60" s="1"/>
  <c r="O392" i="60" s="1"/>
  <c r="O405" i="60" s="1"/>
  <c r="O418" i="60" s="1"/>
  <c r="O426" i="60" s="1"/>
  <c r="O440" i="60" s="1"/>
  <c r="O453" i="60" s="1"/>
  <c r="O466" i="60" s="1"/>
  <c r="O474" i="60" s="1"/>
  <c r="O488" i="60" s="1"/>
  <c r="O501" i="60" s="1"/>
  <c r="O514" i="60" s="1"/>
  <c r="O522" i="60" s="1"/>
  <c r="O536" i="60" s="1"/>
  <c r="O549" i="60" s="1"/>
  <c r="O562" i="60" s="1"/>
  <c r="O570" i="60" s="1"/>
  <c r="O584" i="60" s="1"/>
  <c r="O597" i="60" s="1"/>
  <c r="O610" i="60" s="1"/>
  <c r="O618" i="60" s="1"/>
  <c r="O632" i="60" s="1"/>
  <c r="O645" i="60" s="1"/>
  <c r="O658" i="60" s="1"/>
  <c r="P91" i="60"/>
  <c r="P105" i="60" s="1"/>
  <c r="P118" i="60" s="1"/>
  <c r="P131" i="60" s="1"/>
  <c r="P138" i="60" s="1"/>
  <c r="P152" i="60" s="1"/>
  <c r="P165" i="60" s="1"/>
  <c r="P177" i="60" s="1"/>
  <c r="P185" i="60" s="1"/>
  <c r="P199" i="60" s="1"/>
  <c r="P212" i="60" s="1"/>
  <c r="P225" i="60" s="1"/>
  <c r="P234" i="60" s="1"/>
  <c r="P248" i="60" s="1"/>
  <c r="P261" i="60" s="1"/>
  <c r="P274" i="60" s="1"/>
  <c r="P282" i="60" s="1"/>
  <c r="P296" i="60" s="1"/>
  <c r="P309" i="60" s="1"/>
  <c r="P322" i="60" s="1"/>
  <c r="P330" i="60" s="1"/>
  <c r="P344" i="60" s="1"/>
  <c r="P357" i="60" s="1"/>
  <c r="P370" i="60" s="1"/>
  <c r="P378" i="60" s="1"/>
  <c r="P392" i="60" s="1"/>
  <c r="P405" i="60" s="1"/>
  <c r="P418" i="60" s="1"/>
  <c r="P426" i="60" s="1"/>
  <c r="P440" i="60" s="1"/>
  <c r="P453" i="60" s="1"/>
  <c r="P466" i="60" s="1"/>
  <c r="P474" i="60" s="1"/>
  <c r="P488" i="60" s="1"/>
  <c r="P501" i="60" s="1"/>
  <c r="P514" i="60" s="1"/>
  <c r="P522" i="60" s="1"/>
  <c r="P536" i="60" s="1"/>
  <c r="P549" i="60" s="1"/>
  <c r="P562" i="60" s="1"/>
  <c r="P570" i="60" s="1"/>
  <c r="P584" i="60" s="1"/>
  <c r="P597" i="60" s="1"/>
  <c r="P610" i="60" s="1"/>
  <c r="P618" i="60" s="1"/>
  <c r="P632" i="60" s="1"/>
  <c r="P645" i="60" s="1"/>
  <c r="P658" i="60" s="1"/>
  <c r="Q91" i="60"/>
  <c r="Q105" i="60" s="1"/>
  <c r="Q118" i="60" s="1"/>
  <c r="Q131" i="60" s="1"/>
  <c r="Q138" i="60" s="1"/>
  <c r="Q152" i="60" s="1"/>
  <c r="Q165" i="60" s="1"/>
  <c r="Q177" i="60" s="1"/>
  <c r="Q185" i="60" s="1"/>
  <c r="Q199" i="60" s="1"/>
  <c r="Q212" i="60" s="1"/>
  <c r="Q225" i="60" s="1"/>
  <c r="Q234" i="60" s="1"/>
  <c r="Q248" i="60" s="1"/>
  <c r="Q261" i="60" s="1"/>
  <c r="Q274" i="60" s="1"/>
  <c r="Q282" i="60" s="1"/>
  <c r="Q296" i="60" s="1"/>
  <c r="Q309" i="60" s="1"/>
  <c r="Q322" i="60" s="1"/>
  <c r="Q330" i="60" s="1"/>
  <c r="Q344" i="60" s="1"/>
  <c r="Q357" i="60" s="1"/>
  <c r="Q370" i="60" s="1"/>
  <c r="Q378" i="60" s="1"/>
  <c r="Q392" i="60" s="1"/>
  <c r="Q405" i="60" s="1"/>
  <c r="Q418" i="60" s="1"/>
  <c r="Q426" i="60" s="1"/>
  <c r="Q440" i="60" s="1"/>
  <c r="Q453" i="60" s="1"/>
  <c r="Q466" i="60" s="1"/>
  <c r="Q474" i="60" s="1"/>
  <c r="Q488" i="60" s="1"/>
  <c r="Q501" i="60" s="1"/>
  <c r="Q514" i="60" s="1"/>
  <c r="Q522" i="60" s="1"/>
  <c r="Q536" i="60" s="1"/>
  <c r="Q549" i="60" s="1"/>
  <c r="Q562" i="60" s="1"/>
  <c r="Q570" i="60" s="1"/>
  <c r="Q584" i="60" s="1"/>
  <c r="Q597" i="60" s="1"/>
  <c r="Q610" i="60" s="1"/>
  <c r="Q618" i="60" s="1"/>
  <c r="Q632" i="60" s="1"/>
  <c r="Q645" i="60" s="1"/>
  <c r="Q658" i="60" s="1"/>
  <c r="R91" i="60"/>
  <c r="R105" i="60" s="1"/>
  <c r="R118" i="60" s="1"/>
  <c r="R131" i="60" s="1"/>
  <c r="R138" i="60" s="1"/>
  <c r="R152" i="60" s="1"/>
  <c r="R165" i="60" s="1"/>
  <c r="R177" i="60" s="1"/>
  <c r="R185" i="60" s="1"/>
  <c r="R199" i="60" s="1"/>
  <c r="R212" i="60" s="1"/>
  <c r="R225" i="60" s="1"/>
  <c r="R234" i="60" s="1"/>
  <c r="R248" i="60" s="1"/>
  <c r="R261" i="60" s="1"/>
  <c r="R274" i="60" s="1"/>
  <c r="R282" i="60" s="1"/>
  <c r="R296" i="60" s="1"/>
  <c r="R309" i="60" s="1"/>
  <c r="R322" i="60" s="1"/>
  <c r="R330" i="60" s="1"/>
  <c r="R344" i="60" s="1"/>
  <c r="R357" i="60" s="1"/>
  <c r="R370" i="60" s="1"/>
  <c r="R378" i="60" s="1"/>
  <c r="R392" i="60" s="1"/>
  <c r="R405" i="60" s="1"/>
  <c r="R418" i="60" s="1"/>
  <c r="R426" i="60" s="1"/>
  <c r="R440" i="60" s="1"/>
  <c r="R453" i="60" s="1"/>
  <c r="R466" i="60" s="1"/>
  <c r="R474" i="60" s="1"/>
  <c r="R488" i="60" s="1"/>
  <c r="R501" i="60" s="1"/>
  <c r="R514" i="60" s="1"/>
  <c r="R522" i="60" s="1"/>
  <c r="R536" i="60" s="1"/>
  <c r="R549" i="60" s="1"/>
  <c r="R562" i="60" s="1"/>
  <c r="R570" i="60" s="1"/>
  <c r="R584" i="60" s="1"/>
  <c r="R597" i="60" s="1"/>
  <c r="R610" i="60" s="1"/>
  <c r="R618" i="60" s="1"/>
  <c r="R632" i="60" s="1"/>
  <c r="R645" i="60" s="1"/>
  <c r="R658" i="60" s="1"/>
  <c r="S91" i="60"/>
  <c r="S105" i="60" s="1"/>
  <c r="S118" i="60" s="1"/>
  <c r="S131" i="60" s="1"/>
  <c r="S138" i="60" s="1"/>
  <c r="S152" i="60" s="1"/>
  <c r="S165" i="60" s="1"/>
  <c r="S177" i="60" s="1"/>
  <c r="S185" i="60" s="1"/>
  <c r="S199" i="60" s="1"/>
  <c r="S212" i="60" s="1"/>
  <c r="S225" i="60" s="1"/>
  <c r="S234" i="60" s="1"/>
  <c r="S248" i="60" s="1"/>
  <c r="S261" i="60" s="1"/>
  <c r="S274" i="60" s="1"/>
  <c r="S282" i="60" s="1"/>
  <c r="S296" i="60" s="1"/>
  <c r="S309" i="60" s="1"/>
  <c r="S322" i="60" s="1"/>
  <c r="S330" i="60" s="1"/>
  <c r="S344" i="60" s="1"/>
  <c r="S357" i="60" s="1"/>
  <c r="S370" i="60" s="1"/>
  <c r="S378" i="60" s="1"/>
  <c r="S392" i="60" s="1"/>
  <c r="S405" i="60" s="1"/>
  <c r="S418" i="60" s="1"/>
  <c r="S426" i="60" s="1"/>
  <c r="S440" i="60" s="1"/>
  <c r="S453" i="60" s="1"/>
  <c r="S466" i="60" s="1"/>
  <c r="S474" i="60" s="1"/>
  <c r="S488" i="60" s="1"/>
  <c r="S501" i="60" s="1"/>
  <c r="S514" i="60" s="1"/>
  <c r="S522" i="60" s="1"/>
  <c r="S536" i="60" s="1"/>
  <c r="S549" i="60" s="1"/>
  <c r="S562" i="60" s="1"/>
  <c r="S570" i="60" s="1"/>
  <c r="S584" i="60" s="1"/>
  <c r="S597" i="60" s="1"/>
  <c r="S610" i="60" s="1"/>
  <c r="S618" i="60" s="1"/>
  <c r="S632" i="60" s="1"/>
  <c r="S645" i="60" s="1"/>
  <c r="S658" i="60" s="1"/>
  <c r="T91" i="60"/>
  <c r="T105" i="60" s="1"/>
  <c r="T118" i="60" s="1"/>
  <c r="T131" i="60" s="1"/>
  <c r="T138" i="60" s="1"/>
  <c r="T152" i="60" s="1"/>
  <c r="T165" i="60" s="1"/>
  <c r="T177" i="60" s="1"/>
  <c r="T185" i="60" s="1"/>
  <c r="T199" i="60" s="1"/>
  <c r="T212" i="60" s="1"/>
  <c r="T225" i="60" s="1"/>
  <c r="T234" i="60" s="1"/>
  <c r="T248" i="60" s="1"/>
  <c r="T261" i="60" s="1"/>
  <c r="T274" i="60" s="1"/>
  <c r="T282" i="60" s="1"/>
  <c r="T296" i="60" s="1"/>
  <c r="T309" i="60" s="1"/>
  <c r="T322" i="60" s="1"/>
  <c r="T330" i="60" s="1"/>
  <c r="T344" i="60" s="1"/>
  <c r="T357" i="60" s="1"/>
  <c r="T370" i="60" s="1"/>
  <c r="T378" i="60" s="1"/>
  <c r="T392" i="60" s="1"/>
  <c r="T405" i="60" s="1"/>
  <c r="T418" i="60" s="1"/>
  <c r="T426" i="60" s="1"/>
  <c r="T440" i="60" s="1"/>
  <c r="T453" i="60" s="1"/>
  <c r="T466" i="60" s="1"/>
  <c r="T474" i="60" s="1"/>
  <c r="T488" i="60" s="1"/>
  <c r="T501" i="60" s="1"/>
  <c r="T514" i="60" s="1"/>
  <c r="T522" i="60" s="1"/>
  <c r="T536" i="60" s="1"/>
  <c r="T549" i="60" s="1"/>
  <c r="T562" i="60" s="1"/>
  <c r="T570" i="60" s="1"/>
  <c r="T584" i="60" s="1"/>
  <c r="T597" i="60" s="1"/>
  <c r="T610" i="60" s="1"/>
  <c r="T618" i="60" s="1"/>
  <c r="T632" i="60" s="1"/>
  <c r="T645" i="60" s="1"/>
  <c r="T658" i="60" s="1"/>
  <c r="U91" i="60"/>
  <c r="U105" i="60" s="1"/>
  <c r="U118" i="60" s="1"/>
  <c r="U131" i="60" s="1"/>
  <c r="U138" i="60" s="1"/>
  <c r="U152" i="60" s="1"/>
  <c r="U165" i="60" s="1"/>
  <c r="U177" i="60" s="1"/>
  <c r="U185" i="60" s="1"/>
  <c r="U199" i="60" s="1"/>
  <c r="U212" i="60" s="1"/>
  <c r="U225" i="60" s="1"/>
  <c r="U234" i="60" s="1"/>
  <c r="U248" i="60" s="1"/>
  <c r="U261" i="60" s="1"/>
  <c r="U274" i="60" s="1"/>
  <c r="U282" i="60" s="1"/>
  <c r="U296" i="60" s="1"/>
  <c r="U309" i="60" s="1"/>
  <c r="U322" i="60" s="1"/>
  <c r="U330" i="60" s="1"/>
  <c r="U344" i="60" s="1"/>
  <c r="U357" i="60" s="1"/>
  <c r="U370" i="60" s="1"/>
  <c r="U378" i="60" s="1"/>
  <c r="U392" i="60" s="1"/>
  <c r="U405" i="60" s="1"/>
  <c r="U418" i="60" s="1"/>
  <c r="U426" i="60" s="1"/>
  <c r="U440" i="60" s="1"/>
  <c r="U453" i="60" s="1"/>
  <c r="U466" i="60" s="1"/>
  <c r="U474" i="60" s="1"/>
  <c r="U488" i="60" s="1"/>
  <c r="U501" i="60" s="1"/>
  <c r="U514" i="60" s="1"/>
  <c r="U522" i="60" s="1"/>
  <c r="U536" i="60" s="1"/>
  <c r="U549" i="60" s="1"/>
  <c r="U562" i="60" s="1"/>
  <c r="U570" i="60" s="1"/>
  <c r="U584" i="60" s="1"/>
  <c r="U597" i="60" s="1"/>
  <c r="U610" i="60" s="1"/>
  <c r="U618" i="60" s="1"/>
  <c r="U632" i="60" s="1"/>
  <c r="U645" i="60" s="1"/>
  <c r="U658" i="60" s="1"/>
  <c r="V91" i="60"/>
  <c r="V105" i="60" s="1"/>
  <c r="V118" i="60" s="1"/>
  <c r="V131" i="60" s="1"/>
  <c r="V138" i="60" s="1"/>
  <c r="V152" i="60" s="1"/>
  <c r="V165" i="60" s="1"/>
  <c r="V177" i="60" s="1"/>
  <c r="V185" i="60" s="1"/>
  <c r="V199" i="60" s="1"/>
  <c r="V212" i="60" s="1"/>
  <c r="V225" i="60" s="1"/>
  <c r="V234" i="60" s="1"/>
  <c r="V248" i="60" s="1"/>
  <c r="V261" i="60" s="1"/>
  <c r="V274" i="60" s="1"/>
  <c r="V282" i="60" s="1"/>
  <c r="V296" i="60" s="1"/>
  <c r="V309" i="60" s="1"/>
  <c r="V322" i="60" s="1"/>
  <c r="V330" i="60" s="1"/>
  <c r="V344" i="60" s="1"/>
  <c r="V357" i="60" s="1"/>
  <c r="V370" i="60" s="1"/>
  <c r="V378" i="60" s="1"/>
  <c r="V392" i="60" s="1"/>
  <c r="V405" i="60" s="1"/>
  <c r="V418" i="60" s="1"/>
  <c r="V426" i="60" s="1"/>
  <c r="V440" i="60" s="1"/>
  <c r="V453" i="60" s="1"/>
  <c r="V466" i="60" s="1"/>
  <c r="V474" i="60" s="1"/>
  <c r="V488" i="60" s="1"/>
  <c r="V501" i="60" s="1"/>
  <c r="V514" i="60" s="1"/>
  <c r="V522" i="60" s="1"/>
  <c r="V536" i="60" s="1"/>
  <c r="V549" i="60" s="1"/>
  <c r="V562" i="60" s="1"/>
  <c r="V570" i="60" s="1"/>
  <c r="V584" i="60" s="1"/>
  <c r="V597" i="60" s="1"/>
  <c r="V610" i="60" s="1"/>
  <c r="V618" i="60" s="1"/>
  <c r="V632" i="60" s="1"/>
  <c r="V645" i="60" s="1"/>
  <c r="V658" i="60" s="1"/>
  <c r="W91" i="60"/>
  <c r="W105" i="60" s="1"/>
  <c r="W118" i="60" s="1"/>
  <c r="W131" i="60" s="1"/>
  <c r="W138" i="60" s="1"/>
  <c r="W152" i="60" s="1"/>
  <c r="W165" i="60" s="1"/>
  <c r="W177" i="60" s="1"/>
  <c r="W185" i="60" s="1"/>
  <c r="W199" i="60" s="1"/>
  <c r="W212" i="60" s="1"/>
  <c r="W225" i="60" s="1"/>
  <c r="W234" i="60" s="1"/>
  <c r="W248" i="60" s="1"/>
  <c r="W261" i="60" s="1"/>
  <c r="W274" i="60" s="1"/>
  <c r="W282" i="60" s="1"/>
  <c r="W296" i="60" s="1"/>
  <c r="W309" i="60" s="1"/>
  <c r="W322" i="60" s="1"/>
  <c r="W330" i="60" s="1"/>
  <c r="W344" i="60" s="1"/>
  <c r="W357" i="60" s="1"/>
  <c r="W370" i="60" s="1"/>
  <c r="W378" i="60" s="1"/>
  <c r="W392" i="60" s="1"/>
  <c r="W405" i="60" s="1"/>
  <c r="W418" i="60" s="1"/>
  <c r="W426" i="60" s="1"/>
  <c r="W440" i="60" s="1"/>
  <c r="W453" i="60" s="1"/>
  <c r="W466" i="60" s="1"/>
  <c r="W474" i="60" s="1"/>
  <c r="W488" i="60" s="1"/>
  <c r="W501" i="60" s="1"/>
  <c r="W514" i="60" s="1"/>
  <c r="W522" i="60" s="1"/>
  <c r="W536" i="60" s="1"/>
  <c r="W549" i="60" s="1"/>
  <c r="W562" i="60" s="1"/>
  <c r="W570" i="60" s="1"/>
  <c r="W584" i="60" s="1"/>
  <c r="W597" i="60" s="1"/>
  <c r="W610" i="60" s="1"/>
  <c r="W618" i="60" s="1"/>
  <c r="W632" i="60" s="1"/>
  <c r="W645" i="60" s="1"/>
  <c r="W658" i="60" s="1"/>
  <c r="X91" i="60"/>
  <c r="X105" i="60" s="1"/>
  <c r="X118" i="60" s="1"/>
  <c r="X131" i="60" s="1"/>
  <c r="X138" i="60" s="1"/>
  <c r="X152" i="60" s="1"/>
  <c r="X165" i="60" s="1"/>
  <c r="X177" i="60" s="1"/>
  <c r="X185" i="60" s="1"/>
  <c r="X199" i="60" s="1"/>
  <c r="X212" i="60" s="1"/>
  <c r="X225" i="60" s="1"/>
  <c r="X234" i="60" s="1"/>
  <c r="X248" i="60" s="1"/>
  <c r="X261" i="60" s="1"/>
  <c r="X274" i="60" s="1"/>
  <c r="X282" i="60" s="1"/>
  <c r="X296" i="60" s="1"/>
  <c r="X309" i="60" s="1"/>
  <c r="X322" i="60" s="1"/>
  <c r="X330" i="60" s="1"/>
  <c r="X344" i="60" s="1"/>
  <c r="X357" i="60" s="1"/>
  <c r="X370" i="60" s="1"/>
  <c r="X378" i="60" s="1"/>
  <c r="X392" i="60" s="1"/>
  <c r="X405" i="60" s="1"/>
  <c r="X418" i="60" s="1"/>
  <c r="X426" i="60" s="1"/>
  <c r="X440" i="60" s="1"/>
  <c r="X453" i="60" s="1"/>
  <c r="X466" i="60" s="1"/>
  <c r="X474" i="60" s="1"/>
  <c r="X488" i="60" s="1"/>
  <c r="X501" i="60" s="1"/>
  <c r="X514" i="60" s="1"/>
  <c r="X522" i="60" s="1"/>
  <c r="X536" i="60" s="1"/>
  <c r="X549" i="60" s="1"/>
  <c r="X562" i="60" s="1"/>
  <c r="X570" i="60" s="1"/>
  <c r="X584" i="60" s="1"/>
  <c r="X597" i="60" s="1"/>
  <c r="X610" i="60" s="1"/>
  <c r="X618" i="60" s="1"/>
  <c r="X632" i="60" s="1"/>
  <c r="X645" i="60" s="1"/>
  <c r="X658" i="60" s="1"/>
  <c r="Y91" i="60"/>
  <c r="Y105" i="60" s="1"/>
  <c r="Y118" i="60" s="1"/>
  <c r="Y131" i="60" s="1"/>
  <c r="Y138" i="60" s="1"/>
  <c r="Y152" i="60" s="1"/>
  <c r="Y165" i="60" s="1"/>
  <c r="Y177" i="60" s="1"/>
  <c r="Y185" i="60" s="1"/>
  <c r="Y199" i="60" s="1"/>
  <c r="Y212" i="60" s="1"/>
  <c r="Y225" i="60" s="1"/>
  <c r="Y234" i="60" s="1"/>
  <c r="Y248" i="60" s="1"/>
  <c r="Y261" i="60" s="1"/>
  <c r="Y274" i="60" s="1"/>
  <c r="Y282" i="60" s="1"/>
  <c r="Y296" i="60" s="1"/>
  <c r="Y309" i="60" s="1"/>
  <c r="Y322" i="60" s="1"/>
  <c r="Y330" i="60" s="1"/>
  <c r="Y344" i="60" s="1"/>
  <c r="Y357" i="60" s="1"/>
  <c r="Y370" i="60" s="1"/>
  <c r="Y378" i="60" s="1"/>
  <c r="Y392" i="60" s="1"/>
  <c r="Y405" i="60" s="1"/>
  <c r="Y418" i="60" s="1"/>
  <c r="Y426" i="60" s="1"/>
  <c r="Y440" i="60" s="1"/>
  <c r="Y453" i="60" s="1"/>
  <c r="Y466" i="60" s="1"/>
  <c r="Y474" i="60" s="1"/>
  <c r="Y488" i="60" s="1"/>
  <c r="Y501" i="60" s="1"/>
  <c r="Y514" i="60" s="1"/>
  <c r="Y522" i="60" s="1"/>
  <c r="Y536" i="60" s="1"/>
  <c r="Y549" i="60" s="1"/>
  <c r="Y562" i="60" s="1"/>
  <c r="Y570" i="60" s="1"/>
  <c r="Y584" i="60" s="1"/>
  <c r="Y597" i="60" s="1"/>
  <c r="Y610" i="60" s="1"/>
  <c r="Y618" i="60" s="1"/>
  <c r="Y632" i="60" s="1"/>
  <c r="Y645" i="60" s="1"/>
  <c r="Y658" i="60" s="1"/>
  <c r="Z91" i="60"/>
  <c r="Z105" i="60" s="1"/>
  <c r="Z118" i="60" s="1"/>
  <c r="Z131" i="60" s="1"/>
  <c r="Z138" i="60" s="1"/>
  <c r="Z152" i="60" s="1"/>
  <c r="Z165" i="60" s="1"/>
  <c r="Z177" i="60" s="1"/>
  <c r="Z185" i="60" s="1"/>
  <c r="Z199" i="60" s="1"/>
  <c r="Z212" i="60" s="1"/>
  <c r="Z225" i="60" s="1"/>
  <c r="Z234" i="60" s="1"/>
  <c r="Z248" i="60" s="1"/>
  <c r="Z261" i="60" s="1"/>
  <c r="Z274" i="60" s="1"/>
  <c r="Z282" i="60" s="1"/>
  <c r="Z296" i="60" s="1"/>
  <c r="Z309" i="60" s="1"/>
  <c r="Z322" i="60" s="1"/>
  <c r="Z330" i="60" s="1"/>
  <c r="Z344" i="60" s="1"/>
  <c r="Z357" i="60" s="1"/>
  <c r="Z370" i="60" s="1"/>
  <c r="Z378" i="60" s="1"/>
  <c r="Z392" i="60" s="1"/>
  <c r="Z405" i="60" s="1"/>
  <c r="Z418" i="60" s="1"/>
  <c r="Z426" i="60" s="1"/>
  <c r="Z440" i="60" s="1"/>
  <c r="Z453" i="60" s="1"/>
  <c r="Z466" i="60" s="1"/>
  <c r="Z474" i="60" s="1"/>
  <c r="Z488" i="60" s="1"/>
  <c r="Z501" i="60" s="1"/>
  <c r="Z514" i="60" s="1"/>
  <c r="Z522" i="60" s="1"/>
  <c r="Z536" i="60" s="1"/>
  <c r="Z549" i="60" s="1"/>
  <c r="Z562" i="60" s="1"/>
  <c r="Z570" i="60" s="1"/>
  <c r="Z584" i="60" s="1"/>
  <c r="Z597" i="60" s="1"/>
  <c r="Z610" i="60" s="1"/>
  <c r="Z618" i="60" s="1"/>
  <c r="Z632" i="60" s="1"/>
  <c r="Z645" i="60" s="1"/>
  <c r="Z658" i="60" s="1"/>
  <c r="AA91" i="60"/>
  <c r="AA105" i="60" s="1"/>
  <c r="AA118" i="60" s="1"/>
  <c r="AA131" i="60" s="1"/>
  <c r="AA138" i="60" s="1"/>
  <c r="AA152" i="60" s="1"/>
  <c r="AA165" i="60" s="1"/>
  <c r="AA177" i="60" s="1"/>
  <c r="AA185" i="60" s="1"/>
  <c r="AA199" i="60" s="1"/>
  <c r="AA212" i="60" s="1"/>
  <c r="AA225" i="60" s="1"/>
  <c r="AA234" i="60" s="1"/>
  <c r="AA248" i="60" s="1"/>
  <c r="AA261" i="60" s="1"/>
  <c r="AA274" i="60" s="1"/>
  <c r="AA282" i="60" s="1"/>
  <c r="AA296" i="60" s="1"/>
  <c r="AA309" i="60" s="1"/>
  <c r="AA322" i="60" s="1"/>
  <c r="AA330" i="60" s="1"/>
  <c r="AA344" i="60" s="1"/>
  <c r="AA357" i="60" s="1"/>
  <c r="AA370" i="60" s="1"/>
  <c r="AA378" i="60" s="1"/>
  <c r="AA392" i="60" s="1"/>
  <c r="AA405" i="60" s="1"/>
  <c r="AA418" i="60" s="1"/>
  <c r="AA426" i="60" s="1"/>
  <c r="AA440" i="60" s="1"/>
  <c r="AA453" i="60" s="1"/>
  <c r="AA466" i="60" s="1"/>
  <c r="AA474" i="60" s="1"/>
  <c r="AA488" i="60" s="1"/>
  <c r="AA501" i="60" s="1"/>
  <c r="AA514" i="60" s="1"/>
  <c r="AA522" i="60" s="1"/>
  <c r="AA536" i="60" s="1"/>
  <c r="AA549" i="60" s="1"/>
  <c r="AA562" i="60" s="1"/>
  <c r="AA570" i="60" s="1"/>
  <c r="AA584" i="60" s="1"/>
  <c r="AA597" i="60" s="1"/>
  <c r="AA610" i="60" s="1"/>
  <c r="AA618" i="60" s="1"/>
  <c r="AA632" i="60" s="1"/>
  <c r="AA645" i="60" s="1"/>
  <c r="AA658" i="60" s="1"/>
  <c r="AB91" i="60"/>
  <c r="AB105" i="60" s="1"/>
  <c r="AB118" i="60" s="1"/>
  <c r="AB131" i="60" s="1"/>
  <c r="AB138" i="60" s="1"/>
  <c r="AB152" i="60" s="1"/>
  <c r="AB165" i="60" s="1"/>
  <c r="AB177" i="60" s="1"/>
  <c r="AB185" i="60" s="1"/>
  <c r="AB199" i="60" s="1"/>
  <c r="AB212" i="60" s="1"/>
  <c r="AB225" i="60" s="1"/>
  <c r="AB234" i="60" s="1"/>
  <c r="AB248" i="60" s="1"/>
  <c r="AB261" i="60" s="1"/>
  <c r="AB274" i="60" s="1"/>
  <c r="AB282" i="60" s="1"/>
  <c r="AB296" i="60" s="1"/>
  <c r="AB309" i="60" s="1"/>
  <c r="AB322" i="60" s="1"/>
  <c r="AB330" i="60" s="1"/>
  <c r="AB344" i="60" s="1"/>
  <c r="AB357" i="60" s="1"/>
  <c r="AB370" i="60" s="1"/>
  <c r="AB378" i="60" s="1"/>
  <c r="AB392" i="60" s="1"/>
  <c r="AB405" i="60" s="1"/>
  <c r="AB418" i="60" s="1"/>
  <c r="AB426" i="60" s="1"/>
  <c r="AB440" i="60" s="1"/>
  <c r="AB453" i="60" s="1"/>
  <c r="AB466" i="60" s="1"/>
  <c r="AB474" i="60" s="1"/>
  <c r="AB488" i="60" s="1"/>
  <c r="AB501" i="60" s="1"/>
  <c r="AB514" i="60" s="1"/>
  <c r="AB522" i="60" s="1"/>
  <c r="AB536" i="60" s="1"/>
  <c r="AB549" i="60" s="1"/>
  <c r="AB562" i="60" s="1"/>
  <c r="AB570" i="60" s="1"/>
  <c r="AB584" i="60" s="1"/>
  <c r="AB597" i="60" s="1"/>
  <c r="AB610" i="60" s="1"/>
  <c r="AB618" i="60" s="1"/>
  <c r="AB632" i="60" s="1"/>
  <c r="AB645" i="60" s="1"/>
  <c r="AB658" i="60" s="1"/>
  <c r="AC91" i="60"/>
  <c r="AC105" i="60" s="1"/>
  <c r="AC118" i="60" s="1"/>
  <c r="AC131" i="60" s="1"/>
  <c r="AC138" i="60" s="1"/>
  <c r="AC152" i="60" s="1"/>
  <c r="AC165" i="60" s="1"/>
  <c r="AC177" i="60" s="1"/>
  <c r="AC185" i="60" s="1"/>
  <c r="AC199" i="60" s="1"/>
  <c r="AC212" i="60" s="1"/>
  <c r="AC225" i="60" s="1"/>
  <c r="AC234" i="60" s="1"/>
  <c r="AC248" i="60" s="1"/>
  <c r="AC261" i="60" s="1"/>
  <c r="AC274" i="60" s="1"/>
  <c r="AC282" i="60" s="1"/>
  <c r="AC296" i="60" s="1"/>
  <c r="AC309" i="60" s="1"/>
  <c r="AC322" i="60" s="1"/>
  <c r="AC330" i="60" s="1"/>
  <c r="AC344" i="60" s="1"/>
  <c r="AC357" i="60" s="1"/>
  <c r="AC370" i="60" s="1"/>
  <c r="AC378" i="60" s="1"/>
  <c r="AC392" i="60" s="1"/>
  <c r="AC405" i="60" s="1"/>
  <c r="AC418" i="60" s="1"/>
  <c r="AC426" i="60" s="1"/>
  <c r="AC440" i="60" s="1"/>
  <c r="AC453" i="60" s="1"/>
  <c r="AC466" i="60" s="1"/>
  <c r="AC474" i="60" s="1"/>
  <c r="AC488" i="60" s="1"/>
  <c r="AC501" i="60" s="1"/>
  <c r="AC514" i="60" s="1"/>
  <c r="AC522" i="60" s="1"/>
  <c r="AC536" i="60" s="1"/>
  <c r="AC549" i="60" s="1"/>
  <c r="AC562" i="60" s="1"/>
  <c r="AC570" i="60" s="1"/>
  <c r="AC584" i="60" s="1"/>
  <c r="AC597" i="60" s="1"/>
  <c r="AC610" i="60" s="1"/>
  <c r="AC618" i="60" s="1"/>
  <c r="AC632" i="60" s="1"/>
  <c r="AC645" i="60" s="1"/>
  <c r="AC658" i="60" s="1"/>
  <c r="C91" i="60"/>
  <c r="C105" i="60" s="1"/>
  <c r="C118" i="60" s="1"/>
  <c r="C131" i="60" s="1"/>
  <c r="C138" i="60" s="1"/>
  <c r="C152" i="60" s="1"/>
  <c r="C165" i="60" s="1"/>
  <c r="C177" i="60" s="1"/>
  <c r="C185" i="60" s="1"/>
  <c r="C199" i="60" s="1"/>
  <c r="C212" i="60" s="1"/>
  <c r="C225" i="60" s="1"/>
  <c r="C234" i="60" s="1"/>
  <c r="C248" i="60" s="1"/>
  <c r="C261" i="60" s="1"/>
  <c r="C274" i="60" s="1"/>
  <c r="C282" i="60" s="1"/>
  <c r="C296" i="60" s="1"/>
  <c r="C309" i="60" s="1"/>
  <c r="C322" i="60" s="1"/>
  <c r="C330" i="60" s="1"/>
  <c r="C344" i="60" s="1"/>
  <c r="C357" i="60" s="1"/>
  <c r="C370" i="60" s="1"/>
  <c r="C378" i="60" s="1"/>
  <c r="C392" i="60" s="1"/>
  <c r="C405" i="60" s="1"/>
  <c r="C418" i="60" s="1"/>
  <c r="C426" i="60" s="1"/>
  <c r="C440" i="60" s="1"/>
  <c r="C453" i="60" s="1"/>
  <c r="C466" i="60" s="1"/>
  <c r="C474" i="60" s="1"/>
  <c r="C488" i="60" s="1"/>
  <c r="C501" i="60" s="1"/>
  <c r="C514" i="60" s="1"/>
  <c r="C522" i="60" s="1"/>
  <c r="C536" i="60" s="1"/>
  <c r="C549" i="60" s="1"/>
  <c r="C562" i="60" s="1"/>
  <c r="C570" i="60" s="1"/>
  <c r="C584" i="60" s="1"/>
  <c r="C597" i="60" s="1"/>
  <c r="C610" i="60" s="1"/>
  <c r="C618" i="60" s="1"/>
  <c r="C632" i="60" s="1"/>
  <c r="C645" i="60" s="1"/>
  <c r="C658" i="60" s="1"/>
  <c r="E99" i="60"/>
  <c r="F99" i="60"/>
  <c r="G99" i="60"/>
  <c r="H99" i="60"/>
  <c r="I99" i="60"/>
  <c r="J99" i="60"/>
  <c r="K99" i="60"/>
  <c r="L99" i="60"/>
  <c r="M99" i="60"/>
  <c r="N99" i="60"/>
  <c r="O99" i="60"/>
  <c r="P99" i="60"/>
  <c r="Q99" i="60"/>
  <c r="R99" i="60"/>
  <c r="S99" i="60"/>
  <c r="T99" i="60"/>
  <c r="U99" i="60"/>
  <c r="V99" i="60"/>
  <c r="W99" i="60"/>
  <c r="X99" i="60"/>
  <c r="Y99" i="60"/>
  <c r="Z99" i="60"/>
  <c r="AA99" i="60"/>
  <c r="AB99" i="60"/>
  <c r="AC99" i="60"/>
  <c r="E241" i="43"/>
  <c r="O241" i="43"/>
  <c r="V24" i="60" l="1"/>
  <c r="U25" i="60"/>
  <c r="U26" i="60"/>
  <c r="AA57" i="59"/>
  <c r="Z104" i="61" s="1"/>
  <c r="Q57" i="59"/>
  <c r="P104" i="61" s="1"/>
  <c r="H57" i="59"/>
  <c r="G104" i="61" s="1"/>
  <c r="Z57" i="59"/>
  <c r="Y104" i="61" s="1"/>
  <c r="O57" i="59"/>
  <c r="N104" i="61" s="1"/>
  <c r="M57" i="59"/>
  <c r="L104" i="61" s="1"/>
  <c r="P57" i="59"/>
  <c r="O104" i="61" s="1"/>
  <c r="K57" i="59"/>
  <c r="J104" i="61" s="1"/>
  <c r="W57" i="59"/>
  <c r="V104" i="61" s="1"/>
  <c r="N57" i="59"/>
  <c r="M104" i="61" s="1"/>
  <c r="F57" i="59"/>
  <c r="E104" i="61" s="1"/>
  <c r="U57" i="59"/>
  <c r="T104" i="61" s="1"/>
  <c r="X57" i="59"/>
  <c r="W104" i="61" s="1"/>
  <c r="J57" i="59"/>
  <c r="I104" i="61" s="1"/>
  <c r="L57" i="59"/>
  <c r="K104" i="61" s="1"/>
  <c r="Y57" i="59"/>
  <c r="X104" i="61" s="1"/>
  <c r="T57" i="59"/>
  <c r="S104" i="61" s="1"/>
  <c r="S57" i="59"/>
  <c r="R104" i="61" s="1"/>
  <c r="I57" i="59"/>
  <c r="H104" i="61" s="1"/>
  <c r="AD57" i="59"/>
  <c r="AC104" i="61" s="1"/>
  <c r="AB57" i="59"/>
  <c r="AA104" i="61" s="1"/>
  <c r="V57" i="59"/>
  <c r="U104" i="61" s="1"/>
  <c r="AC57" i="59"/>
  <c r="AB104" i="61" s="1"/>
  <c r="R57" i="59"/>
  <c r="Q104" i="61" s="1"/>
  <c r="G57" i="59"/>
  <c r="F104" i="61" s="1"/>
  <c r="AE57" i="59"/>
  <c r="AD104" i="61" s="1"/>
  <c r="S25" i="58"/>
  <c r="R113" i="61"/>
  <c r="Z85" i="61"/>
  <c r="Y83" i="61"/>
  <c r="X112" i="61"/>
  <c r="O448" i="60"/>
  <c r="F352" i="60"/>
  <c r="AC592" i="60"/>
  <c r="Y400" i="60"/>
  <c r="U611" i="60"/>
  <c r="U612" i="60" s="1"/>
  <c r="V18" i="60" s="1"/>
  <c r="V51" i="60" s="1"/>
  <c r="C351" i="60"/>
  <c r="D400" i="60"/>
  <c r="G640" i="60"/>
  <c r="S640" i="60"/>
  <c r="X563" i="60"/>
  <c r="X564" i="60" s="1"/>
  <c r="Y17" i="60" s="1"/>
  <c r="Y50" i="60" s="1"/>
  <c r="L544" i="60"/>
  <c r="M352" i="60"/>
  <c r="E611" i="60"/>
  <c r="E612" i="60" s="1"/>
  <c r="F18" i="60" s="1"/>
  <c r="F51" i="60" s="1"/>
  <c r="T400" i="60"/>
  <c r="AA611" i="60"/>
  <c r="AA612" i="60" s="1"/>
  <c r="AB18" i="60" s="1"/>
  <c r="AB51" i="60" s="1"/>
  <c r="D640" i="60"/>
  <c r="E659" i="60"/>
  <c r="E660" i="60" s="1"/>
  <c r="F19" i="60" s="1"/>
  <c r="F52" i="60" s="1"/>
  <c r="E419" i="60"/>
  <c r="E420" i="60" s="1"/>
  <c r="F14" i="60" s="1"/>
  <c r="F47" i="60" s="1"/>
  <c r="J400" i="60"/>
  <c r="M419" i="60"/>
  <c r="M420" i="60" s="1"/>
  <c r="N14" i="60" s="1"/>
  <c r="N47" i="60" s="1"/>
  <c r="P467" i="60"/>
  <c r="P468" i="60" s="1"/>
  <c r="Q15" i="60" s="1"/>
  <c r="Q48" i="60" s="1"/>
  <c r="AA400" i="60"/>
  <c r="H400" i="60"/>
  <c r="M592" i="60"/>
  <c r="H592" i="60"/>
  <c r="V611" i="60"/>
  <c r="V612" i="60" s="1"/>
  <c r="W18" i="60" s="1"/>
  <c r="W51" i="60" s="1"/>
  <c r="R275" i="60"/>
  <c r="R276" i="60" s="1"/>
  <c r="S11" i="60" s="1"/>
  <c r="S44" i="60" s="1"/>
  <c r="P275" i="60"/>
  <c r="P276" i="60" s="1"/>
  <c r="Q11" i="60" s="1"/>
  <c r="Q44" i="60" s="1"/>
  <c r="I352" i="60"/>
  <c r="AB544" i="60"/>
  <c r="L659" i="60"/>
  <c r="L660" i="60" s="1"/>
  <c r="M19" i="60" s="1"/>
  <c r="M52" i="60" s="1"/>
  <c r="Q448" i="60"/>
  <c r="F304" i="60"/>
  <c r="R323" i="60"/>
  <c r="R324" i="60" s="1"/>
  <c r="S12" i="60" s="1"/>
  <c r="S45" i="60" s="1"/>
  <c r="Z496" i="60"/>
  <c r="AB563" i="60"/>
  <c r="AB564" i="60" s="1"/>
  <c r="AC17" i="60" s="1"/>
  <c r="AC50" i="60" s="1"/>
  <c r="G419" i="60"/>
  <c r="G420" i="60" s="1"/>
  <c r="H14" i="60" s="1"/>
  <c r="H47" i="60" s="1"/>
  <c r="K448" i="60"/>
  <c r="I592" i="60"/>
  <c r="AB419" i="60"/>
  <c r="AB420" i="60" s="1"/>
  <c r="AC14" i="60" s="1"/>
  <c r="AC47" i="60" s="1"/>
  <c r="Z400" i="60"/>
  <c r="T419" i="60"/>
  <c r="T420" i="60" s="1"/>
  <c r="U14" i="60" s="1"/>
  <c r="U47" i="60" s="1"/>
  <c r="H640" i="60"/>
  <c r="AA592" i="60"/>
  <c r="O611" i="60"/>
  <c r="O612" i="60" s="1"/>
  <c r="P18" i="60" s="1"/>
  <c r="P51" i="60" s="1"/>
  <c r="K640" i="60"/>
  <c r="J640" i="60"/>
  <c r="E467" i="60"/>
  <c r="E468" i="60" s="1"/>
  <c r="F15" i="60" s="1"/>
  <c r="F48" i="60" s="1"/>
  <c r="L400" i="60"/>
  <c r="J611" i="60"/>
  <c r="J612" i="60" s="1"/>
  <c r="K18" i="60" s="1"/>
  <c r="K51" i="60" s="1"/>
  <c r="R611" i="60"/>
  <c r="R612" i="60" s="1"/>
  <c r="S18" i="60" s="1"/>
  <c r="S51" i="60" s="1"/>
  <c r="P400" i="60"/>
  <c r="W400" i="60"/>
  <c r="N515" i="60"/>
  <c r="N516" i="60" s="1"/>
  <c r="O16" i="60" s="1"/>
  <c r="O49" i="60" s="1"/>
  <c r="K515" i="60"/>
  <c r="K516" i="60" s="1"/>
  <c r="L16" i="60" s="1"/>
  <c r="L49" i="60" s="1"/>
  <c r="F640" i="60"/>
  <c r="E400" i="60"/>
  <c r="P448" i="60"/>
  <c r="AB352" i="60"/>
  <c r="G352" i="60"/>
  <c r="E496" i="60"/>
  <c r="H515" i="60"/>
  <c r="H516" i="60" s="1"/>
  <c r="I16" i="60" s="1"/>
  <c r="I49" i="60" s="1"/>
  <c r="R515" i="60"/>
  <c r="R516" i="60" s="1"/>
  <c r="S16" i="60" s="1"/>
  <c r="S49" i="60" s="1"/>
  <c r="T659" i="60"/>
  <c r="T660" i="60" s="1"/>
  <c r="U19" i="60" s="1"/>
  <c r="U52" i="60" s="1"/>
  <c r="N592" i="60"/>
  <c r="X611" i="60"/>
  <c r="X612" i="60" s="1"/>
  <c r="Y18" i="60" s="1"/>
  <c r="Y51" i="60" s="1"/>
  <c r="X659" i="60"/>
  <c r="X660" i="60" s="1"/>
  <c r="Y19" i="60" s="1"/>
  <c r="Y52" i="60" s="1"/>
  <c r="K611" i="60"/>
  <c r="K612" i="60" s="1"/>
  <c r="L18" i="60" s="1"/>
  <c r="L51" i="60" s="1"/>
  <c r="AC448" i="60"/>
  <c r="Q419" i="60"/>
  <c r="Q420" i="60" s="1"/>
  <c r="R14" i="60" s="1"/>
  <c r="R47" i="60" s="1"/>
  <c r="AC419" i="60"/>
  <c r="AC420" i="60" s="1"/>
  <c r="AD14" i="60" s="1"/>
  <c r="AD47" i="60" s="1"/>
  <c r="X304" i="60"/>
  <c r="S323" i="60"/>
  <c r="S324" i="60" s="1"/>
  <c r="T12" i="60" s="1"/>
  <c r="T45" i="60" s="1"/>
  <c r="AB400" i="60"/>
  <c r="J419" i="60"/>
  <c r="J420" i="60" s="1"/>
  <c r="K14" i="60" s="1"/>
  <c r="K47" i="60" s="1"/>
  <c r="T496" i="60"/>
  <c r="R592" i="60"/>
  <c r="AB640" i="60"/>
  <c r="S611" i="60"/>
  <c r="S612" i="60" s="1"/>
  <c r="T18" i="60" s="1"/>
  <c r="T51" i="60" s="1"/>
  <c r="V592" i="60"/>
  <c r="P640" i="60"/>
  <c r="G592" i="60"/>
  <c r="M640" i="60"/>
  <c r="E448" i="60"/>
  <c r="V400" i="60"/>
  <c r="L352" i="60"/>
  <c r="AA323" i="60"/>
  <c r="AA324" i="60" s="1"/>
  <c r="AB12" i="60" s="1"/>
  <c r="AB45" i="60" s="1"/>
  <c r="Z323" i="60"/>
  <c r="Z324" i="60" s="1"/>
  <c r="AA12" i="60" s="1"/>
  <c r="AA45" i="60" s="1"/>
  <c r="Y304" i="60"/>
  <c r="V563" i="60"/>
  <c r="V564" i="60" s="1"/>
  <c r="W17" i="60" s="1"/>
  <c r="W50" i="60" s="1"/>
  <c r="Y544" i="60"/>
  <c r="N563" i="60"/>
  <c r="N564" i="60" s="1"/>
  <c r="O17" i="60" s="1"/>
  <c r="O50" i="60" s="1"/>
  <c r="T563" i="60"/>
  <c r="T564" i="60" s="1"/>
  <c r="U17" i="60" s="1"/>
  <c r="U50" i="60" s="1"/>
  <c r="Z659" i="60"/>
  <c r="Z660" i="60" s="1"/>
  <c r="AA19" i="60" s="1"/>
  <c r="AA52" i="60" s="1"/>
  <c r="X400" i="60"/>
  <c r="R419" i="60"/>
  <c r="R420" i="60" s="1"/>
  <c r="S14" i="60" s="1"/>
  <c r="S47" i="60" s="1"/>
  <c r="H323" i="60"/>
  <c r="H324" i="60" s="1"/>
  <c r="I12" i="60" s="1"/>
  <c r="I45" i="60" s="1"/>
  <c r="C345" i="60"/>
  <c r="AB371" i="60"/>
  <c r="AB372" i="60" s="1"/>
  <c r="AC13" i="60" s="1"/>
  <c r="AC46" i="60" s="1"/>
  <c r="Q352" i="60"/>
  <c r="Z419" i="60"/>
  <c r="Z420" i="60" s="1"/>
  <c r="AA14" i="60" s="1"/>
  <c r="AA47" i="60" s="1"/>
  <c r="AC563" i="60"/>
  <c r="AC564" i="60" s="1"/>
  <c r="AD17" i="60" s="1"/>
  <c r="AD50" i="60" s="1"/>
  <c r="D544" i="60"/>
  <c r="M563" i="60"/>
  <c r="M564" i="60" s="1"/>
  <c r="N17" i="60" s="1"/>
  <c r="N50" i="60" s="1"/>
  <c r="AA544" i="60"/>
  <c r="O544" i="60"/>
  <c r="P544" i="60"/>
  <c r="E544" i="60"/>
  <c r="T592" i="60"/>
  <c r="N640" i="60"/>
  <c r="F592" i="60"/>
  <c r="R640" i="60"/>
  <c r="Z448" i="60"/>
  <c r="J323" i="60"/>
  <c r="J324" i="60" s="1"/>
  <c r="K12" i="60" s="1"/>
  <c r="K45" i="60" s="1"/>
  <c r="T275" i="60"/>
  <c r="T276" i="60" s="1"/>
  <c r="U11" i="60" s="1"/>
  <c r="U44" i="60" s="1"/>
  <c r="Y352" i="60"/>
  <c r="N352" i="60"/>
  <c r="G400" i="60"/>
  <c r="Z563" i="60"/>
  <c r="Z564" i="60" s="1"/>
  <c r="AA17" i="60" s="1"/>
  <c r="AA50" i="60" s="1"/>
  <c r="J563" i="60"/>
  <c r="J564" i="60" s="1"/>
  <c r="K17" i="60" s="1"/>
  <c r="K50" i="60" s="1"/>
  <c r="E592" i="60"/>
  <c r="E640" i="60"/>
  <c r="AA640" i="60"/>
  <c r="M611" i="60"/>
  <c r="M612" i="60" s="1"/>
  <c r="N18" i="60" s="1"/>
  <c r="N51" i="60" s="1"/>
  <c r="W592" i="60"/>
  <c r="S419" i="60"/>
  <c r="S420" i="60" s="1"/>
  <c r="T14" i="60" s="1"/>
  <c r="T47" i="60" s="1"/>
  <c r="T448" i="60"/>
  <c r="I611" i="60"/>
  <c r="I612" i="60" s="1"/>
  <c r="J18" i="60" s="1"/>
  <c r="J51" i="60" s="1"/>
  <c r="J515" i="60"/>
  <c r="J516" i="60" s="1"/>
  <c r="K16" i="60" s="1"/>
  <c r="K49" i="60" s="1"/>
  <c r="C589" i="60"/>
  <c r="Z352" i="60"/>
  <c r="E352" i="60"/>
  <c r="S371" i="60"/>
  <c r="S372" i="60" s="1"/>
  <c r="T13" i="60" s="1"/>
  <c r="T46" i="60" s="1"/>
  <c r="H352" i="60"/>
  <c r="Q467" i="60"/>
  <c r="Q468" i="60" s="1"/>
  <c r="R15" i="60" s="1"/>
  <c r="R48" i="60" s="1"/>
  <c r="D515" i="60"/>
  <c r="D516" i="60" s="1"/>
  <c r="E16" i="60" s="1"/>
  <c r="E49" i="60" s="1"/>
  <c r="G563" i="60"/>
  <c r="G564" i="60" s="1"/>
  <c r="H17" i="60" s="1"/>
  <c r="H50" i="60" s="1"/>
  <c r="M659" i="60"/>
  <c r="M660" i="60" s="1"/>
  <c r="N19" i="60" s="1"/>
  <c r="N52" i="60" s="1"/>
  <c r="H611" i="60"/>
  <c r="H612" i="60" s="1"/>
  <c r="I18" i="60" s="1"/>
  <c r="I51" i="60" s="1"/>
  <c r="T611" i="60"/>
  <c r="T612" i="60" s="1"/>
  <c r="U18" i="60" s="1"/>
  <c r="U51" i="60" s="1"/>
  <c r="D592" i="60"/>
  <c r="D659" i="60"/>
  <c r="D660" i="60" s="1"/>
  <c r="E19" i="60" s="1"/>
  <c r="E52" i="60" s="1"/>
  <c r="U592" i="60"/>
  <c r="O640" i="60"/>
  <c r="Q659" i="60"/>
  <c r="Q660" i="60" s="1"/>
  <c r="R19" i="60" s="1"/>
  <c r="R52" i="60" s="1"/>
  <c r="W419" i="60"/>
  <c r="W420" i="60" s="1"/>
  <c r="X14" i="60" s="1"/>
  <c r="X47" i="60" s="1"/>
  <c r="Q400" i="60"/>
  <c r="C587" i="60"/>
  <c r="M371" i="60"/>
  <c r="M372" i="60" s="1"/>
  <c r="N13" i="60" s="1"/>
  <c r="N46" i="60" s="1"/>
  <c r="Q371" i="60"/>
  <c r="Q372" i="60" s="1"/>
  <c r="R13" i="60" s="1"/>
  <c r="R46" i="60" s="1"/>
  <c r="J275" i="60"/>
  <c r="J276" i="60" s="1"/>
  <c r="K11" i="60" s="1"/>
  <c r="K44" i="60" s="1"/>
  <c r="S275" i="60"/>
  <c r="S276" i="60" s="1"/>
  <c r="T11" i="60" s="1"/>
  <c r="T44" i="60" s="1"/>
  <c r="X371" i="60"/>
  <c r="X372" i="60" s="1"/>
  <c r="Y13" i="60" s="1"/>
  <c r="Y46" i="60" s="1"/>
  <c r="M400" i="60"/>
  <c r="D563" i="60"/>
  <c r="D564" i="60" s="1"/>
  <c r="E17" i="60" s="1"/>
  <c r="E50" i="60" s="1"/>
  <c r="U659" i="60"/>
  <c r="U660" i="60" s="1"/>
  <c r="V19" i="60" s="1"/>
  <c r="V52" i="60" s="1"/>
  <c r="P611" i="60"/>
  <c r="P612" i="60" s="1"/>
  <c r="Q18" i="60" s="1"/>
  <c r="Q51" i="60" s="1"/>
  <c r="AB611" i="60"/>
  <c r="AB612" i="60" s="1"/>
  <c r="AC18" i="60" s="1"/>
  <c r="AC51" i="60" s="1"/>
  <c r="L592" i="60"/>
  <c r="L640" i="60"/>
  <c r="V640" i="60"/>
  <c r="J659" i="60"/>
  <c r="J660" i="60" s="1"/>
  <c r="K19" i="60" s="1"/>
  <c r="K52" i="60" s="1"/>
  <c r="Y611" i="60"/>
  <c r="Y612" i="60" s="1"/>
  <c r="Z18" i="60" s="1"/>
  <c r="Z51" i="60" s="1"/>
  <c r="Z611" i="60"/>
  <c r="Z612" i="60" s="1"/>
  <c r="AA18" i="60" s="1"/>
  <c r="AA51" i="60" s="1"/>
  <c r="S563" i="60"/>
  <c r="S564" i="60" s="1"/>
  <c r="T17" i="60" s="1"/>
  <c r="T50" i="60" s="1"/>
  <c r="I448" i="60"/>
  <c r="Y419" i="60"/>
  <c r="Y420" i="60" s="1"/>
  <c r="Z14" i="60" s="1"/>
  <c r="Z47" i="60" s="1"/>
  <c r="K419" i="60"/>
  <c r="K420" i="60" s="1"/>
  <c r="L14" i="60" s="1"/>
  <c r="L47" i="60" s="1"/>
  <c r="I419" i="60"/>
  <c r="I420" i="60" s="1"/>
  <c r="J14" i="60" s="1"/>
  <c r="J47" i="60" s="1"/>
  <c r="U419" i="60"/>
  <c r="U420" i="60" s="1"/>
  <c r="V14" i="60" s="1"/>
  <c r="V47" i="60" s="1"/>
  <c r="O419" i="60"/>
  <c r="O420" i="60" s="1"/>
  <c r="P14" i="60" s="1"/>
  <c r="P47" i="60" s="1"/>
  <c r="Q611" i="60"/>
  <c r="Q612" i="60" s="1"/>
  <c r="R18" i="60" s="1"/>
  <c r="R51" i="60" s="1"/>
  <c r="AB448" i="60"/>
  <c r="F156" i="60"/>
  <c r="F161" i="59"/>
  <c r="H53" i="59" s="1"/>
  <c r="V156" i="60"/>
  <c r="V161" i="59"/>
  <c r="X53" i="59" s="1"/>
  <c r="G156" i="60"/>
  <c r="G161" i="59"/>
  <c r="I53" i="59" s="1"/>
  <c r="Q275" i="60"/>
  <c r="Q276" i="60" s="1"/>
  <c r="R11" i="60" s="1"/>
  <c r="R44" i="60" s="1"/>
  <c r="N496" i="60"/>
  <c r="G659" i="60"/>
  <c r="G660" i="60" s="1"/>
  <c r="H19" i="60" s="1"/>
  <c r="H52" i="60" s="1"/>
  <c r="D155" i="60"/>
  <c r="D161" i="59"/>
  <c r="F53" i="59" s="1"/>
  <c r="L154" i="60"/>
  <c r="L161" i="59"/>
  <c r="N53" i="59" s="1"/>
  <c r="T154" i="60"/>
  <c r="T161" i="59"/>
  <c r="V53" i="59" s="1"/>
  <c r="AB154" i="60"/>
  <c r="AB161" i="59"/>
  <c r="AD53" i="59" s="1"/>
  <c r="N304" i="60"/>
  <c r="Z371" i="60"/>
  <c r="Z372" i="60" s="1"/>
  <c r="AA13" i="60" s="1"/>
  <c r="AA46" i="60" s="1"/>
  <c r="V352" i="60"/>
  <c r="R352" i="60"/>
  <c r="G371" i="60"/>
  <c r="G372" i="60" s="1"/>
  <c r="H13" i="60" s="1"/>
  <c r="H46" i="60" s="1"/>
  <c r="U400" i="60"/>
  <c r="S400" i="60"/>
  <c r="H419" i="60"/>
  <c r="H420" i="60" s="1"/>
  <c r="I14" i="60" s="1"/>
  <c r="I47" i="60" s="1"/>
  <c r="G515" i="60"/>
  <c r="G516" i="60" s="1"/>
  <c r="O496" i="60"/>
  <c r="X515" i="60"/>
  <c r="X516" i="60" s="1"/>
  <c r="Y16" i="60" s="1"/>
  <c r="Y49" i="60" s="1"/>
  <c r="AC515" i="60"/>
  <c r="AC516" i="60" s="1"/>
  <c r="AD16" i="60" s="1"/>
  <c r="AD49" i="60" s="1"/>
  <c r="V544" i="60"/>
  <c r="X592" i="60"/>
  <c r="L611" i="60"/>
  <c r="L612" i="60" s="1"/>
  <c r="M18" i="60" s="1"/>
  <c r="M51" i="60" s="1"/>
  <c r="Y592" i="60"/>
  <c r="G611" i="60"/>
  <c r="G612" i="60" s="1"/>
  <c r="H18" i="60" s="1"/>
  <c r="H51" i="60" s="1"/>
  <c r="Z640" i="60"/>
  <c r="T640" i="60"/>
  <c r="H659" i="60"/>
  <c r="H660" i="60" s="1"/>
  <c r="I19" i="60" s="1"/>
  <c r="I52" i="60" s="1"/>
  <c r="S659" i="60"/>
  <c r="S660" i="60" s="1"/>
  <c r="T19" i="60" s="1"/>
  <c r="T52" i="60" s="1"/>
  <c r="R659" i="60"/>
  <c r="R660" i="60" s="1"/>
  <c r="S19" i="60" s="1"/>
  <c r="S52" i="60" s="1"/>
  <c r="N156" i="60"/>
  <c r="N161" i="59"/>
  <c r="P53" i="59" s="1"/>
  <c r="Q323" i="60"/>
  <c r="Q324" i="60" s="1"/>
  <c r="R12" i="60" s="1"/>
  <c r="R45" i="60" s="1"/>
  <c r="P419" i="60"/>
  <c r="P420" i="60" s="1"/>
  <c r="Q14" i="60" s="1"/>
  <c r="Q47" i="60" s="1"/>
  <c r="E153" i="60"/>
  <c r="E161" i="59"/>
  <c r="G53" i="59" s="1"/>
  <c r="M153" i="60"/>
  <c r="M161" i="59"/>
  <c r="O53" i="59" s="1"/>
  <c r="U153" i="60"/>
  <c r="U161" i="59"/>
  <c r="W53" i="59" s="1"/>
  <c r="AC153" i="60"/>
  <c r="AC161" i="59"/>
  <c r="AE53" i="59" s="1"/>
  <c r="AA275" i="60"/>
  <c r="AA276" i="60" s="1"/>
  <c r="AB11" i="60" s="1"/>
  <c r="AB44" i="60" s="1"/>
  <c r="AB275" i="60"/>
  <c r="AB276" i="60" s="1"/>
  <c r="AC11" i="60" s="1"/>
  <c r="AC44" i="60" s="1"/>
  <c r="V323" i="60"/>
  <c r="V324" i="60" s="1"/>
  <c r="W12" i="60" s="1"/>
  <c r="W45" i="60" s="1"/>
  <c r="K323" i="60"/>
  <c r="K324" i="60" s="1"/>
  <c r="L12" i="60" s="1"/>
  <c r="L45" i="60" s="1"/>
  <c r="X352" i="60"/>
  <c r="C349" i="60"/>
  <c r="Y371" i="60"/>
  <c r="Y372" i="60" s="1"/>
  <c r="Z13" i="60" s="1"/>
  <c r="Z46" i="60" s="1"/>
  <c r="K400" i="60"/>
  <c r="N166" i="59"/>
  <c r="P58" i="59" s="1"/>
  <c r="N395" i="60"/>
  <c r="N399" i="60"/>
  <c r="N396" i="60"/>
  <c r="N393" i="60"/>
  <c r="N394" i="60"/>
  <c r="N398" i="60"/>
  <c r="N397" i="60"/>
  <c r="AA419" i="60"/>
  <c r="AA420" i="60" s="1"/>
  <c r="AB14" i="60" s="1"/>
  <c r="AB47" i="60" s="1"/>
  <c r="D496" i="60"/>
  <c r="O515" i="60"/>
  <c r="O516" i="60" s="1"/>
  <c r="P16" i="60" s="1"/>
  <c r="P49" i="60" s="1"/>
  <c r="W496" i="60"/>
  <c r="AC544" i="60"/>
  <c r="U563" i="60"/>
  <c r="U564" i="60" s="1"/>
  <c r="V17" i="60" s="1"/>
  <c r="V50" i="60" s="1"/>
  <c r="X544" i="60"/>
  <c r="S544" i="60"/>
  <c r="H563" i="60"/>
  <c r="H564" i="60" s="1"/>
  <c r="I17" i="60" s="1"/>
  <c r="I50" i="60" s="1"/>
  <c r="L563" i="60"/>
  <c r="L564" i="60" s="1"/>
  <c r="M17" i="60" s="1"/>
  <c r="M50" i="60" s="1"/>
  <c r="Z544" i="60"/>
  <c r="P592" i="60"/>
  <c r="S592" i="60"/>
  <c r="D611" i="60"/>
  <c r="D612" i="60" s="1"/>
  <c r="E18" i="60" s="1"/>
  <c r="E51" i="60" s="1"/>
  <c r="Q592" i="60"/>
  <c r="J592" i="60"/>
  <c r="P659" i="60"/>
  <c r="P660" i="60" s="1"/>
  <c r="Q19" i="60" s="1"/>
  <c r="Q52" i="60" s="1"/>
  <c r="AA659" i="60"/>
  <c r="AA660" i="60" s="1"/>
  <c r="AB19" i="60" s="1"/>
  <c r="AB52" i="60" s="1"/>
  <c r="C590" i="60"/>
  <c r="E275" i="60"/>
  <c r="E276" i="60" s="1"/>
  <c r="F11" i="60" s="1"/>
  <c r="F44" i="60" s="1"/>
  <c r="W156" i="60"/>
  <c r="W161" i="59"/>
  <c r="Y53" i="59" s="1"/>
  <c r="AC323" i="60"/>
  <c r="AC324" i="60" s="1"/>
  <c r="AD12" i="60" s="1"/>
  <c r="AD45" i="60" s="1"/>
  <c r="O400" i="60"/>
  <c r="Q640" i="60"/>
  <c r="C638" i="60"/>
  <c r="C635" i="60"/>
  <c r="H153" i="60"/>
  <c r="H161" i="59"/>
  <c r="J53" i="59" s="1"/>
  <c r="P153" i="60"/>
  <c r="P161" i="59"/>
  <c r="R53" i="59" s="1"/>
  <c r="X153" i="60"/>
  <c r="X161" i="59"/>
  <c r="Z53" i="59" s="1"/>
  <c r="Y275" i="60"/>
  <c r="Y276" i="60" s="1"/>
  <c r="Z11" i="60" s="1"/>
  <c r="Z44" i="60" s="1"/>
  <c r="N275" i="60"/>
  <c r="N276" i="60" s="1"/>
  <c r="O11" i="60" s="1"/>
  <c r="O44" i="60" s="1"/>
  <c r="Z275" i="60"/>
  <c r="Z276" i="60" s="1"/>
  <c r="AA11" i="60" s="1"/>
  <c r="AA44" i="60" s="1"/>
  <c r="W275" i="60"/>
  <c r="W276" i="60" s="1"/>
  <c r="X11" i="60" s="1"/>
  <c r="X44" i="60" s="1"/>
  <c r="I275" i="60"/>
  <c r="I276" i="60" s="1"/>
  <c r="J11" i="60" s="1"/>
  <c r="J44" i="60" s="1"/>
  <c r="X275" i="60"/>
  <c r="X276" i="60" s="1"/>
  <c r="Y11" i="60" s="1"/>
  <c r="Y44" i="60" s="1"/>
  <c r="T323" i="60"/>
  <c r="T324" i="60" s="1"/>
  <c r="U12" i="60" s="1"/>
  <c r="U45" i="60" s="1"/>
  <c r="Y323" i="60"/>
  <c r="Y324" i="60" s="1"/>
  <c r="Z12" i="60" s="1"/>
  <c r="Z45" i="60" s="1"/>
  <c r="C347" i="60"/>
  <c r="K371" i="60"/>
  <c r="K372" i="60" s="1"/>
  <c r="L13" i="60" s="1"/>
  <c r="L46" i="60" s="1"/>
  <c r="I400" i="60"/>
  <c r="L419" i="60"/>
  <c r="L420" i="60" s="1"/>
  <c r="M14" i="60" s="1"/>
  <c r="M47" i="60" s="1"/>
  <c r="X419" i="60"/>
  <c r="X420" i="60" s="1"/>
  <c r="Y14" i="60" s="1"/>
  <c r="Y47" i="60" s="1"/>
  <c r="C167" i="59"/>
  <c r="C447" i="60"/>
  <c r="C441" i="60"/>
  <c r="C442" i="60"/>
  <c r="C444" i="60"/>
  <c r="L515" i="60"/>
  <c r="L516" i="60" s="1"/>
  <c r="M16" i="60" s="1"/>
  <c r="M49" i="60" s="1"/>
  <c r="Q496" i="60"/>
  <c r="M515" i="60"/>
  <c r="M516" i="60" s="1"/>
  <c r="N16" i="60" s="1"/>
  <c r="N49" i="60" s="1"/>
  <c r="AA515" i="60"/>
  <c r="AA516" i="60" s="1"/>
  <c r="AB16" i="60" s="1"/>
  <c r="AB49" i="60" s="1"/>
  <c r="T544" i="60"/>
  <c r="I544" i="60"/>
  <c r="Q563" i="60"/>
  <c r="Q564" i="60" s="1"/>
  <c r="R17" i="60" s="1"/>
  <c r="R50" i="60" s="1"/>
  <c r="F563" i="60"/>
  <c r="F564" i="60" s="1"/>
  <c r="G17" i="60" s="1"/>
  <c r="G50" i="60" s="1"/>
  <c r="R563" i="60"/>
  <c r="R564" i="60" s="1"/>
  <c r="S17" i="60" s="1"/>
  <c r="S50" i="60" s="1"/>
  <c r="AA563" i="60"/>
  <c r="AA564" i="60" s="1"/>
  <c r="AB17" i="60" s="1"/>
  <c r="AB50" i="60" s="1"/>
  <c r="E563" i="60"/>
  <c r="E564" i="60" s="1"/>
  <c r="F17" i="60" s="1"/>
  <c r="F50" i="60" s="1"/>
  <c r="N544" i="60"/>
  <c r="AB592" i="60"/>
  <c r="F611" i="60"/>
  <c r="F612" i="60" s="1"/>
  <c r="G18" i="60" s="1"/>
  <c r="G51" i="60" s="1"/>
  <c r="F659" i="60"/>
  <c r="F660" i="60" s="1"/>
  <c r="G19" i="60" s="1"/>
  <c r="G52" i="60" s="1"/>
  <c r="O659" i="60"/>
  <c r="O660" i="60" s="1"/>
  <c r="P19" i="60" s="1"/>
  <c r="P52" i="60" s="1"/>
  <c r="AB659" i="60"/>
  <c r="AB660" i="60" s="1"/>
  <c r="AC19" i="60" s="1"/>
  <c r="AC52" i="60" s="1"/>
  <c r="C633" i="60"/>
  <c r="C446" i="60"/>
  <c r="K544" i="60"/>
  <c r="O156" i="60"/>
  <c r="O161" i="59"/>
  <c r="Q53" i="59" s="1"/>
  <c r="F275" i="60"/>
  <c r="F276" i="60" s="1"/>
  <c r="G11" i="60" s="1"/>
  <c r="G44" i="60" s="1"/>
  <c r="C169" i="59"/>
  <c r="C538" i="60"/>
  <c r="N611" i="60"/>
  <c r="N612" i="60" s="1"/>
  <c r="O18" i="60" s="1"/>
  <c r="O51" i="60" s="1"/>
  <c r="C639" i="60"/>
  <c r="I155" i="60"/>
  <c r="I161" i="59"/>
  <c r="K53" i="59" s="1"/>
  <c r="Q155" i="60"/>
  <c r="Q161" i="59"/>
  <c r="S53" i="59" s="1"/>
  <c r="Y155" i="60"/>
  <c r="Y161" i="59"/>
  <c r="AA53" i="59" s="1"/>
  <c r="V275" i="60"/>
  <c r="V276" i="60" s="1"/>
  <c r="W11" i="60" s="1"/>
  <c r="W44" i="60" s="1"/>
  <c r="P323" i="60"/>
  <c r="P324" i="60" s="1"/>
  <c r="Q12" i="60" s="1"/>
  <c r="Q45" i="60" s="1"/>
  <c r="C346" i="60"/>
  <c r="S352" i="60"/>
  <c r="U352" i="60"/>
  <c r="I371" i="60"/>
  <c r="I372" i="60" s="1"/>
  <c r="J13" i="60" s="1"/>
  <c r="J46" i="60" s="1"/>
  <c r="O352" i="60"/>
  <c r="D419" i="60"/>
  <c r="D420" i="60" s="1"/>
  <c r="E14" i="60" s="1"/>
  <c r="E47" i="60" s="1"/>
  <c r="V167" i="59"/>
  <c r="X59" i="59" s="1"/>
  <c r="V444" i="60"/>
  <c r="V442" i="60"/>
  <c r="V445" i="60"/>
  <c r="V447" i="60"/>
  <c r="V441" i="60"/>
  <c r="V448" i="60" s="1"/>
  <c r="V446" i="60"/>
  <c r="V443" i="60"/>
  <c r="T515" i="60"/>
  <c r="T516" i="60" s="1"/>
  <c r="U16" i="60" s="1"/>
  <c r="U49" i="60" s="1"/>
  <c r="Z515" i="60"/>
  <c r="Z516" i="60" s="1"/>
  <c r="AA16" i="60" s="1"/>
  <c r="AA49" i="60" s="1"/>
  <c r="U515" i="60"/>
  <c r="U516" i="60" s="1"/>
  <c r="V16" i="60" s="1"/>
  <c r="V49" i="60" s="1"/>
  <c r="Y515" i="60"/>
  <c r="Y516" i="60" s="1"/>
  <c r="Z16" i="60" s="1"/>
  <c r="Z49" i="60" s="1"/>
  <c r="K496" i="60"/>
  <c r="J544" i="60"/>
  <c r="Z592" i="60"/>
  <c r="U640" i="60"/>
  <c r="X640" i="60"/>
  <c r="N659" i="60"/>
  <c r="N660" i="60" s="1"/>
  <c r="O19" i="60" s="1"/>
  <c r="O52" i="60" s="1"/>
  <c r="C540" i="60"/>
  <c r="C539" i="60"/>
  <c r="C543" i="60"/>
  <c r="C542" i="60"/>
  <c r="AC275" i="60"/>
  <c r="AC276" i="60" s="1"/>
  <c r="AD11" i="60" s="1"/>
  <c r="AD44" i="60" s="1"/>
  <c r="J156" i="60"/>
  <c r="J161" i="59"/>
  <c r="L53" i="59" s="1"/>
  <c r="R156" i="60"/>
  <c r="R161" i="59"/>
  <c r="T53" i="59" s="1"/>
  <c r="Z156" i="60"/>
  <c r="Z161" i="59"/>
  <c r="AB53" i="59" s="1"/>
  <c r="D275" i="60"/>
  <c r="D276" i="60" s="1"/>
  <c r="E11" i="60" s="1"/>
  <c r="E44" i="60" s="1"/>
  <c r="M275" i="60"/>
  <c r="M276" i="60" s="1"/>
  <c r="N11" i="60" s="1"/>
  <c r="N44" i="60" s="1"/>
  <c r="O323" i="60"/>
  <c r="O324" i="60" s="1"/>
  <c r="P12" i="60" s="1"/>
  <c r="P45" i="60" s="1"/>
  <c r="C350" i="60"/>
  <c r="T352" i="60"/>
  <c r="AA371" i="60"/>
  <c r="AA372" i="60" s="1"/>
  <c r="AB13" i="60" s="1"/>
  <c r="AB46" i="60" s="1"/>
  <c r="P352" i="60"/>
  <c r="AC352" i="60"/>
  <c r="W352" i="60"/>
  <c r="N167" i="59"/>
  <c r="P59" i="59" s="1"/>
  <c r="N444" i="60"/>
  <c r="N443" i="60"/>
  <c r="N442" i="60"/>
  <c r="N447" i="60"/>
  <c r="N445" i="60"/>
  <c r="N446" i="60"/>
  <c r="N441" i="60"/>
  <c r="AB496" i="60"/>
  <c r="E515" i="60"/>
  <c r="E516" i="60" s="1"/>
  <c r="F16" i="60" s="1"/>
  <c r="F49" i="60" s="1"/>
  <c r="S496" i="60"/>
  <c r="P515" i="60"/>
  <c r="P516" i="60" s="1"/>
  <c r="Q16" i="60" s="1"/>
  <c r="Q49" i="60" s="1"/>
  <c r="I496" i="60"/>
  <c r="H544" i="60"/>
  <c r="C170" i="59"/>
  <c r="C585" i="60"/>
  <c r="C588" i="60"/>
  <c r="V659" i="60"/>
  <c r="V660" i="60" s="1"/>
  <c r="W19" i="60" s="1"/>
  <c r="W52" i="60" s="1"/>
  <c r="C591" i="60"/>
  <c r="C541" i="60"/>
  <c r="D371" i="60"/>
  <c r="D372" i="60" s="1"/>
  <c r="E13" i="60" s="1"/>
  <c r="E46" i="60" s="1"/>
  <c r="F166" i="59"/>
  <c r="H58" i="59" s="1"/>
  <c r="F395" i="60"/>
  <c r="F399" i="60"/>
  <c r="F393" i="60"/>
  <c r="F396" i="60"/>
  <c r="F394" i="60"/>
  <c r="F398" i="60"/>
  <c r="F397" i="60"/>
  <c r="C171" i="59"/>
  <c r="C636" i="60"/>
  <c r="C637" i="60"/>
  <c r="K155" i="60"/>
  <c r="K161" i="59"/>
  <c r="M53" i="59" s="1"/>
  <c r="S155" i="60"/>
  <c r="S161" i="59"/>
  <c r="U53" i="59" s="1"/>
  <c r="AA155" i="60"/>
  <c r="AA161" i="59"/>
  <c r="AC53" i="59" s="1"/>
  <c r="L275" i="60"/>
  <c r="L276" i="60" s="1"/>
  <c r="M11" i="60" s="1"/>
  <c r="M44" i="60" s="1"/>
  <c r="U275" i="60"/>
  <c r="U276" i="60" s="1"/>
  <c r="V11" i="60" s="1"/>
  <c r="V44" i="60" s="1"/>
  <c r="C251" i="60"/>
  <c r="C163" i="59"/>
  <c r="F323" i="60"/>
  <c r="F324" i="60" s="1"/>
  <c r="G12" i="60" s="1"/>
  <c r="G45" i="60" s="1"/>
  <c r="W304" i="60"/>
  <c r="I323" i="60"/>
  <c r="I324" i="60" s="1"/>
  <c r="J12" i="60" s="1"/>
  <c r="J45" i="60" s="1"/>
  <c r="G304" i="60"/>
  <c r="H304" i="60"/>
  <c r="C348" i="60"/>
  <c r="J352" i="60"/>
  <c r="L371" i="60"/>
  <c r="L372" i="60" s="1"/>
  <c r="M13" i="60" s="1"/>
  <c r="M46" i="60" s="1"/>
  <c r="F371" i="60"/>
  <c r="F372" i="60" s="1"/>
  <c r="G13" i="60" s="1"/>
  <c r="G46" i="60" s="1"/>
  <c r="AC400" i="60"/>
  <c r="R400" i="60"/>
  <c r="F167" i="59"/>
  <c r="H59" i="59" s="1"/>
  <c r="F444" i="60"/>
  <c r="F442" i="60"/>
  <c r="F447" i="60"/>
  <c r="F441" i="60"/>
  <c r="F446" i="60"/>
  <c r="F443" i="60"/>
  <c r="F445" i="60"/>
  <c r="S515" i="60"/>
  <c r="S516" i="60" s="1"/>
  <c r="T16" i="60" s="1"/>
  <c r="T49" i="60" s="1"/>
  <c r="M496" i="60"/>
  <c r="J496" i="60"/>
  <c r="K659" i="60"/>
  <c r="K660" i="60" s="1"/>
  <c r="L19" i="60" s="1"/>
  <c r="L52" i="60" s="1"/>
  <c r="C445" i="60"/>
  <c r="C443" i="60"/>
  <c r="C201" i="60"/>
  <c r="C162" i="59"/>
  <c r="G106" i="60"/>
  <c r="G160" i="59"/>
  <c r="I52" i="59" s="1"/>
  <c r="W106" i="60"/>
  <c r="W160" i="59"/>
  <c r="Y52" i="59" s="1"/>
  <c r="V106" i="60"/>
  <c r="V160" i="59"/>
  <c r="X52" i="59" s="1"/>
  <c r="N106" i="60"/>
  <c r="N160" i="59"/>
  <c r="P52" i="59" s="1"/>
  <c r="F106" i="60"/>
  <c r="F160" i="59"/>
  <c r="H52" i="59" s="1"/>
  <c r="AC107" i="60"/>
  <c r="AC160" i="59"/>
  <c r="AE52" i="59" s="1"/>
  <c r="U107" i="60"/>
  <c r="U160" i="59"/>
  <c r="W52" i="59" s="1"/>
  <c r="M107" i="60"/>
  <c r="M160" i="59"/>
  <c r="O52" i="59" s="1"/>
  <c r="E107" i="60"/>
  <c r="E160" i="59"/>
  <c r="G52" i="59" s="1"/>
  <c r="AB107" i="60"/>
  <c r="AB160" i="59"/>
  <c r="AD52" i="59" s="1"/>
  <c r="T107" i="60"/>
  <c r="T160" i="59"/>
  <c r="V52" i="59" s="1"/>
  <c r="L107" i="60"/>
  <c r="L160" i="59"/>
  <c r="N52" i="59" s="1"/>
  <c r="AA106" i="60"/>
  <c r="AA160" i="59"/>
  <c r="AC52" i="59" s="1"/>
  <c r="S106" i="60"/>
  <c r="S160" i="59"/>
  <c r="U52" i="59" s="1"/>
  <c r="K106" i="60"/>
  <c r="K160" i="59"/>
  <c r="M52" i="59" s="1"/>
  <c r="O106" i="60"/>
  <c r="O160" i="59"/>
  <c r="Q52" i="59" s="1"/>
  <c r="D107" i="60"/>
  <c r="D160" i="59"/>
  <c r="F52" i="59" s="1"/>
  <c r="Z107" i="60"/>
  <c r="Z160" i="59"/>
  <c r="AB52" i="59" s="1"/>
  <c r="R107" i="60"/>
  <c r="R160" i="59"/>
  <c r="T52" i="59" s="1"/>
  <c r="J107" i="60"/>
  <c r="J160" i="59"/>
  <c r="L52" i="59" s="1"/>
  <c r="Y107" i="60"/>
  <c r="Y160" i="59"/>
  <c r="AA52" i="59" s="1"/>
  <c r="Q107" i="60"/>
  <c r="Q160" i="59"/>
  <c r="S52" i="59" s="1"/>
  <c r="I107" i="60"/>
  <c r="I160" i="59"/>
  <c r="K52" i="59" s="1"/>
  <c r="X109" i="60"/>
  <c r="X160" i="59"/>
  <c r="Z52" i="59" s="1"/>
  <c r="P109" i="60"/>
  <c r="P160" i="59"/>
  <c r="R52" i="59" s="1"/>
  <c r="H109" i="60"/>
  <c r="H160" i="59"/>
  <c r="J52" i="59" s="1"/>
  <c r="U544" i="60"/>
  <c r="K563" i="60"/>
  <c r="K564" i="60" s="1"/>
  <c r="L17" i="60" s="1"/>
  <c r="L50" i="60" s="1"/>
  <c r="Y563" i="60"/>
  <c r="Y564" i="60" s="1"/>
  <c r="Z17" i="60" s="1"/>
  <c r="Z50" i="60" s="1"/>
  <c r="O563" i="60"/>
  <c r="O564" i="60" s="1"/>
  <c r="P17" i="60" s="1"/>
  <c r="P50" i="60" s="1"/>
  <c r="M544" i="60"/>
  <c r="P563" i="60"/>
  <c r="P564" i="60" s="1"/>
  <c r="Q17" i="60" s="1"/>
  <c r="Q50" i="60" s="1"/>
  <c r="R544" i="60"/>
  <c r="Q544" i="60"/>
  <c r="G544" i="60"/>
  <c r="F544" i="60"/>
  <c r="I563" i="60"/>
  <c r="I564" i="60" s="1"/>
  <c r="J17" i="60" s="1"/>
  <c r="J50" i="60" s="1"/>
  <c r="F489" i="60"/>
  <c r="F490" i="60"/>
  <c r="F491" i="60"/>
  <c r="F495" i="60"/>
  <c r="F492" i="60"/>
  <c r="F493" i="60"/>
  <c r="F494" i="60"/>
  <c r="I515" i="60"/>
  <c r="I516" i="60" s="1"/>
  <c r="J16" i="60" s="1"/>
  <c r="J49" i="60" s="1"/>
  <c r="H496" i="60"/>
  <c r="R496" i="60"/>
  <c r="Q515" i="60"/>
  <c r="Q516" i="60" s="1"/>
  <c r="R16" i="60" s="1"/>
  <c r="R49" i="60" s="1"/>
  <c r="W515" i="60"/>
  <c r="W516" i="60" s="1"/>
  <c r="X16" i="60" s="1"/>
  <c r="X49" i="60" s="1"/>
  <c r="P496" i="60"/>
  <c r="L496" i="60"/>
  <c r="G496" i="60"/>
  <c r="X496" i="60"/>
  <c r="AB515" i="60"/>
  <c r="AB516" i="60" s="1"/>
  <c r="AC16" i="60" s="1"/>
  <c r="AC49" i="60" s="1"/>
  <c r="U496" i="60"/>
  <c r="AC496" i="60"/>
  <c r="V489" i="60"/>
  <c r="V495" i="60"/>
  <c r="V490" i="60"/>
  <c r="V491" i="60"/>
  <c r="V492" i="60"/>
  <c r="V493" i="60"/>
  <c r="V494" i="60"/>
  <c r="Y496" i="60"/>
  <c r="AA496" i="60"/>
  <c r="C490" i="60"/>
  <c r="C491" i="60"/>
  <c r="C492" i="60"/>
  <c r="C493" i="60"/>
  <c r="C494" i="60"/>
  <c r="C495" i="60"/>
  <c r="C489" i="60"/>
  <c r="C386" i="60"/>
  <c r="C399" i="60" s="1"/>
  <c r="V419" i="60"/>
  <c r="V420" i="60" s="1"/>
  <c r="W14" i="60" s="1"/>
  <c r="W47" i="60" s="1"/>
  <c r="C200" i="60"/>
  <c r="AA352" i="60"/>
  <c r="N371" i="60"/>
  <c r="N372" i="60" s="1"/>
  <c r="O13" i="60" s="1"/>
  <c r="O46" i="60" s="1"/>
  <c r="O371" i="60"/>
  <c r="O372" i="60" s="1"/>
  <c r="P13" i="60" s="1"/>
  <c r="P46" i="60" s="1"/>
  <c r="J371" i="60"/>
  <c r="J372" i="60" s="1"/>
  <c r="K13" i="60" s="1"/>
  <c r="K46" i="60" s="1"/>
  <c r="V371" i="60"/>
  <c r="V372" i="60" s="1"/>
  <c r="W13" i="60" s="1"/>
  <c r="W46" i="60" s="1"/>
  <c r="H371" i="60"/>
  <c r="H372" i="60" s="1"/>
  <c r="I13" i="60" s="1"/>
  <c r="I46" i="60" s="1"/>
  <c r="W371" i="60"/>
  <c r="W372" i="60" s="1"/>
  <c r="X13" i="60" s="1"/>
  <c r="X46" i="60" s="1"/>
  <c r="R371" i="60"/>
  <c r="R372" i="60" s="1"/>
  <c r="S13" i="60" s="1"/>
  <c r="S46" i="60" s="1"/>
  <c r="K352" i="60"/>
  <c r="P371" i="60"/>
  <c r="P372" i="60" s="1"/>
  <c r="Q13" i="60" s="1"/>
  <c r="Q46" i="60" s="1"/>
  <c r="E371" i="60"/>
  <c r="E372" i="60" s="1"/>
  <c r="F13" i="60" s="1"/>
  <c r="F46" i="60" s="1"/>
  <c r="T371" i="60"/>
  <c r="T372" i="60" s="1"/>
  <c r="U13" i="60" s="1"/>
  <c r="U46" i="60" s="1"/>
  <c r="U371" i="60"/>
  <c r="U372" i="60" s="1"/>
  <c r="V13" i="60" s="1"/>
  <c r="V46" i="60" s="1"/>
  <c r="AC371" i="60"/>
  <c r="AC372" i="60" s="1"/>
  <c r="AD13" i="60" s="1"/>
  <c r="AD46" i="60" s="1"/>
  <c r="D352" i="60"/>
  <c r="D323" i="60"/>
  <c r="D324" i="60" s="1"/>
  <c r="E12" i="60" s="1"/>
  <c r="E45" i="60" s="1"/>
  <c r="L304" i="60"/>
  <c r="C206" i="60"/>
  <c r="C252" i="60"/>
  <c r="C253" i="60"/>
  <c r="I304" i="60"/>
  <c r="T304" i="60"/>
  <c r="V304" i="60"/>
  <c r="C249" i="60"/>
  <c r="C299" i="60"/>
  <c r="K304" i="60"/>
  <c r="AB304" i="60"/>
  <c r="C297" i="60"/>
  <c r="K275" i="60"/>
  <c r="K276" i="60" s="1"/>
  <c r="L11" i="60" s="1"/>
  <c r="L44" i="60" s="1"/>
  <c r="S304" i="60"/>
  <c r="N323" i="60"/>
  <c r="N324" i="60" s="1"/>
  <c r="O12" i="60" s="1"/>
  <c r="O45" i="60" s="1"/>
  <c r="Z304" i="60"/>
  <c r="O304" i="60"/>
  <c r="AB323" i="60"/>
  <c r="AB324" i="60" s="1"/>
  <c r="AC12" i="60" s="1"/>
  <c r="AC45" i="60" s="1"/>
  <c r="W323" i="60"/>
  <c r="W324" i="60" s="1"/>
  <c r="X12" i="60" s="1"/>
  <c r="X45" i="60" s="1"/>
  <c r="C301" i="60"/>
  <c r="AA304" i="60"/>
  <c r="E304" i="60"/>
  <c r="E323" i="60"/>
  <c r="E324" i="60" s="1"/>
  <c r="F12" i="60" s="1"/>
  <c r="F45" i="60" s="1"/>
  <c r="G275" i="60"/>
  <c r="G276" i="60" s="1"/>
  <c r="H11" i="60" s="1"/>
  <c r="H44" i="60" s="1"/>
  <c r="H275" i="60"/>
  <c r="H276" i="60" s="1"/>
  <c r="I11" i="60" s="1"/>
  <c r="I44" i="60" s="1"/>
  <c r="J304" i="60"/>
  <c r="X323" i="60"/>
  <c r="X324" i="60" s="1"/>
  <c r="Y12" i="60" s="1"/>
  <c r="Y45" i="60" s="1"/>
  <c r="AC304" i="60"/>
  <c r="G323" i="60"/>
  <c r="G324" i="60" s="1"/>
  <c r="H12" i="60" s="1"/>
  <c r="H45" i="60" s="1"/>
  <c r="M323" i="60"/>
  <c r="M324" i="60" s="1"/>
  <c r="N12" i="60" s="1"/>
  <c r="N45" i="60" s="1"/>
  <c r="M304" i="60"/>
  <c r="P304" i="60"/>
  <c r="L323" i="60"/>
  <c r="L324" i="60" s="1"/>
  <c r="M12" i="60" s="1"/>
  <c r="M45" i="60" s="1"/>
  <c r="C300" i="60"/>
  <c r="O275" i="60"/>
  <c r="O276" i="60" s="1"/>
  <c r="P11" i="60" s="1"/>
  <c r="P44" i="60" s="1"/>
  <c r="R304" i="60"/>
  <c r="Q304" i="60"/>
  <c r="D304" i="60"/>
  <c r="U323" i="60"/>
  <c r="U324" i="60" s="1"/>
  <c r="V12" i="60" s="1"/>
  <c r="V45" i="60" s="1"/>
  <c r="U304" i="60"/>
  <c r="C202" i="60"/>
  <c r="C204" i="60"/>
  <c r="C254" i="60"/>
  <c r="C205" i="60"/>
  <c r="C203" i="60"/>
  <c r="C250" i="60"/>
  <c r="C255" i="60"/>
  <c r="E155" i="60"/>
  <c r="AA158" i="60"/>
  <c r="R155" i="60"/>
  <c r="AC156" i="60"/>
  <c r="Y154" i="60"/>
  <c r="R158" i="60"/>
  <c r="U156" i="60"/>
  <c r="R154" i="60"/>
  <c r="M156" i="60"/>
  <c r="N207" i="60"/>
  <c r="X155" i="60"/>
  <c r="H156" i="60"/>
  <c r="H159" i="60"/>
  <c r="P159" i="60"/>
  <c r="Z155" i="60"/>
  <c r="U256" i="60"/>
  <c r="AC256" i="60"/>
  <c r="O256" i="60"/>
  <c r="W256" i="60"/>
  <c r="K256" i="60"/>
  <c r="F256" i="60"/>
  <c r="R256" i="60"/>
  <c r="L256" i="60"/>
  <c r="M256" i="60"/>
  <c r="S256" i="60"/>
  <c r="Y256" i="60"/>
  <c r="AA256" i="60"/>
  <c r="Q256" i="60"/>
  <c r="E256" i="60"/>
  <c r="J256" i="60"/>
  <c r="G256" i="60"/>
  <c r="H256" i="60"/>
  <c r="I256" i="60"/>
  <c r="D256" i="60"/>
  <c r="N256" i="60"/>
  <c r="P256" i="60"/>
  <c r="T256" i="60"/>
  <c r="V256" i="60"/>
  <c r="X256" i="60"/>
  <c r="Z256" i="60"/>
  <c r="AB256" i="60"/>
  <c r="S158" i="60"/>
  <c r="AA156" i="60"/>
  <c r="U155" i="60"/>
  <c r="J154" i="60"/>
  <c r="AB153" i="60"/>
  <c r="AC159" i="60"/>
  <c r="Q158" i="60"/>
  <c r="S156" i="60"/>
  <c r="M155" i="60"/>
  <c r="AA153" i="60"/>
  <c r="X159" i="60"/>
  <c r="K158" i="60"/>
  <c r="P156" i="60"/>
  <c r="S153" i="60"/>
  <c r="S226" i="60"/>
  <c r="S227" i="60" s="1"/>
  <c r="T10" i="60" s="1"/>
  <c r="T43" i="60" s="1"/>
  <c r="V226" i="60"/>
  <c r="V227" i="60" s="1"/>
  <c r="W10" i="60" s="1"/>
  <c r="W43" i="60" s="1"/>
  <c r="S157" i="60"/>
  <c r="AA154" i="60"/>
  <c r="F207" i="60"/>
  <c r="J159" i="60"/>
  <c r="L157" i="60"/>
  <c r="Z154" i="60"/>
  <c r="K157" i="60"/>
  <c r="Z159" i="60"/>
  <c r="E159" i="60"/>
  <c r="J158" i="60"/>
  <c r="D157" i="60"/>
  <c r="K156" i="60"/>
  <c r="P155" i="60"/>
  <c r="S154" i="60"/>
  <c r="T153" i="60"/>
  <c r="V207" i="60"/>
  <c r="R226" i="60"/>
  <c r="R227" i="60" s="1"/>
  <c r="S10" i="60" s="1"/>
  <c r="S43" i="60" s="1"/>
  <c r="I158" i="60"/>
  <c r="U159" i="60"/>
  <c r="Z158" i="60"/>
  <c r="AB157" i="60"/>
  <c r="E156" i="60"/>
  <c r="J155" i="60"/>
  <c r="Q154" i="60"/>
  <c r="L153" i="60"/>
  <c r="K226" i="60"/>
  <c r="K227" i="60" s="1"/>
  <c r="L10" i="60" s="1"/>
  <c r="L43" i="60" s="1"/>
  <c r="R159" i="60"/>
  <c r="Y158" i="60"/>
  <c r="AA157" i="60"/>
  <c r="X156" i="60"/>
  <c r="AC155" i="60"/>
  <c r="H155" i="60"/>
  <c r="K154" i="60"/>
  <c r="K153" i="60"/>
  <c r="T157" i="60"/>
  <c r="O226" i="60"/>
  <c r="O227" i="60" s="1"/>
  <c r="P10" i="60" s="1"/>
  <c r="P43" i="60" s="1"/>
  <c r="P207" i="60"/>
  <c r="L226" i="60"/>
  <c r="L227" i="60" s="1"/>
  <c r="M10" i="60" s="1"/>
  <c r="M43" i="60" s="1"/>
  <c r="M159" i="60"/>
  <c r="I154" i="60"/>
  <c r="E226" i="60"/>
  <c r="E227" i="60" s="1"/>
  <c r="F10" i="60" s="1"/>
  <c r="F43" i="60" s="1"/>
  <c r="AB226" i="60"/>
  <c r="AB227" i="60" s="1"/>
  <c r="AC10" i="60" s="1"/>
  <c r="AC43" i="60" s="1"/>
  <c r="W159" i="60"/>
  <c r="G159" i="60"/>
  <c r="W155" i="60"/>
  <c r="O155" i="60"/>
  <c r="G155" i="60"/>
  <c r="V159" i="60"/>
  <c r="N159" i="60"/>
  <c r="F159" i="60"/>
  <c r="X158" i="60"/>
  <c r="P158" i="60"/>
  <c r="H158" i="60"/>
  <c r="Z157" i="60"/>
  <c r="R157" i="60"/>
  <c r="J157" i="60"/>
  <c r="AB156" i="60"/>
  <c r="T156" i="60"/>
  <c r="L156" i="60"/>
  <c r="D156" i="60"/>
  <c r="V155" i="60"/>
  <c r="N155" i="60"/>
  <c r="F155" i="60"/>
  <c r="X154" i="60"/>
  <c r="P154" i="60"/>
  <c r="H154" i="60"/>
  <c r="Z153" i="60"/>
  <c r="R153" i="60"/>
  <c r="J153" i="60"/>
  <c r="N226" i="60"/>
  <c r="N227" i="60" s="1"/>
  <c r="O10" i="60" s="1"/>
  <c r="O43" i="60" s="1"/>
  <c r="O158" i="60"/>
  <c r="Q157" i="60"/>
  <c r="Y153" i="60"/>
  <c r="G158" i="60"/>
  <c r="Y157" i="60"/>
  <c r="I157" i="60"/>
  <c r="O154" i="60"/>
  <c r="Q153" i="60"/>
  <c r="T110" i="60"/>
  <c r="AB159" i="60"/>
  <c r="T159" i="60"/>
  <c r="L159" i="60"/>
  <c r="D159" i="60"/>
  <c r="V158" i="60"/>
  <c r="N158" i="60"/>
  <c r="F158" i="60"/>
  <c r="X157" i="60"/>
  <c r="P157" i="60"/>
  <c r="H157" i="60"/>
  <c r="AB155" i="60"/>
  <c r="T155" i="60"/>
  <c r="L155" i="60"/>
  <c r="V154" i="60"/>
  <c r="N154" i="60"/>
  <c r="F154" i="60"/>
  <c r="L112" i="60"/>
  <c r="W158" i="60"/>
  <c r="W154" i="60"/>
  <c r="G154" i="60"/>
  <c r="I153" i="60"/>
  <c r="V109" i="60"/>
  <c r="AA159" i="60"/>
  <c r="S159" i="60"/>
  <c r="K159" i="60"/>
  <c r="AC158" i="60"/>
  <c r="U158" i="60"/>
  <c r="M158" i="60"/>
  <c r="E158" i="60"/>
  <c r="W157" i="60"/>
  <c r="O157" i="60"/>
  <c r="G157" i="60"/>
  <c r="Y156" i="60"/>
  <c r="Q156" i="60"/>
  <c r="I156" i="60"/>
  <c r="AC154" i="60"/>
  <c r="U154" i="60"/>
  <c r="M154" i="60"/>
  <c r="E154" i="60"/>
  <c r="W153" i="60"/>
  <c r="O153" i="60"/>
  <c r="G153" i="60"/>
  <c r="O159" i="60"/>
  <c r="F109" i="60"/>
  <c r="C146" i="60"/>
  <c r="AB158" i="60"/>
  <c r="T158" i="60"/>
  <c r="L158" i="60"/>
  <c r="D158" i="60"/>
  <c r="V157" i="60"/>
  <c r="N157" i="60"/>
  <c r="F157" i="60"/>
  <c r="D154" i="60"/>
  <c r="V153" i="60"/>
  <c r="N153" i="60"/>
  <c r="F153" i="60"/>
  <c r="T108" i="60"/>
  <c r="Y159" i="60"/>
  <c r="Q159" i="60"/>
  <c r="I159" i="60"/>
  <c r="AC157" i="60"/>
  <c r="U157" i="60"/>
  <c r="M157" i="60"/>
  <c r="E157" i="60"/>
  <c r="I226" i="60"/>
  <c r="I227" i="60" s="1"/>
  <c r="J10" i="60" s="1"/>
  <c r="J43" i="60" s="1"/>
  <c r="U106" i="60"/>
  <c r="D153" i="60"/>
  <c r="Q226" i="60"/>
  <c r="Q227" i="60" s="1"/>
  <c r="R10" i="60" s="1"/>
  <c r="R43" i="60" s="1"/>
  <c r="I207" i="60"/>
  <c r="Q207" i="60"/>
  <c r="Y207" i="60"/>
  <c r="J207" i="60"/>
  <c r="R207" i="60"/>
  <c r="Z207" i="60"/>
  <c r="G207" i="60"/>
  <c r="O207" i="60"/>
  <c r="W207" i="60"/>
  <c r="K207" i="60"/>
  <c r="S207" i="60"/>
  <c r="AA207" i="60"/>
  <c r="D207" i="60"/>
  <c r="L207" i="60"/>
  <c r="T207" i="60"/>
  <c r="AB207" i="60"/>
  <c r="E207" i="60"/>
  <c r="M207" i="60"/>
  <c r="U207" i="60"/>
  <c r="AC207" i="60"/>
  <c r="W112" i="60"/>
  <c r="I112" i="60"/>
  <c r="M110" i="60"/>
  <c r="U109" i="60"/>
  <c r="E109" i="60"/>
  <c r="P108" i="60"/>
  <c r="T106" i="60"/>
  <c r="V112" i="60"/>
  <c r="H112" i="60"/>
  <c r="L110" i="60"/>
  <c r="T109" i="60"/>
  <c r="D109" i="60"/>
  <c r="O108" i="60"/>
  <c r="M106" i="60"/>
  <c r="T112" i="60"/>
  <c r="G112" i="60"/>
  <c r="E110" i="60"/>
  <c r="O109" i="60"/>
  <c r="AB108" i="60"/>
  <c r="L108" i="60"/>
  <c r="L106" i="60"/>
  <c r="Q112" i="60"/>
  <c r="F112" i="60"/>
  <c r="D110" i="60"/>
  <c r="N109" i="60"/>
  <c r="Y108" i="60"/>
  <c r="H108" i="60"/>
  <c r="E106" i="60"/>
  <c r="P112" i="60"/>
  <c r="AC110" i="60"/>
  <c r="AC109" i="60"/>
  <c r="M109" i="60"/>
  <c r="X108" i="60"/>
  <c r="G108" i="60"/>
  <c r="D106" i="60"/>
  <c r="AB112" i="60"/>
  <c r="O112" i="60"/>
  <c r="AB110" i="60"/>
  <c r="AB109" i="60"/>
  <c r="L109" i="60"/>
  <c r="W108" i="60"/>
  <c r="AC106" i="60"/>
  <c r="X112" i="60"/>
  <c r="Y112" i="60"/>
  <c r="N112" i="60"/>
  <c r="U110" i="60"/>
  <c r="W109" i="60"/>
  <c r="G109" i="60"/>
  <c r="V108" i="60"/>
  <c r="AB106" i="60"/>
  <c r="P111" i="60"/>
  <c r="Z110" i="60"/>
  <c r="R110" i="60"/>
  <c r="J110" i="60"/>
  <c r="N108" i="60"/>
  <c r="F108" i="60"/>
  <c r="X107" i="60"/>
  <c r="P107" i="60"/>
  <c r="H107" i="60"/>
  <c r="Z106" i="60"/>
  <c r="R106" i="60"/>
  <c r="J106" i="60"/>
  <c r="C99" i="60"/>
  <c r="AC112" i="60"/>
  <c r="U112" i="60"/>
  <c r="M112" i="60"/>
  <c r="E112" i="60"/>
  <c r="W111" i="60"/>
  <c r="O111" i="60"/>
  <c r="G111" i="60"/>
  <c r="Y110" i="60"/>
  <c r="Q110" i="60"/>
  <c r="I110" i="60"/>
  <c r="AA109" i="60"/>
  <c r="S109" i="60"/>
  <c r="K109" i="60"/>
  <c r="AC108" i="60"/>
  <c r="U108" i="60"/>
  <c r="M108" i="60"/>
  <c r="E108" i="60"/>
  <c r="W107" i="60"/>
  <c r="O107" i="60"/>
  <c r="G107" i="60"/>
  <c r="Y106" i="60"/>
  <c r="Q106" i="60"/>
  <c r="I106" i="60"/>
  <c r="N111" i="60"/>
  <c r="X110" i="60"/>
  <c r="Z109" i="60"/>
  <c r="R109" i="60"/>
  <c r="J109" i="60"/>
  <c r="D108" i="60"/>
  <c r="V107" i="60"/>
  <c r="N107" i="60"/>
  <c r="F107" i="60"/>
  <c r="X106" i="60"/>
  <c r="P106" i="60"/>
  <c r="H106" i="60"/>
  <c r="V111" i="60"/>
  <c r="F111" i="60"/>
  <c r="H110" i="60"/>
  <c r="AA112" i="60"/>
  <c r="S112" i="60"/>
  <c r="K112" i="60"/>
  <c r="AC111" i="60"/>
  <c r="U111" i="60"/>
  <c r="M111" i="60"/>
  <c r="E111" i="60"/>
  <c r="W110" i="60"/>
  <c r="O110" i="60"/>
  <c r="G110" i="60"/>
  <c r="Y109" i="60"/>
  <c r="Q109" i="60"/>
  <c r="I109" i="60"/>
  <c r="AA108" i="60"/>
  <c r="S108" i="60"/>
  <c r="K108" i="60"/>
  <c r="Z111" i="60"/>
  <c r="X111" i="60"/>
  <c r="H111" i="60"/>
  <c r="D112" i="60"/>
  <c r="P110" i="60"/>
  <c r="Z112" i="60"/>
  <c r="R112" i="60"/>
  <c r="J112" i="60"/>
  <c r="AB111" i="60"/>
  <c r="T111" i="60"/>
  <c r="L111" i="60"/>
  <c r="D111" i="60"/>
  <c r="V110" i="60"/>
  <c r="N110" i="60"/>
  <c r="F110" i="60"/>
  <c r="Z108" i="60"/>
  <c r="R108" i="60"/>
  <c r="J108" i="60"/>
  <c r="AA111" i="60"/>
  <c r="S111" i="60"/>
  <c r="K111" i="60"/>
  <c r="Q108" i="60"/>
  <c r="I108" i="60"/>
  <c r="AA107" i="60"/>
  <c r="S107" i="60"/>
  <c r="K107" i="60"/>
  <c r="R111" i="60"/>
  <c r="J111" i="60"/>
  <c r="Y111" i="60"/>
  <c r="Q111" i="60"/>
  <c r="I111" i="60"/>
  <c r="AA110" i="60"/>
  <c r="S110" i="60"/>
  <c r="K110" i="60"/>
  <c r="E174" i="59"/>
  <c r="G69" i="59" s="1"/>
  <c r="E69" i="59" s="1"/>
  <c r="V26" i="60" l="1"/>
  <c r="V25" i="60"/>
  <c r="W24" i="60"/>
  <c r="E57" i="59"/>
  <c r="T25" i="58"/>
  <c r="S113" i="61"/>
  <c r="Z83" i="61"/>
  <c r="Y112" i="61"/>
  <c r="AA85" i="61"/>
  <c r="C352" i="60"/>
  <c r="C640" i="60"/>
  <c r="C371" i="60"/>
  <c r="C372" i="60" s="1"/>
  <c r="C544" i="60"/>
  <c r="N419" i="60"/>
  <c r="N420" i="60" s="1"/>
  <c r="O14" i="60" s="1"/>
  <c r="O47" i="60" s="1"/>
  <c r="C515" i="60"/>
  <c r="C516" i="60" s="1"/>
  <c r="D16" i="60" s="1"/>
  <c r="D49" i="60" s="1"/>
  <c r="F419" i="60"/>
  <c r="F420" i="60" s="1"/>
  <c r="G14" i="60" s="1"/>
  <c r="G47" i="60" s="1"/>
  <c r="F467" i="60"/>
  <c r="F468" i="60" s="1"/>
  <c r="G15" i="60" s="1"/>
  <c r="G48" i="60" s="1"/>
  <c r="F448" i="60"/>
  <c r="C159" i="60"/>
  <c r="C161" i="59"/>
  <c r="F400" i="60"/>
  <c r="C563" i="60"/>
  <c r="C467" i="60"/>
  <c r="C468" i="60" s="1"/>
  <c r="D15" i="60" s="1"/>
  <c r="D48" i="60" s="1"/>
  <c r="F496" i="60"/>
  <c r="C166" i="59"/>
  <c r="C395" i="60"/>
  <c r="C397" i="60"/>
  <c r="C398" i="60"/>
  <c r="C393" i="60"/>
  <c r="C394" i="60"/>
  <c r="C396" i="60"/>
  <c r="V515" i="60"/>
  <c r="V516" i="60" s="1"/>
  <c r="W16" i="60" s="1"/>
  <c r="W49" i="60" s="1"/>
  <c r="C448" i="60"/>
  <c r="C659" i="60"/>
  <c r="N400" i="60"/>
  <c r="C611" i="60"/>
  <c r="C592" i="60"/>
  <c r="N448" i="60"/>
  <c r="C106" i="60"/>
  <c r="C160" i="59"/>
  <c r="V496" i="60"/>
  <c r="F515" i="60"/>
  <c r="F516" i="60" s="1"/>
  <c r="G16" i="60" s="1"/>
  <c r="G49" i="60" s="1"/>
  <c r="C496" i="60"/>
  <c r="C226" i="60"/>
  <c r="C275" i="60"/>
  <c r="C276" i="60" s="1"/>
  <c r="D11" i="60" s="1"/>
  <c r="D44" i="60" s="1"/>
  <c r="M160" i="60"/>
  <c r="C256" i="60"/>
  <c r="C207" i="60"/>
  <c r="C323" i="60"/>
  <c r="C324" i="60" s="1"/>
  <c r="D12" i="60" s="1"/>
  <c r="D45" i="60" s="1"/>
  <c r="C304" i="60"/>
  <c r="N160" i="60"/>
  <c r="H178" i="60"/>
  <c r="H179" i="60" s="1"/>
  <c r="I9" i="60" s="1"/>
  <c r="I42" i="60" s="1"/>
  <c r="AA160" i="60"/>
  <c r="F160" i="60"/>
  <c r="D160" i="60"/>
  <c r="O160" i="60"/>
  <c r="K160" i="60"/>
  <c r="X160" i="60"/>
  <c r="Q160" i="60"/>
  <c r="E160" i="60"/>
  <c r="AA178" i="60"/>
  <c r="AA179" i="60" s="1"/>
  <c r="AB9" i="60" s="1"/>
  <c r="AB42" i="60" s="1"/>
  <c r="F178" i="60"/>
  <c r="F179" i="60" s="1"/>
  <c r="G9" i="60" s="1"/>
  <c r="G42" i="60" s="1"/>
  <c r="AC178" i="60"/>
  <c r="AC179" i="60" s="1"/>
  <c r="AD9" i="60" s="1"/>
  <c r="AD42" i="60" s="1"/>
  <c r="Z160" i="60"/>
  <c r="S178" i="60"/>
  <c r="S179" i="60" s="1"/>
  <c r="T9" i="60" s="1"/>
  <c r="T42" i="60" s="1"/>
  <c r="AC160" i="60"/>
  <c r="J178" i="60"/>
  <c r="J179" i="60" s="1"/>
  <c r="K9" i="60" s="1"/>
  <c r="K42" i="60" s="1"/>
  <c r="N178" i="60"/>
  <c r="N179" i="60" s="1"/>
  <c r="O9" i="60" s="1"/>
  <c r="O42" i="60" s="1"/>
  <c r="M178" i="60"/>
  <c r="M179" i="60" s="1"/>
  <c r="N9" i="60" s="1"/>
  <c r="N42" i="60" s="1"/>
  <c r="X132" i="60"/>
  <c r="X133" i="60" s="1"/>
  <c r="Y8" i="60" s="1"/>
  <c r="Y41" i="60" s="1"/>
  <c r="X178" i="60"/>
  <c r="X179" i="60" s="1"/>
  <c r="Y9" i="60" s="1"/>
  <c r="Y42" i="60" s="1"/>
  <c r="R178" i="60"/>
  <c r="R179" i="60" s="1"/>
  <c r="S9" i="60" s="1"/>
  <c r="S42" i="60" s="1"/>
  <c r="U132" i="60"/>
  <c r="U133" i="60" s="1"/>
  <c r="V8" i="60" s="1"/>
  <c r="V41" i="60" s="1"/>
  <c r="Y178" i="60"/>
  <c r="Y179" i="60" s="1"/>
  <c r="Z9" i="60" s="1"/>
  <c r="Z42" i="60" s="1"/>
  <c r="L160" i="60"/>
  <c r="J160" i="60"/>
  <c r="U160" i="60"/>
  <c r="I160" i="60"/>
  <c r="L178" i="60"/>
  <c r="L179" i="60" s="1"/>
  <c r="M9" i="60" s="1"/>
  <c r="M42" i="60" s="1"/>
  <c r="V132" i="60"/>
  <c r="V133" i="60" s="1"/>
  <c r="W8" i="60" s="1"/>
  <c r="W41" i="60" s="1"/>
  <c r="AA132" i="60"/>
  <c r="AA133" i="60" s="1"/>
  <c r="AB8" i="60" s="1"/>
  <c r="AB41" i="60" s="1"/>
  <c r="W160" i="60"/>
  <c r="AB178" i="60"/>
  <c r="AB179" i="60" s="1"/>
  <c r="AC9" i="60" s="1"/>
  <c r="AC42" i="60" s="1"/>
  <c r="Z178" i="60"/>
  <c r="Z179" i="60" s="1"/>
  <c r="AA9" i="60" s="1"/>
  <c r="AA42" i="60" s="1"/>
  <c r="S160" i="60"/>
  <c r="V178" i="60"/>
  <c r="V179" i="60" s="1"/>
  <c r="W9" i="60" s="1"/>
  <c r="W42" i="60" s="1"/>
  <c r="G160" i="60"/>
  <c r="Q178" i="60"/>
  <c r="Q179" i="60" s="1"/>
  <c r="R9" i="60" s="1"/>
  <c r="R42" i="60" s="1"/>
  <c r="H160" i="60"/>
  <c r="T160" i="60"/>
  <c r="AB160" i="60"/>
  <c r="Y160" i="60"/>
  <c r="P160" i="60"/>
  <c r="S132" i="60"/>
  <c r="S133" i="60" s="1"/>
  <c r="T8" i="60" s="1"/>
  <c r="T41" i="60" s="1"/>
  <c r="N132" i="60"/>
  <c r="N133" i="60" s="1"/>
  <c r="O8" i="60" s="1"/>
  <c r="O41" i="60" s="1"/>
  <c r="P178" i="60"/>
  <c r="P179" i="60" s="1"/>
  <c r="Q9" i="60" s="1"/>
  <c r="Q42" i="60" s="1"/>
  <c r="U178" i="60"/>
  <c r="U179" i="60" s="1"/>
  <c r="V9" i="60" s="1"/>
  <c r="V42" i="60" s="1"/>
  <c r="AB132" i="60"/>
  <c r="AB133" i="60" s="1"/>
  <c r="AC8" i="60" s="1"/>
  <c r="AC41" i="60" s="1"/>
  <c r="AC132" i="60"/>
  <c r="AC133" i="60" s="1"/>
  <c r="AD8" i="60" s="1"/>
  <c r="AD41" i="60" s="1"/>
  <c r="G132" i="60"/>
  <c r="G133" i="60" s="1"/>
  <c r="H8" i="60" s="1"/>
  <c r="H41" i="60" s="1"/>
  <c r="O132" i="60"/>
  <c r="O133" i="60" s="1"/>
  <c r="P8" i="60" s="1"/>
  <c r="P41" i="60" s="1"/>
  <c r="I178" i="60"/>
  <c r="I179" i="60" s="1"/>
  <c r="J9" i="60" s="1"/>
  <c r="J42" i="60" s="1"/>
  <c r="K178" i="60"/>
  <c r="K179" i="60" s="1"/>
  <c r="L9" i="60" s="1"/>
  <c r="L42" i="60" s="1"/>
  <c r="D178" i="60"/>
  <c r="D179" i="60" s="1"/>
  <c r="E9" i="60" s="1"/>
  <c r="E42" i="60" s="1"/>
  <c r="T178" i="60"/>
  <c r="T179" i="60" s="1"/>
  <c r="U9" i="60" s="1"/>
  <c r="U42" i="60" s="1"/>
  <c r="E178" i="60"/>
  <c r="E179" i="60" s="1"/>
  <c r="W132" i="60"/>
  <c r="W133" i="60" s="1"/>
  <c r="X8" i="60" s="1"/>
  <c r="X41" i="60" s="1"/>
  <c r="O178" i="60"/>
  <c r="O179" i="60" s="1"/>
  <c r="P9" i="60" s="1"/>
  <c r="P42" i="60" s="1"/>
  <c r="C156" i="60"/>
  <c r="C158" i="60"/>
  <c r="C155" i="60"/>
  <c r="C157" i="60"/>
  <c r="K132" i="60"/>
  <c r="K133" i="60" s="1"/>
  <c r="L8" i="60" s="1"/>
  <c r="L41" i="60" s="1"/>
  <c r="F132" i="60"/>
  <c r="F133" i="60" s="1"/>
  <c r="G8" i="60" s="1"/>
  <c r="G41" i="60" s="1"/>
  <c r="V160" i="60"/>
  <c r="R160" i="60"/>
  <c r="G178" i="60"/>
  <c r="G179" i="60" s="1"/>
  <c r="H9" i="60" s="1"/>
  <c r="H42" i="60" s="1"/>
  <c r="C154" i="60"/>
  <c r="W178" i="60"/>
  <c r="W179" i="60" s="1"/>
  <c r="X9" i="60" s="1"/>
  <c r="X42" i="60" s="1"/>
  <c r="C153" i="60"/>
  <c r="Z226" i="60"/>
  <c r="Z227" i="60" s="1"/>
  <c r="AA10" i="60" s="1"/>
  <c r="AA43" i="60" s="1"/>
  <c r="I132" i="60"/>
  <c r="I133" i="60" s="1"/>
  <c r="J8" i="60" s="1"/>
  <c r="J41" i="60" s="1"/>
  <c r="Z132" i="60"/>
  <c r="Z133" i="60" s="1"/>
  <c r="AA8" i="60" s="1"/>
  <c r="AA41" i="60" s="1"/>
  <c r="L132" i="60"/>
  <c r="L133" i="60" s="1"/>
  <c r="M8" i="60" s="1"/>
  <c r="M41" i="60" s="1"/>
  <c r="R132" i="60"/>
  <c r="R133" i="60" s="1"/>
  <c r="S8" i="60" s="1"/>
  <c r="S41" i="60" s="1"/>
  <c r="Y132" i="60"/>
  <c r="Y133" i="60" s="1"/>
  <c r="Z8" i="60" s="1"/>
  <c r="Z41" i="60" s="1"/>
  <c r="H132" i="60"/>
  <c r="H133" i="60" s="1"/>
  <c r="I8" i="60" s="1"/>
  <c r="I41" i="60" s="1"/>
  <c r="C107" i="60"/>
  <c r="E132" i="60"/>
  <c r="E133" i="60" s="1"/>
  <c r="F8" i="60" s="1"/>
  <c r="F41" i="60" s="1"/>
  <c r="J132" i="60"/>
  <c r="J133" i="60" s="1"/>
  <c r="K8" i="60" s="1"/>
  <c r="K41" i="60" s="1"/>
  <c r="T132" i="60"/>
  <c r="T133" i="60" s="1"/>
  <c r="U8" i="60" s="1"/>
  <c r="U41" i="60" s="1"/>
  <c r="M132" i="60"/>
  <c r="M133" i="60" s="1"/>
  <c r="N8" i="60" s="1"/>
  <c r="N41" i="60" s="1"/>
  <c r="P132" i="60"/>
  <c r="P133" i="60" s="1"/>
  <c r="Q8" i="60" s="1"/>
  <c r="Q41" i="60" s="1"/>
  <c r="C112" i="60"/>
  <c r="D132" i="60"/>
  <c r="D133" i="60" s="1"/>
  <c r="E8" i="60" s="1"/>
  <c r="E41" i="60" s="1"/>
  <c r="Q132" i="60"/>
  <c r="Q133" i="60" s="1"/>
  <c r="R8" i="60" s="1"/>
  <c r="R41" i="60" s="1"/>
  <c r="C111" i="60"/>
  <c r="C108" i="60"/>
  <c r="C110" i="60"/>
  <c r="C109" i="60"/>
  <c r="X24" i="60" l="1"/>
  <c r="W25" i="60"/>
  <c r="W26" i="60"/>
  <c r="D104" i="61"/>
  <c r="U25" i="58"/>
  <c r="T113" i="61"/>
  <c r="AB85" i="61"/>
  <c r="AA83" i="61"/>
  <c r="Z112" i="61"/>
  <c r="D13" i="60"/>
  <c r="D46" i="60" s="1"/>
  <c r="C400" i="60"/>
  <c r="C419" i="60"/>
  <c r="C420" i="60" s="1"/>
  <c r="D14" i="60" s="1"/>
  <c r="D47" i="60" s="1"/>
  <c r="W563" i="60"/>
  <c r="W564" i="60" s="1"/>
  <c r="X17" i="60" s="1"/>
  <c r="X50" i="60" s="1"/>
  <c r="C564" i="60"/>
  <c r="D17" i="60" s="1"/>
  <c r="D50" i="60" s="1"/>
  <c r="W611" i="60"/>
  <c r="W612" i="60" s="1"/>
  <c r="X18" i="60" s="1"/>
  <c r="X51" i="60" s="1"/>
  <c r="C612" i="60"/>
  <c r="D18" i="60" s="1"/>
  <c r="D51" i="60" s="1"/>
  <c r="W659" i="60"/>
  <c r="W660" i="60" s="1"/>
  <c r="X19" i="60" s="1"/>
  <c r="X52" i="60" s="1"/>
  <c r="AC659" i="60"/>
  <c r="AC660" i="60" s="1"/>
  <c r="AD19" i="60" s="1"/>
  <c r="AD52" i="60" s="1"/>
  <c r="Y659" i="60"/>
  <c r="Y660" i="60" s="1"/>
  <c r="Z19" i="60" s="1"/>
  <c r="Z52" i="60" s="1"/>
  <c r="I659" i="60"/>
  <c r="I660" i="60" s="1"/>
  <c r="J19" i="60" s="1"/>
  <c r="J52" i="60" s="1"/>
  <c r="C660" i="60"/>
  <c r="D19" i="60" s="1"/>
  <c r="D52" i="60" s="1"/>
  <c r="M226" i="60"/>
  <c r="M227" i="60" s="1"/>
  <c r="N10" i="60" s="1"/>
  <c r="N43" i="60" s="1"/>
  <c r="L467" i="60"/>
  <c r="L468" i="60" s="1"/>
  <c r="M15" i="60" s="1"/>
  <c r="M48" i="60" s="1"/>
  <c r="I467" i="60"/>
  <c r="I468" i="60" s="1"/>
  <c r="J15" i="60" s="1"/>
  <c r="J48" i="60" s="1"/>
  <c r="U467" i="60"/>
  <c r="U468" i="60" s="1"/>
  <c r="V15" i="60" s="1"/>
  <c r="V48" i="60" s="1"/>
  <c r="AB467" i="60"/>
  <c r="AB468" i="60" s="1"/>
  <c r="AC15" i="60" s="1"/>
  <c r="AC48" i="60" s="1"/>
  <c r="X467" i="60"/>
  <c r="X468" i="60" s="1"/>
  <c r="Y15" i="60" s="1"/>
  <c r="Y48" i="60" s="1"/>
  <c r="K467" i="60"/>
  <c r="K468" i="60" s="1"/>
  <c r="L15" i="60" s="1"/>
  <c r="L48" i="60" s="1"/>
  <c r="W467" i="60"/>
  <c r="W468" i="60" s="1"/>
  <c r="X15" i="60" s="1"/>
  <c r="X48" i="60" s="1"/>
  <c r="T467" i="60"/>
  <c r="T468" i="60" s="1"/>
  <c r="U15" i="60" s="1"/>
  <c r="U48" i="60" s="1"/>
  <c r="S467" i="60"/>
  <c r="S468" i="60" s="1"/>
  <c r="T15" i="60" s="1"/>
  <c r="T48" i="60" s="1"/>
  <c r="M467" i="60"/>
  <c r="M468" i="60" s="1"/>
  <c r="N15" i="60" s="1"/>
  <c r="N48" i="60" s="1"/>
  <c r="AC467" i="60"/>
  <c r="AC468" i="60" s="1"/>
  <c r="AD15" i="60" s="1"/>
  <c r="AD48" i="60" s="1"/>
  <c r="J467" i="60"/>
  <c r="J468" i="60" s="1"/>
  <c r="K15" i="60" s="1"/>
  <c r="K48" i="60" s="1"/>
  <c r="AA467" i="60"/>
  <c r="AA468" i="60" s="1"/>
  <c r="AB15" i="60" s="1"/>
  <c r="AB48" i="60" s="1"/>
  <c r="Y467" i="60"/>
  <c r="Y468" i="60" s="1"/>
  <c r="Z15" i="60" s="1"/>
  <c r="Z48" i="60" s="1"/>
  <c r="Z467" i="60"/>
  <c r="Z468" i="60" s="1"/>
  <c r="AA15" i="60" s="1"/>
  <c r="AA48" i="60" s="1"/>
  <c r="O467" i="60"/>
  <c r="O468" i="60" s="1"/>
  <c r="P15" i="60" s="1"/>
  <c r="P48" i="60" s="1"/>
  <c r="R467" i="60"/>
  <c r="R468" i="60" s="1"/>
  <c r="S15" i="60" s="1"/>
  <c r="S48" i="60" s="1"/>
  <c r="G467" i="60"/>
  <c r="G468" i="60" s="1"/>
  <c r="H15" i="60" s="1"/>
  <c r="H48" i="60" s="1"/>
  <c r="D467" i="60"/>
  <c r="D468" i="60" s="1"/>
  <c r="E15" i="60" s="1"/>
  <c r="E48" i="60" s="1"/>
  <c r="H467" i="60"/>
  <c r="H468" i="60" s="1"/>
  <c r="I15" i="60" s="1"/>
  <c r="I48" i="60" s="1"/>
  <c r="V467" i="60"/>
  <c r="V468" i="60" s="1"/>
  <c r="W15" i="60" s="1"/>
  <c r="W48" i="60" s="1"/>
  <c r="N467" i="60"/>
  <c r="N468" i="60" s="1"/>
  <c r="O15" i="60" s="1"/>
  <c r="O48" i="60" s="1"/>
  <c r="X226" i="60"/>
  <c r="X227" i="60" s="1"/>
  <c r="Y10" i="60" s="1"/>
  <c r="Y43" i="60" s="1"/>
  <c r="D226" i="60"/>
  <c r="D227" i="60" s="1"/>
  <c r="E10" i="60" s="1"/>
  <c r="E43" i="60" s="1"/>
  <c r="Y226" i="60"/>
  <c r="Y227" i="60" s="1"/>
  <c r="Z10" i="60" s="1"/>
  <c r="Z43" i="60" s="1"/>
  <c r="T226" i="60"/>
  <c r="T227" i="60" s="1"/>
  <c r="U10" i="60" s="1"/>
  <c r="U43" i="60" s="1"/>
  <c r="H226" i="60"/>
  <c r="H227" i="60" s="1"/>
  <c r="I10" i="60" s="1"/>
  <c r="I43" i="60" s="1"/>
  <c r="F226" i="60"/>
  <c r="F227" i="60" s="1"/>
  <c r="G10" i="60" s="1"/>
  <c r="G43" i="60" s="1"/>
  <c r="W226" i="60"/>
  <c r="W227" i="60" s="1"/>
  <c r="X10" i="60" s="1"/>
  <c r="X43" i="60" s="1"/>
  <c r="J226" i="60"/>
  <c r="J227" i="60" s="1"/>
  <c r="K10" i="60" s="1"/>
  <c r="K43" i="60" s="1"/>
  <c r="P226" i="60"/>
  <c r="P227" i="60" s="1"/>
  <c r="Q10" i="60" s="1"/>
  <c r="Q43" i="60" s="1"/>
  <c r="U226" i="60"/>
  <c r="U227" i="60" s="1"/>
  <c r="V10" i="60" s="1"/>
  <c r="V43" i="60" s="1"/>
  <c r="G226" i="60"/>
  <c r="G227" i="60" s="1"/>
  <c r="H10" i="60" s="1"/>
  <c r="H43" i="60" s="1"/>
  <c r="C227" i="60"/>
  <c r="D10" i="60" s="1"/>
  <c r="D43" i="60" s="1"/>
  <c r="AC226" i="60"/>
  <c r="AC227" i="60" s="1"/>
  <c r="AD10" i="60" s="1"/>
  <c r="AD43" i="60" s="1"/>
  <c r="AA226" i="60"/>
  <c r="AA227" i="60" s="1"/>
  <c r="AB10" i="60" s="1"/>
  <c r="AB43" i="60" s="1"/>
  <c r="C160" i="60"/>
  <c r="C178" i="60"/>
  <c r="C179" i="60" s="1"/>
  <c r="D9" i="60" s="1"/>
  <c r="D42" i="60" s="1"/>
  <c r="C132" i="60"/>
  <c r="C133" i="60" s="1"/>
  <c r="D8" i="60" s="1"/>
  <c r="D41" i="60" s="1"/>
  <c r="C113" i="60"/>
  <c r="B202" i="59"/>
  <c r="B203" i="59"/>
  <c r="B204" i="59"/>
  <c r="B205" i="59"/>
  <c r="AI136" i="59"/>
  <c r="F135" i="59"/>
  <c r="G135" i="59"/>
  <c r="H135" i="59"/>
  <c r="I135" i="59"/>
  <c r="J135" i="59"/>
  <c r="K135" i="59"/>
  <c r="L135" i="59"/>
  <c r="M135" i="59"/>
  <c r="N135" i="59"/>
  <c r="O135" i="59"/>
  <c r="P135" i="59"/>
  <c r="Q135" i="59"/>
  <c r="R135" i="59"/>
  <c r="S135" i="59"/>
  <c r="T135" i="59"/>
  <c r="U135" i="59"/>
  <c r="V135" i="59"/>
  <c r="W135" i="59"/>
  <c r="X135" i="59"/>
  <c r="Y135" i="59"/>
  <c r="Z135" i="59"/>
  <c r="AA135" i="59"/>
  <c r="AB135" i="59"/>
  <c r="AC135" i="59"/>
  <c r="AD135" i="59"/>
  <c r="AE135" i="59"/>
  <c r="E135" i="59"/>
  <c r="AH137" i="59"/>
  <c r="AH136" i="59"/>
  <c r="E23" i="60"/>
  <c r="A22" i="60"/>
  <c r="A55" i="60" s="1"/>
  <c r="A23" i="60"/>
  <c r="A56" i="60" s="1"/>
  <c r="A21" i="60"/>
  <c r="A54" i="60" s="1"/>
  <c r="F113" i="61"/>
  <c r="D113" i="61"/>
  <c r="E173" i="59"/>
  <c r="E48" i="59"/>
  <c r="D6" i="58" s="1"/>
  <c r="C69" i="59"/>
  <c r="C68" i="59"/>
  <c r="A69" i="59"/>
  <c r="A117" i="59" s="1"/>
  <c r="A70" i="59"/>
  <c r="A118" i="59" s="1"/>
  <c r="A68" i="59"/>
  <c r="A116" i="59" s="1"/>
  <c r="G68" i="59" l="1"/>
  <c r="E68" i="59" s="1"/>
  <c r="X26" i="60"/>
  <c r="F23" i="60"/>
  <c r="X25" i="60"/>
  <c r="Y24" i="60"/>
  <c r="B75" i="43"/>
  <c r="V25" i="58"/>
  <c r="U113" i="61"/>
  <c r="B113" i="61"/>
  <c r="B84" i="61"/>
  <c r="B114" i="61"/>
  <c r="B85" i="61"/>
  <c r="AB83" i="61"/>
  <c r="AA112" i="61"/>
  <c r="B112" i="61"/>
  <c r="B83" i="61"/>
  <c r="AC85" i="61"/>
  <c r="C173" i="59"/>
  <c r="D383" i="43"/>
  <c r="E383" i="43"/>
  <c r="F383" i="43"/>
  <c r="G383" i="43"/>
  <c r="H383" i="43"/>
  <c r="I383" i="43"/>
  <c r="J383" i="43"/>
  <c r="K383" i="43"/>
  <c r="L383" i="43"/>
  <c r="M383" i="43"/>
  <c r="N383" i="43"/>
  <c r="O383" i="43"/>
  <c r="P383" i="43"/>
  <c r="Q383" i="43"/>
  <c r="R383" i="43"/>
  <c r="S383" i="43"/>
  <c r="T383" i="43"/>
  <c r="U383" i="43"/>
  <c r="V383" i="43"/>
  <c r="W383" i="43"/>
  <c r="X383" i="43"/>
  <c r="Y383" i="43"/>
  <c r="Z383" i="43"/>
  <c r="AA383" i="43"/>
  <c r="AB383" i="43"/>
  <c r="AC383" i="43"/>
  <c r="C383" i="43"/>
  <c r="D369" i="43"/>
  <c r="E369" i="43"/>
  <c r="F369" i="43"/>
  <c r="G369" i="43"/>
  <c r="H369" i="43"/>
  <c r="I369" i="43"/>
  <c r="J369" i="43"/>
  <c r="K369" i="43"/>
  <c r="L369" i="43"/>
  <c r="M369" i="43"/>
  <c r="N369" i="43"/>
  <c r="O369" i="43"/>
  <c r="P369" i="43"/>
  <c r="Q369" i="43"/>
  <c r="R369" i="43"/>
  <c r="S369" i="43"/>
  <c r="T369" i="43"/>
  <c r="U369" i="43"/>
  <c r="V369" i="43"/>
  <c r="W369" i="43"/>
  <c r="X369" i="43"/>
  <c r="Y369" i="43"/>
  <c r="Z369" i="43"/>
  <c r="AA369" i="43"/>
  <c r="AB369" i="43"/>
  <c r="AC369" i="43"/>
  <c r="C369" i="43"/>
  <c r="D355" i="43"/>
  <c r="D320" i="43" s="1"/>
  <c r="E355" i="43"/>
  <c r="E320" i="43" s="1"/>
  <c r="F355" i="43"/>
  <c r="F320" i="43" s="1"/>
  <c r="G355" i="43"/>
  <c r="G320" i="43" s="1"/>
  <c r="H355" i="43"/>
  <c r="H320" i="43" s="1"/>
  <c r="I355" i="43"/>
  <c r="I320" i="43" s="1"/>
  <c r="J355" i="43"/>
  <c r="J320" i="43" s="1"/>
  <c r="K355" i="43"/>
  <c r="K320" i="43" s="1"/>
  <c r="L355" i="43"/>
  <c r="L320" i="43" s="1"/>
  <c r="M355" i="43"/>
  <c r="M320" i="43" s="1"/>
  <c r="N355" i="43"/>
  <c r="N320" i="43" s="1"/>
  <c r="O355" i="43"/>
  <c r="O320" i="43" s="1"/>
  <c r="P355" i="43"/>
  <c r="P320" i="43" s="1"/>
  <c r="Q355" i="43"/>
  <c r="Q320" i="43" s="1"/>
  <c r="R355" i="43"/>
  <c r="R320" i="43" s="1"/>
  <c r="S355" i="43"/>
  <c r="S320" i="43" s="1"/>
  <c r="T355" i="43"/>
  <c r="T320" i="43" s="1"/>
  <c r="U355" i="43"/>
  <c r="U320" i="43" s="1"/>
  <c r="V355" i="43"/>
  <c r="V320" i="43" s="1"/>
  <c r="W355" i="43"/>
  <c r="W320" i="43" s="1"/>
  <c r="X355" i="43"/>
  <c r="X320" i="43" s="1"/>
  <c r="Y355" i="43"/>
  <c r="Y320" i="43" s="1"/>
  <c r="Z355" i="43"/>
  <c r="Z320" i="43" s="1"/>
  <c r="AA355" i="43"/>
  <c r="AA320" i="43" s="1"/>
  <c r="AB355" i="43"/>
  <c r="AB320" i="43" s="1"/>
  <c r="AC355" i="43"/>
  <c r="AC320" i="43" s="1"/>
  <c r="C355" i="43"/>
  <c r="C320" i="43" s="1"/>
  <c r="C211" i="43"/>
  <c r="D211" i="43"/>
  <c r="E211" i="43"/>
  <c r="F211" i="43"/>
  <c r="G211" i="43"/>
  <c r="H211" i="43"/>
  <c r="I211" i="43"/>
  <c r="J211" i="43"/>
  <c r="K211" i="43"/>
  <c r="L211" i="43"/>
  <c r="M211" i="43"/>
  <c r="N211" i="43"/>
  <c r="O211" i="43"/>
  <c r="P211" i="43"/>
  <c r="Q211" i="43"/>
  <c r="R211" i="43"/>
  <c r="S211" i="43"/>
  <c r="T211" i="43"/>
  <c r="U211" i="43"/>
  <c r="V211" i="43"/>
  <c r="W211" i="43"/>
  <c r="X211" i="43"/>
  <c r="Y211" i="43"/>
  <c r="Z211" i="43"/>
  <c r="AA211" i="43"/>
  <c r="AB211" i="43"/>
  <c r="B211" i="43"/>
  <c r="C178" i="43"/>
  <c r="D178" i="43"/>
  <c r="E178" i="43"/>
  <c r="F178" i="43"/>
  <c r="G178" i="43"/>
  <c r="H178" i="43"/>
  <c r="I178" i="43"/>
  <c r="J178" i="43"/>
  <c r="K178" i="43"/>
  <c r="L178" i="43"/>
  <c r="M178" i="43"/>
  <c r="N178" i="43"/>
  <c r="O178" i="43"/>
  <c r="P178" i="43"/>
  <c r="Q178" i="43"/>
  <c r="R178" i="43"/>
  <c r="S178" i="43"/>
  <c r="T178" i="43"/>
  <c r="U178" i="43"/>
  <c r="V178" i="43"/>
  <c r="W178" i="43"/>
  <c r="X178" i="43"/>
  <c r="Y178" i="43"/>
  <c r="Z178" i="43"/>
  <c r="AA178" i="43"/>
  <c r="AB178" i="43"/>
  <c r="B178" i="43"/>
  <c r="D136" i="43"/>
  <c r="E136" i="43"/>
  <c r="F136" i="43"/>
  <c r="G136" i="43"/>
  <c r="H136" i="43"/>
  <c r="I136" i="43"/>
  <c r="J136" i="43"/>
  <c r="K136" i="43"/>
  <c r="L136" i="43"/>
  <c r="M136" i="43"/>
  <c r="N136" i="43"/>
  <c r="O136" i="43"/>
  <c r="P136" i="43"/>
  <c r="Q136" i="43"/>
  <c r="R136" i="43"/>
  <c r="S136" i="43"/>
  <c r="T136" i="43"/>
  <c r="U136" i="43"/>
  <c r="V136" i="43"/>
  <c r="W136" i="43"/>
  <c r="X136" i="43"/>
  <c r="Y136" i="43"/>
  <c r="Z136" i="43"/>
  <c r="AA136" i="43"/>
  <c r="AB136" i="43"/>
  <c r="AC136" i="43"/>
  <c r="C136" i="43"/>
  <c r="D120" i="43"/>
  <c r="E120" i="43"/>
  <c r="F120" i="43"/>
  <c r="G120" i="43"/>
  <c r="H120" i="43"/>
  <c r="I120" i="43"/>
  <c r="J120" i="43"/>
  <c r="K120" i="43"/>
  <c r="L120" i="43"/>
  <c r="M120" i="43"/>
  <c r="N120" i="43"/>
  <c r="O120" i="43"/>
  <c r="P120" i="43"/>
  <c r="Q120" i="43"/>
  <c r="R120" i="43"/>
  <c r="S120" i="43"/>
  <c r="T120" i="43"/>
  <c r="U120" i="43"/>
  <c r="V120" i="43"/>
  <c r="W120" i="43"/>
  <c r="X120" i="43"/>
  <c r="Y120" i="43"/>
  <c r="Z120" i="43"/>
  <c r="AA120" i="43"/>
  <c r="AB120" i="43"/>
  <c r="AC120" i="43"/>
  <c r="C120" i="43"/>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F48" i="59"/>
  <c r="D158" i="59"/>
  <c r="E158" i="59"/>
  <c r="F158" i="59"/>
  <c r="G158" i="59"/>
  <c r="H158" i="59"/>
  <c r="I158" i="59"/>
  <c r="J158" i="59"/>
  <c r="K158" i="59"/>
  <c r="L158" i="59"/>
  <c r="M158" i="59"/>
  <c r="N158" i="59"/>
  <c r="O158" i="59"/>
  <c r="P158" i="59"/>
  <c r="Q158" i="59"/>
  <c r="R158" i="59"/>
  <c r="S158" i="59"/>
  <c r="T158" i="59"/>
  <c r="U158" i="59"/>
  <c r="V158" i="59"/>
  <c r="W158" i="59"/>
  <c r="X158" i="59"/>
  <c r="Y158" i="59"/>
  <c r="Z158" i="59"/>
  <c r="AA158" i="59"/>
  <c r="AB158" i="59"/>
  <c r="AC158" i="59"/>
  <c r="C158" i="59"/>
  <c r="C122" i="43"/>
  <c r="C123" i="43"/>
  <c r="C124" i="43"/>
  <c r="C125" i="43"/>
  <c r="C126" i="43"/>
  <c r="C127" i="43"/>
  <c r="C148" i="43"/>
  <c r="E307" i="43" s="1"/>
  <c r="C121" i="43"/>
  <c r="C139" i="43" s="1"/>
  <c r="E315" i="43" s="1"/>
  <c r="D212" i="43"/>
  <c r="AC179" i="43"/>
  <c r="B179" i="43"/>
  <c r="F149" i="43"/>
  <c r="G149" i="43"/>
  <c r="H149" i="43"/>
  <c r="I149" i="43"/>
  <c r="J149" i="43"/>
  <c r="K149" i="43"/>
  <c r="L149" i="43"/>
  <c r="M149" i="43"/>
  <c r="N149" i="43"/>
  <c r="O149" i="43"/>
  <c r="P149" i="43"/>
  <c r="Q149" i="43"/>
  <c r="R149" i="43"/>
  <c r="S149" i="43"/>
  <c r="T149" i="43"/>
  <c r="U149" i="43"/>
  <c r="V149" i="43"/>
  <c r="W149" i="43"/>
  <c r="X149" i="43"/>
  <c r="Y149" i="43"/>
  <c r="Z149" i="43"/>
  <c r="AA149" i="43"/>
  <c r="AB149" i="43"/>
  <c r="AC149" i="43"/>
  <c r="D149" i="43"/>
  <c r="E149" i="43"/>
  <c r="A13" i="43"/>
  <c r="E304" i="43" l="1"/>
  <c r="E305" i="43"/>
  <c r="E306" i="43"/>
  <c r="E314" i="43"/>
  <c r="C340" i="43" s="1"/>
  <c r="C372" i="43" s="1"/>
  <c r="E313" i="43"/>
  <c r="C339" i="43" s="1"/>
  <c r="C358" i="43" s="1"/>
  <c r="F112" i="61"/>
  <c r="V6" i="58"/>
  <c r="AB6" i="58"/>
  <c r="T6" i="58"/>
  <c r="L6" i="58"/>
  <c r="AA6" i="58"/>
  <c r="S6" i="58"/>
  <c r="K6" i="58"/>
  <c r="U6" i="58"/>
  <c r="Z6" i="58"/>
  <c r="R6" i="58"/>
  <c r="J6" i="58"/>
  <c r="F6" i="58"/>
  <c r="AC6" i="58"/>
  <c r="Y6" i="58"/>
  <c r="Q6" i="58"/>
  <c r="I6" i="58"/>
  <c r="X6" i="58"/>
  <c r="P6" i="58"/>
  <c r="H6" i="58"/>
  <c r="AD6" i="58"/>
  <c r="N6" i="58"/>
  <c r="M6" i="58"/>
  <c r="E6" i="58"/>
  <c r="W6" i="58"/>
  <c r="O6" i="58"/>
  <c r="G6" i="58"/>
  <c r="Z24" i="60"/>
  <c r="Y26" i="60"/>
  <c r="Y25" i="60"/>
  <c r="G23" i="60"/>
  <c r="D112" i="61"/>
  <c r="W25" i="58"/>
  <c r="V113" i="61"/>
  <c r="AD85" i="61"/>
  <c r="AC83" i="61"/>
  <c r="AB112" i="61"/>
  <c r="C130" i="43"/>
  <c r="C356" i="43" s="1"/>
  <c r="C467" i="43"/>
  <c r="C569" i="43"/>
  <c r="Y421" i="43"/>
  <c r="Y408" i="43" s="1"/>
  <c r="Y399" i="43"/>
  <c r="Q421" i="43"/>
  <c r="Q408" i="43" s="1"/>
  <c r="Q399" i="43"/>
  <c r="X421" i="43"/>
  <c r="X408" i="43" s="1"/>
  <c r="X399" i="43"/>
  <c r="P421" i="43"/>
  <c r="P408" i="43" s="1"/>
  <c r="P399" i="43"/>
  <c r="H421" i="43"/>
  <c r="H466" i="43" s="1"/>
  <c r="H399" i="43"/>
  <c r="I421" i="43"/>
  <c r="I408" i="43" s="1"/>
  <c r="I399" i="43"/>
  <c r="W421" i="43"/>
  <c r="W408" i="43" s="1"/>
  <c r="W399" i="43"/>
  <c r="O421" i="43"/>
  <c r="O408" i="43" s="1"/>
  <c r="O399" i="43"/>
  <c r="G421" i="43"/>
  <c r="G408" i="43" s="1"/>
  <c r="G399" i="43"/>
  <c r="V421" i="43"/>
  <c r="V408" i="43" s="1"/>
  <c r="V399" i="43"/>
  <c r="N421" i="43"/>
  <c r="N408" i="43" s="1"/>
  <c r="N399" i="43"/>
  <c r="AC421" i="43"/>
  <c r="AC408" i="43" s="1"/>
  <c r="AC399" i="43"/>
  <c r="U421" i="43"/>
  <c r="U408" i="43" s="1"/>
  <c r="U399" i="43"/>
  <c r="M421" i="43"/>
  <c r="M466" i="43" s="1"/>
  <c r="M399" i="43"/>
  <c r="E421" i="43"/>
  <c r="E408" i="43" s="1"/>
  <c r="E399" i="43"/>
  <c r="AB421" i="43"/>
  <c r="AB466" i="43" s="1"/>
  <c r="AB399" i="43"/>
  <c r="T421" i="43"/>
  <c r="T466" i="43" s="1"/>
  <c r="T399" i="43"/>
  <c r="L421" i="43"/>
  <c r="L408" i="43" s="1"/>
  <c r="L399" i="43"/>
  <c r="D421" i="43"/>
  <c r="D408" i="43" s="1"/>
  <c r="D399" i="43"/>
  <c r="C421" i="43"/>
  <c r="C408" i="43" s="1"/>
  <c r="C399" i="43"/>
  <c r="AA421" i="43"/>
  <c r="AA466" i="43" s="1"/>
  <c r="AA399" i="43"/>
  <c r="S421" i="43"/>
  <c r="S408" i="43" s="1"/>
  <c r="S399" i="43"/>
  <c r="K421" i="43"/>
  <c r="K408" i="43" s="1"/>
  <c r="K399" i="43"/>
  <c r="F421" i="43"/>
  <c r="F408" i="43" s="1"/>
  <c r="F399" i="43"/>
  <c r="Z421" i="43"/>
  <c r="Z408" i="43" s="1"/>
  <c r="Z399" i="43"/>
  <c r="R421" i="43"/>
  <c r="R408" i="43" s="1"/>
  <c r="R399" i="43"/>
  <c r="J421" i="43"/>
  <c r="J408" i="43" s="1"/>
  <c r="J399" i="43"/>
  <c r="C391" i="43"/>
  <c r="E20" i="60"/>
  <c r="E21" i="60"/>
  <c r="E22" i="60"/>
  <c r="A20" i="60"/>
  <c r="A53" i="60" s="1"/>
  <c r="A18" i="60"/>
  <c r="A51" i="60" s="1"/>
  <c r="A19" i="60"/>
  <c r="A52" i="60" s="1"/>
  <c r="A17" i="60"/>
  <c r="A50" i="60" s="1"/>
  <c r="A9" i="60"/>
  <c r="A42" i="60" s="1"/>
  <c r="A10" i="60"/>
  <c r="A43" i="60" s="1"/>
  <c r="A11" i="60"/>
  <c r="A44" i="60" s="1"/>
  <c r="A12" i="60"/>
  <c r="A45" i="60" s="1"/>
  <c r="A14" i="60"/>
  <c r="A47" i="60" s="1"/>
  <c r="A15" i="60"/>
  <c r="A48" i="60" s="1"/>
  <c r="A16" i="60"/>
  <c r="A49" i="60" s="1"/>
  <c r="A8" i="60"/>
  <c r="A41" i="60" s="1"/>
  <c r="A7" i="60"/>
  <c r="A40" i="60" s="1"/>
  <c r="D4" i="60"/>
  <c r="B169" i="43"/>
  <c r="C362" i="43" s="1"/>
  <c r="C169" i="43"/>
  <c r="C376" i="43" s="1"/>
  <c r="A12" i="43"/>
  <c r="A8" i="43"/>
  <c r="A11" i="43"/>
  <c r="A7" i="43"/>
  <c r="A5" i="43"/>
  <c r="A6" i="43"/>
  <c r="A4" i="43"/>
  <c r="C232" i="59"/>
  <c r="D229" i="59" s="1"/>
  <c r="A66" i="59"/>
  <c r="A114" i="59" s="1"/>
  <c r="AD110" i="61"/>
  <c r="AC110" i="61"/>
  <c r="AB110" i="61"/>
  <c r="AA110" i="61"/>
  <c r="Z110" i="61"/>
  <c r="Y110" i="61"/>
  <c r="X110" i="61"/>
  <c r="W110" i="61"/>
  <c r="V110" i="61"/>
  <c r="U110" i="61"/>
  <c r="T110" i="61"/>
  <c r="S110" i="61"/>
  <c r="R110" i="61"/>
  <c r="Q110" i="61"/>
  <c r="P110" i="61"/>
  <c r="O110" i="61"/>
  <c r="N110" i="61"/>
  <c r="M110" i="61"/>
  <c r="L110" i="61"/>
  <c r="K110" i="61"/>
  <c r="J110" i="61"/>
  <c r="I110" i="61"/>
  <c r="H110" i="61"/>
  <c r="G110" i="61"/>
  <c r="F110" i="61"/>
  <c r="E110" i="61"/>
  <c r="A64" i="59"/>
  <c r="A112" i="59" s="1"/>
  <c r="AD109" i="61"/>
  <c r="AC109" i="61"/>
  <c r="AB109" i="61"/>
  <c r="AA109" i="61"/>
  <c r="Z109" i="61"/>
  <c r="Y109" i="61"/>
  <c r="X109" i="61"/>
  <c r="W109" i="61"/>
  <c r="V109" i="61"/>
  <c r="U109" i="61"/>
  <c r="T109" i="61"/>
  <c r="S109" i="61"/>
  <c r="R109" i="61"/>
  <c r="Q109" i="61"/>
  <c r="P109" i="61"/>
  <c r="O109" i="61"/>
  <c r="N109" i="61"/>
  <c r="M109" i="61"/>
  <c r="L109" i="61"/>
  <c r="K109" i="61"/>
  <c r="J109" i="61"/>
  <c r="I109" i="61"/>
  <c r="H109" i="61"/>
  <c r="G109" i="61"/>
  <c r="F109" i="61"/>
  <c r="E109" i="61"/>
  <c r="A63" i="59"/>
  <c r="A111" i="59" s="1"/>
  <c r="AD108" i="61"/>
  <c r="AC108" i="61"/>
  <c r="AB108" i="61"/>
  <c r="AA108" i="61"/>
  <c r="Z108" i="61"/>
  <c r="Y108" i="61"/>
  <c r="X108" i="61"/>
  <c r="W108" i="61"/>
  <c r="V108" i="61"/>
  <c r="U108" i="61"/>
  <c r="T108" i="61"/>
  <c r="S108" i="61"/>
  <c r="R108" i="61"/>
  <c r="Q108" i="61"/>
  <c r="P108" i="61"/>
  <c r="O108" i="61"/>
  <c r="N108" i="61"/>
  <c r="M108" i="61"/>
  <c r="L108" i="61"/>
  <c r="K108" i="61"/>
  <c r="J108" i="61"/>
  <c r="I108" i="61"/>
  <c r="H108" i="61"/>
  <c r="G108" i="61"/>
  <c r="F108" i="61"/>
  <c r="E108" i="61"/>
  <c r="A62" i="59"/>
  <c r="A110" i="59" s="1"/>
  <c r="C60" i="59"/>
  <c r="A60" i="59"/>
  <c r="A108" i="59" s="1"/>
  <c r="C59" i="59"/>
  <c r="A59" i="59"/>
  <c r="A107" i="59" s="1"/>
  <c r="C58" i="59"/>
  <c r="A58" i="59"/>
  <c r="A106" i="59" s="1"/>
  <c r="A56" i="59"/>
  <c r="A104" i="59" s="1"/>
  <c r="A55" i="59"/>
  <c r="A103" i="59" s="1"/>
  <c r="A54" i="59"/>
  <c r="A102" i="59" s="1"/>
  <c r="AD100" i="61"/>
  <c r="AC100" i="61"/>
  <c r="AB100" i="61"/>
  <c r="AA100" i="61"/>
  <c r="Z100" i="61"/>
  <c r="Y100" i="61"/>
  <c r="X100" i="61"/>
  <c r="W100" i="61"/>
  <c r="V100" i="61"/>
  <c r="U100" i="61"/>
  <c r="T100" i="61"/>
  <c r="S100" i="61"/>
  <c r="R100" i="61"/>
  <c r="Q100" i="61"/>
  <c r="P100" i="61"/>
  <c r="O100" i="61"/>
  <c r="N100" i="61"/>
  <c r="M100" i="61"/>
  <c r="L100" i="61"/>
  <c r="K100" i="61"/>
  <c r="J100" i="61"/>
  <c r="I100" i="61"/>
  <c r="H100" i="61"/>
  <c r="G100" i="61"/>
  <c r="F100" i="61"/>
  <c r="E100" i="61"/>
  <c r="A53" i="59"/>
  <c r="A101" i="59" s="1"/>
  <c r="AD99" i="61"/>
  <c r="AC99" i="61"/>
  <c r="AB99" i="61"/>
  <c r="AA99" i="61"/>
  <c r="Z99" i="61"/>
  <c r="Y99" i="61"/>
  <c r="X99" i="61"/>
  <c r="W99" i="61"/>
  <c r="V99" i="61"/>
  <c r="U99" i="61"/>
  <c r="T99" i="61"/>
  <c r="S99" i="61"/>
  <c r="R99" i="61"/>
  <c r="Q99" i="61"/>
  <c r="P99" i="61"/>
  <c r="O99" i="61"/>
  <c r="N99" i="61"/>
  <c r="M99" i="61"/>
  <c r="L99" i="61"/>
  <c r="K99" i="61"/>
  <c r="J99" i="61"/>
  <c r="I99" i="61"/>
  <c r="H99" i="61"/>
  <c r="G99" i="61"/>
  <c r="F99" i="61"/>
  <c r="E99" i="61"/>
  <c r="A52" i="59"/>
  <c r="A100" i="59" s="1"/>
  <c r="A50" i="59"/>
  <c r="A98" i="59" s="1"/>
  <c r="C9" i="59"/>
  <c r="B9" i="59"/>
  <c r="AA107" i="61"/>
  <c r="M50" i="58"/>
  <c r="F306" i="43" l="1"/>
  <c r="C349" i="43"/>
  <c r="C389" i="43" s="1"/>
  <c r="F305" i="43"/>
  <c r="C348" i="43"/>
  <c r="C375" i="43" s="1"/>
  <c r="F304" i="43"/>
  <c r="C347" i="43"/>
  <c r="C361" i="43" s="1"/>
  <c r="C341" i="43"/>
  <c r="F313" i="43"/>
  <c r="F314" i="43"/>
  <c r="F22" i="60"/>
  <c r="E55" i="60"/>
  <c r="H23" i="60"/>
  <c r="F20" i="60"/>
  <c r="E53" i="60"/>
  <c r="Z25" i="60"/>
  <c r="F21" i="60"/>
  <c r="E54" i="60"/>
  <c r="Z26" i="60"/>
  <c r="AA24" i="60"/>
  <c r="D3" i="61"/>
  <c r="D37" i="60"/>
  <c r="X25" i="58"/>
  <c r="W113" i="61"/>
  <c r="B105" i="61"/>
  <c r="B76" i="61"/>
  <c r="B82" i="61"/>
  <c r="B111" i="61"/>
  <c r="B81" i="61"/>
  <c r="B110" i="61"/>
  <c r="B80" i="61"/>
  <c r="B109" i="61"/>
  <c r="B74" i="61"/>
  <c r="B103" i="61"/>
  <c r="B73" i="61"/>
  <c r="B102" i="61"/>
  <c r="AD83" i="61"/>
  <c r="AC112" i="61"/>
  <c r="B107" i="61"/>
  <c r="B78" i="61"/>
  <c r="B106" i="61"/>
  <c r="B77" i="61"/>
  <c r="B72" i="61"/>
  <c r="B101" i="61"/>
  <c r="B69" i="61"/>
  <c r="B98" i="61"/>
  <c r="B71" i="61"/>
  <c r="B100" i="61"/>
  <c r="B99" i="61"/>
  <c r="B70" i="61"/>
  <c r="B79" i="61"/>
  <c r="B108" i="61"/>
  <c r="H408" i="43"/>
  <c r="Y466" i="43"/>
  <c r="Y568" i="43" s="1"/>
  <c r="Y578" i="43" s="1"/>
  <c r="AA408" i="43"/>
  <c r="U466" i="43"/>
  <c r="U568" i="43" s="1"/>
  <c r="U578" i="43" s="1"/>
  <c r="T408" i="43"/>
  <c r="AC466" i="43"/>
  <c r="AC568" i="43" s="1"/>
  <c r="AC578" i="43" s="1"/>
  <c r="Z466" i="43"/>
  <c r="Z568" i="43" s="1"/>
  <c r="Z578" i="43" s="1"/>
  <c r="G466" i="43"/>
  <c r="G589" i="43" s="1"/>
  <c r="G602" i="43" s="1"/>
  <c r="O466" i="43"/>
  <c r="O568" i="43" s="1"/>
  <c r="O578" i="43" s="1"/>
  <c r="F466" i="43"/>
  <c r="F568" i="43" s="1"/>
  <c r="F578" i="43" s="1"/>
  <c r="AB408" i="43"/>
  <c r="E466" i="43"/>
  <c r="E568" i="43" s="1"/>
  <c r="E578" i="43" s="1"/>
  <c r="C466" i="43"/>
  <c r="C568" i="43" s="1"/>
  <c r="C578" i="43" s="1"/>
  <c r="P466" i="43"/>
  <c r="P589" i="43" s="1"/>
  <c r="P602" i="43" s="1"/>
  <c r="I466" i="43"/>
  <c r="I589" i="43" s="1"/>
  <c r="I602" i="43" s="1"/>
  <c r="M568" i="43"/>
  <c r="M578" i="43" s="1"/>
  <c r="M589" i="43"/>
  <c r="M602" i="43" s="1"/>
  <c r="M408" i="43"/>
  <c r="T568" i="43"/>
  <c r="T578" i="43" s="1"/>
  <c r="T589" i="43"/>
  <c r="T602" i="43" s="1"/>
  <c r="AA568" i="43"/>
  <c r="AA578" i="43" s="1"/>
  <c r="AA589" i="43"/>
  <c r="AA602" i="43" s="1"/>
  <c r="V466" i="43"/>
  <c r="Q466" i="43"/>
  <c r="L466" i="43"/>
  <c r="AC571" i="43"/>
  <c r="AC572" i="43" s="1"/>
  <c r="U571" i="43"/>
  <c r="U572" i="43" s="1"/>
  <c r="M571" i="43"/>
  <c r="M572" i="43" s="1"/>
  <c r="E571" i="43"/>
  <c r="E572" i="43" s="1"/>
  <c r="F571" i="43"/>
  <c r="F572" i="43" s="1"/>
  <c r="V571" i="43"/>
  <c r="V572" i="43" s="1"/>
  <c r="N571" i="43"/>
  <c r="N572" i="43" s="1"/>
  <c r="D571" i="43"/>
  <c r="AB571" i="43"/>
  <c r="AB572" i="43" s="1"/>
  <c r="Y571" i="43"/>
  <c r="Y572" i="43" s="1"/>
  <c r="K571" i="43"/>
  <c r="K572" i="43" s="1"/>
  <c r="X571" i="43"/>
  <c r="X572" i="43" s="1"/>
  <c r="O571" i="43"/>
  <c r="O572" i="43" s="1"/>
  <c r="AA571" i="43"/>
  <c r="AA572" i="43" s="1"/>
  <c r="H571" i="43"/>
  <c r="H572" i="43" s="1"/>
  <c r="Z571" i="43"/>
  <c r="Z572" i="43" s="1"/>
  <c r="T571" i="43"/>
  <c r="T572" i="43" s="1"/>
  <c r="G571" i="43"/>
  <c r="G572" i="43" s="1"/>
  <c r="W571" i="43"/>
  <c r="W572" i="43" s="1"/>
  <c r="S571" i="43"/>
  <c r="S572" i="43" s="1"/>
  <c r="R571" i="43"/>
  <c r="R572" i="43" s="1"/>
  <c r="L571" i="43"/>
  <c r="L572" i="43" s="1"/>
  <c r="P571" i="43"/>
  <c r="P572" i="43" s="1"/>
  <c r="J571" i="43"/>
  <c r="J572" i="43" s="1"/>
  <c r="I571" i="43"/>
  <c r="I572" i="43" s="1"/>
  <c r="Q571" i="43"/>
  <c r="Q572" i="43" s="1"/>
  <c r="H568" i="43"/>
  <c r="H578" i="43" s="1"/>
  <c r="H589" i="43"/>
  <c r="H602" i="43" s="1"/>
  <c r="AB568" i="43"/>
  <c r="AB578" i="43" s="1"/>
  <c r="AB589" i="43"/>
  <c r="AB602" i="43" s="1"/>
  <c r="E469" i="43"/>
  <c r="E470" i="43" s="1"/>
  <c r="D469" i="43"/>
  <c r="D470" i="43" s="1"/>
  <c r="AA469" i="43"/>
  <c r="AA470" i="43" s="1"/>
  <c r="Q469" i="43"/>
  <c r="Q470" i="43" s="1"/>
  <c r="Z469" i="43"/>
  <c r="Z470" i="43" s="1"/>
  <c r="M469" i="43"/>
  <c r="M470" i="43" s="1"/>
  <c r="X469" i="43"/>
  <c r="X470" i="43" s="1"/>
  <c r="T469" i="43"/>
  <c r="T470" i="43" s="1"/>
  <c r="Y469" i="43"/>
  <c r="Y470" i="43" s="1"/>
  <c r="K469" i="43"/>
  <c r="K470" i="43" s="1"/>
  <c r="W469" i="43"/>
  <c r="W470" i="43" s="1"/>
  <c r="V469" i="43"/>
  <c r="V470" i="43" s="1"/>
  <c r="R469" i="43"/>
  <c r="R470" i="43" s="1"/>
  <c r="G469" i="43"/>
  <c r="G470" i="43" s="1"/>
  <c r="L469" i="43"/>
  <c r="L470" i="43" s="1"/>
  <c r="O469" i="43"/>
  <c r="O470" i="43" s="1"/>
  <c r="J469" i="43"/>
  <c r="J470" i="43" s="1"/>
  <c r="I469" i="43"/>
  <c r="I470" i="43" s="1"/>
  <c r="P469" i="43"/>
  <c r="P470" i="43" s="1"/>
  <c r="U469" i="43"/>
  <c r="U470" i="43" s="1"/>
  <c r="N469" i="43"/>
  <c r="N470" i="43" s="1"/>
  <c r="AC469" i="43"/>
  <c r="AC470" i="43" s="1"/>
  <c r="S469" i="43"/>
  <c r="S470" i="43" s="1"/>
  <c r="H469" i="43"/>
  <c r="H470" i="43" s="1"/>
  <c r="AB469" i="43"/>
  <c r="AB470" i="43" s="1"/>
  <c r="F469" i="43"/>
  <c r="F470" i="43" s="1"/>
  <c r="D466" i="43"/>
  <c r="X466" i="43"/>
  <c r="J466" i="43"/>
  <c r="K466" i="43"/>
  <c r="N466" i="43"/>
  <c r="W466" i="43"/>
  <c r="R466" i="43"/>
  <c r="S466" i="43"/>
  <c r="E362" i="43"/>
  <c r="D98" i="61"/>
  <c r="E53" i="59"/>
  <c r="B71" i="43" s="1"/>
  <c r="E64" i="59"/>
  <c r="B98" i="43" s="1"/>
  <c r="E52" i="59"/>
  <c r="B70" i="43" s="1"/>
  <c r="E62" i="59"/>
  <c r="B96" i="43" s="1"/>
  <c r="E63" i="59"/>
  <c r="B97" i="43" s="1"/>
  <c r="D224" i="59"/>
  <c r="D230" i="59"/>
  <c r="D231" i="59"/>
  <c r="F101" i="61"/>
  <c r="D222" i="59"/>
  <c r="E107" i="61"/>
  <c r="D223" i="59"/>
  <c r="D225" i="59"/>
  <c r="D226" i="59"/>
  <c r="D227" i="59"/>
  <c r="D228" i="59"/>
  <c r="W101" i="61"/>
  <c r="AB101" i="61"/>
  <c r="AC102" i="61"/>
  <c r="M107" i="61"/>
  <c r="J102" i="61"/>
  <c r="K103" i="61"/>
  <c r="AA103" i="61"/>
  <c r="O106" i="61"/>
  <c r="W106" i="61"/>
  <c r="G101" i="61"/>
  <c r="M102" i="61"/>
  <c r="I105" i="61"/>
  <c r="U107" i="61"/>
  <c r="L101" i="61"/>
  <c r="R102" i="61"/>
  <c r="Q105" i="61"/>
  <c r="AC107" i="61"/>
  <c r="O101" i="61"/>
  <c r="U102" i="61"/>
  <c r="Y105" i="61"/>
  <c r="T101" i="61"/>
  <c r="Z102" i="61"/>
  <c r="G106" i="61"/>
  <c r="E102" i="61"/>
  <c r="S103" i="61"/>
  <c r="N101" i="61"/>
  <c r="V101" i="61"/>
  <c r="AD101" i="61"/>
  <c r="L102" i="61"/>
  <c r="T102" i="61"/>
  <c r="AB102" i="61"/>
  <c r="J103" i="61"/>
  <c r="R103" i="61"/>
  <c r="Z103" i="61"/>
  <c r="H105" i="61"/>
  <c r="P105" i="61"/>
  <c r="X105" i="61"/>
  <c r="F106" i="61"/>
  <c r="N106" i="61"/>
  <c r="V106" i="61"/>
  <c r="AD106" i="61"/>
  <c r="L107" i="61"/>
  <c r="T107" i="61"/>
  <c r="AB107" i="61"/>
  <c r="H101" i="61"/>
  <c r="P101" i="61"/>
  <c r="X101" i="61"/>
  <c r="F102" i="61"/>
  <c r="N102" i="61"/>
  <c r="V102" i="61"/>
  <c r="AD102" i="61"/>
  <c r="L103" i="61"/>
  <c r="T103" i="61"/>
  <c r="AB103" i="61"/>
  <c r="J105" i="61"/>
  <c r="R105" i="61"/>
  <c r="Z105" i="61"/>
  <c r="H106" i="61"/>
  <c r="P106" i="61"/>
  <c r="X106" i="61"/>
  <c r="F107" i="61"/>
  <c r="N107" i="61"/>
  <c r="V107" i="61"/>
  <c r="AD107" i="61"/>
  <c r="I101" i="61"/>
  <c r="Q101" i="61"/>
  <c r="Y101" i="61"/>
  <c r="G102" i="61"/>
  <c r="O102" i="61"/>
  <c r="W102" i="61"/>
  <c r="E103" i="61"/>
  <c r="M103" i="61"/>
  <c r="U103" i="61"/>
  <c r="AC103" i="61"/>
  <c r="K105" i="61"/>
  <c r="S105" i="61"/>
  <c r="AA105" i="61"/>
  <c r="I106" i="61"/>
  <c r="Q106" i="61"/>
  <c r="Y106" i="61"/>
  <c r="G107" i="61"/>
  <c r="O107" i="61"/>
  <c r="W107" i="61"/>
  <c r="J101" i="61"/>
  <c r="R101" i="61"/>
  <c r="Z101" i="61"/>
  <c r="H102" i="61"/>
  <c r="P102" i="61"/>
  <c r="X102" i="61"/>
  <c r="F103" i="61"/>
  <c r="N103" i="61"/>
  <c r="V103" i="61"/>
  <c r="AD103" i="61"/>
  <c r="L105" i="61"/>
  <c r="T105" i="61"/>
  <c r="AB105" i="61"/>
  <c r="J106" i="61"/>
  <c r="R106" i="61"/>
  <c r="Z106" i="61"/>
  <c r="H107" i="61"/>
  <c r="P107" i="61"/>
  <c r="X107" i="61"/>
  <c r="K101" i="61"/>
  <c r="S101" i="61"/>
  <c r="AA101" i="61"/>
  <c r="I102" i="61"/>
  <c r="Q102" i="61"/>
  <c r="Y102" i="61"/>
  <c r="G103" i="61"/>
  <c r="O103" i="61"/>
  <c r="W103" i="61"/>
  <c r="E105" i="61"/>
  <c r="M105" i="61"/>
  <c r="U105" i="61"/>
  <c r="AC105" i="61"/>
  <c r="K106" i="61"/>
  <c r="S106" i="61"/>
  <c r="AA106" i="61"/>
  <c r="I107" i="61"/>
  <c r="Q107" i="61"/>
  <c r="Y107" i="61"/>
  <c r="H103" i="61"/>
  <c r="P103" i="61"/>
  <c r="X103" i="61"/>
  <c r="F105" i="61"/>
  <c r="N105" i="61"/>
  <c r="V105" i="61"/>
  <c r="AD105" i="61"/>
  <c r="L106" i="61"/>
  <c r="T106" i="61"/>
  <c r="AB106" i="61"/>
  <c r="J107" i="61"/>
  <c r="R107" i="61"/>
  <c r="Z107" i="61"/>
  <c r="E101" i="61"/>
  <c r="M101" i="61"/>
  <c r="U101" i="61"/>
  <c r="AC101" i="61"/>
  <c r="K102" i="61"/>
  <c r="S102" i="61"/>
  <c r="AA102" i="61"/>
  <c r="I103" i="61"/>
  <c r="Q103" i="61"/>
  <c r="Y103" i="61"/>
  <c r="G105" i="61"/>
  <c r="O105" i="61"/>
  <c r="W105" i="61"/>
  <c r="E106" i="61"/>
  <c r="M106" i="61"/>
  <c r="U106" i="61"/>
  <c r="AC106" i="61"/>
  <c r="K107" i="61"/>
  <c r="S107" i="61"/>
  <c r="E23" i="58"/>
  <c r="E10" i="58"/>
  <c r="D139" i="43" s="1"/>
  <c r="D339" i="43" s="1"/>
  <c r="D358" i="43" s="1"/>
  <c r="F307" i="43" l="1"/>
  <c r="D347" i="43"/>
  <c r="D361" i="43" s="1"/>
  <c r="D348" i="43"/>
  <c r="D375" i="43" s="1"/>
  <c r="D349" i="43"/>
  <c r="D340" i="43"/>
  <c r="D372" i="43" s="1"/>
  <c r="D97" i="61"/>
  <c r="D34" i="61"/>
  <c r="D68" i="61"/>
  <c r="AA25" i="60"/>
  <c r="AB24" i="60"/>
  <c r="G20" i="60"/>
  <c r="F53" i="60"/>
  <c r="AA26" i="60"/>
  <c r="I23" i="60"/>
  <c r="G21" i="60"/>
  <c r="F54" i="60"/>
  <c r="G22" i="60"/>
  <c r="F55" i="60"/>
  <c r="Y25" i="58"/>
  <c r="X113" i="61"/>
  <c r="D99" i="61"/>
  <c r="D100" i="61"/>
  <c r="D110" i="61"/>
  <c r="D109" i="61"/>
  <c r="D108" i="61"/>
  <c r="AD112" i="61"/>
  <c r="U589" i="43"/>
  <c r="U602" i="43" s="1"/>
  <c r="C470" i="43"/>
  <c r="H580" i="43"/>
  <c r="H581" i="43" s="1"/>
  <c r="O580" i="43"/>
  <c r="O581" i="43" s="1"/>
  <c r="T580" i="43"/>
  <c r="T581" i="43" s="1"/>
  <c r="S580" i="43"/>
  <c r="S581" i="43" s="1"/>
  <c r="L580" i="43"/>
  <c r="L581" i="43" s="1"/>
  <c r="X580" i="43"/>
  <c r="X581" i="43" s="1"/>
  <c r="AC580" i="43"/>
  <c r="AC581" i="43" s="1"/>
  <c r="G580" i="43"/>
  <c r="G581" i="43" s="1"/>
  <c r="M580" i="43"/>
  <c r="M581" i="43" s="1"/>
  <c r="N580" i="43"/>
  <c r="N581" i="43" s="1"/>
  <c r="R580" i="43"/>
  <c r="R581" i="43" s="1"/>
  <c r="Z580" i="43"/>
  <c r="Z581" i="43" s="1"/>
  <c r="U580" i="43"/>
  <c r="U581" i="43" s="1"/>
  <c r="V580" i="43"/>
  <c r="V581" i="43" s="1"/>
  <c r="Q580" i="43"/>
  <c r="Q581" i="43" s="1"/>
  <c r="P580" i="43"/>
  <c r="P581" i="43" s="1"/>
  <c r="W580" i="43"/>
  <c r="W581" i="43" s="1"/>
  <c r="AA580" i="43"/>
  <c r="AA581" i="43" s="1"/>
  <c r="F580" i="43"/>
  <c r="F581" i="43" s="1"/>
  <c r="I580" i="43"/>
  <c r="I581" i="43" s="1"/>
  <c r="K580" i="43"/>
  <c r="K581" i="43" s="1"/>
  <c r="D580" i="43"/>
  <c r="D581" i="43" s="1"/>
  <c r="AB580" i="43"/>
  <c r="AB581" i="43" s="1"/>
  <c r="J580" i="43"/>
  <c r="J581" i="43" s="1"/>
  <c r="Y580" i="43"/>
  <c r="Y581" i="43" s="1"/>
  <c r="E580" i="43"/>
  <c r="E581" i="43" s="1"/>
  <c r="Y589" i="43"/>
  <c r="Y602" i="43" s="1"/>
  <c r="Z589" i="43"/>
  <c r="Z602" i="43" s="1"/>
  <c r="G568" i="43"/>
  <c r="G578" i="43" s="1"/>
  <c r="AC589" i="43"/>
  <c r="AC602" i="43" s="1"/>
  <c r="O589" i="43"/>
  <c r="O602" i="43" s="1"/>
  <c r="P568" i="43"/>
  <c r="P578" i="43" s="1"/>
  <c r="F589" i="43"/>
  <c r="F602" i="43" s="1"/>
  <c r="E589" i="43"/>
  <c r="E602" i="43" s="1"/>
  <c r="I568" i="43"/>
  <c r="I578" i="43" s="1"/>
  <c r="C589" i="43"/>
  <c r="C602" i="43" s="1"/>
  <c r="X568" i="43"/>
  <c r="X578" i="43" s="1"/>
  <c r="X589" i="43"/>
  <c r="X602" i="43" s="1"/>
  <c r="V568" i="43"/>
  <c r="V578" i="43" s="1"/>
  <c r="V589" i="43"/>
  <c r="V602" i="43" s="1"/>
  <c r="W568" i="43"/>
  <c r="W578" i="43" s="1"/>
  <c r="W589" i="43"/>
  <c r="W602" i="43" s="1"/>
  <c r="L568" i="43"/>
  <c r="L578" i="43" s="1"/>
  <c r="L589" i="43"/>
  <c r="L602" i="43" s="1"/>
  <c r="N568" i="43"/>
  <c r="N578" i="43" s="1"/>
  <c r="N589" i="43"/>
  <c r="N602" i="43" s="1"/>
  <c r="D568" i="43"/>
  <c r="D578" i="43" s="1"/>
  <c r="D589" i="43"/>
  <c r="D602" i="43" s="1"/>
  <c r="S568" i="43"/>
  <c r="S578" i="43" s="1"/>
  <c r="S589" i="43"/>
  <c r="S602" i="43" s="1"/>
  <c r="R568" i="43"/>
  <c r="R578" i="43" s="1"/>
  <c r="R589" i="43"/>
  <c r="R602" i="43" s="1"/>
  <c r="K568" i="43"/>
  <c r="K578" i="43" s="1"/>
  <c r="K589" i="43"/>
  <c r="K602" i="43" s="1"/>
  <c r="J568" i="43"/>
  <c r="J578" i="43" s="1"/>
  <c r="J589" i="43"/>
  <c r="J602" i="43" s="1"/>
  <c r="Q568" i="43"/>
  <c r="Q578" i="43" s="1"/>
  <c r="Q589" i="43"/>
  <c r="Q602" i="43" s="1"/>
  <c r="C469" i="43"/>
  <c r="C571" i="43"/>
  <c r="C572" i="43" s="1"/>
  <c r="D572" i="43"/>
  <c r="F23" i="58"/>
  <c r="E59" i="59"/>
  <c r="B77" i="43" s="1"/>
  <c r="E60" i="59"/>
  <c r="B78" i="43" s="1"/>
  <c r="E55" i="59"/>
  <c r="B73" i="43" s="1"/>
  <c r="E56" i="59"/>
  <c r="B74" i="43" s="1"/>
  <c r="E58" i="59"/>
  <c r="B76" i="43" s="1"/>
  <c r="E54" i="59"/>
  <c r="B72" i="43" s="1"/>
  <c r="F10" i="58"/>
  <c r="E139" i="43" s="1"/>
  <c r="J58" i="58"/>
  <c r="I58" i="58"/>
  <c r="H58" i="58"/>
  <c r="G58" i="58"/>
  <c r="F58" i="58"/>
  <c r="E58" i="58"/>
  <c r="D58" i="58"/>
  <c r="C58" i="58"/>
  <c r="A23" i="58"/>
  <c r="A21" i="58"/>
  <c r="A22" i="58"/>
  <c r="A20" i="58"/>
  <c r="A19" i="58"/>
  <c r="A18" i="58"/>
  <c r="A12" i="58"/>
  <c r="A13" i="58"/>
  <c r="A14" i="58"/>
  <c r="A15" i="58"/>
  <c r="A17" i="58"/>
  <c r="A11" i="58"/>
  <c r="A10" i="58"/>
  <c r="E340" i="43" l="1"/>
  <c r="E372" i="43" s="1"/>
  <c r="E339" i="43"/>
  <c r="E358" i="43" s="1"/>
  <c r="AB26" i="60"/>
  <c r="H22" i="60"/>
  <c r="G55" i="60"/>
  <c r="H20" i="60"/>
  <c r="G53" i="60"/>
  <c r="H21" i="60"/>
  <c r="G54" i="60"/>
  <c r="AC24" i="60"/>
  <c r="J23" i="60"/>
  <c r="AB25" i="60"/>
  <c r="B100" i="43"/>
  <c r="D96" i="43" s="1"/>
  <c r="Z25" i="58"/>
  <c r="Y113" i="61"/>
  <c r="D101" i="61"/>
  <c r="D105" i="61"/>
  <c r="D102" i="61"/>
  <c r="D103" i="61"/>
  <c r="D107" i="61"/>
  <c r="D106" i="61"/>
  <c r="K28" i="58"/>
  <c r="K115" i="61" s="1"/>
  <c r="K29" i="58"/>
  <c r="K116" i="61" s="1"/>
  <c r="H29" i="58"/>
  <c r="H116" i="61" s="1"/>
  <c r="H28" i="58"/>
  <c r="H115" i="61" s="1"/>
  <c r="G28" i="58"/>
  <c r="G115" i="61" s="1"/>
  <c r="G29" i="58"/>
  <c r="G116" i="61" s="1"/>
  <c r="AD29" i="58"/>
  <c r="AD116" i="61" s="1"/>
  <c r="AD28" i="58"/>
  <c r="AD115" i="61" s="1"/>
  <c r="U28" i="58"/>
  <c r="U115" i="61" s="1"/>
  <c r="U29" i="58"/>
  <c r="U116" i="61" s="1"/>
  <c r="J28" i="58"/>
  <c r="J115" i="61" s="1"/>
  <c r="J29" i="58"/>
  <c r="J116" i="61" s="1"/>
  <c r="F29" i="58"/>
  <c r="F116" i="61" s="1"/>
  <c r="F28" i="58"/>
  <c r="F115" i="61" s="1"/>
  <c r="E28" i="58"/>
  <c r="E115" i="61" s="1"/>
  <c r="E29" i="58"/>
  <c r="E116" i="61" s="1"/>
  <c r="AB28" i="58"/>
  <c r="AB115" i="61" s="1"/>
  <c r="AB29" i="58"/>
  <c r="AB116" i="61" s="1"/>
  <c r="W29" i="58"/>
  <c r="W116" i="61" s="1"/>
  <c r="W28" i="58"/>
  <c r="W115" i="61" s="1"/>
  <c r="O28" i="58"/>
  <c r="O115" i="61" s="1"/>
  <c r="O29" i="58"/>
  <c r="O116" i="61" s="1"/>
  <c r="Y29" i="58"/>
  <c r="Y116" i="61" s="1"/>
  <c r="Y28" i="58"/>
  <c r="Y115" i="61" s="1"/>
  <c r="P29" i="58"/>
  <c r="P116" i="61" s="1"/>
  <c r="P28" i="58"/>
  <c r="P115" i="61" s="1"/>
  <c r="Q29" i="58"/>
  <c r="Q116" i="61" s="1"/>
  <c r="Q28" i="58"/>
  <c r="Q115" i="61" s="1"/>
  <c r="R28" i="58"/>
  <c r="R115" i="61" s="1"/>
  <c r="R29" i="58"/>
  <c r="R116" i="61" s="1"/>
  <c r="AA28" i="58"/>
  <c r="AA115" i="61" s="1"/>
  <c r="AA29" i="58"/>
  <c r="AA116" i="61" s="1"/>
  <c r="S28" i="58"/>
  <c r="S115" i="61" s="1"/>
  <c r="S29" i="58"/>
  <c r="S116" i="61" s="1"/>
  <c r="Z28" i="58"/>
  <c r="Z115" i="61" s="1"/>
  <c r="Z29" i="58"/>
  <c r="Z116" i="61" s="1"/>
  <c r="L28" i="58"/>
  <c r="L115" i="61" s="1"/>
  <c r="L29" i="58"/>
  <c r="L116" i="61" s="1"/>
  <c r="X29" i="58"/>
  <c r="X116" i="61" s="1"/>
  <c r="X28" i="58"/>
  <c r="X115" i="61" s="1"/>
  <c r="V28" i="58"/>
  <c r="V115" i="61" s="1"/>
  <c r="V29" i="58"/>
  <c r="V116" i="61" s="1"/>
  <c r="N28" i="58"/>
  <c r="N115" i="61" s="1"/>
  <c r="N29" i="58"/>
  <c r="N116" i="61" s="1"/>
  <c r="M28" i="58"/>
  <c r="M115" i="61" s="1"/>
  <c r="M29" i="58"/>
  <c r="M116" i="61" s="1"/>
  <c r="I29" i="58"/>
  <c r="I116" i="61" s="1"/>
  <c r="I28" i="58"/>
  <c r="I115" i="61" s="1"/>
  <c r="T28" i="58"/>
  <c r="T115" i="61" s="1"/>
  <c r="T29" i="58"/>
  <c r="T116" i="61" s="1"/>
  <c r="AC28" i="58"/>
  <c r="AC115" i="61" s="1"/>
  <c r="AC29" i="58"/>
  <c r="AC116" i="61" s="1"/>
  <c r="C580" i="43"/>
  <c r="C581" i="43" s="1"/>
  <c r="D471" i="43"/>
  <c r="M51" i="58"/>
  <c r="D22" i="58" s="1"/>
  <c r="C146" i="43" s="1"/>
  <c r="K471" i="43"/>
  <c r="Z471" i="43"/>
  <c r="G471" i="43"/>
  <c r="T471" i="43"/>
  <c r="R471" i="43"/>
  <c r="H471" i="43"/>
  <c r="W471" i="43"/>
  <c r="E471" i="43"/>
  <c r="X471" i="43"/>
  <c r="F471" i="43"/>
  <c r="M471" i="43"/>
  <c r="P471" i="43"/>
  <c r="AC471" i="43"/>
  <c r="Q471" i="43"/>
  <c r="U471" i="43"/>
  <c r="N471" i="43"/>
  <c r="AA471" i="43"/>
  <c r="Y471" i="43"/>
  <c r="J471" i="43"/>
  <c r="V471" i="43"/>
  <c r="L471" i="43"/>
  <c r="O471" i="43"/>
  <c r="AB471" i="43"/>
  <c r="I471" i="43"/>
  <c r="S471" i="43"/>
  <c r="G23" i="58"/>
  <c r="E148" i="43"/>
  <c r="G10" i="58"/>
  <c r="F139" i="43" s="1"/>
  <c r="E347" i="43" l="1"/>
  <c r="E361" i="43" s="1"/>
  <c r="E348" i="43"/>
  <c r="E375" i="43" s="1"/>
  <c r="E349" i="43"/>
  <c r="F340" i="43"/>
  <c r="F372" i="43" s="1"/>
  <c r="F339" i="43"/>
  <c r="F358" i="43" s="1"/>
  <c r="I21" i="60"/>
  <c r="H54" i="60"/>
  <c r="AC25" i="60"/>
  <c r="I20" i="60"/>
  <c r="H53" i="60"/>
  <c r="K23" i="60"/>
  <c r="I22" i="60"/>
  <c r="H55" i="60"/>
  <c r="AD24" i="60"/>
  <c r="AC26" i="60"/>
  <c r="AA25" i="58"/>
  <c r="Z113" i="61"/>
  <c r="B79" i="43"/>
  <c r="D70" i="43" s="1"/>
  <c r="D28" i="58"/>
  <c r="D115" i="61" s="1"/>
  <c r="D29" i="58"/>
  <c r="D116" i="61" s="1"/>
  <c r="C471" i="43"/>
  <c r="D19" i="58"/>
  <c r="E19" i="58" s="1"/>
  <c r="F19" i="58" s="1"/>
  <c r="G19" i="58" s="1"/>
  <c r="H19" i="58" s="1"/>
  <c r="I19" i="58" s="1"/>
  <c r="J19" i="58" s="1"/>
  <c r="K19" i="58" s="1"/>
  <c r="L19" i="58" s="1"/>
  <c r="M19" i="58" s="1"/>
  <c r="N19" i="58" s="1"/>
  <c r="O19" i="58" s="1"/>
  <c r="P19" i="58" s="1"/>
  <c r="Q19" i="58" s="1"/>
  <c r="R19" i="58" s="1"/>
  <c r="S19" i="58" s="1"/>
  <c r="T19" i="58" s="1"/>
  <c r="U19" i="58" s="1"/>
  <c r="V19" i="58" s="1"/>
  <c r="W19" i="58" s="1"/>
  <c r="X19" i="58" s="1"/>
  <c r="Y19" i="58" s="1"/>
  <c r="Z19" i="58" s="1"/>
  <c r="AA19" i="58" s="1"/>
  <c r="AB19" i="58" s="1"/>
  <c r="AC19" i="58" s="1"/>
  <c r="AD19" i="58" s="1"/>
  <c r="D16" i="58"/>
  <c r="E16" i="58" s="1"/>
  <c r="F16" i="58" s="1"/>
  <c r="G16" i="58" s="1"/>
  <c r="H16" i="58" s="1"/>
  <c r="I16" i="58" s="1"/>
  <c r="J16" i="58" s="1"/>
  <c r="K16" i="58" s="1"/>
  <c r="L16" i="58" s="1"/>
  <c r="M16" i="58" s="1"/>
  <c r="N16" i="58" s="1"/>
  <c r="O16" i="58" s="1"/>
  <c r="P16" i="58" s="1"/>
  <c r="Q16" i="58" s="1"/>
  <c r="R16" i="58" s="1"/>
  <c r="S16" i="58" s="1"/>
  <c r="T16" i="58" s="1"/>
  <c r="U16" i="58" s="1"/>
  <c r="V16" i="58" s="1"/>
  <c r="W16" i="58" s="1"/>
  <c r="X16" i="58" s="1"/>
  <c r="Y16" i="58" s="1"/>
  <c r="Z16" i="58" s="1"/>
  <c r="AA16" i="58" s="1"/>
  <c r="AB16" i="58" s="1"/>
  <c r="AC16" i="58" s="1"/>
  <c r="AD16" i="58" s="1"/>
  <c r="D15" i="58"/>
  <c r="E15" i="58" s="1"/>
  <c r="F15" i="58" s="1"/>
  <c r="G15" i="58" s="1"/>
  <c r="H15" i="58" s="1"/>
  <c r="I15" i="58" s="1"/>
  <c r="J15" i="58" s="1"/>
  <c r="K15" i="58" s="1"/>
  <c r="L15" i="58" s="1"/>
  <c r="M15" i="58" s="1"/>
  <c r="N15" i="58" s="1"/>
  <c r="O15" i="58" s="1"/>
  <c r="P15" i="58" s="1"/>
  <c r="Q15" i="58" s="1"/>
  <c r="R15" i="58" s="1"/>
  <c r="S15" i="58" s="1"/>
  <c r="T15" i="58" s="1"/>
  <c r="U15" i="58" s="1"/>
  <c r="V15" i="58" s="1"/>
  <c r="W15" i="58" s="1"/>
  <c r="X15" i="58" s="1"/>
  <c r="Y15" i="58" s="1"/>
  <c r="Z15" i="58" s="1"/>
  <c r="AA15" i="58" s="1"/>
  <c r="AB15" i="58" s="1"/>
  <c r="AC15" i="58" s="1"/>
  <c r="AD15" i="58" s="1"/>
  <c r="D12" i="58"/>
  <c r="E12" i="58" s="1"/>
  <c r="D11" i="58"/>
  <c r="E11" i="58" s="1"/>
  <c r="D20" i="58"/>
  <c r="C144" i="43" s="1"/>
  <c r="D17" i="58"/>
  <c r="E17" i="58" s="1"/>
  <c r="F17" i="58" s="1"/>
  <c r="G17" i="58" s="1"/>
  <c r="H17" i="58" s="1"/>
  <c r="I17" i="58" s="1"/>
  <c r="J17" i="58" s="1"/>
  <c r="K17" i="58" s="1"/>
  <c r="L17" i="58" s="1"/>
  <c r="M17" i="58" s="1"/>
  <c r="N17" i="58" s="1"/>
  <c r="O17" i="58" s="1"/>
  <c r="P17" i="58" s="1"/>
  <c r="Q17" i="58" s="1"/>
  <c r="R17" i="58" s="1"/>
  <c r="S17" i="58" s="1"/>
  <c r="T17" i="58" s="1"/>
  <c r="U17" i="58" s="1"/>
  <c r="V17" i="58" s="1"/>
  <c r="W17" i="58" s="1"/>
  <c r="X17" i="58" s="1"/>
  <c r="Y17" i="58" s="1"/>
  <c r="Z17" i="58" s="1"/>
  <c r="AA17" i="58" s="1"/>
  <c r="AB17" i="58" s="1"/>
  <c r="AC17" i="58" s="1"/>
  <c r="AD17" i="58" s="1"/>
  <c r="D14" i="58"/>
  <c r="E14" i="58" s="1"/>
  <c r="F14" i="58" s="1"/>
  <c r="G14" i="58" s="1"/>
  <c r="H14" i="58" s="1"/>
  <c r="I14" i="58" s="1"/>
  <c r="J14" i="58" s="1"/>
  <c r="K14" i="58" s="1"/>
  <c r="L14" i="58" s="1"/>
  <c r="M14" i="58" s="1"/>
  <c r="N14" i="58" s="1"/>
  <c r="O14" i="58" s="1"/>
  <c r="P14" i="58" s="1"/>
  <c r="Q14" i="58" s="1"/>
  <c r="R14" i="58" s="1"/>
  <c r="S14" i="58" s="1"/>
  <c r="T14" i="58" s="1"/>
  <c r="U14" i="58" s="1"/>
  <c r="V14" i="58" s="1"/>
  <c r="W14" i="58" s="1"/>
  <c r="X14" i="58" s="1"/>
  <c r="Y14" i="58" s="1"/>
  <c r="Z14" i="58" s="1"/>
  <c r="AA14" i="58" s="1"/>
  <c r="AB14" i="58" s="1"/>
  <c r="AC14" i="58" s="1"/>
  <c r="AD14" i="58" s="1"/>
  <c r="D21" i="58"/>
  <c r="C145" i="43" s="1"/>
  <c r="D13" i="58"/>
  <c r="E13" i="58" s="1"/>
  <c r="D142" i="43" s="1"/>
  <c r="D143" i="43" s="1"/>
  <c r="D18" i="58"/>
  <c r="E18" i="58" s="1"/>
  <c r="F18" i="58" s="1"/>
  <c r="G18" i="58" s="1"/>
  <c r="H18" i="58" s="1"/>
  <c r="I18" i="58" s="1"/>
  <c r="J18" i="58" s="1"/>
  <c r="K18" i="58" s="1"/>
  <c r="L18" i="58" s="1"/>
  <c r="M18" i="58" s="1"/>
  <c r="N18" i="58" s="1"/>
  <c r="O18" i="58" s="1"/>
  <c r="P18" i="58" s="1"/>
  <c r="Q18" i="58" s="1"/>
  <c r="R18" i="58" s="1"/>
  <c r="S18" i="58" s="1"/>
  <c r="T18" i="58" s="1"/>
  <c r="U18" i="58" s="1"/>
  <c r="V18" i="58" s="1"/>
  <c r="W18" i="58" s="1"/>
  <c r="X18" i="58" s="1"/>
  <c r="Y18" i="58" s="1"/>
  <c r="Z18" i="58" s="1"/>
  <c r="AA18" i="58" s="1"/>
  <c r="AB18" i="58" s="1"/>
  <c r="AC18" i="58" s="1"/>
  <c r="AD18" i="58" s="1"/>
  <c r="H23" i="58"/>
  <c r="F148" i="43"/>
  <c r="H10" i="58"/>
  <c r="G139" i="43" s="1"/>
  <c r="E22" i="58"/>
  <c r="E20" i="58"/>
  <c r="D144" i="43" s="1"/>
  <c r="F347" i="43" l="1"/>
  <c r="F361" i="43" s="1"/>
  <c r="F349" i="43"/>
  <c r="F348" i="43"/>
  <c r="F375" i="43" s="1"/>
  <c r="G340" i="43"/>
  <c r="G372" i="43" s="1"/>
  <c r="G339" i="43"/>
  <c r="G358" i="43" s="1"/>
  <c r="J20" i="60"/>
  <c r="I53" i="60"/>
  <c r="AD25" i="60"/>
  <c r="L23" i="60"/>
  <c r="AD26" i="60"/>
  <c r="J22" i="60"/>
  <c r="I55" i="60"/>
  <c r="J21" i="60"/>
  <c r="I54" i="60"/>
  <c r="AB25" i="58"/>
  <c r="AA113" i="61"/>
  <c r="F12" i="58"/>
  <c r="E141" i="43" s="1"/>
  <c r="C147" i="43"/>
  <c r="E298" i="43" s="1"/>
  <c r="E295" i="43" s="1"/>
  <c r="F13" i="58"/>
  <c r="E142" i="43" s="1"/>
  <c r="E21" i="58"/>
  <c r="D145" i="43" s="1"/>
  <c r="F11" i="58"/>
  <c r="G11" i="58" s="1"/>
  <c r="F140" i="43" s="1"/>
  <c r="G13" i="58"/>
  <c r="F142" i="43" s="1"/>
  <c r="F20" i="58"/>
  <c r="E144" i="43" s="1"/>
  <c r="I23" i="58"/>
  <c r="G148" i="43"/>
  <c r="F22" i="58"/>
  <c r="E146" i="43" s="1"/>
  <c r="D146" i="43"/>
  <c r="I10" i="58"/>
  <c r="H139" i="43" s="1"/>
  <c r="H203" i="43"/>
  <c r="G348" i="43" l="1"/>
  <c r="G375" i="43" s="1"/>
  <c r="G347" i="43"/>
  <c r="G361" i="43" s="1"/>
  <c r="G349" i="43"/>
  <c r="H339" i="43"/>
  <c r="H358" i="43" s="1"/>
  <c r="H340" i="43"/>
  <c r="H372" i="43" s="1"/>
  <c r="E297" i="43"/>
  <c r="C330" i="43"/>
  <c r="C360" i="43" s="1"/>
  <c r="E296" i="43"/>
  <c r="M23" i="60"/>
  <c r="K21" i="60"/>
  <c r="J54" i="60"/>
  <c r="K22" i="60"/>
  <c r="J55" i="60"/>
  <c r="K20" i="60"/>
  <c r="J53" i="60"/>
  <c r="AC25" i="58"/>
  <c r="AB113" i="61"/>
  <c r="G12" i="58"/>
  <c r="F141" i="43" s="1"/>
  <c r="F143" i="43" s="1"/>
  <c r="D147" i="43"/>
  <c r="F21" i="58"/>
  <c r="E145" i="43" s="1"/>
  <c r="E147" i="43" s="1"/>
  <c r="G20" i="58"/>
  <c r="F144" i="43" s="1"/>
  <c r="E140" i="43"/>
  <c r="E143" i="43" s="1"/>
  <c r="H13" i="58"/>
  <c r="G142" i="43" s="1"/>
  <c r="G22" i="58"/>
  <c r="F146" i="43" s="1"/>
  <c r="H11" i="58"/>
  <c r="G140" i="43" s="1"/>
  <c r="J23" i="58"/>
  <c r="H148" i="43"/>
  <c r="J10" i="58"/>
  <c r="I139" i="43" s="1"/>
  <c r="H347" i="43" l="1"/>
  <c r="H361" i="43" s="1"/>
  <c r="H349" i="43"/>
  <c r="H348" i="43"/>
  <c r="H375" i="43" s="1"/>
  <c r="G350" i="43"/>
  <c r="I340" i="43"/>
  <c r="I372" i="43" s="1"/>
  <c r="I339" i="43"/>
  <c r="I358" i="43" s="1"/>
  <c r="F296" i="43"/>
  <c r="C331" i="43"/>
  <c r="C374" i="43" s="1"/>
  <c r="F295" i="43"/>
  <c r="F297" i="43"/>
  <c r="C332" i="43"/>
  <c r="C388" i="43" s="1"/>
  <c r="F315" i="43"/>
  <c r="L20" i="60"/>
  <c r="K53" i="60"/>
  <c r="L22" i="60"/>
  <c r="K55" i="60"/>
  <c r="L21" i="60"/>
  <c r="K54" i="60"/>
  <c r="N23" i="60"/>
  <c r="AD25" i="58"/>
  <c r="AD113" i="61" s="1"/>
  <c r="AC113" i="61"/>
  <c r="G21" i="58"/>
  <c r="F145" i="43" s="1"/>
  <c r="F147" i="43" s="1"/>
  <c r="H12" i="58"/>
  <c r="G141" i="43" s="1"/>
  <c r="G143" i="43" s="1"/>
  <c r="H20" i="58"/>
  <c r="G144" i="43" s="1"/>
  <c r="I13" i="58"/>
  <c r="H142" i="43" s="1"/>
  <c r="H22" i="58"/>
  <c r="G146" i="43" s="1"/>
  <c r="I11" i="58"/>
  <c r="H140" i="43" s="1"/>
  <c r="K23" i="58"/>
  <c r="I148" i="43"/>
  <c r="K10" i="58"/>
  <c r="J139" i="43" s="1"/>
  <c r="I20" i="58"/>
  <c r="H144" i="43" s="1"/>
  <c r="I348" i="43" l="1"/>
  <c r="I375" i="43" s="1"/>
  <c r="I347" i="43"/>
  <c r="I361" i="43" s="1"/>
  <c r="I349" i="43"/>
  <c r="F298" i="43"/>
  <c r="F350" i="43"/>
  <c r="J339" i="43"/>
  <c r="J358" i="43" s="1"/>
  <c r="J340" i="43"/>
  <c r="J372" i="43" s="1"/>
  <c r="H341" i="43"/>
  <c r="D341" i="43"/>
  <c r="E332" i="43"/>
  <c r="F332" i="43"/>
  <c r="D332" i="43"/>
  <c r="E330" i="43"/>
  <c r="E360" i="43" s="1"/>
  <c r="F330" i="43"/>
  <c r="F360" i="43" s="1"/>
  <c r="D330" i="43"/>
  <c r="D360" i="43" s="1"/>
  <c r="C333" i="43"/>
  <c r="E331" i="43"/>
  <c r="E374" i="43" s="1"/>
  <c r="F331" i="43"/>
  <c r="F374" i="43" s="1"/>
  <c r="D331" i="43"/>
  <c r="D374" i="43" s="1"/>
  <c r="O23" i="60"/>
  <c r="M20" i="60"/>
  <c r="L53" i="60"/>
  <c r="M21" i="60"/>
  <c r="L54" i="60"/>
  <c r="M22" i="60"/>
  <c r="L55" i="60"/>
  <c r="J13" i="58"/>
  <c r="I142" i="43" s="1"/>
  <c r="I12" i="58"/>
  <c r="H141" i="43" s="1"/>
  <c r="H143" i="43" s="1"/>
  <c r="H21" i="58"/>
  <c r="J11" i="58"/>
  <c r="I140" i="43" s="1"/>
  <c r="I22" i="58"/>
  <c r="H146" i="43" s="1"/>
  <c r="L23" i="58"/>
  <c r="J148" i="43"/>
  <c r="L10" i="58"/>
  <c r="K139" i="43" s="1"/>
  <c r="K13" i="58"/>
  <c r="J142" i="43" s="1"/>
  <c r="J20" i="58"/>
  <c r="I144" i="43" s="1"/>
  <c r="J349" i="43" l="1"/>
  <c r="J348" i="43"/>
  <c r="J375" i="43" s="1"/>
  <c r="J347" i="43"/>
  <c r="J361" i="43" s="1"/>
  <c r="E350" i="43"/>
  <c r="D350" i="43"/>
  <c r="H350" i="43"/>
  <c r="I350" i="43"/>
  <c r="C350" i="43"/>
  <c r="K339" i="43"/>
  <c r="K358" i="43" s="1"/>
  <c r="K340" i="43"/>
  <c r="K372" i="43" s="1"/>
  <c r="F341" i="43"/>
  <c r="I341" i="43"/>
  <c r="E341" i="43"/>
  <c r="G341" i="43"/>
  <c r="J341" i="43"/>
  <c r="F333" i="43"/>
  <c r="D333" i="43"/>
  <c r="E333" i="43"/>
  <c r="P23" i="60"/>
  <c r="N22" i="60"/>
  <c r="M55" i="60"/>
  <c r="N21" i="60"/>
  <c r="M54" i="60"/>
  <c r="N20" i="60"/>
  <c r="M53" i="60"/>
  <c r="J12" i="58"/>
  <c r="I141" i="43" s="1"/>
  <c r="I143" i="43" s="1"/>
  <c r="G145" i="43"/>
  <c r="G147" i="43" s="1"/>
  <c r="I21" i="58"/>
  <c r="K11" i="58"/>
  <c r="J140" i="43" s="1"/>
  <c r="J22" i="58"/>
  <c r="I146" i="43" s="1"/>
  <c r="M23" i="58"/>
  <c r="K148" i="43"/>
  <c r="M10" i="58"/>
  <c r="L139" i="43" s="1"/>
  <c r="K20" i="58"/>
  <c r="J144" i="43" s="1"/>
  <c r="L13" i="58"/>
  <c r="K142" i="43" s="1"/>
  <c r="J350" i="43" l="1"/>
  <c r="K347" i="43"/>
  <c r="K361" i="43" s="1"/>
  <c r="K349" i="43"/>
  <c r="K348" i="43"/>
  <c r="K375" i="43" s="1"/>
  <c r="L340" i="43"/>
  <c r="L372" i="43" s="1"/>
  <c r="L339" i="43"/>
  <c r="L358" i="43" s="1"/>
  <c r="K341" i="43"/>
  <c r="G332" i="43"/>
  <c r="G330" i="43"/>
  <c r="G360" i="43" s="1"/>
  <c r="G331" i="43"/>
  <c r="G374" i="43" s="1"/>
  <c r="O20" i="60"/>
  <c r="N53" i="60"/>
  <c r="Q23" i="60"/>
  <c r="O21" i="60"/>
  <c r="N54" i="60"/>
  <c r="O22" i="60"/>
  <c r="N55" i="60"/>
  <c r="K22" i="58"/>
  <c r="J146" i="43" s="1"/>
  <c r="K12" i="58"/>
  <c r="J141" i="43" s="1"/>
  <c r="J143" i="43" s="1"/>
  <c r="H145" i="43"/>
  <c r="H147" i="43" s="1"/>
  <c r="J21" i="58"/>
  <c r="L11" i="58"/>
  <c r="K140" i="43" s="1"/>
  <c r="N23" i="58"/>
  <c r="L148" i="43"/>
  <c r="N10" i="58"/>
  <c r="M139" i="43" s="1"/>
  <c r="L22" i="58"/>
  <c r="K146" i="43" s="1"/>
  <c r="L20" i="58"/>
  <c r="K144" i="43" s="1"/>
  <c r="M13" i="58"/>
  <c r="L142" i="43" s="1"/>
  <c r="L348" i="43" l="1"/>
  <c r="L375" i="43" s="1"/>
  <c r="L349" i="43"/>
  <c r="L347" i="43"/>
  <c r="L361" i="43" s="1"/>
  <c r="K350" i="43"/>
  <c r="G333" i="43"/>
  <c r="L341" i="43"/>
  <c r="M340" i="43"/>
  <c r="M372" i="43" s="1"/>
  <c r="M339" i="43"/>
  <c r="M358" i="43" s="1"/>
  <c r="H330" i="43"/>
  <c r="H360" i="43" s="1"/>
  <c r="H332" i="43"/>
  <c r="H331" i="43"/>
  <c r="H374" i="43" s="1"/>
  <c r="P20" i="60"/>
  <c r="O53" i="60"/>
  <c r="P22" i="60"/>
  <c r="O55" i="60"/>
  <c r="P21" i="60"/>
  <c r="O54" i="60"/>
  <c r="R23" i="60"/>
  <c r="L12" i="58"/>
  <c r="K141" i="43" s="1"/>
  <c r="K143" i="43" s="1"/>
  <c r="I145" i="43"/>
  <c r="I147" i="43" s="1"/>
  <c r="K21" i="58"/>
  <c r="M11" i="58"/>
  <c r="L140" i="43" s="1"/>
  <c r="O23" i="58"/>
  <c r="M148" i="43"/>
  <c r="O10" i="58"/>
  <c r="N139" i="43" s="1"/>
  <c r="M22" i="58"/>
  <c r="L146" i="43" s="1"/>
  <c r="M20" i="58"/>
  <c r="L144" i="43" s="1"/>
  <c r="N13" i="58"/>
  <c r="M142" i="43" s="1"/>
  <c r="M12" i="58"/>
  <c r="L141" i="43" s="1"/>
  <c r="AF45" i="56"/>
  <c r="L350" i="43" l="1"/>
  <c r="M349" i="43"/>
  <c r="M347" i="43"/>
  <c r="M361" i="43" s="1"/>
  <c r="M348" i="43"/>
  <c r="M375" i="43" s="1"/>
  <c r="M341" i="43"/>
  <c r="N340" i="43"/>
  <c r="N372" i="43" s="1"/>
  <c r="N339" i="43"/>
  <c r="H333" i="43"/>
  <c r="I331" i="43"/>
  <c r="I374" i="43" s="1"/>
  <c r="I332" i="43"/>
  <c r="I330" i="43"/>
  <c r="I360" i="43" s="1"/>
  <c r="S23" i="60"/>
  <c r="Q20" i="60"/>
  <c r="P53" i="60"/>
  <c r="Q21" i="60"/>
  <c r="P54" i="60"/>
  <c r="Q22" i="60"/>
  <c r="P55" i="60"/>
  <c r="L143" i="43"/>
  <c r="J145" i="43"/>
  <c r="J147" i="43" s="1"/>
  <c r="L21" i="58"/>
  <c r="N11" i="58"/>
  <c r="M140" i="43" s="1"/>
  <c r="P23" i="58"/>
  <c r="N148" i="43"/>
  <c r="P10" i="58"/>
  <c r="O139" i="43" s="1"/>
  <c r="O13" i="58"/>
  <c r="N142" i="43" s="1"/>
  <c r="N20" i="58"/>
  <c r="M144" i="43" s="1"/>
  <c r="N22" i="58"/>
  <c r="M146" i="43" s="1"/>
  <c r="N12" i="58"/>
  <c r="M141" i="43" s="1"/>
  <c r="H4" i="60"/>
  <c r="C141" i="43"/>
  <c r="O240" i="43"/>
  <c r="O239" i="43"/>
  <c r="O238" i="43"/>
  <c r="O237" i="43"/>
  <c r="O236" i="43"/>
  <c r="O235" i="43"/>
  <c r="E235" i="43"/>
  <c r="E238" i="43"/>
  <c r="E239" i="43"/>
  <c r="E240" i="43"/>
  <c r="E237" i="43"/>
  <c r="E236" i="43"/>
  <c r="U213" i="43"/>
  <c r="Y213" i="43"/>
  <c r="J212" i="43"/>
  <c r="L212" i="43"/>
  <c r="E212" i="43"/>
  <c r="E213" i="43"/>
  <c r="K191" i="43"/>
  <c r="K189" i="43"/>
  <c r="K193" i="43"/>
  <c r="K190" i="43"/>
  <c r="U212" i="43"/>
  <c r="T213" i="43"/>
  <c r="T212" i="43"/>
  <c r="R213" i="43"/>
  <c r="R212" i="43"/>
  <c r="W212" i="43"/>
  <c r="X212" i="43"/>
  <c r="Y212" i="43"/>
  <c r="Z212" i="43"/>
  <c r="AA212" i="43"/>
  <c r="AB212" i="43"/>
  <c r="W213" i="43"/>
  <c r="X213" i="43"/>
  <c r="Z213" i="43"/>
  <c r="AA213" i="43"/>
  <c r="AB213" i="43"/>
  <c r="V213" i="43"/>
  <c r="V212" i="43"/>
  <c r="S213" i="43"/>
  <c r="S212" i="43"/>
  <c r="Q213" i="43"/>
  <c r="Q212" i="43"/>
  <c r="P213" i="43"/>
  <c r="P212" i="43"/>
  <c r="F212" i="43"/>
  <c r="G212" i="43"/>
  <c r="H212" i="43"/>
  <c r="I212" i="43"/>
  <c r="K212" i="43"/>
  <c r="M212" i="43"/>
  <c r="N212" i="43"/>
  <c r="O212" i="43"/>
  <c r="F213" i="43"/>
  <c r="G213" i="43"/>
  <c r="H213" i="43"/>
  <c r="I213" i="43"/>
  <c r="J213" i="43"/>
  <c r="K213" i="43"/>
  <c r="L213" i="43"/>
  <c r="M213" i="43"/>
  <c r="N213" i="43"/>
  <c r="O213" i="43"/>
  <c r="C212" i="43"/>
  <c r="C213" i="43"/>
  <c r="B213" i="43"/>
  <c r="B212" i="43"/>
  <c r="C203" i="43"/>
  <c r="D203" i="43"/>
  <c r="E203" i="43"/>
  <c r="F203" i="43"/>
  <c r="G203" i="43"/>
  <c r="I203" i="43"/>
  <c r="J203" i="43"/>
  <c r="K203" i="43"/>
  <c r="L203" i="43"/>
  <c r="M203" i="43"/>
  <c r="N203" i="43"/>
  <c r="O203" i="43"/>
  <c r="P203" i="43"/>
  <c r="Q203" i="43"/>
  <c r="R203" i="43"/>
  <c r="S203" i="43"/>
  <c r="T203" i="43"/>
  <c r="U203" i="43"/>
  <c r="V203" i="43"/>
  <c r="W203" i="43"/>
  <c r="X203" i="43"/>
  <c r="Y203" i="43"/>
  <c r="Z203" i="43"/>
  <c r="AA203" i="43"/>
  <c r="AB203" i="43"/>
  <c r="AC203" i="43"/>
  <c r="AD203" i="43"/>
  <c r="AE203" i="43"/>
  <c r="AF203" i="43"/>
  <c r="AG203" i="43"/>
  <c r="C204" i="43"/>
  <c r="D204" i="43"/>
  <c r="E204" i="43"/>
  <c r="F204" i="43"/>
  <c r="G204" i="43"/>
  <c r="H204" i="43"/>
  <c r="I204" i="43"/>
  <c r="J204" i="43"/>
  <c r="K204" i="43"/>
  <c r="L204" i="43"/>
  <c r="M204" i="43"/>
  <c r="N204" i="43"/>
  <c r="O204" i="43"/>
  <c r="P204" i="43"/>
  <c r="Q204" i="43"/>
  <c r="R204" i="43"/>
  <c r="S204" i="43"/>
  <c r="T204" i="43"/>
  <c r="U204" i="43"/>
  <c r="V204" i="43"/>
  <c r="W204" i="43"/>
  <c r="X204" i="43"/>
  <c r="Y204" i="43"/>
  <c r="Z204" i="43"/>
  <c r="AA204" i="43"/>
  <c r="AB204" i="43"/>
  <c r="AC204" i="43"/>
  <c r="AD204" i="43"/>
  <c r="AE204" i="43"/>
  <c r="AF204" i="43"/>
  <c r="AG204" i="43"/>
  <c r="B204" i="43"/>
  <c r="B203" i="43"/>
  <c r="I187" i="43"/>
  <c r="I189" i="43"/>
  <c r="I190" i="43"/>
  <c r="I191" i="43"/>
  <c r="I192" i="43"/>
  <c r="I193" i="43"/>
  <c r="I188" i="43"/>
  <c r="N341" i="43" l="1"/>
  <c r="N358" i="43"/>
  <c r="N347" i="43"/>
  <c r="N361" i="43" s="1"/>
  <c r="N348" i="43"/>
  <c r="N375" i="43" s="1"/>
  <c r="N349" i="43"/>
  <c r="M350" i="43"/>
  <c r="O340" i="43"/>
  <c r="O372" i="43" s="1"/>
  <c r="O339" i="43"/>
  <c r="O358" i="43" s="1"/>
  <c r="J332" i="43"/>
  <c r="J331" i="43"/>
  <c r="J374" i="43" s="1"/>
  <c r="J330" i="43"/>
  <c r="J360" i="43" s="1"/>
  <c r="I333" i="43"/>
  <c r="R22" i="60"/>
  <c r="Q55" i="60"/>
  <c r="T23" i="60"/>
  <c r="R21" i="60"/>
  <c r="Q54" i="60"/>
  <c r="R20" i="60"/>
  <c r="Q53" i="60"/>
  <c r="H3" i="61"/>
  <c r="H37" i="60"/>
  <c r="O11" i="58"/>
  <c r="N140" i="43" s="1"/>
  <c r="M143" i="43"/>
  <c r="K145" i="43"/>
  <c r="K147" i="43" s="1"/>
  <c r="M21" i="58"/>
  <c r="Q23" i="58"/>
  <c r="O148" i="43"/>
  <c r="I214" i="43"/>
  <c r="C140" i="43"/>
  <c r="C142" i="43"/>
  <c r="Q10" i="58"/>
  <c r="P139" i="43" s="1"/>
  <c r="P13" i="58"/>
  <c r="O142" i="43" s="1"/>
  <c r="O22" i="58"/>
  <c r="N146" i="43" s="1"/>
  <c r="O12" i="58"/>
  <c r="N141" i="43" s="1"/>
  <c r="P11" i="58"/>
  <c r="O140" i="43" s="1"/>
  <c r="O20" i="58"/>
  <c r="N144" i="43" s="1"/>
  <c r="K187" i="43"/>
  <c r="E214" i="43"/>
  <c r="AC4" i="60"/>
  <c r="U4" i="60"/>
  <c r="AB214" i="43"/>
  <c r="M4" i="60"/>
  <c r="AB4" i="60"/>
  <c r="T4" i="60"/>
  <c r="L4" i="60"/>
  <c r="E4" i="60"/>
  <c r="AA4" i="60"/>
  <c r="S4" i="60"/>
  <c r="K4" i="60"/>
  <c r="Z4" i="60"/>
  <c r="R4" i="60"/>
  <c r="J4" i="60"/>
  <c r="Y4" i="60"/>
  <c r="Q4" i="60"/>
  <c r="X4" i="60"/>
  <c r="P4" i="60"/>
  <c r="W4" i="60"/>
  <c r="O4" i="60"/>
  <c r="G4" i="60"/>
  <c r="AD4" i="60"/>
  <c r="V4" i="60"/>
  <c r="N4" i="60"/>
  <c r="F4" i="60"/>
  <c r="V214" i="43"/>
  <c r="J214" i="43"/>
  <c r="O214" i="43"/>
  <c r="G214" i="43"/>
  <c r="AE205" i="43"/>
  <c r="X214" i="43"/>
  <c r="U214" i="43"/>
  <c r="H214" i="43"/>
  <c r="R214" i="43"/>
  <c r="W205" i="43"/>
  <c r="O205" i="43"/>
  <c r="G205" i="43"/>
  <c r="D213" i="43" s="1"/>
  <c r="T214" i="43"/>
  <c r="M214" i="43"/>
  <c r="P214" i="43"/>
  <c r="Y214" i="43"/>
  <c r="K214" i="43"/>
  <c r="Q214" i="43"/>
  <c r="S214" i="43"/>
  <c r="W214" i="43"/>
  <c r="AD205" i="43"/>
  <c r="B205" i="43"/>
  <c r="F205" i="43"/>
  <c r="N214" i="43"/>
  <c r="Z205" i="43"/>
  <c r="R205" i="43"/>
  <c r="J205" i="43"/>
  <c r="AA214" i="43"/>
  <c r="V205" i="43"/>
  <c r="F214" i="43"/>
  <c r="B214" i="43"/>
  <c r="Z214" i="43"/>
  <c r="N205" i="43"/>
  <c r="AG205" i="43"/>
  <c r="Y205" i="43"/>
  <c r="Q205" i="43"/>
  <c r="I205" i="43"/>
  <c r="AF205" i="43"/>
  <c r="X205" i="43"/>
  <c r="P205" i="43"/>
  <c r="H205" i="43"/>
  <c r="AC205" i="43"/>
  <c r="U205" i="43"/>
  <c r="M205" i="43"/>
  <c r="E205" i="43"/>
  <c r="AB205" i="43"/>
  <c r="T205" i="43"/>
  <c r="L205" i="43"/>
  <c r="D205" i="43"/>
  <c r="C214" i="43"/>
  <c r="AA205" i="43"/>
  <c r="S205" i="43"/>
  <c r="K205" i="43"/>
  <c r="C205" i="43"/>
  <c r="L214" i="43"/>
  <c r="O347" i="43" l="1"/>
  <c r="O361" i="43" s="1"/>
  <c r="O349" i="43"/>
  <c r="O348" i="43"/>
  <c r="O375" i="43" s="1"/>
  <c r="N350" i="43"/>
  <c r="O341" i="43"/>
  <c r="P339" i="43"/>
  <c r="P358" i="43" s="1"/>
  <c r="P340" i="43"/>
  <c r="P372" i="43" s="1"/>
  <c r="J333" i="43"/>
  <c r="K332" i="43"/>
  <c r="K330" i="43"/>
  <c r="K360" i="43" s="1"/>
  <c r="K331" i="43"/>
  <c r="K374" i="43" s="1"/>
  <c r="H68" i="61"/>
  <c r="S20" i="60"/>
  <c r="R53" i="60"/>
  <c r="U23" i="60"/>
  <c r="S21" i="60"/>
  <c r="R54" i="60"/>
  <c r="S22" i="60"/>
  <c r="R55" i="60"/>
  <c r="L3" i="61"/>
  <c r="L37" i="60"/>
  <c r="AD3" i="61"/>
  <c r="AD37" i="60"/>
  <c r="G3" i="61"/>
  <c r="G37" i="60"/>
  <c r="R3" i="61"/>
  <c r="R37" i="60"/>
  <c r="AB3" i="61"/>
  <c r="AB37" i="60"/>
  <c r="J3" i="61"/>
  <c r="J37" i="60"/>
  <c r="O3" i="61"/>
  <c r="O37" i="60"/>
  <c r="Z3" i="61"/>
  <c r="Z37" i="60"/>
  <c r="M3" i="61"/>
  <c r="M37" i="60"/>
  <c r="W3" i="61"/>
  <c r="W37" i="60"/>
  <c r="K3" i="61"/>
  <c r="K37" i="60"/>
  <c r="H97" i="61"/>
  <c r="Y3" i="61"/>
  <c r="Y37" i="60"/>
  <c r="T3" i="61"/>
  <c r="T37" i="60"/>
  <c r="P3" i="61"/>
  <c r="P37" i="60"/>
  <c r="S3" i="61"/>
  <c r="S37" i="60"/>
  <c r="U3" i="61"/>
  <c r="U37" i="60"/>
  <c r="H34" i="61"/>
  <c r="V3" i="61"/>
  <c r="V37" i="60"/>
  <c r="F3" i="61"/>
  <c r="F37" i="60"/>
  <c r="X3" i="61"/>
  <c r="X37" i="60"/>
  <c r="AA3" i="61"/>
  <c r="AA37" i="60"/>
  <c r="AC3" i="61"/>
  <c r="AC37" i="60"/>
  <c r="N3" i="61"/>
  <c r="N37" i="60"/>
  <c r="Q3" i="61"/>
  <c r="Q37" i="60"/>
  <c r="E3" i="61"/>
  <c r="E37" i="60"/>
  <c r="N143" i="43"/>
  <c r="L145" i="43"/>
  <c r="L147" i="43" s="1"/>
  <c r="N21" i="58"/>
  <c r="R23" i="58"/>
  <c r="P148" i="43"/>
  <c r="C138" i="43"/>
  <c r="C357" i="43" s="1"/>
  <c r="J388" i="43"/>
  <c r="D388" i="43"/>
  <c r="H388" i="43"/>
  <c r="F388" i="43"/>
  <c r="D389" i="43"/>
  <c r="L389" i="43"/>
  <c r="H389" i="43"/>
  <c r="N389" i="43"/>
  <c r="J389" i="43"/>
  <c r="K389" i="43"/>
  <c r="M389" i="43"/>
  <c r="F389" i="43"/>
  <c r="G389" i="43"/>
  <c r="I389" i="43"/>
  <c r="I388" i="43"/>
  <c r="G388" i="43"/>
  <c r="C143" i="43"/>
  <c r="I4" i="60"/>
  <c r="D214" i="43"/>
  <c r="K188" i="43"/>
  <c r="R10" i="58"/>
  <c r="Q139" i="43" s="1"/>
  <c r="P12" i="58"/>
  <c r="O141" i="43" s="1"/>
  <c r="O143" i="43" s="1"/>
  <c r="P20" i="58"/>
  <c r="O144" i="43" s="1"/>
  <c r="P22" i="58"/>
  <c r="O146" i="43" s="1"/>
  <c r="Q11" i="58"/>
  <c r="P140" i="43" s="1"/>
  <c r="Q13" i="58"/>
  <c r="P142" i="43" s="1"/>
  <c r="B109" i="43"/>
  <c r="B111" i="43" s="1"/>
  <c r="D107" i="43" s="1"/>
  <c r="O350" i="43" l="1"/>
  <c r="P347" i="43"/>
  <c r="P361" i="43" s="1"/>
  <c r="P348" i="43"/>
  <c r="P375" i="43" s="1"/>
  <c r="P349" i="43"/>
  <c r="P341" i="43"/>
  <c r="Q340" i="43"/>
  <c r="Q372" i="43" s="1"/>
  <c r="Q339" i="43"/>
  <c r="Q358" i="43" s="1"/>
  <c r="L332" i="43"/>
  <c r="L331" i="43"/>
  <c r="L374" i="43" s="1"/>
  <c r="L330" i="43"/>
  <c r="L360" i="43" s="1"/>
  <c r="K333" i="43"/>
  <c r="E288" i="43"/>
  <c r="E285" i="43" s="1"/>
  <c r="C321" i="43" s="1"/>
  <c r="C359" i="43" s="1"/>
  <c r="AB34" i="61"/>
  <c r="L68" i="61"/>
  <c r="T97" i="61"/>
  <c r="T34" i="61"/>
  <c r="AC34" i="61"/>
  <c r="W34" i="61"/>
  <c r="P68" i="61"/>
  <c r="P34" i="61"/>
  <c r="J68" i="61"/>
  <c r="J34" i="61"/>
  <c r="J97" i="61"/>
  <c r="G34" i="61"/>
  <c r="V97" i="61"/>
  <c r="AD97" i="61"/>
  <c r="P97" i="61"/>
  <c r="L34" i="61"/>
  <c r="W68" i="61"/>
  <c r="M34" i="61"/>
  <c r="T68" i="61"/>
  <c r="V68" i="61"/>
  <c r="M68" i="61"/>
  <c r="K388" i="43"/>
  <c r="G97" i="61"/>
  <c r="K97" i="61"/>
  <c r="K68" i="61"/>
  <c r="O68" i="61"/>
  <c r="K34" i="61"/>
  <c r="O97" i="61"/>
  <c r="O34" i="61"/>
  <c r="G68" i="61"/>
  <c r="T22" i="60"/>
  <c r="S55" i="60"/>
  <c r="N68" i="61"/>
  <c r="N97" i="61"/>
  <c r="V23" i="60"/>
  <c r="N34" i="61"/>
  <c r="T21" i="60"/>
  <c r="S54" i="60"/>
  <c r="F97" i="61"/>
  <c r="T20" i="60"/>
  <c r="S53" i="60"/>
  <c r="Y68" i="61"/>
  <c r="U34" i="61"/>
  <c r="Y97" i="61"/>
  <c r="S97" i="61"/>
  <c r="U97" i="61"/>
  <c r="Z97" i="61"/>
  <c r="X68" i="61"/>
  <c r="S34" i="61"/>
  <c r="R97" i="61"/>
  <c r="S68" i="61"/>
  <c r="R68" i="61"/>
  <c r="Y34" i="61"/>
  <c r="E68" i="61"/>
  <c r="V34" i="61"/>
  <c r="Z68" i="61"/>
  <c r="F68" i="61"/>
  <c r="R34" i="61"/>
  <c r="X97" i="61"/>
  <c r="AD68" i="61"/>
  <c r="E34" i="61"/>
  <c r="AA97" i="61"/>
  <c r="X34" i="61"/>
  <c r="I3" i="61"/>
  <c r="I37" i="60"/>
  <c r="Z34" i="61"/>
  <c r="Q97" i="61"/>
  <c r="AA68" i="61"/>
  <c r="F34" i="61"/>
  <c r="AD34" i="61"/>
  <c r="Q68" i="61"/>
  <c r="E97" i="61"/>
  <c r="AA34" i="61"/>
  <c r="AB97" i="61"/>
  <c r="AC97" i="61"/>
  <c r="Q34" i="61"/>
  <c r="U68" i="61"/>
  <c r="W97" i="61"/>
  <c r="M97" i="61"/>
  <c r="AB68" i="61"/>
  <c r="L97" i="61"/>
  <c r="AC68" i="61"/>
  <c r="M145" i="43"/>
  <c r="M147" i="43" s="1"/>
  <c r="O21" i="58"/>
  <c r="O389" i="43"/>
  <c r="S23" i="58"/>
  <c r="Q148" i="43"/>
  <c r="E389" i="43"/>
  <c r="E388" i="43"/>
  <c r="C151" i="43"/>
  <c r="S10" i="58"/>
  <c r="R139" i="43" s="1"/>
  <c r="Q12" i="58"/>
  <c r="P141" i="43" s="1"/>
  <c r="P143" i="43" s="1"/>
  <c r="Q22" i="58"/>
  <c r="P146" i="43" s="1"/>
  <c r="R11" i="58"/>
  <c r="Q140" i="43" s="1"/>
  <c r="Q20" i="58"/>
  <c r="P144" i="43" s="1"/>
  <c r="R13" i="58"/>
  <c r="Q142" i="43" s="1"/>
  <c r="C364" i="43" l="1"/>
  <c r="P350" i="43"/>
  <c r="Q348" i="43"/>
  <c r="Q375" i="43" s="1"/>
  <c r="Q347" i="43"/>
  <c r="Q361" i="43" s="1"/>
  <c r="Q349" i="43"/>
  <c r="L333" i="43"/>
  <c r="R339" i="43"/>
  <c r="R358" i="43" s="1"/>
  <c r="R340" i="43"/>
  <c r="R372" i="43" s="1"/>
  <c r="Q341" i="43"/>
  <c r="M332" i="43"/>
  <c r="M330" i="43"/>
  <c r="M360" i="43" s="1"/>
  <c r="M331" i="43"/>
  <c r="M374" i="43" s="1"/>
  <c r="E287" i="43"/>
  <c r="C323" i="43" s="1"/>
  <c r="C387" i="43" s="1"/>
  <c r="E286" i="43"/>
  <c r="D321" i="43"/>
  <c r="D359" i="43" s="1"/>
  <c r="U20" i="60"/>
  <c r="T53" i="60"/>
  <c r="W23" i="60"/>
  <c r="U22" i="60"/>
  <c r="T55" i="60"/>
  <c r="U21" i="60"/>
  <c r="T54" i="60"/>
  <c r="I68" i="61"/>
  <c r="I97" i="61"/>
  <c r="I34" i="61"/>
  <c r="L388" i="43"/>
  <c r="N145" i="43"/>
  <c r="N147" i="43" s="1"/>
  <c r="P21" i="58"/>
  <c r="T23" i="58"/>
  <c r="R148" i="43"/>
  <c r="P389" i="43"/>
  <c r="T10" i="58"/>
  <c r="S139" i="43" s="1"/>
  <c r="R20" i="58"/>
  <c r="Q144" i="43" s="1"/>
  <c r="R22" i="58"/>
  <c r="Q146" i="43" s="1"/>
  <c r="S11" i="58"/>
  <c r="R140" i="43" s="1"/>
  <c r="S13" i="58"/>
  <c r="R142" i="43" s="1"/>
  <c r="R12" i="58"/>
  <c r="Q141" i="43" s="1"/>
  <c r="Q143" i="43" s="1"/>
  <c r="C30" i="43" l="1"/>
  <c r="C34" i="43"/>
  <c r="C28" i="43"/>
  <c r="C33" i="43"/>
  <c r="C32" i="43"/>
  <c r="C29" i="43"/>
  <c r="C4" i="43"/>
  <c r="Q350" i="43"/>
  <c r="R349" i="43"/>
  <c r="R348" i="43"/>
  <c r="R375" i="43" s="1"/>
  <c r="R347" i="43"/>
  <c r="R361" i="43" s="1"/>
  <c r="R341" i="43"/>
  <c r="S339" i="43"/>
  <c r="S358" i="43" s="1"/>
  <c r="S340" i="43"/>
  <c r="S372" i="43" s="1"/>
  <c r="N331" i="43"/>
  <c r="N374" i="43" s="1"/>
  <c r="N330" i="43"/>
  <c r="N360" i="43" s="1"/>
  <c r="N332" i="43"/>
  <c r="M333" i="43"/>
  <c r="H321" i="43"/>
  <c r="H359" i="43" s="1"/>
  <c r="P321" i="43"/>
  <c r="P359" i="43" s="1"/>
  <c r="I321" i="43"/>
  <c r="I359" i="43" s="1"/>
  <c r="Q321" i="43"/>
  <c r="Q359" i="43" s="1"/>
  <c r="J321" i="43"/>
  <c r="J359" i="43" s="1"/>
  <c r="K321" i="43"/>
  <c r="K359" i="43" s="1"/>
  <c r="L321" i="43"/>
  <c r="L359" i="43" s="1"/>
  <c r="E321" i="43"/>
  <c r="E359" i="43" s="1"/>
  <c r="M321" i="43"/>
  <c r="M359" i="43" s="1"/>
  <c r="F321" i="43"/>
  <c r="F359" i="43" s="1"/>
  <c r="N321" i="43"/>
  <c r="N359" i="43" s="1"/>
  <c r="G321" i="43"/>
  <c r="G359" i="43" s="1"/>
  <c r="O321" i="43"/>
  <c r="O359" i="43" s="1"/>
  <c r="D323" i="43"/>
  <c r="M323" i="43"/>
  <c r="F323" i="43"/>
  <c r="N323" i="43"/>
  <c r="E323" i="43"/>
  <c r="G323" i="43"/>
  <c r="O323" i="43"/>
  <c r="H323" i="43"/>
  <c r="P323" i="43"/>
  <c r="I323" i="43"/>
  <c r="Q323" i="43"/>
  <c r="J323" i="43"/>
  <c r="K323" i="43"/>
  <c r="L323" i="43"/>
  <c r="F286" i="43"/>
  <c r="C322" i="43"/>
  <c r="C373" i="43" s="1"/>
  <c r="C378" i="43" s="1"/>
  <c r="C42" i="43" s="1"/>
  <c r="F285" i="43"/>
  <c r="C392" i="43"/>
  <c r="V21" i="60"/>
  <c r="U54" i="60"/>
  <c r="X23" i="60"/>
  <c r="V22" i="60"/>
  <c r="U55" i="60"/>
  <c r="V20" i="60"/>
  <c r="U53" i="60"/>
  <c r="O145" i="43"/>
  <c r="O147" i="43" s="1"/>
  <c r="Q21" i="58"/>
  <c r="M388" i="43"/>
  <c r="U23" i="58"/>
  <c r="S148" i="43"/>
  <c r="Q389" i="43"/>
  <c r="U10" i="58"/>
  <c r="T139" i="43" s="1"/>
  <c r="T13" i="58"/>
  <c r="S142" i="43" s="1"/>
  <c r="T11" i="58"/>
  <c r="S140" i="43" s="1"/>
  <c r="S20" i="58"/>
  <c r="R144" i="43" s="1"/>
  <c r="S12" i="58"/>
  <c r="R141" i="43" s="1"/>
  <c r="R143" i="43" s="1"/>
  <c r="R323" i="43" s="1"/>
  <c r="S22" i="58"/>
  <c r="R146" i="43" s="1"/>
  <c r="U13" i="58"/>
  <c r="T142" i="43" s="1"/>
  <c r="C36" i="43" l="1"/>
  <c r="C56" i="43"/>
  <c r="C57" i="43"/>
  <c r="C58" i="43"/>
  <c r="C62" i="43"/>
  <c r="C63" i="43"/>
  <c r="C61" i="43"/>
  <c r="C60" i="43"/>
  <c r="C59" i="43"/>
  <c r="C46" i="43"/>
  <c r="C44" i="43"/>
  <c r="C47" i="43"/>
  <c r="C48" i="43"/>
  <c r="C49" i="43"/>
  <c r="C43" i="43"/>
  <c r="C45" i="43"/>
  <c r="C393" i="43"/>
  <c r="C6" i="43"/>
  <c r="C5" i="43"/>
  <c r="C20" i="43" s="1"/>
  <c r="R350" i="43"/>
  <c r="S348" i="43"/>
  <c r="S375" i="43" s="1"/>
  <c r="S347" i="43"/>
  <c r="S361" i="43" s="1"/>
  <c r="S349" i="43"/>
  <c r="C324" i="43"/>
  <c r="D322" i="43"/>
  <c r="D373" i="43" s="1"/>
  <c r="T340" i="43"/>
  <c r="T372" i="43" s="1"/>
  <c r="T339" i="43"/>
  <c r="T358" i="43" s="1"/>
  <c r="S341" i="43"/>
  <c r="O332" i="43"/>
  <c r="O331" i="43"/>
  <c r="O374" i="43" s="1"/>
  <c r="O330" i="43"/>
  <c r="O360" i="43" s="1"/>
  <c r="N333" i="43"/>
  <c r="R321" i="43"/>
  <c r="R359" i="43" s="1"/>
  <c r="J322" i="43"/>
  <c r="J373" i="43" s="1"/>
  <c r="R322" i="43"/>
  <c r="R373" i="43" s="1"/>
  <c r="K322" i="43"/>
  <c r="K373" i="43" s="1"/>
  <c r="L322" i="43"/>
  <c r="L373" i="43" s="1"/>
  <c r="E322" i="43"/>
  <c r="E373" i="43" s="1"/>
  <c r="M322" i="43"/>
  <c r="M373" i="43" s="1"/>
  <c r="F322" i="43"/>
  <c r="F373" i="43" s="1"/>
  <c r="N322" i="43"/>
  <c r="N373" i="43" s="1"/>
  <c r="G322" i="43"/>
  <c r="G373" i="43" s="1"/>
  <c r="O322" i="43"/>
  <c r="O373" i="43" s="1"/>
  <c r="H322" i="43"/>
  <c r="H373" i="43" s="1"/>
  <c r="P322" i="43"/>
  <c r="P373" i="43" s="1"/>
  <c r="I322" i="43"/>
  <c r="I373" i="43" s="1"/>
  <c r="Q322" i="43"/>
  <c r="Q373" i="43" s="1"/>
  <c r="W20" i="60"/>
  <c r="V53" i="60"/>
  <c r="Y23" i="60"/>
  <c r="W22" i="60"/>
  <c r="V55" i="60"/>
  <c r="W21" i="60"/>
  <c r="V54" i="60"/>
  <c r="N388" i="43"/>
  <c r="T12" i="58"/>
  <c r="S141" i="43" s="1"/>
  <c r="S143" i="43" s="1"/>
  <c r="S322" i="43" s="1"/>
  <c r="S373" i="43" s="1"/>
  <c r="P145" i="43"/>
  <c r="P147" i="43" s="1"/>
  <c r="R21" i="58"/>
  <c r="V10" i="58"/>
  <c r="U139" i="43" s="1"/>
  <c r="T20" i="58"/>
  <c r="S144" i="43" s="1"/>
  <c r="T22" i="58"/>
  <c r="S146" i="43" s="1"/>
  <c r="V23" i="58"/>
  <c r="T148" i="43"/>
  <c r="R389" i="43"/>
  <c r="U11" i="58"/>
  <c r="T140" i="43" s="1"/>
  <c r="V13" i="58"/>
  <c r="U142" i="43" s="1"/>
  <c r="C64" i="43" l="1"/>
  <c r="G387" i="43"/>
  <c r="J387" i="43"/>
  <c r="N387" i="43"/>
  <c r="D387" i="43"/>
  <c r="O387" i="43"/>
  <c r="F387" i="43"/>
  <c r="Q387" i="43"/>
  <c r="P387" i="43"/>
  <c r="L387" i="43"/>
  <c r="M387" i="43"/>
  <c r="I387" i="43"/>
  <c r="H387" i="43"/>
  <c r="K387" i="43"/>
  <c r="C50" i="43"/>
  <c r="C19" i="43"/>
  <c r="C21" i="43"/>
  <c r="E387" i="43"/>
  <c r="T349" i="43"/>
  <c r="T348" i="43"/>
  <c r="T375" i="43" s="1"/>
  <c r="T347" i="43"/>
  <c r="T361" i="43" s="1"/>
  <c r="S350" i="43"/>
  <c r="T341" i="43"/>
  <c r="U339" i="43"/>
  <c r="U358" i="43" s="1"/>
  <c r="U340" i="43"/>
  <c r="U372" i="43" s="1"/>
  <c r="P330" i="43"/>
  <c r="P360" i="43" s="1"/>
  <c r="P332" i="43"/>
  <c r="P331" i="43"/>
  <c r="P374" i="43" s="1"/>
  <c r="O333" i="43"/>
  <c r="S321" i="43"/>
  <c r="S359" i="43" s="1"/>
  <c r="S323" i="43"/>
  <c r="X21" i="60"/>
  <c r="W54" i="60"/>
  <c r="X22" i="60"/>
  <c r="W55" i="60"/>
  <c r="Z23" i="60"/>
  <c r="X20" i="60"/>
  <c r="W53" i="60"/>
  <c r="O388" i="43"/>
  <c r="Q145" i="43"/>
  <c r="Q147" i="43" s="1"/>
  <c r="S21" i="58"/>
  <c r="U12" i="58"/>
  <c r="T141" i="43" s="1"/>
  <c r="T143" i="43" s="1"/>
  <c r="V11" i="58"/>
  <c r="U140" i="43" s="1"/>
  <c r="W10" i="58"/>
  <c r="V139" i="43" s="1"/>
  <c r="U20" i="58"/>
  <c r="T144" i="43" s="1"/>
  <c r="U22" i="58"/>
  <c r="T146" i="43" s="1"/>
  <c r="R387" i="43"/>
  <c r="W23" i="58"/>
  <c r="U148" i="43"/>
  <c r="S389" i="43"/>
  <c r="W13" i="58"/>
  <c r="V142" i="43" s="1"/>
  <c r="C22" i="43" l="1"/>
  <c r="U349" i="43"/>
  <c r="U347" i="43"/>
  <c r="U361" i="43" s="1"/>
  <c r="U348" i="43"/>
  <c r="U375" i="43" s="1"/>
  <c r="T350" i="43"/>
  <c r="V340" i="43"/>
  <c r="V372" i="43" s="1"/>
  <c r="V339" i="43"/>
  <c r="V358" i="43" s="1"/>
  <c r="U341" i="43"/>
  <c r="Q331" i="43"/>
  <c r="Q374" i="43" s="1"/>
  <c r="Q332" i="43"/>
  <c r="Q330" i="43"/>
  <c r="Q360" i="43" s="1"/>
  <c r="P333" i="43"/>
  <c r="T323" i="43"/>
  <c r="T321" i="43"/>
  <c r="T359" i="43" s="1"/>
  <c r="T322" i="43"/>
  <c r="T373" i="43" s="1"/>
  <c r="S387" i="43"/>
  <c r="AA23" i="60"/>
  <c r="Y22" i="60"/>
  <c r="X55" i="60"/>
  <c r="Y20" i="60"/>
  <c r="X53" i="60"/>
  <c r="Y21" i="60"/>
  <c r="X54" i="60"/>
  <c r="V12" i="58"/>
  <c r="U141" i="43" s="1"/>
  <c r="U143" i="43" s="1"/>
  <c r="P388" i="43"/>
  <c r="V20" i="58"/>
  <c r="U144" i="43" s="1"/>
  <c r="W11" i="58"/>
  <c r="V140" i="43" s="1"/>
  <c r="R145" i="43"/>
  <c r="R147" i="43" s="1"/>
  <c r="T21" i="58"/>
  <c r="X10" i="58"/>
  <c r="W139" i="43" s="1"/>
  <c r="V22" i="58"/>
  <c r="U146" i="43" s="1"/>
  <c r="T389" i="43"/>
  <c r="X23" i="58"/>
  <c r="V148" i="43"/>
  <c r="W12" i="58"/>
  <c r="V141" i="43" s="1"/>
  <c r="X13" i="58"/>
  <c r="W142" i="43" s="1"/>
  <c r="W20" i="58"/>
  <c r="V144" i="43" s="1"/>
  <c r="X11" i="58"/>
  <c r="W140" i="43" s="1"/>
  <c r="U350" i="43" l="1"/>
  <c r="V341" i="43"/>
  <c r="V348" i="43"/>
  <c r="V375" i="43" s="1"/>
  <c r="V349" i="43"/>
  <c r="V347" i="43"/>
  <c r="W339" i="43"/>
  <c r="W358" i="43" s="1"/>
  <c r="W340" i="43"/>
  <c r="W372" i="43" s="1"/>
  <c r="R330" i="43"/>
  <c r="R360" i="43" s="1"/>
  <c r="R332" i="43"/>
  <c r="R331" i="43"/>
  <c r="R374" i="43" s="1"/>
  <c r="Q333" i="43"/>
  <c r="U321" i="43"/>
  <c r="U359" i="43" s="1"/>
  <c r="U323" i="43"/>
  <c r="U322" i="43"/>
  <c r="U373" i="43" s="1"/>
  <c r="T387" i="43"/>
  <c r="Z21" i="60"/>
  <c r="Y54" i="60"/>
  <c r="Z22" i="60"/>
  <c r="Y55" i="60"/>
  <c r="Z20" i="60"/>
  <c r="Y53" i="60"/>
  <c r="AB23" i="60"/>
  <c r="V143" i="43"/>
  <c r="Q388" i="43"/>
  <c r="Y10" i="58"/>
  <c r="X139" i="43" s="1"/>
  <c r="S145" i="43"/>
  <c r="S147" i="43" s="1"/>
  <c r="U21" i="58"/>
  <c r="W22" i="58"/>
  <c r="V146" i="43" s="1"/>
  <c r="U389" i="43"/>
  <c r="Y23" i="58"/>
  <c r="W148" i="43"/>
  <c r="Z10" i="58"/>
  <c r="Y139" i="43" s="1"/>
  <c r="Y11" i="58"/>
  <c r="X140" i="43" s="1"/>
  <c r="X12" i="58"/>
  <c r="W141" i="43" s="1"/>
  <c r="W143" i="43" s="1"/>
  <c r="X20" i="58"/>
  <c r="W144" i="43" s="1"/>
  <c r="Y13" i="58"/>
  <c r="X142" i="43" s="1"/>
  <c r="V350" i="43" l="1"/>
  <c r="V361" i="43"/>
  <c r="W347" i="43"/>
  <c r="W361" i="43" s="1"/>
  <c r="W349" i="43"/>
  <c r="W348" i="43"/>
  <c r="W375" i="43" s="1"/>
  <c r="W341" i="43"/>
  <c r="Y339" i="43"/>
  <c r="Y358" i="43" s="1"/>
  <c r="Y340" i="43"/>
  <c r="Y372" i="43" s="1"/>
  <c r="X339" i="43"/>
  <c r="X358" i="43" s="1"/>
  <c r="X340" i="43"/>
  <c r="X372" i="43" s="1"/>
  <c r="S332" i="43"/>
  <c r="S330" i="43"/>
  <c r="S360" i="43" s="1"/>
  <c r="S331" i="43"/>
  <c r="S374" i="43" s="1"/>
  <c r="R333" i="43"/>
  <c r="W323" i="43"/>
  <c r="W321" i="43"/>
  <c r="W359" i="43" s="1"/>
  <c r="W322" i="43"/>
  <c r="W373" i="43" s="1"/>
  <c r="V321" i="43"/>
  <c r="V359" i="43" s="1"/>
  <c r="V323" i="43"/>
  <c r="V322" i="43"/>
  <c r="V373" i="43" s="1"/>
  <c r="AA22" i="60"/>
  <c r="Z55" i="60"/>
  <c r="AC23" i="60"/>
  <c r="AA20" i="60"/>
  <c r="Z53" i="60"/>
  <c r="AA21" i="60"/>
  <c r="Z54" i="60"/>
  <c r="U387" i="43"/>
  <c r="R388" i="43"/>
  <c r="T145" i="43"/>
  <c r="T147" i="43" s="1"/>
  <c r="V21" i="58"/>
  <c r="X22" i="58"/>
  <c r="W146" i="43" s="1"/>
  <c r="V389" i="43"/>
  <c r="Z23" i="58"/>
  <c r="X148" i="43"/>
  <c r="AA10" i="58"/>
  <c r="Z139" i="43" s="1"/>
  <c r="Y20" i="58"/>
  <c r="X144" i="43" s="1"/>
  <c r="Y12" i="58"/>
  <c r="X141" i="43" s="1"/>
  <c r="X143" i="43" s="1"/>
  <c r="Z13" i="58"/>
  <c r="Y142" i="43" s="1"/>
  <c r="Z11" i="58"/>
  <c r="Y140" i="43" s="1"/>
  <c r="X347" i="43" l="1"/>
  <c r="X361" i="43" s="1"/>
  <c r="X349" i="43"/>
  <c r="X348" i="43"/>
  <c r="X375" i="43" s="1"/>
  <c r="W350" i="43"/>
  <c r="X341" i="43"/>
  <c r="Y341" i="43"/>
  <c r="Z339" i="43"/>
  <c r="Z358" i="43" s="1"/>
  <c r="Z340" i="43"/>
  <c r="Z372" i="43" s="1"/>
  <c r="T332" i="43"/>
  <c r="T331" i="43"/>
  <c r="T374" i="43" s="1"/>
  <c r="T330" i="43"/>
  <c r="T360" i="43" s="1"/>
  <c r="S333" i="43"/>
  <c r="X321" i="43"/>
  <c r="X359" i="43" s="1"/>
  <c r="X323" i="43"/>
  <c r="X322" i="43"/>
  <c r="X373" i="43" s="1"/>
  <c r="V387" i="43"/>
  <c r="AB21" i="60"/>
  <c r="AA54" i="60"/>
  <c r="AD23" i="60"/>
  <c r="AB20" i="60"/>
  <c r="AA53" i="60"/>
  <c r="AB22" i="60"/>
  <c r="AA55" i="60"/>
  <c r="S388" i="43"/>
  <c r="U145" i="43"/>
  <c r="U147" i="43" s="1"/>
  <c r="W21" i="58"/>
  <c r="Y22" i="58"/>
  <c r="X146" i="43" s="1"/>
  <c r="W387" i="43"/>
  <c r="AA23" i="58"/>
  <c r="Y148" i="43"/>
  <c r="W389" i="43"/>
  <c r="AB10" i="58"/>
  <c r="AA139" i="43" s="1"/>
  <c r="AA11" i="58"/>
  <c r="Z140" i="43" s="1"/>
  <c r="Z12" i="58"/>
  <c r="Y141" i="43" s="1"/>
  <c r="Y143" i="43" s="1"/>
  <c r="Z20" i="58"/>
  <c r="Y144" i="43" s="1"/>
  <c r="AA13" i="58"/>
  <c r="Z142" i="43" s="1"/>
  <c r="Y347" i="43" l="1"/>
  <c r="Y361" i="43" s="1"/>
  <c r="Y348" i="43"/>
  <c r="Y375" i="43" s="1"/>
  <c r="Y349" i="43"/>
  <c r="X350" i="43"/>
  <c r="T333" i="43"/>
  <c r="Z341" i="43"/>
  <c r="AA340" i="43"/>
  <c r="AA372" i="43" s="1"/>
  <c r="AA339" i="43"/>
  <c r="AA358" i="43" s="1"/>
  <c r="U332" i="43"/>
  <c r="U330" i="43"/>
  <c r="U360" i="43" s="1"/>
  <c r="U331" i="43"/>
  <c r="U374" i="43" s="1"/>
  <c r="Y323" i="43"/>
  <c r="Y321" i="43"/>
  <c r="Y359" i="43" s="1"/>
  <c r="Y322" i="43"/>
  <c r="Y373" i="43" s="1"/>
  <c r="AC22" i="60"/>
  <c r="AB55" i="60"/>
  <c r="AC20" i="60"/>
  <c r="AB53" i="60"/>
  <c r="AC21" i="60"/>
  <c r="AB54" i="60"/>
  <c r="T388" i="43"/>
  <c r="Z22" i="58"/>
  <c r="Y146" i="43" s="1"/>
  <c r="V145" i="43"/>
  <c r="V147" i="43" s="1"/>
  <c r="X21" i="58"/>
  <c r="X387" i="43"/>
  <c r="X389" i="43"/>
  <c r="AB23" i="58"/>
  <c r="Z148" i="43"/>
  <c r="AC10" i="58"/>
  <c r="AB139" i="43" s="1"/>
  <c r="AA20" i="58"/>
  <c r="Z144" i="43" s="1"/>
  <c r="AB13" i="58"/>
  <c r="AA142" i="43" s="1"/>
  <c r="AA12" i="58"/>
  <c r="Z141" i="43" s="1"/>
  <c r="Z143" i="43" s="1"/>
  <c r="AB11" i="58"/>
  <c r="AA140" i="43" s="1"/>
  <c r="Y350" i="43" l="1"/>
  <c r="Z347" i="43"/>
  <c r="Z361" i="43" s="1"/>
  <c r="Z349" i="43"/>
  <c r="Z348" i="43"/>
  <c r="Z375" i="43" s="1"/>
  <c r="AA341" i="43"/>
  <c r="AB340" i="43"/>
  <c r="AB372" i="43" s="1"/>
  <c r="AB339" i="43"/>
  <c r="AB358" i="43" s="1"/>
  <c r="U333" i="43"/>
  <c r="V330" i="43"/>
  <c r="V360" i="43" s="1"/>
  <c r="V331" i="43"/>
  <c r="V374" i="43" s="1"/>
  <c r="V332" i="43"/>
  <c r="Z323" i="43"/>
  <c r="Z321" i="43"/>
  <c r="Z359" i="43" s="1"/>
  <c r="Z322" i="43"/>
  <c r="Z373" i="43" s="1"/>
  <c r="AD21" i="60"/>
  <c r="AD54" i="60" s="1"/>
  <c r="AC54" i="60"/>
  <c r="AD20" i="60"/>
  <c r="AD53" i="60" s="1"/>
  <c r="AC53" i="60"/>
  <c r="AD22" i="60"/>
  <c r="AD55" i="60" s="1"/>
  <c r="AC55" i="60"/>
  <c r="AA22" i="58"/>
  <c r="Z146" i="43" s="1"/>
  <c r="U388" i="43"/>
  <c r="W145" i="43"/>
  <c r="W147" i="43" s="1"/>
  <c r="Y21" i="58"/>
  <c r="Y387" i="43"/>
  <c r="Y389" i="43"/>
  <c r="AC23" i="58"/>
  <c r="AA148" i="43"/>
  <c r="AD10" i="58"/>
  <c r="AC139" i="43" s="1"/>
  <c r="AB12" i="58"/>
  <c r="AA141" i="43" s="1"/>
  <c r="AA143" i="43" s="1"/>
  <c r="AC13" i="58"/>
  <c r="AB142" i="43" s="1"/>
  <c r="AB22" i="58"/>
  <c r="AA146" i="43" s="1"/>
  <c r="AC11" i="58"/>
  <c r="AB140" i="43" s="1"/>
  <c r="AB20" i="58"/>
  <c r="AA144" i="43" s="1"/>
  <c r="AA348" i="43" l="1"/>
  <c r="AA375" i="43" s="1"/>
  <c r="AA349" i="43"/>
  <c r="AA347" i="43"/>
  <c r="AA361" i="43" s="1"/>
  <c r="Z350" i="43"/>
  <c r="AB341" i="43"/>
  <c r="AC339" i="43"/>
  <c r="AC358" i="43" s="1"/>
  <c r="AC340" i="43"/>
  <c r="AC372" i="43" s="1"/>
  <c r="V333" i="43"/>
  <c r="W330" i="43"/>
  <c r="W360" i="43" s="1"/>
  <c r="W332" i="43"/>
  <c r="W331" i="43"/>
  <c r="W374" i="43" s="1"/>
  <c r="AA321" i="43"/>
  <c r="AA359" i="43" s="1"/>
  <c r="AA323" i="43"/>
  <c r="AA322" i="43"/>
  <c r="AA373" i="43" s="1"/>
  <c r="X145" i="43"/>
  <c r="X147" i="43" s="1"/>
  <c r="Z21" i="58"/>
  <c r="V388" i="43"/>
  <c r="Z387" i="43"/>
  <c r="AD23" i="58"/>
  <c r="AC148" i="43" s="1"/>
  <c r="AB148" i="43"/>
  <c r="Z389" i="43"/>
  <c r="AC20" i="58"/>
  <c r="AB144" i="43" s="1"/>
  <c r="AC22" i="58"/>
  <c r="AB146" i="43" s="1"/>
  <c r="AD11" i="58"/>
  <c r="AC140" i="43" s="1"/>
  <c r="AD13" i="58"/>
  <c r="AC142" i="43" s="1"/>
  <c r="AC12" i="58"/>
  <c r="AB141" i="43" s="1"/>
  <c r="AB143" i="43" s="1"/>
  <c r="AA61" i="56"/>
  <c r="L61" i="56"/>
  <c r="H61" i="56"/>
  <c r="C61" i="56"/>
  <c r="AM61" i="56" s="1"/>
  <c r="AA60" i="56"/>
  <c r="L60" i="56"/>
  <c r="H60" i="56"/>
  <c r="C60" i="56"/>
  <c r="AM60" i="56" s="1"/>
  <c r="AK59" i="56"/>
  <c r="AA59" i="56"/>
  <c r="Z59" i="56"/>
  <c r="T59" i="56"/>
  <c r="S59" i="56"/>
  <c r="R59" i="56"/>
  <c r="L59" i="56" s="1"/>
  <c r="H59" i="56"/>
  <c r="C59" i="56"/>
  <c r="AK58" i="56"/>
  <c r="AA58" i="56"/>
  <c r="AA57" i="56" s="1"/>
  <c r="Z58" i="56"/>
  <c r="T58" i="56"/>
  <c r="S58" i="56"/>
  <c r="L58" i="56" s="1"/>
  <c r="L57" i="56" s="1"/>
  <c r="H58" i="56"/>
  <c r="H57" i="56" s="1"/>
  <c r="C58" i="56"/>
  <c r="AL57" i="56"/>
  <c r="AJ57" i="56"/>
  <c r="AI57" i="56"/>
  <c r="AH57" i="56"/>
  <c r="AG57" i="56"/>
  <c r="AG30" i="56" s="1"/>
  <c r="AF57" i="56"/>
  <c r="AE57" i="56"/>
  <c r="AD57" i="56"/>
  <c r="AC57" i="56"/>
  <c r="AB57" i="56"/>
  <c r="Y57" i="56"/>
  <c r="X57" i="56"/>
  <c r="W57" i="56"/>
  <c r="V57" i="56"/>
  <c r="U57" i="56"/>
  <c r="Q57" i="56"/>
  <c r="P57" i="56"/>
  <c r="N57" i="56"/>
  <c r="M57" i="56"/>
  <c r="K57" i="56"/>
  <c r="J57" i="56"/>
  <c r="I57" i="56"/>
  <c r="G57" i="56"/>
  <c r="F57" i="56"/>
  <c r="E57" i="56"/>
  <c r="D57" i="56"/>
  <c r="D30" i="56" s="1"/>
  <c r="C57" i="56"/>
  <c r="AA56" i="56"/>
  <c r="L56" i="56"/>
  <c r="H56" i="56"/>
  <c r="C56" i="56"/>
  <c r="AA55" i="56"/>
  <c r="L55" i="56"/>
  <c r="H55" i="56"/>
  <c r="C55" i="56"/>
  <c r="AM55" i="56" s="1"/>
  <c r="AA54" i="56"/>
  <c r="L54" i="56"/>
  <c r="H54" i="56"/>
  <c r="C54" i="56"/>
  <c r="AA53" i="56"/>
  <c r="L53" i="56"/>
  <c r="H53" i="56"/>
  <c r="C53" i="56"/>
  <c r="AA52" i="56"/>
  <c r="L52" i="56"/>
  <c r="H52" i="56"/>
  <c r="C52" i="56"/>
  <c r="AA51" i="56"/>
  <c r="L51" i="56"/>
  <c r="H51" i="56"/>
  <c r="C51" i="56"/>
  <c r="AM51" i="56" s="1"/>
  <c r="AA50" i="56"/>
  <c r="L50" i="56"/>
  <c r="H50" i="56"/>
  <c r="AM50" i="56" s="1"/>
  <c r="C50" i="56"/>
  <c r="AA49" i="56"/>
  <c r="L49" i="56"/>
  <c r="H49" i="56"/>
  <c r="C49" i="56"/>
  <c r="AA48" i="56"/>
  <c r="L48" i="56"/>
  <c r="H48" i="56"/>
  <c r="C48" i="56"/>
  <c r="AA47" i="56"/>
  <c r="AA45" i="56" s="1"/>
  <c r="L47" i="56"/>
  <c r="L45" i="56" s="1"/>
  <c r="AA46" i="56"/>
  <c r="L46" i="56"/>
  <c r="H46" i="56"/>
  <c r="C46" i="56"/>
  <c r="AL45" i="56"/>
  <c r="AK45" i="56"/>
  <c r="AK30" i="56" s="1"/>
  <c r="AJ45" i="56"/>
  <c r="AI45" i="56"/>
  <c r="AH45" i="56"/>
  <c r="AG45" i="56"/>
  <c r="AE45" i="56"/>
  <c r="AD45" i="56"/>
  <c r="AC45" i="56"/>
  <c r="AB45" i="56"/>
  <c r="AB30" i="56" s="1"/>
  <c r="Z45" i="56"/>
  <c r="Z30" i="56" s="1"/>
  <c r="Y45" i="56"/>
  <c r="X45" i="56"/>
  <c r="W45" i="56"/>
  <c r="V45" i="56"/>
  <c r="U45" i="56"/>
  <c r="U30" i="56" s="1"/>
  <c r="T45" i="56"/>
  <c r="S45" i="56"/>
  <c r="S30" i="56" s="1"/>
  <c r="R45" i="56"/>
  <c r="R30" i="56" s="1"/>
  <c r="Q45" i="56"/>
  <c r="P45" i="56"/>
  <c r="O45" i="56"/>
  <c r="N45" i="56"/>
  <c r="M45" i="56"/>
  <c r="K45" i="56"/>
  <c r="J45" i="56"/>
  <c r="I45" i="56"/>
  <c r="G45" i="56"/>
  <c r="F45" i="56"/>
  <c r="F30" i="56" s="1"/>
  <c r="E45" i="56"/>
  <c r="E30" i="56" s="1"/>
  <c r="D45" i="56"/>
  <c r="AA44" i="56"/>
  <c r="L44" i="56"/>
  <c r="H44" i="56"/>
  <c r="C44" i="56"/>
  <c r="AM44" i="56" s="1"/>
  <c r="AA43" i="56"/>
  <c r="L43" i="56"/>
  <c r="AM43" i="56" s="1"/>
  <c r="H43" i="56"/>
  <c r="C43" i="56"/>
  <c r="AA42" i="56"/>
  <c r="L42" i="56"/>
  <c r="H42" i="56"/>
  <c r="C42" i="56"/>
  <c r="AM42" i="56" s="1"/>
  <c r="AA41" i="56"/>
  <c r="AM41" i="56" s="1"/>
  <c r="L41" i="56"/>
  <c r="H41" i="56"/>
  <c r="C41" i="56"/>
  <c r="AA40" i="56"/>
  <c r="L40" i="56"/>
  <c r="H40" i="56"/>
  <c r="C40" i="56"/>
  <c r="AM40" i="56" s="1"/>
  <c r="AA39" i="56"/>
  <c r="L39" i="56"/>
  <c r="H39" i="56"/>
  <c r="C39" i="56"/>
  <c r="AA38" i="56"/>
  <c r="L38" i="56"/>
  <c r="H38" i="56"/>
  <c r="C38" i="56"/>
  <c r="AA37" i="56"/>
  <c r="L37" i="56"/>
  <c r="H37" i="56"/>
  <c r="C37" i="56"/>
  <c r="AA36" i="56"/>
  <c r="L36" i="56"/>
  <c r="H36" i="56"/>
  <c r="C36" i="56"/>
  <c r="AA35" i="56"/>
  <c r="L35" i="56"/>
  <c r="H35" i="56"/>
  <c r="C35" i="56"/>
  <c r="AA34" i="56"/>
  <c r="L34" i="56"/>
  <c r="L31" i="56" s="1"/>
  <c r="H34" i="56"/>
  <c r="C34" i="56"/>
  <c r="AA33" i="56"/>
  <c r="L33" i="56"/>
  <c r="H33" i="56"/>
  <c r="C33" i="56"/>
  <c r="AM33" i="56" s="1"/>
  <c r="AM32" i="56"/>
  <c r="AA32" i="56"/>
  <c r="L32" i="56"/>
  <c r="H32" i="56"/>
  <c r="C32" i="56"/>
  <c r="AL31" i="56"/>
  <c r="AJ31" i="56"/>
  <c r="AI31" i="56"/>
  <c r="AH31" i="56"/>
  <c r="AH30" i="56" s="1"/>
  <c r="AG31" i="56"/>
  <c r="AF31" i="56"/>
  <c r="AF30" i="56" s="1"/>
  <c r="AD31" i="56"/>
  <c r="AC31" i="56"/>
  <c r="AB31" i="56"/>
  <c r="Y31" i="56"/>
  <c r="X31" i="56"/>
  <c r="W31" i="56"/>
  <c r="V31" i="56"/>
  <c r="V30" i="56" s="1"/>
  <c r="Q31" i="56"/>
  <c r="N31" i="56"/>
  <c r="M31" i="56"/>
  <c r="K31" i="56"/>
  <c r="K30" i="56" s="1"/>
  <c r="J31" i="56"/>
  <c r="I31" i="56"/>
  <c r="I30" i="56" s="1"/>
  <c r="AJ30" i="56"/>
  <c r="AE30" i="56"/>
  <c r="T30" i="56"/>
  <c r="Q30" i="56"/>
  <c r="P30" i="56"/>
  <c r="O30" i="56"/>
  <c r="G30" i="56"/>
  <c r="AA29" i="56"/>
  <c r="AA28" i="56" s="1"/>
  <c r="H29" i="56"/>
  <c r="C29" i="56"/>
  <c r="AL28" i="56"/>
  <c r="AK28" i="56"/>
  <c r="AJ28" i="56"/>
  <c r="AI28" i="56"/>
  <c r="AH28" i="56"/>
  <c r="AG28" i="56"/>
  <c r="AF28" i="56"/>
  <c r="AE28" i="56"/>
  <c r="AD28" i="56"/>
  <c r="AC28" i="56"/>
  <c r="AB28" i="56"/>
  <c r="Z28" i="56"/>
  <c r="U28" i="56"/>
  <c r="T28" i="56"/>
  <c r="S28" i="56"/>
  <c r="R28" i="56"/>
  <c r="Q28" i="56"/>
  <c r="P28" i="56"/>
  <c r="O28" i="56"/>
  <c r="N28" i="56"/>
  <c r="M28" i="56"/>
  <c r="K28" i="56"/>
  <c r="J28" i="56"/>
  <c r="I28" i="56"/>
  <c r="H28" i="56"/>
  <c r="G28" i="56"/>
  <c r="F28" i="56"/>
  <c r="E28" i="56"/>
  <c r="D28" i="56"/>
  <c r="AM26" i="56"/>
  <c r="AA26" i="56"/>
  <c r="L26" i="56"/>
  <c r="H26" i="56"/>
  <c r="C26" i="56"/>
  <c r="AA25" i="56"/>
  <c r="L25" i="56"/>
  <c r="E25" i="56"/>
  <c r="C25" i="56" s="1"/>
  <c r="AM24" i="56"/>
  <c r="AC23" i="56"/>
  <c r="AC22" i="56" s="1"/>
  <c r="AB23" i="56"/>
  <c r="AA23" i="56" s="1"/>
  <c r="AL22" i="56"/>
  <c r="AJ22" i="56"/>
  <c r="AI22" i="56"/>
  <c r="AH22" i="56"/>
  <c r="AG22" i="56"/>
  <c r="AF22" i="56"/>
  <c r="AE22" i="56"/>
  <c r="AD22" i="56"/>
  <c r="Z22" i="56"/>
  <c r="Y22" i="56"/>
  <c r="X22" i="56"/>
  <c r="W22" i="56"/>
  <c r="V22" i="56"/>
  <c r="U22" i="56"/>
  <c r="T22" i="56"/>
  <c r="S22" i="56"/>
  <c r="R22" i="56"/>
  <c r="Q22" i="56"/>
  <c r="P22" i="56"/>
  <c r="O22" i="56"/>
  <c r="N22" i="56"/>
  <c r="M22" i="56"/>
  <c r="L22" i="56" s="1"/>
  <c r="K22" i="56"/>
  <c r="J22" i="56"/>
  <c r="I22" i="56"/>
  <c r="G22" i="56"/>
  <c r="F22" i="56"/>
  <c r="D22" i="56"/>
  <c r="AA21" i="56"/>
  <c r="AM21" i="56" s="1"/>
  <c r="L21" i="56"/>
  <c r="H21" i="56"/>
  <c r="AA20" i="56"/>
  <c r="L20" i="56"/>
  <c r="H20" i="56"/>
  <c r="AM19" i="56"/>
  <c r="AA18" i="56"/>
  <c r="AM18" i="56" s="1"/>
  <c r="AA17" i="56"/>
  <c r="L17" i="56"/>
  <c r="H17" i="56"/>
  <c r="AM17" i="56" s="1"/>
  <c r="C17" i="56"/>
  <c r="AA16" i="56"/>
  <c r="AA15" i="56" s="1"/>
  <c r="L16" i="56"/>
  <c r="L15" i="56" s="1"/>
  <c r="H16" i="56"/>
  <c r="C16" i="56"/>
  <c r="C15" i="56" s="1"/>
  <c r="AL15" i="56"/>
  <c r="AK15" i="56"/>
  <c r="AJ15" i="56"/>
  <c r="AI15" i="56"/>
  <c r="AH15" i="56"/>
  <c r="AG15" i="56"/>
  <c r="AF15" i="56"/>
  <c r="AE15" i="56"/>
  <c r="AD15" i="56"/>
  <c r="AC15" i="56"/>
  <c r="AB15" i="56"/>
  <c r="Z15" i="56"/>
  <c r="Y15" i="56"/>
  <c r="X15" i="56"/>
  <c r="W15" i="56"/>
  <c r="V15" i="56"/>
  <c r="U15" i="56"/>
  <c r="T15" i="56"/>
  <c r="S15" i="56"/>
  <c r="R15" i="56"/>
  <c r="Q15" i="56"/>
  <c r="P15" i="56"/>
  <c r="O15" i="56"/>
  <c r="N15" i="56"/>
  <c r="M15" i="56"/>
  <c r="K15" i="56"/>
  <c r="J15" i="56"/>
  <c r="I15" i="56"/>
  <c r="G15" i="56"/>
  <c r="F15" i="56"/>
  <c r="E15" i="56"/>
  <c r="D15" i="56"/>
  <c r="D27" i="56" s="1"/>
  <c r="AA14" i="56"/>
  <c r="L14" i="56"/>
  <c r="H14" i="56"/>
  <c r="C14" i="56"/>
  <c r="AA13" i="56"/>
  <c r="L13" i="56"/>
  <c r="H13" i="56"/>
  <c r="C13" i="56"/>
  <c r="AM12" i="56"/>
  <c r="AA11" i="56"/>
  <c r="L11" i="56"/>
  <c r="H11" i="56"/>
  <c r="C11" i="56"/>
  <c r="C9" i="56" s="1"/>
  <c r="AA10" i="56"/>
  <c r="L10" i="56"/>
  <c r="H10" i="56"/>
  <c r="C10" i="56"/>
  <c r="AL9" i="56"/>
  <c r="AK9" i="56"/>
  <c r="AJ9" i="56"/>
  <c r="AI9" i="56"/>
  <c r="AH9" i="56"/>
  <c r="AG9" i="56"/>
  <c r="AF9" i="56"/>
  <c r="AE9" i="56"/>
  <c r="AD9" i="56"/>
  <c r="AC9" i="56"/>
  <c r="AB9" i="56"/>
  <c r="Z9" i="56"/>
  <c r="Y9" i="56"/>
  <c r="X9" i="56"/>
  <c r="W9" i="56"/>
  <c r="V9" i="56"/>
  <c r="U9" i="56"/>
  <c r="T9" i="56"/>
  <c r="S9" i="56"/>
  <c r="R9" i="56"/>
  <c r="Q9" i="56"/>
  <c r="P9" i="56"/>
  <c r="O9" i="56"/>
  <c r="N9" i="56"/>
  <c r="M9" i="56"/>
  <c r="M27" i="56" s="1"/>
  <c r="K9" i="56"/>
  <c r="J9" i="56"/>
  <c r="I9" i="56"/>
  <c r="G9" i="56"/>
  <c r="F9" i="56"/>
  <c r="E9" i="56"/>
  <c r="D9" i="56"/>
  <c r="AI8" i="56"/>
  <c r="AH8" i="56"/>
  <c r="AL7" i="56"/>
  <c r="AK7" i="56"/>
  <c r="AK8" i="56" s="1"/>
  <c r="AJ7" i="56"/>
  <c r="AJ8" i="56" s="1"/>
  <c r="AI7" i="56"/>
  <c r="AI27" i="56" s="1"/>
  <c r="AH7" i="56"/>
  <c r="AG7" i="56"/>
  <c r="AG8" i="56" s="1"/>
  <c r="AF7" i="56"/>
  <c r="AF8" i="56" s="1"/>
  <c r="AE7" i="56"/>
  <c r="AD7" i="56"/>
  <c r="AC7" i="56"/>
  <c r="AC8" i="56" s="1"/>
  <c r="AB7" i="56"/>
  <c r="AB8" i="56" s="1"/>
  <c r="Z7" i="56"/>
  <c r="Z8" i="56" s="1"/>
  <c r="Y7" i="56"/>
  <c r="X7" i="56"/>
  <c r="W7" i="56"/>
  <c r="V7" i="56"/>
  <c r="V8" i="56" s="1"/>
  <c r="U7" i="56"/>
  <c r="T7" i="56"/>
  <c r="T8" i="56" s="1"/>
  <c r="S7" i="56"/>
  <c r="S27" i="56" s="1"/>
  <c r="R7" i="56"/>
  <c r="R8" i="56" s="1"/>
  <c r="Q7" i="56"/>
  <c r="P7" i="56"/>
  <c r="P8" i="56" s="1"/>
  <c r="O7" i="56"/>
  <c r="O8" i="56" s="1"/>
  <c r="N7" i="56"/>
  <c r="N8" i="56" s="1"/>
  <c r="M7" i="56"/>
  <c r="K7" i="56"/>
  <c r="K8" i="56" s="1"/>
  <c r="J7" i="56"/>
  <c r="J8" i="56" s="1"/>
  <c r="I7" i="56"/>
  <c r="G7" i="56"/>
  <c r="G8" i="56" s="1"/>
  <c r="F7" i="56"/>
  <c r="F8" i="56" s="1"/>
  <c r="E7" i="56"/>
  <c r="E8" i="56" s="1"/>
  <c r="D7" i="56"/>
  <c r="AA6" i="56"/>
  <c r="L6" i="56"/>
  <c r="H6" i="56"/>
  <c r="C6" i="56"/>
  <c r="AA5" i="56"/>
  <c r="L5" i="56"/>
  <c r="AM5" i="56" s="1"/>
  <c r="H5" i="56"/>
  <c r="C5" i="56"/>
  <c r="AA4" i="56"/>
  <c r="AM4" i="56" s="1"/>
  <c r="L4" i="56"/>
  <c r="H4" i="56"/>
  <c r="C4" i="56"/>
  <c r="AA3" i="56"/>
  <c r="L3" i="56"/>
  <c r="H3" i="56"/>
  <c r="C3" i="56"/>
  <c r="AM3" i="56" s="1"/>
  <c r="AA2" i="56"/>
  <c r="AA7" i="56" s="1"/>
  <c r="L2" i="56"/>
  <c r="H2" i="56"/>
  <c r="C2" i="56"/>
  <c r="AB347" i="43" l="1"/>
  <c r="AB361" i="43" s="1"/>
  <c r="AB348" i="43"/>
  <c r="AB375" i="43" s="1"/>
  <c r="AB349" i="43"/>
  <c r="AC349" i="43"/>
  <c r="AC347" i="43"/>
  <c r="AC361" i="43" s="1"/>
  <c r="AC348" i="43"/>
  <c r="AC375" i="43" s="1"/>
  <c r="AA350" i="43"/>
  <c r="W333" i="43"/>
  <c r="AC341" i="43"/>
  <c r="X330" i="43"/>
  <c r="X360" i="43" s="1"/>
  <c r="X331" i="43"/>
  <c r="X374" i="43" s="1"/>
  <c r="X332" i="43"/>
  <c r="AB323" i="43"/>
  <c r="AB321" i="43"/>
  <c r="AB359" i="43" s="1"/>
  <c r="AB322" i="43"/>
  <c r="AB373" i="43" s="1"/>
  <c r="W388" i="43"/>
  <c r="Y145" i="43"/>
  <c r="Y147" i="43" s="1"/>
  <c r="AA21" i="58"/>
  <c r="AA387" i="43"/>
  <c r="AA389" i="43"/>
  <c r="AD22" i="58"/>
  <c r="AC146" i="43" s="1"/>
  <c r="AD12" i="58"/>
  <c r="AC141" i="43" s="1"/>
  <c r="AC143" i="43" s="1"/>
  <c r="AD20" i="58"/>
  <c r="AC144" i="43" s="1"/>
  <c r="L30" i="56"/>
  <c r="AI30" i="56"/>
  <c r="H7" i="56"/>
  <c r="M8" i="56"/>
  <c r="U8" i="56"/>
  <c r="AD8" i="56"/>
  <c r="AL8" i="56"/>
  <c r="AM10" i="56"/>
  <c r="AM16" i="56"/>
  <c r="AH27" i="56"/>
  <c r="AH62" i="56" s="1"/>
  <c r="U27" i="56"/>
  <c r="U62" i="56" s="1"/>
  <c r="J30" i="56"/>
  <c r="Y30" i="56"/>
  <c r="AM37" i="56"/>
  <c r="AM39" i="56"/>
  <c r="AC30" i="56"/>
  <c r="AM48" i="56"/>
  <c r="AM53" i="56"/>
  <c r="S62" i="56"/>
  <c r="D8" i="56"/>
  <c r="AE8" i="56"/>
  <c r="H9" i="56"/>
  <c r="H27" i="56" s="1"/>
  <c r="AM13" i="56"/>
  <c r="T27" i="56"/>
  <c r="T62" i="56" s="1"/>
  <c r="AM20" i="56"/>
  <c r="AJ27" i="56"/>
  <c r="AJ62" i="56" s="1"/>
  <c r="H31" i="56"/>
  <c r="M30" i="56"/>
  <c r="M62" i="56" s="1"/>
  <c r="AD30" i="56"/>
  <c r="AL30" i="56"/>
  <c r="AM35" i="56"/>
  <c r="N30" i="56"/>
  <c r="AM46" i="56"/>
  <c r="AM52" i="56"/>
  <c r="C45" i="56"/>
  <c r="AM56" i="56"/>
  <c r="C7" i="56"/>
  <c r="C8" i="56" s="1"/>
  <c r="L9" i="56"/>
  <c r="L27" i="56" s="1"/>
  <c r="H22" i="56"/>
  <c r="R27" i="56"/>
  <c r="R62" i="56" s="1"/>
  <c r="Z27" i="56"/>
  <c r="Z62" i="56" s="1"/>
  <c r="AM58" i="56"/>
  <c r="X30" i="56"/>
  <c r="AM2" i="56"/>
  <c r="Q8" i="56"/>
  <c r="S8" i="56"/>
  <c r="AA9" i="56"/>
  <c r="J27" i="56"/>
  <c r="AM34" i="56"/>
  <c r="AM36" i="56"/>
  <c r="AM38" i="56"/>
  <c r="AM49" i="56"/>
  <c r="AM59" i="56"/>
  <c r="K27" i="56"/>
  <c r="K62" i="56" s="1"/>
  <c r="D62" i="56"/>
  <c r="L7" i="56"/>
  <c r="AM6" i="56"/>
  <c r="I8" i="56"/>
  <c r="AM14" i="56"/>
  <c r="H15" i="56"/>
  <c r="AM15" i="56" s="1"/>
  <c r="AC27" i="56"/>
  <c r="AC62" i="56" s="1"/>
  <c r="AA31" i="56"/>
  <c r="H45" i="56"/>
  <c r="H30" i="56" s="1"/>
  <c r="W30" i="56"/>
  <c r="AA30" i="56"/>
  <c r="AI62" i="56"/>
  <c r="AA8" i="56"/>
  <c r="AM57" i="56"/>
  <c r="AM45" i="56"/>
  <c r="H8" i="56"/>
  <c r="C27" i="56"/>
  <c r="AM25" i="56"/>
  <c r="C22" i="56"/>
  <c r="J62" i="56"/>
  <c r="AK23" i="56"/>
  <c r="AK22" i="56" s="1"/>
  <c r="AK27" i="56" s="1"/>
  <c r="AK62" i="56" s="1"/>
  <c r="AA22" i="56"/>
  <c r="AA27" i="56" s="1"/>
  <c r="AA62" i="56" s="1"/>
  <c r="F27" i="56"/>
  <c r="F62" i="56" s="1"/>
  <c r="N27" i="56"/>
  <c r="N62" i="56" s="1"/>
  <c r="V27" i="56"/>
  <c r="V62" i="56" s="1"/>
  <c r="AD27" i="56"/>
  <c r="AL27" i="56"/>
  <c r="AM47" i="56"/>
  <c r="AB22" i="56"/>
  <c r="AB27" i="56" s="1"/>
  <c r="AB62" i="56" s="1"/>
  <c r="G27" i="56"/>
  <c r="G62" i="56" s="1"/>
  <c r="O27" i="56"/>
  <c r="O62" i="56" s="1"/>
  <c r="W27" i="56"/>
  <c r="AE27" i="56"/>
  <c r="AE62" i="56" s="1"/>
  <c r="AM11" i="56"/>
  <c r="E22" i="56"/>
  <c r="E27" i="56" s="1"/>
  <c r="E62" i="56" s="1"/>
  <c r="P27" i="56"/>
  <c r="P62" i="56" s="1"/>
  <c r="X27" i="56"/>
  <c r="AF27" i="56"/>
  <c r="AF62" i="56" s="1"/>
  <c r="C28" i="56"/>
  <c r="I27" i="56"/>
  <c r="I62" i="56" s="1"/>
  <c r="Q27" i="56"/>
  <c r="Q62" i="56" s="1"/>
  <c r="Y27" i="56"/>
  <c r="AG27" i="56"/>
  <c r="AG62" i="56" s="1"/>
  <c r="C31" i="56"/>
  <c r="AM54" i="56"/>
  <c r="AC350" i="43" l="1"/>
  <c r="AB350" i="43"/>
  <c r="Y331" i="43"/>
  <c r="Y374" i="43" s="1"/>
  <c r="Y332" i="43"/>
  <c r="Y330" i="43"/>
  <c r="Y360" i="43" s="1"/>
  <c r="X333" i="43"/>
  <c r="AC321" i="43"/>
  <c r="AC359" i="43" s="1"/>
  <c r="AC323" i="43"/>
  <c r="AC322" i="43"/>
  <c r="AC373" i="43" s="1"/>
  <c r="X388" i="43"/>
  <c r="Z145" i="43"/>
  <c r="Z147" i="43" s="1"/>
  <c r="AB21" i="58"/>
  <c r="AB387" i="43"/>
  <c r="AB389" i="43"/>
  <c r="AC389" i="43"/>
  <c r="H62" i="56"/>
  <c r="AM7" i="56"/>
  <c r="AM9" i="56"/>
  <c r="AL62" i="56"/>
  <c r="AD62" i="56"/>
  <c r="C30" i="56"/>
  <c r="AM30" i="56" s="1"/>
  <c r="AM31" i="56"/>
  <c r="AM23" i="56"/>
  <c r="AM22" i="56" s="1"/>
  <c r="X29" i="56"/>
  <c r="X28" i="56" s="1"/>
  <c r="X8" i="56" s="1"/>
  <c r="C62" i="56"/>
  <c r="AM27" i="56"/>
  <c r="W29" i="56"/>
  <c r="Y29" i="56"/>
  <c r="Y28" i="56" s="1"/>
  <c r="Y8" i="56" s="1"/>
  <c r="Z330" i="43" l="1"/>
  <c r="Z360" i="43" s="1"/>
  <c r="Z331" i="43"/>
  <c r="Z374" i="43" s="1"/>
  <c r="Z332" i="43"/>
  <c r="Y333" i="43"/>
  <c r="Y388" i="43"/>
  <c r="AA145" i="43"/>
  <c r="AA147" i="43" s="1"/>
  <c r="AC21" i="58"/>
  <c r="AC387" i="43"/>
  <c r="X62" i="56"/>
  <c r="Y62" i="56"/>
  <c r="W28" i="56"/>
  <c r="L29" i="56"/>
  <c r="AA330" i="43" l="1"/>
  <c r="AA360" i="43" s="1"/>
  <c r="AA331" i="43"/>
  <c r="AA374" i="43" s="1"/>
  <c r="AA332" i="43"/>
  <c r="Z333" i="43"/>
  <c r="Z388" i="43"/>
  <c r="AB145" i="43"/>
  <c r="AB147" i="43" s="1"/>
  <c r="AD21" i="58"/>
  <c r="AC145" i="43" s="1"/>
  <c r="AC147" i="43" s="1"/>
  <c r="L28" i="56"/>
  <c r="AM29" i="56"/>
  <c r="AM28" i="56" s="1"/>
  <c r="W8" i="56"/>
  <c r="W62" i="56"/>
  <c r="AC331" i="43" l="1"/>
  <c r="AC374" i="43" s="1"/>
  <c r="AC332" i="43"/>
  <c r="AC330" i="43"/>
  <c r="AC360" i="43" s="1"/>
  <c r="AB332" i="43"/>
  <c r="AB331" i="43"/>
  <c r="AB374" i="43" s="1"/>
  <c r="AB330" i="43"/>
  <c r="AB360" i="43" s="1"/>
  <c r="AA333" i="43"/>
  <c r="AA388" i="43"/>
  <c r="L8" i="56"/>
  <c r="AM8" i="56" s="1"/>
  <c r="L62" i="56"/>
  <c r="AM62" i="56" s="1"/>
  <c r="AC333" i="43" l="1"/>
  <c r="AB333" i="43"/>
  <c r="AB388" i="43"/>
  <c r="AC388" i="43"/>
  <c r="E376" i="43" l="1"/>
  <c r="E378" i="43" l="1"/>
  <c r="E48" i="43"/>
  <c r="C180" i="43"/>
  <c r="D137" i="43" s="1"/>
  <c r="V180" i="43"/>
  <c r="AA180" i="43"/>
  <c r="P180" i="43"/>
  <c r="E5" i="43" l="1"/>
  <c r="E42" i="43"/>
  <c r="E43" i="43"/>
  <c r="E49" i="43"/>
  <c r="E44" i="43"/>
  <c r="E47" i="43"/>
  <c r="E46" i="43"/>
  <c r="E45" i="43"/>
  <c r="Q324" i="43"/>
  <c r="D324" i="43"/>
  <c r="AD88" i="59"/>
  <c r="AD89" i="59"/>
  <c r="AB175" i="59"/>
  <c r="S89" i="59"/>
  <c r="S88" i="59"/>
  <c r="Q175" i="59"/>
  <c r="Y88" i="59"/>
  <c r="Y89" i="59"/>
  <c r="W175" i="59"/>
  <c r="F89" i="59"/>
  <c r="F88" i="59"/>
  <c r="D150" i="43"/>
  <c r="D175" i="59"/>
  <c r="Q590" i="43"/>
  <c r="Q9" i="43" s="1"/>
  <c r="Q592" i="43"/>
  <c r="Q11" i="43" s="1"/>
  <c r="Q591" i="43"/>
  <c r="Q10" i="43" s="1"/>
  <c r="AB590" i="43"/>
  <c r="AB9" i="43" s="1"/>
  <c r="AB592" i="43"/>
  <c r="AB11" i="43" s="1"/>
  <c r="AB591" i="43"/>
  <c r="AB10" i="43" s="1"/>
  <c r="W590" i="43"/>
  <c r="W9" i="43" s="1"/>
  <c r="W592" i="43"/>
  <c r="W11" i="43" s="1"/>
  <c r="W591" i="43"/>
  <c r="W10" i="43" s="1"/>
  <c r="D590" i="43"/>
  <c r="D9" i="43" s="1"/>
  <c r="D592" i="43"/>
  <c r="D11" i="43" s="1"/>
  <c r="D591" i="43"/>
  <c r="D10" i="43" s="1"/>
  <c r="W150" i="43"/>
  <c r="W391" i="43" s="1"/>
  <c r="Q150" i="43"/>
  <c r="Q391" i="43" s="1"/>
  <c r="AB150" i="43"/>
  <c r="AB138" i="43"/>
  <c r="AB357" i="43" s="1"/>
  <c r="AB137" i="43"/>
  <c r="D180" i="43"/>
  <c r="M180" i="43"/>
  <c r="W138" i="43"/>
  <c r="W357" i="43" s="1"/>
  <c r="W137" i="43"/>
  <c r="D138" i="43"/>
  <c r="D357" i="43" s="1"/>
  <c r="Q138" i="43"/>
  <c r="Q357" i="43" s="1"/>
  <c r="Q137" i="43"/>
  <c r="F180" i="43"/>
  <c r="Z180" i="43"/>
  <c r="AB180" i="43"/>
  <c r="E180" i="43"/>
  <c r="I180" i="43"/>
  <c r="Q180" i="43"/>
  <c r="U180" i="43"/>
  <c r="G180" i="43"/>
  <c r="K180" i="43"/>
  <c r="T180" i="43"/>
  <c r="S180" i="43"/>
  <c r="H180" i="43"/>
  <c r="O180" i="43"/>
  <c r="R180" i="43"/>
  <c r="J180" i="43"/>
  <c r="X180" i="43"/>
  <c r="N180" i="43"/>
  <c r="Y180" i="43"/>
  <c r="W180" i="43"/>
  <c r="L180" i="43"/>
  <c r="E50" i="43" l="1"/>
  <c r="AB324" i="43"/>
  <c r="R324" i="43"/>
  <c r="P324" i="43"/>
  <c r="T324" i="43"/>
  <c r="AC324" i="43"/>
  <c r="J324" i="43"/>
  <c r="O324" i="43"/>
  <c r="L324" i="43"/>
  <c r="H89" i="59"/>
  <c r="U324" i="43"/>
  <c r="Z324" i="43"/>
  <c r="W324" i="43"/>
  <c r="Q392" i="43"/>
  <c r="W392" i="43"/>
  <c r="S70" i="59"/>
  <c r="R114" i="61" s="1"/>
  <c r="AD70" i="59"/>
  <c r="AC114" i="61" s="1"/>
  <c r="F70" i="59"/>
  <c r="E114" i="61" s="1"/>
  <c r="Y70" i="59"/>
  <c r="X114" i="61" s="1"/>
  <c r="M89" i="59"/>
  <c r="M88" i="59"/>
  <c r="K175" i="59"/>
  <c r="R89" i="59"/>
  <c r="R88" i="59"/>
  <c r="P175" i="59"/>
  <c r="J88" i="59"/>
  <c r="J89" i="59"/>
  <c r="H175" i="59"/>
  <c r="AA89" i="59"/>
  <c r="AA88" i="59"/>
  <c r="Y175" i="59"/>
  <c r="T89" i="59"/>
  <c r="T88" i="59"/>
  <c r="R175" i="59"/>
  <c r="H88" i="59"/>
  <c r="F175" i="59"/>
  <c r="V89" i="59"/>
  <c r="V88" i="59"/>
  <c r="T175" i="59"/>
  <c r="AE88" i="59"/>
  <c r="AE89" i="59"/>
  <c r="AC175" i="59"/>
  <c r="G88" i="59"/>
  <c r="G89" i="59"/>
  <c r="E175" i="59"/>
  <c r="X88" i="59"/>
  <c r="X89" i="59"/>
  <c r="V175" i="59"/>
  <c r="O88" i="59"/>
  <c r="O89" i="59"/>
  <c r="M175" i="59"/>
  <c r="AB88" i="59"/>
  <c r="AB89" i="59"/>
  <c r="Z175" i="59"/>
  <c r="U88" i="59"/>
  <c r="U89" i="59"/>
  <c r="S175" i="59"/>
  <c r="L88" i="59"/>
  <c r="L89" i="59"/>
  <c r="J175" i="59"/>
  <c r="K88" i="59"/>
  <c r="K89" i="59"/>
  <c r="I175" i="59"/>
  <c r="Z88" i="59"/>
  <c r="Z89" i="59"/>
  <c r="X175" i="59"/>
  <c r="W88" i="59"/>
  <c r="W89" i="59"/>
  <c r="U175" i="59"/>
  <c r="AC88" i="59"/>
  <c r="AC89" i="59"/>
  <c r="AA175" i="59"/>
  <c r="Q88" i="59"/>
  <c r="Q89" i="59"/>
  <c r="O175" i="59"/>
  <c r="N89" i="59"/>
  <c r="N88" i="59"/>
  <c r="L175" i="59"/>
  <c r="G592" i="43"/>
  <c r="I88" i="59"/>
  <c r="I89" i="59"/>
  <c r="G175" i="59"/>
  <c r="P89" i="59"/>
  <c r="P88" i="59"/>
  <c r="N175" i="59"/>
  <c r="E592" i="43"/>
  <c r="E11" i="43" s="1"/>
  <c r="E150" i="43"/>
  <c r="E391" i="43" s="1"/>
  <c r="X590" i="43"/>
  <c r="X9" i="43" s="1"/>
  <c r="X592" i="43"/>
  <c r="X11" i="43" s="1"/>
  <c r="X591" i="43"/>
  <c r="X10" i="43" s="1"/>
  <c r="T590" i="43"/>
  <c r="T9" i="43" s="1"/>
  <c r="T592" i="43"/>
  <c r="T11" i="43" s="1"/>
  <c r="T591" i="43"/>
  <c r="T10" i="43" s="1"/>
  <c r="AC591" i="43"/>
  <c r="AC10" i="43" s="1"/>
  <c r="AC592" i="43"/>
  <c r="AC11" i="43" s="1"/>
  <c r="AC590" i="43"/>
  <c r="AC9" i="43" s="1"/>
  <c r="U590" i="43"/>
  <c r="U9" i="43" s="1"/>
  <c r="U591" i="43"/>
  <c r="U10" i="43" s="1"/>
  <c r="U592" i="43"/>
  <c r="U11" i="43" s="1"/>
  <c r="M590" i="43"/>
  <c r="M9" i="43" s="1"/>
  <c r="M591" i="43"/>
  <c r="M10" i="43" s="1"/>
  <c r="M592" i="43"/>
  <c r="M11" i="43" s="1"/>
  <c r="F591" i="43"/>
  <c r="F10" i="43" s="1"/>
  <c r="F590" i="43"/>
  <c r="F9" i="43" s="1"/>
  <c r="F592" i="43"/>
  <c r="F11" i="43" s="1"/>
  <c r="Z590" i="43"/>
  <c r="Z9" i="43" s="1"/>
  <c r="Z592" i="43"/>
  <c r="Z11" i="43" s="1"/>
  <c r="Z591" i="43"/>
  <c r="Z10" i="43" s="1"/>
  <c r="G591" i="43"/>
  <c r="G10" i="43" s="1"/>
  <c r="G590" i="43"/>
  <c r="G9" i="43" s="1"/>
  <c r="G11" i="43"/>
  <c r="E591" i="43"/>
  <c r="E10" i="43" s="1"/>
  <c r="E590" i="43"/>
  <c r="E9" i="43" s="1"/>
  <c r="Y590" i="43"/>
  <c r="Y9" i="43" s="1"/>
  <c r="Y591" i="43"/>
  <c r="Y10" i="43" s="1"/>
  <c r="Y592" i="43"/>
  <c r="Y11" i="43" s="1"/>
  <c r="AA590" i="43"/>
  <c r="AA9" i="43" s="1"/>
  <c r="AA591" i="43"/>
  <c r="AA10" i="43" s="1"/>
  <c r="AA592" i="43"/>
  <c r="AA11" i="43" s="1"/>
  <c r="O592" i="43"/>
  <c r="O11" i="43" s="1"/>
  <c r="O590" i="43"/>
  <c r="O9" i="43" s="1"/>
  <c r="O591" i="43"/>
  <c r="O10" i="43" s="1"/>
  <c r="N592" i="43"/>
  <c r="N11" i="43" s="1"/>
  <c r="N591" i="43"/>
  <c r="N10" i="43" s="1"/>
  <c r="N590" i="43"/>
  <c r="N9" i="43" s="1"/>
  <c r="V590" i="43"/>
  <c r="V9" i="43" s="1"/>
  <c r="V592" i="43"/>
  <c r="V11" i="43" s="1"/>
  <c r="V591" i="43"/>
  <c r="V10" i="43" s="1"/>
  <c r="S590" i="43"/>
  <c r="S9" i="43" s="1"/>
  <c r="S591" i="43"/>
  <c r="S10" i="43" s="1"/>
  <c r="S592" i="43"/>
  <c r="S11" i="43" s="1"/>
  <c r="R590" i="43"/>
  <c r="R9" i="43" s="1"/>
  <c r="R592" i="43"/>
  <c r="R11" i="43" s="1"/>
  <c r="R591" i="43"/>
  <c r="R10" i="43" s="1"/>
  <c r="I590" i="43"/>
  <c r="I9" i="43" s="1"/>
  <c r="I591" i="43"/>
  <c r="I10" i="43" s="1"/>
  <c r="I592" i="43"/>
  <c r="I11" i="43" s="1"/>
  <c r="L591" i="43"/>
  <c r="L10" i="43" s="1"/>
  <c r="L592" i="43"/>
  <c r="L11" i="43" s="1"/>
  <c r="L590" i="43"/>
  <c r="L9" i="43" s="1"/>
  <c r="H592" i="43"/>
  <c r="H11" i="43" s="1"/>
  <c r="H590" i="43"/>
  <c r="H9" i="43" s="1"/>
  <c r="H591" i="43"/>
  <c r="H10" i="43" s="1"/>
  <c r="K590" i="43"/>
  <c r="K9" i="43" s="1"/>
  <c r="K592" i="43"/>
  <c r="K11" i="43" s="1"/>
  <c r="K591" i="43"/>
  <c r="K10" i="43" s="1"/>
  <c r="P591" i="43"/>
  <c r="P10" i="43" s="1"/>
  <c r="P590" i="43"/>
  <c r="P9" i="43" s="1"/>
  <c r="P592" i="43"/>
  <c r="P11" i="43" s="1"/>
  <c r="J590" i="43"/>
  <c r="J9" i="43" s="1"/>
  <c r="J592" i="43"/>
  <c r="J11" i="43" s="1"/>
  <c r="J591" i="43"/>
  <c r="J10" i="43" s="1"/>
  <c r="E356" i="43"/>
  <c r="D391" i="43"/>
  <c r="E138" i="43"/>
  <c r="E357" i="43" s="1"/>
  <c r="W151" i="43"/>
  <c r="Y150" i="43"/>
  <c r="Y391" i="43" s="1"/>
  <c r="S150" i="43"/>
  <c r="V150" i="43"/>
  <c r="V391" i="43" s="1"/>
  <c r="F150" i="43"/>
  <c r="Q151" i="43"/>
  <c r="R150" i="43"/>
  <c r="Z150" i="43"/>
  <c r="P150" i="43"/>
  <c r="X150" i="43"/>
  <c r="I150" i="43"/>
  <c r="M150" i="43"/>
  <c r="AC150" i="43"/>
  <c r="J150" i="43"/>
  <c r="G150" i="43"/>
  <c r="T150" i="43"/>
  <c r="O150" i="43"/>
  <c r="U150" i="43"/>
  <c r="L150" i="43"/>
  <c r="K150" i="43"/>
  <c r="H150" i="43"/>
  <c r="AB391" i="43"/>
  <c r="AB151" i="43"/>
  <c r="AA150" i="43"/>
  <c r="AA138" i="43"/>
  <c r="AA357" i="43" s="1"/>
  <c r="AA137" i="43"/>
  <c r="N150" i="43"/>
  <c r="D151" i="43"/>
  <c r="Q356" i="43"/>
  <c r="W356" i="43"/>
  <c r="AB356" i="43"/>
  <c r="D356" i="43"/>
  <c r="AC180" i="43"/>
  <c r="B180" i="43"/>
  <c r="N137" i="43"/>
  <c r="N138" i="43"/>
  <c r="T138" i="43"/>
  <c r="T357" i="43" s="1"/>
  <c r="T137" i="43"/>
  <c r="G137" i="43"/>
  <c r="G138" i="43"/>
  <c r="G357" i="43" s="1"/>
  <c r="X138" i="43"/>
  <c r="X357" i="43" s="1"/>
  <c r="X137" i="43"/>
  <c r="Z138" i="43"/>
  <c r="Z357" i="43" s="1"/>
  <c r="Z137" i="43"/>
  <c r="L138" i="43"/>
  <c r="L357" i="43" s="1"/>
  <c r="L137" i="43"/>
  <c r="O137" i="43"/>
  <c r="O138" i="43"/>
  <c r="O357" i="43" s="1"/>
  <c r="M138" i="43"/>
  <c r="M357" i="43" s="1"/>
  <c r="M137" i="43"/>
  <c r="I138" i="43"/>
  <c r="I357" i="43" s="1"/>
  <c r="I137" i="43"/>
  <c r="H138" i="43"/>
  <c r="H357" i="43" s="1"/>
  <c r="H137" i="43"/>
  <c r="F138" i="43"/>
  <c r="F357" i="43" s="1"/>
  <c r="F137" i="43"/>
  <c r="U138" i="43"/>
  <c r="U357" i="43" s="1"/>
  <c r="U137" i="43"/>
  <c r="Y137" i="43"/>
  <c r="Y138" i="43"/>
  <c r="Y357" i="43" s="1"/>
  <c r="K138" i="43"/>
  <c r="K357" i="43" s="1"/>
  <c r="K137" i="43"/>
  <c r="V138" i="43"/>
  <c r="V357" i="43" s="1"/>
  <c r="V137" i="43"/>
  <c r="AC137" i="43"/>
  <c r="AC138" i="43"/>
  <c r="AC357" i="43" s="1"/>
  <c r="P138" i="43"/>
  <c r="P357" i="43" s="1"/>
  <c r="P137" i="43"/>
  <c r="S138" i="43"/>
  <c r="S357" i="43" s="1"/>
  <c r="S137" i="43"/>
  <c r="R138" i="43"/>
  <c r="R357" i="43" s="1"/>
  <c r="R137" i="43"/>
  <c r="J138" i="43"/>
  <c r="J357" i="43" s="1"/>
  <c r="J137" i="43"/>
  <c r="Q378" i="43"/>
  <c r="N378" i="43"/>
  <c r="AB378" i="43"/>
  <c r="N49" i="43" l="1"/>
  <c r="N42" i="43"/>
  <c r="N43" i="43"/>
  <c r="N48" i="43"/>
  <c r="N44" i="43"/>
  <c r="N47" i="43"/>
  <c r="N46" i="43"/>
  <c r="N45" i="43"/>
  <c r="AB42" i="43"/>
  <c r="AB43" i="43"/>
  <c r="AB48" i="43"/>
  <c r="AB49" i="43"/>
  <c r="AB44" i="43"/>
  <c r="AB47" i="43"/>
  <c r="AB45" i="43"/>
  <c r="AB46" i="43"/>
  <c r="Q48" i="43"/>
  <c r="Q49" i="43"/>
  <c r="Q42" i="43"/>
  <c r="Q43" i="43"/>
  <c r="Q44" i="43"/>
  <c r="Q47" i="43"/>
  <c r="Q45" i="43"/>
  <c r="Q46" i="43"/>
  <c r="W58" i="43"/>
  <c r="W62" i="43"/>
  <c r="W56" i="43"/>
  <c r="W57" i="43"/>
  <c r="W59" i="43"/>
  <c r="W61" i="43"/>
  <c r="W60" i="43"/>
  <c r="Q57" i="43"/>
  <c r="Q58" i="43"/>
  <c r="Q62" i="43"/>
  <c r="Q56" i="43"/>
  <c r="Q61" i="43"/>
  <c r="Q59" i="43"/>
  <c r="Q60" i="43"/>
  <c r="W63" i="43"/>
  <c r="Q63" i="43"/>
  <c r="D364" i="43"/>
  <c r="D28" i="43" s="1"/>
  <c r="AB5" i="43"/>
  <c r="N5" i="43"/>
  <c r="W6" i="43"/>
  <c r="Q5" i="43"/>
  <c r="Q6" i="43"/>
  <c r="E324" i="43"/>
  <c r="I324" i="43"/>
  <c r="N324" i="43"/>
  <c r="K324" i="43"/>
  <c r="S324" i="43"/>
  <c r="Y324" i="43"/>
  <c r="V324" i="43"/>
  <c r="H324" i="43"/>
  <c r="G324" i="43"/>
  <c r="M324" i="43"/>
  <c r="F324" i="43"/>
  <c r="AA324" i="43"/>
  <c r="X324" i="43"/>
  <c r="AB392" i="43"/>
  <c r="D392" i="43"/>
  <c r="D63" i="43" s="1"/>
  <c r="Y392" i="43"/>
  <c r="Y63" i="43" s="1"/>
  <c r="V392" i="43"/>
  <c r="V63" i="43" s="1"/>
  <c r="I70" i="59"/>
  <c r="H114" i="61" s="1"/>
  <c r="T70" i="59"/>
  <c r="S114" i="61" s="1"/>
  <c r="Q70" i="59"/>
  <c r="P114" i="61" s="1"/>
  <c r="O70" i="59"/>
  <c r="N114" i="61" s="1"/>
  <c r="AC70" i="59"/>
  <c r="AB114" i="61" s="1"/>
  <c r="X70" i="59"/>
  <c r="W114" i="61" s="1"/>
  <c r="K70" i="59"/>
  <c r="J114" i="61" s="1"/>
  <c r="V70" i="59"/>
  <c r="U114" i="61" s="1"/>
  <c r="AA70" i="59"/>
  <c r="Z114" i="61" s="1"/>
  <c r="AE70" i="59"/>
  <c r="AD114" i="61" s="1"/>
  <c r="N70" i="59"/>
  <c r="M114" i="61" s="1"/>
  <c r="AB70" i="59"/>
  <c r="AA114" i="61" s="1"/>
  <c r="M70" i="59"/>
  <c r="L114" i="61" s="1"/>
  <c r="P70" i="59"/>
  <c r="O114" i="61" s="1"/>
  <c r="W70" i="59"/>
  <c r="V114" i="61" s="1"/>
  <c r="G70" i="59"/>
  <c r="F114" i="61" s="1"/>
  <c r="Z70" i="59"/>
  <c r="Y114" i="61" s="1"/>
  <c r="U70" i="59"/>
  <c r="T114" i="61" s="1"/>
  <c r="R70" i="59"/>
  <c r="Q114" i="61" s="1"/>
  <c r="L70" i="59"/>
  <c r="K114" i="61" s="1"/>
  <c r="H70" i="59"/>
  <c r="G114" i="61" s="1"/>
  <c r="J70" i="59"/>
  <c r="I114" i="61" s="1"/>
  <c r="W378" i="43"/>
  <c r="D378" i="43"/>
  <c r="X391" i="43"/>
  <c r="P391" i="43"/>
  <c r="F391" i="43"/>
  <c r="J391" i="43"/>
  <c r="L391" i="43"/>
  <c r="AC391" i="43"/>
  <c r="E392" i="43"/>
  <c r="E63" i="43" s="1"/>
  <c r="U391" i="43"/>
  <c r="O391" i="43"/>
  <c r="E151" i="43"/>
  <c r="K391" i="43"/>
  <c r="R391" i="43"/>
  <c r="Z391" i="43"/>
  <c r="H391" i="43"/>
  <c r="M391" i="43"/>
  <c r="X151" i="43"/>
  <c r="G391" i="43"/>
  <c r="I391" i="43"/>
  <c r="P151" i="43"/>
  <c r="I151" i="43"/>
  <c r="T391" i="43"/>
  <c r="S391" i="43"/>
  <c r="AC151" i="43"/>
  <c r="AA151" i="43"/>
  <c r="L151" i="43"/>
  <c r="T151" i="43"/>
  <c r="AA391" i="43"/>
  <c r="N391" i="43"/>
  <c r="R151" i="43"/>
  <c r="V151" i="43"/>
  <c r="F151" i="43"/>
  <c r="O151" i="43"/>
  <c r="S151" i="43"/>
  <c r="K151" i="43"/>
  <c r="H151" i="43"/>
  <c r="G151" i="43"/>
  <c r="Y151" i="43"/>
  <c r="Z151" i="43"/>
  <c r="J151" i="43"/>
  <c r="U151" i="43"/>
  <c r="M151" i="43"/>
  <c r="N151" i="43"/>
  <c r="J356" i="43"/>
  <c r="U356" i="43"/>
  <c r="M356" i="43"/>
  <c r="N356" i="43"/>
  <c r="AC356" i="43"/>
  <c r="F356" i="43"/>
  <c r="O356" i="43"/>
  <c r="S356" i="43"/>
  <c r="K356" i="43"/>
  <c r="H356" i="43"/>
  <c r="G356" i="43"/>
  <c r="L356" i="43"/>
  <c r="T356" i="43"/>
  <c r="AA356" i="43"/>
  <c r="P356" i="43"/>
  <c r="I356" i="43"/>
  <c r="Y356" i="43"/>
  <c r="Z356" i="43"/>
  <c r="R356" i="43"/>
  <c r="X356" i="43"/>
  <c r="V356" i="43"/>
  <c r="N357" i="43"/>
  <c r="R378" i="43"/>
  <c r="E364" i="43"/>
  <c r="E29" i="43" s="1"/>
  <c r="AC378" i="43"/>
  <c r="Z378" i="43"/>
  <c r="I378" i="43"/>
  <c r="G378" i="43"/>
  <c r="P378" i="43"/>
  <c r="AA378" i="43"/>
  <c r="V378" i="43"/>
  <c r="S378" i="43"/>
  <c r="O378" i="43"/>
  <c r="Y378" i="43"/>
  <c r="AB50" i="43" l="1"/>
  <c r="AB56" i="43"/>
  <c r="AB57" i="43"/>
  <c r="AB58" i="43"/>
  <c r="AB62" i="43"/>
  <c r="AB59" i="43"/>
  <c r="AB61" i="43"/>
  <c r="AB60" i="43"/>
  <c r="Y48" i="43"/>
  <c r="Y49" i="43"/>
  <c r="Y43" i="43"/>
  <c r="Y42" i="43"/>
  <c r="Y44" i="43"/>
  <c r="Y47" i="43"/>
  <c r="Y45" i="43"/>
  <c r="Y46" i="43"/>
  <c r="D4" i="43"/>
  <c r="D34" i="43"/>
  <c r="D30" i="43"/>
  <c r="D33" i="43"/>
  <c r="D32" i="43"/>
  <c r="D31" i="43"/>
  <c r="D29" i="43"/>
  <c r="D36" i="43" s="1"/>
  <c r="W64" i="43"/>
  <c r="Q50" i="43"/>
  <c r="R43" i="43"/>
  <c r="R48" i="43"/>
  <c r="R49" i="43"/>
  <c r="R42" i="43"/>
  <c r="R44" i="43"/>
  <c r="R47" i="43"/>
  <c r="R45" i="43"/>
  <c r="R46" i="43"/>
  <c r="Q64" i="43"/>
  <c r="AC42" i="43"/>
  <c r="AC43" i="43"/>
  <c r="AC49" i="43"/>
  <c r="AC48" i="43"/>
  <c r="AC44" i="43"/>
  <c r="AC47" i="43"/>
  <c r="AC45" i="43"/>
  <c r="AC46" i="43"/>
  <c r="E34" i="43"/>
  <c r="E30" i="43"/>
  <c r="E33" i="43"/>
  <c r="E32" i="43"/>
  <c r="E31" i="43"/>
  <c r="AA43" i="43"/>
  <c r="AA48" i="43"/>
  <c r="AA42" i="43"/>
  <c r="AA49" i="43"/>
  <c r="AA44" i="43"/>
  <c r="AA45" i="43"/>
  <c r="AA47" i="43"/>
  <c r="AA46" i="43"/>
  <c r="D42" i="43"/>
  <c r="D43" i="43"/>
  <c r="D48" i="43"/>
  <c r="D49" i="43"/>
  <c r="D47" i="43"/>
  <c r="D44" i="43"/>
  <c r="D46" i="43"/>
  <c r="D45" i="43"/>
  <c r="V56" i="43"/>
  <c r="V58" i="43"/>
  <c r="V62" i="43"/>
  <c r="V57" i="43"/>
  <c r="V61" i="43"/>
  <c r="V59" i="43"/>
  <c r="V60" i="43"/>
  <c r="I48" i="43"/>
  <c r="I49" i="43"/>
  <c r="I43" i="43"/>
  <c r="I42" i="43"/>
  <c r="I44" i="43"/>
  <c r="I47" i="43"/>
  <c r="I46" i="43"/>
  <c r="I45" i="43"/>
  <c r="V49" i="43"/>
  <c r="V42" i="43"/>
  <c r="V43" i="43"/>
  <c r="V48" i="43"/>
  <c r="V44" i="43"/>
  <c r="V47" i="43"/>
  <c r="V45" i="43"/>
  <c r="V46" i="43"/>
  <c r="E56" i="43"/>
  <c r="E57" i="43"/>
  <c r="E58" i="43"/>
  <c r="E62" i="43"/>
  <c r="E61" i="43"/>
  <c r="E60" i="43"/>
  <c r="E59" i="43"/>
  <c r="W49" i="43"/>
  <c r="W42" i="43"/>
  <c r="W43" i="43"/>
  <c r="W48" i="43"/>
  <c r="W44" i="43"/>
  <c r="W47" i="43"/>
  <c r="W45" i="43"/>
  <c r="W46" i="43"/>
  <c r="Y57" i="43"/>
  <c r="Y58" i="43"/>
  <c r="Y62" i="43"/>
  <c r="Y56" i="43"/>
  <c r="Y59" i="43"/>
  <c r="Y61" i="43"/>
  <c r="Y60" i="43"/>
  <c r="E28" i="43"/>
  <c r="N50" i="43"/>
  <c r="Z43" i="43"/>
  <c r="Z48" i="43"/>
  <c r="Z49" i="43"/>
  <c r="Z42" i="43"/>
  <c r="Z44" i="43"/>
  <c r="Z45" i="43"/>
  <c r="Z47" i="43"/>
  <c r="Z46" i="43"/>
  <c r="O49" i="43"/>
  <c r="O42" i="43"/>
  <c r="O48" i="43"/>
  <c r="O43" i="43"/>
  <c r="O44" i="43"/>
  <c r="O47" i="43"/>
  <c r="O45" i="43"/>
  <c r="O46" i="43"/>
  <c r="S43" i="43"/>
  <c r="S48" i="43"/>
  <c r="S42" i="43"/>
  <c r="S49" i="43"/>
  <c r="S44" i="43"/>
  <c r="S45" i="43"/>
  <c r="S47" i="43"/>
  <c r="S46" i="43"/>
  <c r="P48" i="43"/>
  <c r="P49" i="43"/>
  <c r="P42" i="43"/>
  <c r="P43" i="43"/>
  <c r="P44" i="43"/>
  <c r="P47" i="43"/>
  <c r="P45" i="43"/>
  <c r="P46" i="43"/>
  <c r="G49" i="43"/>
  <c r="G42" i="43"/>
  <c r="G48" i="43"/>
  <c r="G43" i="43"/>
  <c r="G44" i="43"/>
  <c r="G47" i="43"/>
  <c r="G46" i="43"/>
  <c r="G45" i="43"/>
  <c r="D56" i="43"/>
  <c r="D57" i="43"/>
  <c r="D62" i="43"/>
  <c r="D58" i="43"/>
  <c r="D61" i="43"/>
  <c r="D60" i="43"/>
  <c r="D59" i="43"/>
  <c r="AB63" i="43"/>
  <c r="I5" i="43"/>
  <c r="AB6" i="43"/>
  <c r="Y5" i="43"/>
  <c r="Z5" i="43"/>
  <c r="D6" i="43"/>
  <c r="E4" i="43"/>
  <c r="R5" i="43"/>
  <c r="G5" i="43"/>
  <c r="AC5" i="43"/>
  <c r="S5" i="43"/>
  <c r="V5" i="43"/>
  <c r="AA5" i="43"/>
  <c r="D5" i="43"/>
  <c r="V6" i="43"/>
  <c r="O5" i="43"/>
  <c r="P5" i="43"/>
  <c r="E6" i="43"/>
  <c r="W5" i="43"/>
  <c r="Y6" i="43"/>
  <c r="U392" i="43"/>
  <c r="M392" i="43"/>
  <c r="S392" i="43"/>
  <c r="S63" i="43" s="1"/>
  <c r="H392" i="43"/>
  <c r="H63" i="43" s="1"/>
  <c r="AC392" i="43"/>
  <c r="AC63" i="43" s="1"/>
  <c r="T392" i="43"/>
  <c r="T63" i="43" s="1"/>
  <c r="Z392" i="43"/>
  <c r="L392" i="43"/>
  <c r="L63" i="43" s="1"/>
  <c r="J392" i="43"/>
  <c r="J63" i="43" s="1"/>
  <c r="K392" i="43"/>
  <c r="F392" i="43"/>
  <c r="F63" i="43" s="1"/>
  <c r="P392" i="43"/>
  <c r="G392" i="43"/>
  <c r="G63" i="43" s="1"/>
  <c r="O392" i="43"/>
  <c r="O63" i="43" s="1"/>
  <c r="X392" i="43"/>
  <c r="E70" i="59"/>
  <c r="D114" i="61" s="1"/>
  <c r="J378" i="43"/>
  <c r="K378" i="43"/>
  <c r="H378" i="43"/>
  <c r="T378" i="43"/>
  <c r="L378" i="43"/>
  <c r="F378" i="43"/>
  <c r="X378" i="43"/>
  <c r="U378" i="43"/>
  <c r="M378" i="43"/>
  <c r="I392" i="43"/>
  <c r="N392" i="43"/>
  <c r="N63" i="43" s="1"/>
  <c r="E393" i="43"/>
  <c r="AA392" i="43"/>
  <c r="AA63" i="43" s="1"/>
  <c r="R392" i="43"/>
  <c r="R63" i="43" s="1"/>
  <c r="AB364" i="43"/>
  <c r="W364" i="43"/>
  <c r="N364" i="43"/>
  <c r="N28" i="43" s="1"/>
  <c r="Q364" i="43"/>
  <c r="K364" i="43"/>
  <c r="K28" i="43" s="1"/>
  <c r="H364" i="43"/>
  <c r="H28" i="43" s="1"/>
  <c r="G364" i="43"/>
  <c r="G28" i="43" s="1"/>
  <c r="L364" i="43"/>
  <c r="L28" i="43" s="1"/>
  <c r="U364" i="43"/>
  <c r="U28" i="43" s="1"/>
  <c r="R364" i="43"/>
  <c r="R28" i="43" s="1"/>
  <c r="P364" i="43"/>
  <c r="P28" i="43" s="1"/>
  <c r="AC364" i="43"/>
  <c r="AC28" i="43" s="1"/>
  <c r="O364" i="43"/>
  <c r="Y364" i="43"/>
  <c r="Y28" i="43" s="1"/>
  <c r="M364" i="43"/>
  <c r="M28" i="43" s="1"/>
  <c r="J364" i="43"/>
  <c r="J28" i="43" s="1"/>
  <c r="Z364" i="43"/>
  <c r="I364" i="43"/>
  <c r="I28" i="43" s="1"/>
  <c r="T364" i="43"/>
  <c r="V364" i="43"/>
  <c r="V28" i="43" s="1"/>
  <c r="X364" i="43"/>
  <c r="X28" i="43" s="1"/>
  <c r="AA364" i="43"/>
  <c r="AA28" i="43" s="1"/>
  <c r="S364" i="43"/>
  <c r="S28" i="43" s="1"/>
  <c r="F364" i="43"/>
  <c r="F28" i="43" s="1"/>
  <c r="W50" i="43" l="1"/>
  <c r="AA50" i="43"/>
  <c r="O50" i="43"/>
  <c r="Q4" i="43"/>
  <c r="Q19" i="43" s="1"/>
  <c r="Q34" i="43"/>
  <c r="Q30" i="43"/>
  <c r="Q33" i="43"/>
  <c r="Q31" i="43"/>
  <c r="Q32" i="43"/>
  <c r="Q29" i="43"/>
  <c r="Q28" i="43"/>
  <c r="AB64" i="43"/>
  <c r="M42" i="43"/>
  <c r="M43" i="43"/>
  <c r="M49" i="43"/>
  <c r="M48" i="43"/>
  <c r="M44" i="43"/>
  <c r="M47" i="43"/>
  <c r="M46" i="43"/>
  <c r="M45" i="43"/>
  <c r="U56" i="43"/>
  <c r="U57" i="43"/>
  <c r="U58" i="43"/>
  <c r="U62" i="43"/>
  <c r="U61" i="43"/>
  <c r="U59" i="43"/>
  <c r="U60" i="43"/>
  <c r="G50" i="43"/>
  <c r="Y64" i="43"/>
  <c r="E64" i="43"/>
  <c r="V64" i="43"/>
  <c r="K43" i="43"/>
  <c r="K48" i="43"/>
  <c r="K42" i="43"/>
  <c r="K49" i="43"/>
  <c r="K44" i="43"/>
  <c r="K47" i="43"/>
  <c r="K46" i="43"/>
  <c r="K45" i="43"/>
  <c r="N29" i="43"/>
  <c r="AC50" i="43"/>
  <c r="R50" i="43"/>
  <c r="K56" i="43"/>
  <c r="K57" i="43"/>
  <c r="K58" i="43"/>
  <c r="K62" i="43"/>
  <c r="K61" i="43"/>
  <c r="K60" i="43"/>
  <c r="K59" i="43"/>
  <c r="J43" i="43"/>
  <c r="J48" i="43"/>
  <c r="J49" i="43"/>
  <c r="J42" i="43"/>
  <c r="J44" i="43"/>
  <c r="J47" i="43"/>
  <c r="J46" i="43"/>
  <c r="J45" i="43"/>
  <c r="Z4" i="43"/>
  <c r="Z34" i="43"/>
  <c r="Z30" i="43"/>
  <c r="Z33" i="43"/>
  <c r="Z31" i="43"/>
  <c r="Z32" i="43"/>
  <c r="Z29" i="43"/>
  <c r="X48" i="43"/>
  <c r="X49" i="43"/>
  <c r="X42" i="43"/>
  <c r="X43" i="43"/>
  <c r="X44" i="43"/>
  <c r="X45" i="43"/>
  <c r="X47" i="43"/>
  <c r="X46" i="43"/>
  <c r="X58" i="43"/>
  <c r="X62" i="43"/>
  <c r="X57" i="43"/>
  <c r="X56" i="43"/>
  <c r="X59" i="43"/>
  <c r="X61" i="43"/>
  <c r="X60" i="43"/>
  <c r="Z57" i="43"/>
  <c r="Z58" i="43"/>
  <c r="Z62" i="43"/>
  <c r="Z56" i="43"/>
  <c r="Z59" i="43"/>
  <c r="Z61" i="43"/>
  <c r="Z60" i="43"/>
  <c r="M56" i="43"/>
  <c r="M57" i="43"/>
  <c r="M58" i="43"/>
  <c r="M62" i="43"/>
  <c r="M61" i="43"/>
  <c r="M60" i="43"/>
  <c r="M59" i="43"/>
  <c r="T34" i="43"/>
  <c r="T30" i="43"/>
  <c r="T33" i="43"/>
  <c r="T31" i="43"/>
  <c r="T32" i="43"/>
  <c r="T29" i="43"/>
  <c r="L56" i="43"/>
  <c r="L57" i="43"/>
  <c r="L62" i="43"/>
  <c r="L58" i="43"/>
  <c r="L61" i="43"/>
  <c r="L60" i="43"/>
  <c r="L59" i="43"/>
  <c r="R57" i="43"/>
  <c r="R58" i="43"/>
  <c r="R62" i="43"/>
  <c r="R56" i="43"/>
  <c r="R61" i="43"/>
  <c r="R59" i="43"/>
  <c r="R60" i="43"/>
  <c r="M63" i="43"/>
  <c r="X63" i="43"/>
  <c r="I57" i="43"/>
  <c r="I58" i="43"/>
  <c r="I62" i="43"/>
  <c r="I56" i="43"/>
  <c r="I60" i="43"/>
  <c r="I61" i="43"/>
  <c r="I59" i="43"/>
  <c r="J57" i="43"/>
  <c r="J58" i="43"/>
  <c r="J62" i="43"/>
  <c r="J56" i="43"/>
  <c r="J61" i="43"/>
  <c r="J60" i="43"/>
  <c r="J59" i="43"/>
  <c r="W4" i="43"/>
  <c r="W34" i="43"/>
  <c r="W30" i="43"/>
  <c r="W31" i="43"/>
  <c r="W33" i="43"/>
  <c r="W32" i="43"/>
  <c r="W29" i="43"/>
  <c r="W28" i="43"/>
  <c r="AB4" i="43"/>
  <c r="AB34" i="43"/>
  <c r="AB30" i="43"/>
  <c r="AB31" i="43"/>
  <c r="AB33" i="43"/>
  <c r="AB32" i="43"/>
  <c r="AB29" i="43"/>
  <c r="AB28" i="43"/>
  <c r="L34" i="43"/>
  <c r="L30" i="43"/>
  <c r="L33" i="43"/>
  <c r="L32" i="43"/>
  <c r="L31" i="43"/>
  <c r="L29" i="43"/>
  <c r="T56" i="43"/>
  <c r="T57" i="43"/>
  <c r="T58" i="43"/>
  <c r="T62" i="43"/>
  <c r="T61" i="43"/>
  <c r="T59" i="43"/>
  <c r="T60" i="43"/>
  <c r="S4" i="43"/>
  <c r="S34" i="43"/>
  <c r="S30" i="43"/>
  <c r="S33" i="43"/>
  <c r="S31" i="43"/>
  <c r="S32" i="43"/>
  <c r="S29" i="43"/>
  <c r="M34" i="43"/>
  <c r="M30" i="43"/>
  <c r="M33" i="43"/>
  <c r="M32" i="43"/>
  <c r="M31" i="43"/>
  <c r="M29" i="43"/>
  <c r="G34" i="43"/>
  <c r="G30" i="43"/>
  <c r="G33" i="43"/>
  <c r="G32" i="43"/>
  <c r="G31" i="43"/>
  <c r="G29" i="43"/>
  <c r="AA56" i="43"/>
  <c r="AA57" i="43"/>
  <c r="AA58" i="43"/>
  <c r="AA62" i="43"/>
  <c r="AA61" i="43"/>
  <c r="AA59" i="43"/>
  <c r="AA60" i="43"/>
  <c r="L42" i="43"/>
  <c r="L43" i="43"/>
  <c r="L48" i="43"/>
  <c r="L49" i="43"/>
  <c r="L44" i="43"/>
  <c r="L47" i="43"/>
  <c r="L46" i="43"/>
  <c r="L45" i="43"/>
  <c r="G58" i="43"/>
  <c r="G62" i="43"/>
  <c r="G56" i="43"/>
  <c r="G57" i="43"/>
  <c r="G61" i="43"/>
  <c r="G60" i="43"/>
  <c r="G59" i="43"/>
  <c r="AC56" i="43"/>
  <c r="AC57" i="43"/>
  <c r="AC58" i="43"/>
  <c r="AC62" i="43"/>
  <c r="AC61" i="43"/>
  <c r="AC59" i="43"/>
  <c r="AC60" i="43"/>
  <c r="V50" i="43"/>
  <c r="I50" i="43"/>
  <c r="AC34" i="43"/>
  <c r="AC30" i="43"/>
  <c r="AC33" i="43"/>
  <c r="AC31" i="43"/>
  <c r="AC32" i="43"/>
  <c r="AC29" i="43"/>
  <c r="I63" i="43"/>
  <c r="N34" i="43"/>
  <c r="N33" i="43"/>
  <c r="N30" i="43"/>
  <c r="N31" i="43"/>
  <c r="N32" i="43"/>
  <c r="U42" i="43"/>
  <c r="U43" i="43"/>
  <c r="U49" i="43"/>
  <c r="U48" i="43"/>
  <c r="U44" i="43"/>
  <c r="U47" i="43"/>
  <c r="U45" i="43"/>
  <c r="U46" i="43"/>
  <c r="F4" i="43"/>
  <c r="F34" i="43"/>
  <c r="F30" i="43"/>
  <c r="F33" i="43"/>
  <c r="F32" i="43"/>
  <c r="F31" i="43"/>
  <c r="F29" i="43"/>
  <c r="O58" i="43"/>
  <c r="O62" i="43"/>
  <c r="O56" i="43"/>
  <c r="O57" i="43"/>
  <c r="O61" i="43"/>
  <c r="O59" i="43"/>
  <c r="O60" i="43"/>
  <c r="AA34" i="43"/>
  <c r="AA30" i="43"/>
  <c r="AA33" i="43"/>
  <c r="AA31" i="43"/>
  <c r="AA32" i="43"/>
  <c r="AA29" i="43"/>
  <c r="AA36" i="43" s="1"/>
  <c r="P58" i="43"/>
  <c r="P62" i="43"/>
  <c r="P57" i="43"/>
  <c r="P56" i="43"/>
  <c r="P61" i="43"/>
  <c r="P59" i="43"/>
  <c r="P60" i="43"/>
  <c r="H58" i="43"/>
  <c r="H62" i="43"/>
  <c r="H57" i="43"/>
  <c r="H56" i="43"/>
  <c r="H60" i="43"/>
  <c r="H61" i="43"/>
  <c r="H59" i="43"/>
  <c r="T28" i="43"/>
  <c r="P50" i="43"/>
  <c r="Z50" i="43"/>
  <c r="D50" i="43"/>
  <c r="Z28" i="43"/>
  <c r="V4" i="43"/>
  <c r="V34" i="43"/>
  <c r="V30" i="43"/>
  <c r="V33" i="43"/>
  <c r="V31" i="43"/>
  <c r="V32" i="43"/>
  <c r="V29" i="43"/>
  <c r="P34" i="43"/>
  <c r="P30" i="43"/>
  <c r="P33" i="43"/>
  <c r="P31" i="43"/>
  <c r="P32" i="43"/>
  <c r="P29" i="43"/>
  <c r="P36" i="43" s="1"/>
  <c r="I34" i="43"/>
  <c r="I30" i="43"/>
  <c r="I33" i="43"/>
  <c r="I32" i="43"/>
  <c r="I31" i="43"/>
  <c r="I29" i="43"/>
  <c r="R34" i="43"/>
  <c r="R30" i="43"/>
  <c r="R36" i="43" s="1"/>
  <c r="R33" i="43"/>
  <c r="R31" i="43"/>
  <c r="R32" i="43"/>
  <c r="R29" i="43"/>
  <c r="U34" i="43"/>
  <c r="U30" i="43"/>
  <c r="U33" i="43"/>
  <c r="U31" i="43"/>
  <c r="U32" i="43"/>
  <c r="U29" i="43"/>
  <c r="J34" i="43"/>
  <c r="J30" i="43"/>
  <c r="J33" i="43"/>
  <c r="J32" i="43"/>
  <c r="J31" i="43"/>
  <c r="J29" i="43"/>
  <c r="F49" i="43"/>
  <c r="F42" i="43"/>
  <c r="F43" i="43"/>
  <c r="F48" i="43"/>
  <c r="F44" i="43"/>
  <c r="F47" i="43"/>
  <c r="F46" i="43"/>
  <c r="F45" i="43"/>
  <c r="Y4" i="43"/>
  <c r="Y20" i="43" s="1"/>
  <c r="Y34" i="43"/>
  <c r="Y30" i="43"/>
  <c r="Y33" i="43"/>
  <c r="Y31" i="43"/>
  <c r="Y32" i="43"/>
  <c r="Y29" i="43"/>
  <c r="H34" i="43"/>
  <c r="H30" i="43"/>
  <c r="H33" i="43"/>
  <c r="H32" i="43"/>
  <c r="H31" i="43"/>
  <c r="H29" i="43"/>
  <c r="T42" i="43"/>
  <c r="T43" i="43"/>
  <c r="T48" i="43"/>
  <c r="T49" i="43"/>
  <c r="T44" i="43"/>
  <c r="T47" i="43"/>
  <c r="T45" i="43"/>
  <c r="T46" i="43"/>
  <c r="X34" i="43"/>
  <c r="X30" i="43"/>
  <c r="X33" i="43"/>
  <c r="X31" i="43"/>
  <c r="X32" i="43"/>
  <c r="X29" i="43"/>
  <c r="O4" i="43"/>
  <c r="O34" i="43"/>
  <c r="O30" i="43"/>
  <c r="O33" i="43"/>
  <c r="O31" i="43"/>
  <c r="O32" i="43"/>
  <c r="O29" i="43"/>
  <c r="K34" i="43"/>
  <c r="K30" i="43"/>
  <c r="K33" i="43"/>
  <c r="K32" i="43"/>
  <c r="K31" i="43"/>
  <c r="K29" i="43"/>
  <c r="K36" i="43" s="1"/>
  <c r="N56" i="43"/>
  <c r="N58" i="43"/>
  <c r="N62" i="43"/>
  <c r="N57" i="43"/>
  <c r="N61" i="43"/>
  <c r="N60" i="43"/>
  <c r="N59" i="43"/>
  <c r="H48" i="43"/>
  <c r="H49" i="43"/>
  <c r="H42" i="43"/>
  <c r="H43" i="43"/>
  <c r="H44" i="43"/>
  <c r="H47" i="43"/>
  <c r="H46" i="43"/>
  <c r="H45" i="43"/>
  <c r="F56" i="43"/>
  <c r="F58" i="43"/>
  <c r="F62" i="43"/>
  <c r="F57" i="43"/>
  <c r="F60" i="43"/>
  <c r="F61" i="43"/>
  <c r="F59" i="43"/>
  <c r="S56" i="43"/>
  <c r="S57" i="43"/>
  <c r="S58" i="43"/>
  <c r="S62" i="43"/>
  <c r="S61" i="43"/>
  <c r="S59" i="43"/>
  <c r="S60" i="43"/>
  <c r="D64" i="43"/>
  <c r="O28" i="43"/>
  <c r="S50" i="43"/>
  <c r="Z63" i="43"/>
  <c r="U63" i="43"/>
  <c r="E36" i="43"/>
  <c r="P63" i="43"/>
  <c r="K63" i="43"/>
  <c r="Y50" i="43"/>
  <c r="D21" i="43"/>
  <c r="E21" i="43"/>
  <c r="W19" i="43"/>
  <c r="V19" i="43"/>
  <c r="AB19" i="43"/>
  <c r="D20" i="43"/>
  <c r="D19" i="43"/>
  <c r="Q20" i="43"/>
  <c r="AB20" i="43"/>
  <c r="Y21" i="43"/>
  <c r="V20" i="43"/>
  <c r="Q21" i="43"/>
  <c r="W20" i="43"/>
  <c r="V21" i="43"/>
  <c r="E19" i="43"/>
  <c r="E20" i="43"/>
  <c r="AB21" i="43"/>
  <c r="W21" i="43"/>
  <c r="N4" i="43"/>
  <c r="J6" i="43"/>
  <c r="L6" i="43"/>
  <c r="U6" i="43"/>
  <c r="U5" i="43"/>
  <c r="X5" i="43"/>
  <c r="X6" i="43"/>
  <c r="Z6" i="43"/>
  <c r="Z21" i="43" s="1"/>
  <c r="J4" i="43"/>
  <c r="R6" i="43"/>
  <c r="F5" i="43"/>
  <c r="O6" i="43"/>
  <c r="O21" i="43" s="1"/>
  <c r="T6" i="43"/>
  <c r="M5" i="43"/>
  <c r="R4" i="43"/>
  <c r="U4" i="43"/>
  <c r="M4" i="43"/>
  <c r="L5" i="43"/>
  <c r="G6" i="43"/>
  <c r="AC6" i="43"/>
  <c r="P4" i="43"/>
  <c r="I4" i="43"/>
  <c r="L4" i="43"/>
  <c r="G4" i="43"/>
  <c r="AA4" i="43"/>
  <c r="H4" i="43"/>
  <c r="T5" i="43"/>
  <c r="P6" i="43"/>
  <c r="H6" i="43"/>
  <c r="AA6" i="43"/>
  <c r="X4" i="43"/>
  <c r="K4" i="43"/>
  <c r="K19" i="43" s="1"/>
  <c r="N6" i="43"/>
  <c r="N21" i="43" s="1"/>
  <c r="H5" i="43"/>
  <c r="F6" i="43"/>
  <c r="F21" i="43" s="1"/>
  <c r="S6" i="43"/>
  <c r="S21" i="43" s="1"/>
  <c r="T4" i="43"/>
  <c r="J5" i="43"/>
  <c r="J20" i="43" s="1"/>
  <c r="AC4" i="43"/>
  <c r="I6" i="43"/>
  <c r="I21" i="43" s="1"/>
  <c r="K5" i="43"/>
  <c r="K6" i="43"/>
  <c r="M6" i="43"/>
  <c r="D393" i="43"/>
  <c r="F393" i="43"/>
  <c r="AB393" i="43"/>
  <c r="Y393" i="43"/>
  <c r="Z393" i="43"/>
  <c r="O393" i="43"/>
  <c r="W393" i="43"/>
  <c r="S393" i="43"/>
  <c r="V393" i="43"/>
  <c r="Q393" i="43"/>
  <c r="G393" i="43"/>
  <c r="AC393" i="43"/>
  <c r="L393" i="43"/>
  <c r="P393" i="43"/>
  <c r="X393" i="43"/>
  <c r="T393" i="43"/>
  <c r="K393" i="43"/>
  <c r="J393" i="43"/>
  <c r="H393" i="43"/>
  <c r="U393" i="43"/>
  <c r="M393" i="43"/>
  <c r="N393" i="43"/>
  <c r="I393" i="43"/>
  <c r="R393" i="43"/>
  <c r="AA393" i="43"/>
  <c r="P113" i="60"/>
  <c r="U113" i="60"/>
  <c r="W113" i="60"/>
  <c r="L113" i="60"/>
  <c r="T113" i="60"/>
  <c r="AB113" i="60"/>
  <c r="J113" i="60"/>
  <c r="R113" i="60"/>
  <c r="Z113" i="60"/>
  <c r="H113" i="60"/>
  <c r="X113" i="60"/>
  <c r="F113" i="60"/>
  <c r="N113" i="60"/>
  <c r="V113" i="60"/>
  <c r="Y113" i="60"/>
  <c r="O113" i="60"/>
  <c r="E113" i="60"/>
  <c r="M113" i="60"/>
  <c r="AC113" i="60"/>
  <c r="K113" i="60"/>
  <c r="S113" i="60"/>
  <c r="AA113" i="60"/>
  <c r="I113" i="60"/>
  <c r="Q113" i="60"/>
  <c r="G113" i="60"/>
  <c r="D113" i="60"/>
  <c r="L36" i="43" l="1"/>
  <c r="H36" i="43"/>
  <c r="N36" i="43"/>
  <c r="P21" i="43"/>
  <c r="X36" i="43"/>
  <c r="F36" i="43"/>
  <c r="V36" i="43"/>
  <c r="AA64" i="43"/>
  <c r="G64" i="43"/>
  <c r="L50" i="43"/>
  <c r="G36" i="43"/>
  <c r="AB36" i="43"/>
  <c r="W36" i="43"/>
  <c r="M64" i="43"/>
  <c r="H50" i="43"/>
  <c r="F50" i="43"/>
  <c r="AC36" i="43"/>
  <c r="X50" i="43"/>
  <c r="K64" i="43"/>
  <c r="AC64" i="43"/>
  <c r="M50" i="43"/>
  <c r="Y19" i="43"/>
  <c r="Y22" i="43" s="1"/>
  <c r="O36" i="43"/>
  <c r="S64" i="43"/>
  <c r="N64" i="43"/>
  <c r="T36" i="43"/>
  <c r="T64" i="43"/>
  <c r="Z64" i="43"/>
  <c r="K50" i="43"/>
  <c r="F64" i="43"/>
  <c r="T50" i="43"/>
  <c r="U36" i="43"/>
  <c r="M36" i="43"/>
  <c r="I64" i="43"/>
  <c r="Y36" i="43"/>
  <c r="I36" i="43"/>
  <c r="J64" i="43"/>
  <c r="R64" i="43"/>
  <c r="Q36" i="43"/>
  <c r="AA20" i="43"/>
  <c r="J36" i="43"/>
  <c r="P64" i="43"/>
  <c r="O64" i="43"/>
  <c r="S36" i="43"/>
  <c r="J50" i="43"/>
  <c r="U64" i="43"/>
  <c r="H64" i="43"/>
  <c r="U50" i="43"/>
  <c r="L64" i="43"/>
  <c r="X64" i="43"/>
  <c r="Z36" i="43"/>
  <c r="D22" i="43"/>
  <c r="U19" i="43"/>
  <c r="AB22" i="43"/>
  <c r="M21" i="43"/>
  <c r="X19" i="43"/>
  <c r="L19" i="43"/>
  <c r="W22" i="43"/>
  <c r="T20" i="43"/>
  <c r="R19" i="43"/>
  <c r="E22" i="43"/>
  <c r="Q22" i="43"/>
  <c r="H20" i="43"/>
  <c r="AA21" i="43"/>
  <c r="I20" i="43"/>
  <c r="P20" i="43"/>
  <c r="G19" i="43"/>
  <c r="AC21" i="43"/>
  <c r="V22" i="43"/>
  <c r="U21" i="43"/>
  <c r="O20" i="43"/>
  <c r="AC19" i="43"/>
  <c r="G21" i="43"/>
  <c r="F20" i="43"/>
  <c r="X21" i="43"/>
  <c r="L21" i="43"/>
  <c r="O19" i="43"/>
  <c r="Z20" i="43"/>
  <c r="F19" i="43"/>
  <c r="H19" i="43"/>
  <c r="I19" i="43"/>
  <c r="L20" i="43"/>
  <c r="M20" i="43"/>
  <c r="R21" i="43"/>
  <c r="X20" i="43"/>
  <c r="J21" i="43"/>
  <c r="S20" i="43"/>
  <c r="Z19" i="43"/>
  <c r="K21" i="43"/>
  <c r="G20" i="43"/>
  <c r="K20" i="43"/>
  <c r="T19" i="43"/>
  <c r="H21" i="43"/>
  <c r="AA19" i="43"/>
  <c r="P19" i="43"/>
  <c r="M19" i="43"/>
  <c r="T21" i="43"/>
  <c r="J19" i="43"/>
  <c r="U20" i="43"/>
  <c r="N19" i="43"/>
  <c r="N20" i="43"/>
  <c r="AC20" i="43"/>
  <c r="S19" i="43"/>
  <c r="S22" i="43" s="1"/>
  <c r="R20" i="43"/>
  <c r="B88" i="43"/>
  <c r="B89" i="43" s="1"/>
  <c r="D86" i="43" s="1"/>
  <c r="D117" i="61"/>
  <c r="AA22" i="43" l="1"/>
  <c r="K22" i="43"/>
  <c r="U22" i="43"/>
  <c r="I22" i="43"/>
  <c r="G22" i="43"/>
  <c r="J22" i="43"/>
  <c r="L22" i="43"/>
  <c r="P22" i="43"/>
  <c r="F22" i="43"/>
  <c r="O22" i="43"/>
  <c r="X22" i="43"/>
  <c r="N22" i="43"/>
  <c r="T22" i="43"/>
  <c r="H22" i="43"/>
  <c r="Z22" i="43"/>
  <c r="AC22" i="43"/>
  <c r="R22" i="43"/>
  <c r="M22" i="43"/>
  <c r="F117" i="61"/>
  <c r="E117" i="61"/>
  <c r="G117" i="61" l="1"/>
  <c r="H117" i="61" l="1"/>
  <c r="I117" i="61" l="1"/>
  <c r="J117" i="61" l="1"/>
  <c r="K117" i="61" l="1"/>
  <c r="L117" i="61" l="1"/>
  <c r="M117" i="61" l="1"/>
  <c r="N117" i="61" l="1"/>
  <c r="O117" i="61" l="1"/>
  <c r="P117" i="61" l="1"/>
  <c r="Q117" i="61" l="1"/>
  <c r="R117" i="61" l="1"/>
  <c r="S117" i="61" l="1"/>
  <c r="T117" i="61" l="1"/>
  <c r="U117" i="61" l="1"/>
  <c r="V117" i="61" l="1"/>
  <c r="W117" i="61" l="1"/>
  <c r="X117" i="61" l="1"/>
  <c r="Y117" i="61" l="1"/>
  <c r="Z117" i="61" l="1"/>
  <c r="AA117" i="61" l="1"/>
  <c r="AB117" i="61" l="1"/>
  <c r="AD117" i="61" l="1"/>
  <c r="AC117" i="61"/>
  <c r="F287" i="43"/>
  <c r="F288" i="4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K3" authorId="0" shapeId="0" xr:uid="{8E3D83E6-3263-49F7-BF3F-992CB0754C7B}">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P3" authorId="1" shapeId="0" xr:uid="{E653C058-3A35-430F-9891-FD47510A9E6F}">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Q3" authorId="2" shapeId="0" xr:uid="{82FDBED0-33DB-4627-9B35-7DF0D48483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R3" authorId="2" shapeId="0" xr:uid="{EAD4786A-D10C-43D7-804F-F089BD8F40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S3" authorId="2" shapeId="0" xr:uid="{1ACD9319-35F4-422D-9D59-BFA96293751A}">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I20" authorId="2" shapeId="0" xr:uid="{9B5806FC-104D-43D5-9B6A-DF027B24707D}">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Q20" authorId="2" shapeId="0" xr:uid="{EB0B9C16-304F-4B96-9033-DA6B2344D2F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R20" authorId="1" shapeId="0" xr:uid="{59B6CD80-1252-4D98-B77A-E00343EC3344}">
      <text>
        <r>
          <rPr>
            <b/>
            <sz val="8"/>
            <color indexed="81"/>
            <rFont val="Tahoma"/>
            <family val="2"/>
          </rPr>
          <t>Amit Kanudia:</t>
        </r>
        <r>
          <rPr>
            <sz val="8"/>
            <color indexed="81"/>
            <rFont val="Tahoma"/>
            <family val="2"/>
          </rPr>
          <t xml:space="preserve">
Needed only when one wants to override the VEDA default assignment
</t>
        </r>
      </text>
    </comment>
    <comment ref="S20" authorId="2" shapeId="0" xr:uid="{40853C43-EB61-425D-8F40-6F3382884ACC}">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K21" authorId="2" shapeId="0" xr:uid="{3CD688CD-6A0A-49F6-B0ED-3F72383DA82A}">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3" authorId="0" shapeId="0" xr:uid="{87154DD1-0972-4DBE-8353-A5D563CE2A70}">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P3" authorId="0" shapeId="0" xr:uid="{45772CEC-0EB1-41CB-BDAB-6B0D0331D62F}">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Q3" authorId="1" shapeId="0" xr:uid="{53DDBD7F-C0DE-423C-B34B-77A682679015}">
      <text>
        <r>
          <rPr>
            <b/>
            <sz val="8"/>
            <color indexed="81"/>
            <rFont val="Tahoma"/>
            <family val="2"/>
          </rPr>
          <t>Amit Kanudia:</t>
        </r>
        <r>
          <rPr>
            <sz val="8"/>
            <color indexed="81"/>
            <rFont val="Tahoma"/>
            <family val="2"/>
          </rPr>
          <t xml:space="preserve">
Needed only when one wants to override the VEDA default assignment
</t>
        </r>
      </text>
    </comment>
    <comment ref="R3" authorId="0" shapeId="0" xr:uid="{15011D0E-CC47-401E-9E4E-A9F1263ADE65}">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J4" authorId="0" shapeId="0" xr:uid="{7EEE876D-815A-4175-BDEC-8857035F8BDB}">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A221"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C221"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<sst xmlns="http://schemas.openxmlformats.org/spreadsheetml/2006/main" count="3168" uniqueCount="1093">
  <si>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</si>
  <si>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</si>
  <si>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</si>
  <si>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</si>
  <si>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</si>
  <si>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</si>
  <si>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</si>
  <si>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</si>
  <si>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</si>
  <si>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</si>
  <si>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</si>
  <si>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</si>
  <si>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</si>
  <si>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</si>
  <si>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</si>
  <si>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</si>
  <si>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</si>
  <si>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</si>
  <si>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</si>
  <si>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</si>
  <si>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</si>
  <si>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</si>
  <si>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</si>
  <si>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</si>
  <si>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</si>
  <si>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</si>
  <si>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</si>
  <si>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</si>
  <si>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</si>
  <si>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</si>
  <si>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</si>
  <si>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</si>
  <si>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</si>
  <si>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</si>
  <si>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</si>
  <si>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</si>
  <si>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</si>
  <si>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</si>
  <si>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</si>
  <si>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</si>
  <si>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</si>
  <si>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</si>
  <si>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</si>
  <si>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</si>
  <si>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</si>
  <si>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</si>
  <si>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</si>
  <si>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</si>
  <si>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</si>
  <si>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</si>
  <si>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</si>
  <si>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</si>
  <si>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</si>
  <si>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</si>
  <si>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</si>
  <si>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</si>
  <si>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</si>
  <si>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</si>
  <si>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</si>
  <si>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</si>
  <si>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</si>
  <si>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</si>
  <si>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</si>
  <si>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</si>
  <si>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</si>
  <si>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</si>
  <si>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</si>
  <si>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</si>
  <si>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</si>
  <si>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</si>
  <si>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</si>
  <si>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</si>
  <si>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</si>
  <si>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</si>
  <si>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</si>
  <si>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</si>
  <si>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</si>
  <si>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</si>
  <si>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</si>
  <si>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</si>
  <si>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Technology Description</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</si>
  <si>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</si>
  <si>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</si>
  <si>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</si>
  <si>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</si>
  <si>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</si>
  <si>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</si>
  <si>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</si>
  <si>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</si>
  <si>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</si>
  <si>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</si>
  <si>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</si>
  <si>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</si>
  <si>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</si>
  <si>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</si>
  <si>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</si>
  <si>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</si>
  <si>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</si>
  <si>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</si>
  <si>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</si>
  <si>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</si>
  <si>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</si>
  <si>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</si>
  <si>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</si>
  <si>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</si>
  <si>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</si>
  <si>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</si>
  <si>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</si>
  <si>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</si>
  <si>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</si>
  <si>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</si>
  <si>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</si>
  <si>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</si>
  <si>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</si>
  <si>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</si>
  <si>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</si>
  <si>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</si>
  <si>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</si>
  <si>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</si>
  <si>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</si>
  <si>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</si>
  <si>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</si>
  <si>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</si>
  <si>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</si>
  <si>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</si>
  <si>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</si>
  <si>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</si>
  <si>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</si>
  <si>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</si>
  <si>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</si>
  <si>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</si>
  <si>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</si>
  <si>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</si>
  <si>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</si>
  <si>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</si>
  <si>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</si>
  <si>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</si>
  <si>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</si>
  <si>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</si>
  <si>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</si>
  <si>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</si>
  <si>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</si>
  <si>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</si>
  <si>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</si>
  <si>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</si>
  <si>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</si>
  <si>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</si>
  <si>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</si>
  <si>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</si>
  <si>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</si>
  <si>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</si>
  <si>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</si>
  <si>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</si>
  <si>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</si>
  <si>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</si>
  <si>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</si>
  <si>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</si>
  <si>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</si>
  <si>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</si>
  <si>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</si>
  <si>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</si>
  <si>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</si>
  <si>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</si>
  <si>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</si>
  <si>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</si>
  <si>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</si>
  <si>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</si>
  <si>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TFRAIL</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</si>
  <si>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</si>
  <si>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</si>
  <si>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</si>
  <si>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</si>
  <si>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</si>
  <si>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</si>
  <si>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</si>
  <si>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</si>
  <si>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</si>
  <si>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</si>
  <si>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</si>
  <si>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</si>
  <si>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</si>
  <si>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</si>
  <si>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</si>
  <si>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</si>
  <si>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</si>
  <si>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</si>
  <si>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</si>
  <si>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</si>
  <si>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</si>
  <si>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</si>
  <si>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</si>
  <si>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</si>
  <si>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</si>
  <si>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</si>
  <si>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</si>
  <si>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</si>
  <si>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</si>
  <si>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</si>
  <si>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</si>
  <si>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</si>
  <si>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</si>
  <si>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Biomass &amp;   Renewable  Waste</t>
  </si>
  <si>
    <t xml:space="preserve"> Landfill Gas</t>
  </si>
  <si>
    <t xml:space="preserve"> Biogas</t>
  </si>
  <si>
    <t xml:space="preserve"> Liquid Biofuel</t>
  </si>
  <si>
    <t xml:space="preserve"> Solar</t>
  </si>
  <si>
    <t xml:space="preserve"> Geothermal</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</si>
  <si>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</si>
  <si>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</si>
  <si>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</si>
  <si>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</si>
  <si>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</si>
  <si>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</si>
  <si>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</si>
  <si>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</si>
  <si>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</si>
  <si>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</si>
  <si>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</si>
  <si>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</si>
  <si>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</si>
  <si>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</si>
  <si>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</si>
  <si>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Irish TIMES Energy System Model</t>
  </si>
  <si>
    <t>Document type:</t>
  </si>
  <si>
    <t xml:space="preserve">Base Year Template </t>
  </si>
  <si>
    <t>Sector:</t>
  </si>
  <si>
    <t>Developer:</t>
  </si>
  <si>
    <t>Energy Policy Modelling Group, UCC</t>
  </si>
  <si>
    <t>Transport sector (TRA)</t>
  </si>
  <si>
    <t>Carbon Dioxide - Combustion (TRA)</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</si>
  <si>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</si>
  <si>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</si>
  <si>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</si>
  <si>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</si>
  <si>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</si>
  <si>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</si>
  <si>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</si>
  <si>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</si>
  <si>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</si>
  <si>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</si>
  <si>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</si>
  <si>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</si>
  <si>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</si>
  <si>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</si>
  <si>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Combined Heat and Power Plants - Electricity</t>
  </si>
  <si>
    <t>Combined Heat and Power Plants - Heat</t>
  </si>
  <si>
    <t>Pumped Storage Generation</t>
  </si>
  <si>
    <t>Oil Refineries</t>
  </si>
  <si>
    <t>Exchanges and transfers</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</si>
  <si>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</si>
  <si>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</si>
  <si>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</si>
  <si>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</si>
  <si>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</si>
  <si>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</si>
  <si>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</si>
  <si>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</si>
  <si>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</si>
  <si>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</si>
  <si>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</si>
  <si>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</si>
  <si>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</si>
  <si>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</si>
  <si>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</si>
  <si>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</si>
  <si>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</si>
  <si>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</si>
  <si>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</si>
  <si>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</si>
  <si>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</si>
  <si>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</si>
  <si>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</si>
  <si>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</si>
  <si>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</si>
  <si>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</si>
  <si>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</si>
  <si>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</si>
  <si>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</si>
  <si>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</si>
  <si>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</si>
  <si>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</si>
  <si>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</si>
  <si>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</si>
  <si>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</si>
  <si>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</si>
  <si>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</si>
  <si>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</si>
  <si>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</si>
  <si>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</si>
  <si>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</si>
  <si>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</si>
  <si>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Commercial/Public Services</t>
  </si>
  <si>
    <t>Commercial Services</t>
  </si>
  <si>
    <t>Public Services</t>
  </si>
  <si>
    <t>Agricultural</t>
  </si>
  <si>
    <t>Fisheries</t>
  </si>
  <si>
    <t>Statistical Difference</t>
  </si>
  <si>
    <t>* Industry sub-sectoral breakdown is based on the CIP 2009.</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</si>
  <si>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</si>
  <si>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</si>
  <si>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</si>
  <si>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</si>
  <si>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</si>
  <si>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</si>
  <si>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</si>
  <si>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</si>
  <si>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</si>
  <si>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</si>
  <si>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</si>
  <si>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</si>
  <si>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</si>
  <si>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</si>
  <si>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</si>
  <si>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</si>
  <si>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</si>
  <si>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</si>
  <si>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</si>
  <si>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</si>
  <si>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</si>
  <si>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</si>
  <si>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</si>
  <si>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</si>
  <si>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</si>
  <si>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</si>
  <si>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</si>
  <si>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</si>
  <si>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</si>
  <si>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</si>
  <si>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</si>
  <si>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</si>
  <si>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</si>
  <si>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</si>
  <si>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</si>
  <si>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</si>
  <si>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</si>
  <si>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</si>
  <si>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</si>
  <si>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SEASON</t>
  </si>
  <si>
    <t>Luas infrastructure, 2018</t>
  </si>
  <si>
    <t>Source:</t>
  </si>
  <si>
    <t>NACE (Rev 2)</t>
  </si>
  <si>
    <t xml:space="preserve">2018                        Units = ktoe
</t>
  </si>
  <si>
    <t>Last Updated : 21st October 2019</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</si>
  <si>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</si>
  <si>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</si>
  <si>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</si>
  <si>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</si>
  <si>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</si>
  <si>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</si>
  <si>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</si>
  <si>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</si>
  <si>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</si>
  <si>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</si>
  <si>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</si>
  <si>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</si>
  <si>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</si>
  <si>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</si>
  <si>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</si>
  <si>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</si>
  <si>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</si>
  <si>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</si>
  <si>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</si>
  <si>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</si>
  <si>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</si>
  <si>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</si>
  <si>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</si>
  <si>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</si>
  <si>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</si>
  <si>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</si>
  <si>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</si>
  <si>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</si>
  <si>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</si>
  <si>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</si>
  <si>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</si>
  <si>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</si>
  <si>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</si>
  <si>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</si>
  <si>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</si>
  <si>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</si>
  <si>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</si>
  <si>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</si>
  <si>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</si>
  <si>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</si>
  <si>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</si>
  <si>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</si>
  <si>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</si>
  <si>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</si>
  <si>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</si>
  <si>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</si>
  <si>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</si>
  <si>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</si>
  <si>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</si>
  <si>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</si>
  <si>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</si>
  <si>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</si>
  <si>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</si>
  <si>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</si>
  <si>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</si>
  <si>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</si>
  <si>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</si>
  <si>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</si>
  <si>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</si>
  <si>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</si>
  <si>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</si>
  <si>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</si>
  <si>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</si>
  <si>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</si>
  <si>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</si>
  <si>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</si>
  <si>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</si>
  <si>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</si>
  <si>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</si>
  <si>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</si>
  <si>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</si>
  <si>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</si>
  <si>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</si>
  <si>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</si>
  <si>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</si>
  <si>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</si>
  <si>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</si>
  <si>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</si>
  <si>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</si>
  <si>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</si>
  <si>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</si>
  <si>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</si>
  <si>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</si>
  <si>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</si>
  <si>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</si>
  <si>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</si>
  <si>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</si>
  <si>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</si>
  <si>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</si>
  <si>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</si>
  <si>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</si>
  <si>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</si>
  <si>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</si>
  <si>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</si>
  <si>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</si>
  <si>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</si>
  <si>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</si>
  <si>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</si>
  <si>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</si>
  <si>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</si>
  <si>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</si>
  <si>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</si>
  <si>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</si>
  <si>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</si>
  <si>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</si>
  <si>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</si>
  <si>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</si>
  <si>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</si>
  <si>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</si>
  <si>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</si>
  <si>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</si>
  <si>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</si>
  <si>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</si>
  <si>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</si>
  <si>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</si>
  <si>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</si>
  <si>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</si>
  <si>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</si>
  <si>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</si>
  <si>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</si>
  <si>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</si>
  <si>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</si>
  <si>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</si>
  <si>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</si>
  <si>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</si>
  <si>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</si>
  <si>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</si>
  <si>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</si>
  <si>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</si>
  <si>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</si>
  <si>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</si>
  <si>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</si>
  <si>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</si>
  <si>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</si>
  <si>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BioEthanol</t>
  </si>
  <si>
    <t>BioDiesel</t>
  </si>
  <si>
    <t>TRACNG</t>
  </si>
  <si>
    <t>CNG</t>
  </si>
  <si>
    <t>TRABNG</t>
  </si>
  <si>
    <t>BioCNG</t>
  </si>
  <si>
    <t>TRACYC</t>
  </si>
  <si>
    <t>Cycling</t>
  </si>
  <si>
    <t>TRAWLK</t>
  </si>
  <si>
    <t>Walking</t>
  </si>
  <si>
    <t>Kerosene</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</si>
  <si>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</si>
  <si>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</si>
  <si>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</si>
  <si>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</si>
  <si>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</si>
  <si>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</si>
  <si>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</si>
  <si>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</si>
  <si>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</si>
  <si>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End-use technologies</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</si>
  <si>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</si>
  <si>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</si>
  <si>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</si>
  <si>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</si>
  <si>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</si>
  <si>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</si>
  <si>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</si>
  <si>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</si>
  <si>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</si>
  <si>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</si>
  <si>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</si>
  <si>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</si>
  <si>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</si>
  <si>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</si>
  <si>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</si>
  <si>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</si>
  <si>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</si>
  <si>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</si>
  <si>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</si>
  <si>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</si>
  <si>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</si>
  <si>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</si>
  <si>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</si>
  <si>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</si>
  <si>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</si>
  <si>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</si>
  <si>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</si>
  <si>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</si>
  <si>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</si>
  <si>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</si>
  <si>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</si>
  <si>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</si>
  <si>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</si>
  <si>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</si>
  <si>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</si>
  <si>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</si>
  <si>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</si>
  <si>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</si>
  <si>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</si>
  <si>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</si>
  <si>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</si>
  <si>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</si>
  <si>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</si>
  <si>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</si>
  <si>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</si>
  <si>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</si>
  <si>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</si>
  <si>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TCAR_ICE_GSL_00</t>
  </si>
  <si>
    <t>TCAR_HEV_GSL_00</t>
  </si>
  <si>
    <t>TCAR_PHEV_GSL_00</t>
  </si>
  <si>
    <t>TCAR_ICE_DST_00</t>
  </si>
  <si>
    <t>TCAR_ICE_DF_00</t>
  </si>
  <si>
    <t>TCAR_ICE_E85_00</t>
  </si>
  <si>
    <t>TCAR_BEV_00</t>
  </si>
  <si>
    <t>TTAXI_ICE_GSL_00</t>
  </si>
  <si>
    <t>TTAXI_ICE_DST_00</t>
  </si>
  <si>
    <t>TTAXI_HEV_GSL_00</t>
  </si>
  <si>
    <t>Existing Private Car - Gasoline ICEs</t>
  </si>
  <si>
    <t>Existing Private Car - Diesel ICEs</t>
  </si>
  <si>
    <t>Existing Private Car - Dual fuel ICEs</t>
  </si>
  <si>
    <t>Existing Private Car - Flex fuel ICEs</t>
  </si>
  <si>
    <t>Existing Private Car - Gasoline HEV</t>
  </si>
  <si>
    <t>Existing Private Car - Gasoline PHEV</t>
  </si>
  <si>
    <t>TCAR_PHEV_DST_00</t>
  </si>
  <si>
    <t>Existing Private Car - Diesel  PHEV</t>
  </si>
  <si>
    <t>Existing Private Car - BEV</t>
  </si>
  <si>
    <t>Existing Motorcycle - Gasoline Engine</t>
  </si>
  <si>
    <t>TMOT_GSL_00</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</si>
  <si>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</si>
  <si>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</si>
  <si>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</si>
  <si>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</si>
  <si>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</si>
  <si>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</si>
  <si>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</si>
  <si>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</si>
  <si>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</si>
  <si>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</si>
  <si>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</si>
  <si>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</si>
  <si>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</si>
  <si>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</si>
  <si>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</si>
  <si>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</si>
  <si>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</si>
  <si>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</si>
  <si>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</si>
  <si>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</si>
  <si>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</si>
  <si>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</si>
  <si>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</si>
  <si>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</si>
  <si>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</si>
  <si>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</si>
  <si>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</si>
  <si>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</si>
  <si>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</si>
  <si>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</si>
  <si>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</si>
  <si>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</si>
  <si>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</si>
  <si>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</si>
  <si>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</si>
  <si>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</si>
  <si>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</si>
  <si>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</si>
  <si>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</si>
  <si>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</si>
  <si>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</si>
  <si>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</si>
  <si>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</si>
  <si>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</si>
  <si>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</si>
  <si>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</si>
  <si>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</si>
  <si>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</si>
  <si>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</si>
  <si>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</si>
  <si>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</si>
  <si>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</si>
  <si>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Small public services (Taxi)</t>
  </si>
  <si>
    <t>Large public services (Bus)</t>
  </si>
  <si>
    <t>TBUS_ICE_DST_00</t>
  </si>
  <si>
    <t>Existing Small Public Service Vehicles (Taxis) - Gasoline ICEs</t>
  </si>
  <si>
    <t>Existing Small Public Service Vehicles (Taxis) - Diesel ICEs</t>
  </si>
  <si>
    <t>Existing Small Public Service Vehicles (Taxis) - Gasoline HEVs</t>
  </si>
  <si>
    <t>CSO, Table THA17</t>
  </si>
  <si>
    <t>Existing Large Public Service Vehicles - Urban and rural bus</t>
  </si>
  <si>
    <t>TLRAIL_ELC_00</t>
  </si>
  <si>
    <t>THRAIL_ELC_00</t>
  </si>
  <si>
    <t>Existing Heavy Rail_Electric</t>
  </si>
  <si>
    <t>Existing Light Rail_Electric</t>
  </si>
  <si>
    <t>THRAIL_DST_00</t>
  </si>
  <si>
    <t>Existing Heavy Rail_Diesel</t>
  </si>
  <si>
    <t>Vehicle type (Existing technologies)</t>
  </si>
  <si>
    <t>*Large sevice vehicle</t>
  </si>
  <si>
    <t>Electricity for BEVs and PHEVs and Rail</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</si>
  <si>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</si>
  <si>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</si>
  <si>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</si>
  <si>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</si>
  <si>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</si>
  <si>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</si>
  <si>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Process activity to commodity flow</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</si>
  <si>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</si>
  <si>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</si>
  <si>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</si>
  <si>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</si>
  <si>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</si>
  <si>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</si>
  <si>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</si>
  <si>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</si>
  <si>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</si>
  <si>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</si>
  <si>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</si>
  <si>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</si>
  <si>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</si>
  <si>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</si>
  <si>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</si>
  <si>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</si>
  <si>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</si>
  <si>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</si>
  <si>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</si>
  <si>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</si>
  <si>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</si>
  <si>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</si>
  <si>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</si>
  <si>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</si>
  <si>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</si>
  <si>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</si>
  <si>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</si>
  <si>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</si>
  <si>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</si>
  <si>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</si>
  <si>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</si>
  <si>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TCAR_HEV_DST_00</t>
  </si>
  <si>
    <t>Existing Private Car - Diesel HEV</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</si>
  <si>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</si>
  <si>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</si>
  <si>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</si>
  <si>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</si>
  <si>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</si>
  <si>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</si>
  <si>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</si>
  <si>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</si>
  <si>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</si>
  <si>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</si>
  <si>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</si>
  <si>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</si>
  <si>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</si>
  <si>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</si>
  <si>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</si>
  <si>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</si>
  <si>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</si>
  <si>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</si>
  <si>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</si>
  <si>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</si>
  <si>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</si>
  <si>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</si>
  <si>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</si>
  <si>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</si>
  <si>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</si>
  <si>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</si>
  <si>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</si>
  <si>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</si>
  <si>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</si>
  <si>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</si>
  <si>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</si>
  <si>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</si>
  <si>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</si>
  <si>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</si>
  <si>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</si>
  <si>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TWLK_WLK</t>
  </si>
  <si>
    <t>TCYC_CYC</t>
  </si>
  <si>
    <t>*Active modes</t>
  </si>
  <si>
    <t>*Passengers</t>
  </si>
  <si>
    <t>*Freights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</si>
  <si>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</si>
  <si>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</si>
  <si>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</si>
  <si>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</si>
  <si>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</si>
  <si>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</si>
  <si>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</si>
  <si>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</si>
  <si>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</si>
  <si>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</si>
  <si>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</si>
  <si>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</si>
  <si>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</si>
  <si>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</si>
  <si>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</si>
  <si>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</si>
  <si>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</si>
  <si>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</si>
  <si>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</si>
  <si>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</si>
  <si>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</si>
  <si>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</si>
  <si>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</si>
  <si>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</si>
  <si>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</si>
  <si>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</si>
  <si>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</si>
  <si>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</si>
  <si>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</si>
  <si>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</si>
  <si>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</si>
  <si>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</si>
  <si>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</si>
  <si>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</si>
  <si>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</si>
  <si>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</si>
  <si>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</si>
  <si>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</si>
  <si>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</si>
  <si>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</si>
  <si>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</si>
  <si>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</si>
  <si>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TFGV</t>
  </si>
  <si>
    <t>Goods vehicle</t>
  </si>
  <si>
    <t>Trucks_Gasoline</t>
  </si>
  <si>
    <t>Trucks_Diesel</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</si>
  <si>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</si>
  <si>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</si>
  <si>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</si>
  <si>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</si>
  <si>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</si>
  <si>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</si>
  <si>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</si>
  <si>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TFRAIL_DST_00</t>
  </si>
  <si>
    <t>Existing heavy train for freight_Diesel engine</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</si>
  <si>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</si>
  <si>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</si>
  <si>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</si>
  <si>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</si>
  <si>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</si>
  <si>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</si>
  <si>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</si>
  <si>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</si>
  <si>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</si>
  <si>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</si>
  <si>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</si>
  <si>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TFGV_GSL_00</t>
  </si>
  <si>
    <t>TFGV_DST_00</t>
  </si>
  <si>
    <t>Existing goods vehicles for freight_Gasoline engine</t>
  </si>
  <si>
    <t>Existing goods vehicles for freight_Diesel engine</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</si>
  <si>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</si>
  <si>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</si>
  <si>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</si>
  <si>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</si>
  <si>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</si>
  <si>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</si>
  <si>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</si>
  <si>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</si>
  <si>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</si>
  <si>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</si>
  <si>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</si>
  <si>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Existing navigation vehicles</t>
  </si>
  <si>
    <t>Navigation, Tourism &amp; Others</t>
  </si>
  <si>
    <t>Demand (PJ)</t>
  </si>
  <si>
    <t>TTURS</t>
  </si>
  <si>
    <t>TTUR_00</t>
  </si>
  <si>
    <t>Existing turism vehicles</t>
  </si>
  <si>
    <t>Existing unspecigied vehicles</t>
  </si>
  <si>
    <t>TNAV_00</t>
  </si>
  <si>
    <t>TOTH_00</t>
  </si>
  <si>
    <t>Turism, Navigation and others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</si>
  <si>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</si>
  <si>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</si>
  <si>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</si>
  <si>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</si>
  <si>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</si>
  <si>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~FI_T: AllRegions</t>
  </si>
  <si>
    <t>TAVI_DOM_00</t>
  </si>
  <si>
    <t>TAVI_INT_00</t>
  </si>
  <si>
    <t>Existing aviation for domestic flights</t>
  </si>
  <si>
    <t>Existing aviation for international flights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</si>
  <si>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</si>
  <si>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</si>
  <si>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</si>
  <si>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</si>
  <si>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</si>
  <si>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</si>
  <si>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</si>
  <si>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</si>
  <si>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</si>
  <si>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</si>
  <si>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</si>
  <si>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</si>
  <si>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</si>
  <si>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</si>
  <si>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</si>
  <si>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</si>
  <si>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</si>
  <si>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</si>
  <si>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</si>
  <si>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</si>
  <si>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Total private cars</t>
  </si>
  <si>
    <t>Model 2018</t>
  </si>
  <si>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</si>
  <si>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</si>
  <si>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</si>
  <si>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</si>
  <si>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</si>
  <si>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</si>
  <si>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</si>
  <si>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</si>
  <si>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</si>
  <si>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</si>
  <si>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Data check for private cars</t>
  </si>
  <si>
    <t>Consumption (ktoe)</t>
  </si>
  <si>
    <t>Formulation: Energy consumption (ktoe/yr) = Number of vehicle (V)*Average travelled (km/yr)/Efficiency (MVkm/PJ)/0.041868/1000</t>
  </si>
  <si>
    <t>Data check for goods vehicles</t>
  </si>
  <si>
    <t>Total goods vehicle</t>
  </si>
  <si>
    <t>Formulation: Energy consumption (ktoe/yr) = Number of vehicle (V)*Average travelled (1000km/yr)/Efficiency (MVkm/PJ)/0.041868</t>
  </si>
  <si>
    <t>1000km/yr</t>
  </si>
  <si>
    <t>Average tonnage</t>
  </si>
  <si>
    <t>Average tonnage (second method)</t>
  </si>
  <si>
    <t>Activity from CSO THA17</t>
  </si>
  <si>
    <t>Activity from CSO TFA22</t>
  </si>
  <si>
    <t>Company cars</t>
  </si>
  <si>
    <t>Data check for public passenger</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</si>
  <si>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</si>
  <si>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Data check for rail</t>
  </si>
  <si>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</si>
  <si>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</si>
  <si>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</si>
  <si>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</si>
  <si>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</si>
  <si>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</si>
  <si>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</si>
  <si>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</si>
  <si>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</si>
  <si>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</si>
  <si>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</si>
  <si>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</si>
  <si>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</si>
  <si>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</si>
  <si>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</si>
  <si>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</si>
  <si>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</si>
  <si>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</si>
  <si>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Region Name</t>
  </si>
  <si>
    <t>Sense of the Balance EQN.</t>
  </si>
  <si>
    <t>CUM</t>
  </si>
  <si>
    <t>COST</t>
  </si>
  <si>
    <t>ACT_BND</t>
  </si>
  <si>
    <t>Reserves Cumulative Value</t>
  </si>
  <si>
    <t>Cost</t>
  </si>
  <si>
    <t>Annual Production Bound</t>
  </si>
  <si>
    <t>*Process Set Membership</t>
  </si>
  <si>
    <t>Technology Name</t>
  </si>
  <si>
    <t>Activity Unit</t>
  </si>
  <si>
    <t>Capacity Unit</t>
  </si>
  <si>
    <t>TimeSlice level of Process Activity</t>
  </si>
  <si>
    <t>Primary Commodity Group</t>
  </si>
  <si>
    <t>Vintage Tracking</t>
  </si>
  <si>
    <t>*Units</t>
  </si>
  <si>
    <t>MINWALK</t>
  </si>
  <si>
    <t>MINCYCLING</t>
  </si>
  <si>
    <t>MINGASOLINE</t>
  </si>
  <si>
    <t>MINDIESEL</t>
  </si>
  <si>
    <t>MINETHANOL</t>
  </si>
  <si>
    <t>MINBIODIESEL</t>
  </si>
  <si>
    <t>MINCNG</t>
  </si>
  <si>
    <t>MINBCNG</t>
  </si>
  <si>
    <t>MINKEROSENE</t>
  </si>
  <si>
    <t>MEuro2018/PJ</t>
  </si>
  <si>
    <t>MIN</t>
  </si>
  <si>
    <t>Transport Demand: Aviation international</t>
  </si>
  <si>
    <t>Transport Demand: Aviation domestic</t>
  </si>
  <si>
    <t>Transport Demand: Unspecified fuel</t>
  </si>
  <si>
    <t xml:space="preserve">Transport Demand: Navigation fuel </t>
  </si>
  <si>
    <t xml:space="preserve">Transport Demand: Turism fuel </t>
  </si>
  <si>
    <t>Transport Demand: Train for freight transportation</t>
  </si>
  <si>
    <t>Transport Demand: Goods vehicle for freight</t>
  </si>
  <si>
    <t>DMD</t>
  </si>
  <si>
    <t>DEMO</t>
  </si>
  <si>
    <t>Utilization factor for different vehicles</t>
  </si>
  <si>
    <t>Calibration for demand</t>
  </si>
  <si>
    <t>Mpkm/yr</t>
  </si>
  <si>
    <t>Mtkm/yr</t>
  </si>
  <si>
    <t>*Trucks and Rail</t>
  </si>
  <si>
    <t>TRALNG</t>
  </si>
  <si>
    <t>LNG</t>
  </si>
  <si>
    <t>TRAH2</t>
  </si>
  <si>
    <t>Hydrogen</t>
  </si>
  <si>
    <t>MINLNG</t>
  </si>
  <si>
    <t>MINH2</t>
  </si>
  <si>
    <t>WLK</t>
  </si>
  <si>
    <t>CYC</t>
  </si>
  <si>
    <t>BNG</t>
  </si>
  <si>
    <t>H2</t>
  </si>
  <si>
    <t>PRE</t>
  </si>
  <si>
    <t>EFF</t>
  </si>
  <si>
    <t>Vehicle occupancy (passenger/tonnage per vehicle)</t>
  </si>
  <si>
    <t>EFFICIENCY</t>
  </si>
  <si>
    <t>~FI_T: Demand</t>
  </si>
  <si>
    <t>Bpkm</t>
  </si>
  <si>
    <t>000_Units</t>
  </si>
  <si>
    <t>BVkm/PJ</t>
  </si>
  <si>
    <t>PJa</t>
  </si>
  <si>
    <t>IMP</t>
  </si>
  <si>
    <t>IMPELC</t>
  </si>
  <si>
    <t>Electricity Import</t>
  </si>
  <si>
    <t>LIFE</t>
  </si>
  <si>
    <t>Lifetime</t>
  </si>
  <si>
    <t>Years</t>
  </si>
  <si>
    <t>V or PJa</t>
  </si>
  <si>
    <t>Total Taxis and Buses</t>
  </si>
  <si>
    <t>Formulation: Energy consumption (ktoe/yr) = Number of vehicle (1000V)*Average travelled (1000km/yr)/Efficiency (BVkm/PJ)/0.041868</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</si>
  <si>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</si>
  <si>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</si>
  <si>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</si>
  <si>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</si>
  <si>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</si>
  <si>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</si>
  <si>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</si>
  <si>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</si>
  <si>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</si>
  <si>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</si>
  <si>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</si>
  <si>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</si>
  <si>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</si>
  <si>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</si>
  <si>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</si>
  <si>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</si>
  <si>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</si>
  <si>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</si>
  <si>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</si>
  <si>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</si>
  <si>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</si>
  <si>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</si>
  <si>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</si>
  <si>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</si>
  <si>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</si>
  <si>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</si>
  <si>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</si>
  <si>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</si>
  <si>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</si>
  <si>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</si>
  <si>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</si>
  <si>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</si>
  <si>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</si>
  <si>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</si>
  <si>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</si>
  <si>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</si>
  <si>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</si>
  <si>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</si>
  <si>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</si>
  <si>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</si>
  <si>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</si>
  <si>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</si>
  <si>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</si>
  <si>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</si>
  <si>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</si>
  <si>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</si>
  <si>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</si>
  <si>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</si>
  <si>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</si>
  <si>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</si>
  <si>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</si>
  <si>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</si>
  <si>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</si>
  <si>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</si>
  <si>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</si>
  <si>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</si>
  <si>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</si>
  <si>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</si>
  <si>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</si>
  <si>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</si>
  <si>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</si>
  <si>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</si>
  <si>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</si>
  <si>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</si>
  <si>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</si>
  <si>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</si>
  <si>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</si>
  <si>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</si>
  <si>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</si>
  <si>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</si>
  <si>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</si>
  <si>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</si>
  <si>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</si>
  <si>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</si>
  <si>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</si>
  <si>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</si>
  <si>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</si>
  <si>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</si>
  <si>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</si>
  <si>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</si>
  <si>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</si>
  <si>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</si>
  <si>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</si>
  <si>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</si>
  <si>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</si>
  <si>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</si>
  <si>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</si>
  <si>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</si>
  <si>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</si>
  <si>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</si>
  <si>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</si>
  <si>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</si>
  <si>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</si>
  <si>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</si>
  <si>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</si>
  <si>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</si>
  <si>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</si>
  <si>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</si>
  <si>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</si>
  <si>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</si>
  <si>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</si>
  <si>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Share-I~2018</t>
  </si>
  <si>
    <t>~FI_T: Stock~2018</t>
  </si>
  <si>
    <t>~FI_T: ACTFLO~2018</t>
  </si>
  <si>
    <t>~FI_T: AF~2018</t>
  </si>
  <si>
    <t xml:space="preserve"> Share-I~0</t>
  </si>
  <si>
    <t>OILGSL</t>
  </si>
  <si>
    <t>OILDST</t>
  </si>
  <si>
    <t>BIOETH</t>
  </si>
  <si>
    <t>BIODST</t>
  </si>
  <si>
    <t>GASLNG</t>
  </si>
  <si>
    <t>OILKER</t>
  </si>
  <si>
    <t>ELCC</t>
  </si>
  <si>
    <t>* Note: Availability factors modified (multiplied by 1.1)</t>
  </si>
  <si>
    <t>TRAGSL_BLD</t>
  </si>
  <si>
    <t>TRADST_BLD</t>
  </si>
  <si>
    <t>TRAE85_BLD</t>
  </si>
  <si>
    <t>Fuel Blending - E85</t>
  </si>
  <si>
    <t>TRAGSLE</t>
  </si>
  <si>
    <t>TRADSTB</t>
  </si>
  <si>
    <t>TRAE85</t>
  </si>
  <si>
    <t>Blended Gasoline with Ethanol</t>
  </si>
  <si>
    <t>Blended Diesel with Biodiesel</t>
  </si>
  <si>
    <t>Ethanol E85</t>
  </si>
  <si>
    <t>Litres</t>
  </si>
  <si>
    <t>Biofuels - Ethanol</t>
  </si>
  <si>
    <t>Biofuels - Diesel</t>
  </si>
  <si>
    <t>Biofuels Penetration - Ethanol</t>
  </si>
  <si>
    <t>Biofuels Penetration - Diesel</t>
  </si>
  <si>
    <t>Biofuel consumption</t>
  </si>
  <si>
    <t>Fuel Blending - Gasoline with Ethanol</t>
  </si>
  <si>
    <t>Fuel Blending - Diesel with Biodiesel</t>
  </si>
  <si>
    <t>Share-I</t>
  </si>
  <si>
    <t>TRABCNG_BLD</t>
  </si>
  <si>
    <t>Fuel Blending - CNG + BioCNG</t>
  </si>
  <si>
    <t>TRABCNG</t>
  </si>
  <si>
    <t>Blended CNG + BioCNG</t>
  </si>
  <si>
    <t>Share-I~2018</t>
  </si>
  <si>
    <t>Share-I~2020</t>
  </si>
  <si>
    <t>Share-I~2030</t>
  </si>
  <si>
    <t>Share-I~2040</t>
  </si>
  <si>
    <t>Share-I~2050</t>
  </si>
  <si>
    <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</si>
</sst>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_-* #,##0_-;\-* #,##0_-;_-* &quot;-&quot;??_-;_-@_-"/>
    <numFmt numFmtId="165" formatCode="_-* #,##0.0_-;\-* #,##0.0_-;_-* &quot;-&quot;??_-;_-@_-"/>
    <numFmt numFmtId="166" formatCode="0.0"/>
    <numFmt numFmtId="167" formatCode="0.0000"/>
    <numFmt numFmtId="168" formatCode="\Te\x\t"/>
    <numFmt numFmtId="169" formatCode="0.0%"/>
    <numFmt numFmtId="170" formatCode="0.000"/>
    <numFmt numFmtId="171" formatCode="dd/mm/yyyy;@"/>
    <numFmt numFmtId="172" formatCode="#,##0.0;[Red]\-#,##0.0"/>
    <numFmt numFmtId="173" formatCode="_-* #,##0.000_-;\-* #,##0.000_-;_-* &quot;-&quot;??_-;_-@_-"/>
    <numFmt numFmtId="174" formatCode="#,##0.0000;[Red]\-#,##0.0000"/>
  </numFmts>
  <fonts count="74">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b/>
      <sz val="1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sz val="14"/>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6"/>
      <color theme="0"/>
      <name val="Calibri"/>
      <family val="2"/>
      <scheme val="minor"/>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4"/>
      <color rgb="FFFF0000"/>
      <name val="Calibri"/>
      <family val="2"/>
      <scheme val="minor"/>
    </font>
    <font>
      <b/>
      <sz val="10"/>
      <color indexed="12"/>
      <name val="Arial"/>
      <family val="2"/>
    </font>
    <font>
      <sz val="8"/>
      <color indexed="81"/>
      <name val="Tahoma"/>
      <family val="2"/>
    </font>
    <font>
      <b/>
      <sz val="8"/>
      <color indexed="81"/>
      <name val="Tahoma"/>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b/>
      <sz val="9"/>
      <color theme="1"/>
      <name val="Times New Roman"/>
      <family val="1"/>
    </font>
    <font>
      <sz val="9"/>
      <color theme="1"/>
      <name val="Times New Roman"/>
      <family val="1"/>
    </font>
    <font>
      <b/>
      <sz val="9"/>
      <name val="Times New Roman"/>
      <family val="1"/>
    </font>
    <font>
      <sz val="9"/>
      <name val="Times New Roman"/>
      <family val="1"/>
    </font>
    <font>
      <sz val="9"/>
      <color theme="1"/>
      <name val="Calibri"/>
      <family val="2"/>
      <scheme val="minor"/>
    </font>
  </fonts>
  <fills count="41">
    <fill>
      <patternFill patternType="none"/>
    </fill>
    <fill>
      <patternFill patternType="gray125"/>
    </fill>
    <fill>
      <patternFill patternType="solid">
        <fgColor theme="7" tint="0.59999389629810485"/>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6" tint="0.79998168889431442"/>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61">
    <border>
      <left/>
      <right/>
      <top/>
      <bottom/>
      <diagonal/>
    </border>
    <border>
      <left style="medium">
        <color indexed="64"/>
      </left>
      <right style="thin">
        <color indexed="64"/>
      </right>
      <top style="thin">
        <color indexed="64"/>
      </top>
      <bottom style="medium">
        <color indexed="64"/>
      </bottom>
      <diagonal/>
    </border>
    <border>
      <left style="thin">
        <color auto="1"/>
      </left>
      <right/>
      <top/>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style="thin">
        <color auto="1"/>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medium">
        <color rgb="FFD1D4D5"/>
      </left>
      <right/>
      <top/>
      <bottom/>
      <diagonal/>
    </border>
    <border>
      <left style="thin">
        <color indexed="64"/>
      </left>
      <right/>
      <top style="thin">
        <color indexed="64"/>
      </top>
      <bottom/>
      <diagonal/>
    </border>
    <border>
      <left/>
      <right style="thin">
        <color indexed="64"/>
      </right>
      <top style="thin">
        <color indexed="64"/>
      </top>
      <bottom/>
      <diagonal/>
    </border>
    <border>
      <left/>
      <right style="medium">
        <color auto="1"/>
      </right>
      <top/>
      <bottom/>
      <diagonal/>
    </border>
    <border>
      <left/>
      <right style="medium">
        <color indexed="64"/>
      </right>
      <top/>
      <bottom style="medium">
        <color indexed="64"/>
      </bottom>
      <diagonal/>
    </border>
    <border>
      <left/>
      <right style="medium">
        <color indexed="64"/>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14" fillId="16" borderId="0" applyNumberFormat="0" applyBorder="0" applyAlignment="0" applyProtection="0"/>
    <xf numFmtId="0" fontId="24" fillId="0" borderId="0" applyNumberFormat="0" applyFill="0" applyBorder="0" applyAlignment="0" applyProtection="0"/>
    <xf numFmtId="0" fontId="1" fillId="40" borderId="0" applyNumberFormat="0" applyBorder="0" applyAlignment="0" applyProtection="0"/>
  </cellStyleXfs>
  <cellXfs count="807">
    <xf numFmtId="0" fontId="0" fillId="0" borderId="0" xfId="0"/>
    <xf numFmtId="0" fontId="0" fillId="0" borderId="0" xfId="0" applyBorder="1"/>
    <xf numFmtId="1" fontId="0" fillId="0" borderId="0" xfId="0" applyNumberFormat="1" applyBorder="1"/>
    <xf numFmtId="0" fontId="0" fillId="0" borderId="0" xfId="0" applyAlignment="1">
      <alignment horizontal="center" vertical="center"/>
    </xf>
    <xf numFmtId="9" fontId="0" fillId="0" borderId="0" xfId="2" applyFont="1" applyBorder="1"/>
    <xf numFmtId="2" fontId="0" fillId="0" borderId="0" xfId="0" applyNumberFormat="1"/>
    <xf numFmtId="166" fontId="0" fillId="0" borderId="0" xfId="0" applyNumberFormat="1"/>
    <xf numFmtId="9" fontId="0" fillId="0" borderId="0" xfId="0" applyNumberFormat="1"/>
    <xf numFmtId="43" fontId="0" fillId="0" borderId="0" xfId="0" applyNumberFormat="1"/>
    <xf numFmtId="164" fontId="0" fillId="0" borderId="0" xfId="0" applyNumberFormat="1"/>
    <xf numFmtId="167" fontId="0" fillId="0" borderId="0" xfId="0" applyNumberFormat="1"/>
    <xf numFmtId="0" fontId="0" fillId="0" borderId="0" xfId="0" applyFill="1"/>
    <xf numFmtId="3" fontId="8" fillId="0" borderId="0" xfId="0" applyNumberFormat="1" applyFont="1"/>
    <xf numFmtId="0" fontId="8" fillId="0" borderId="0" xfId="0" applyFont="1"/>
    <xf numFmtId="0" fontId="8" fillId="0" borderId="0" xfId="0" applyFont="1"/>
    <xf numFmtId="9" fontId="12" fillId="0" borderId="0" xfId="0" applyNumberFormat="1" applyFont="1"/>
    <xf numFmtId="0" fontId="0" fillId="0" borderId="5" xfId="0" applyBorder="1"/>
    <xf numFmtId="0" fontId="0" fillId="0" borderId="4" xfId="0" applyBorder="1"/>
    <xf numFmtId="9" fontId="12" fillId="0" borderId="4" xfId="0" applyNumberFormat="1" applyFont="1" applyBorder="1"/>
    <xf numFmtId="4" fontId="0" fillId="0" borderId="0" xfId="0" applyNumberFormat="1"/>
    <xf numFmtId="0" fontId="13" fillId="0" borderId="0" xfId="0" applyFont="1"/>
    <xf numFmtId="0" fontId="0" fillId="0" borderId="0" xfId="0" applyFill="1" applyBorder="1"/>
    <xf numFmtId="0" fontId="0" fillId="18" borderId="0" xfId="0" applyFill="1"/>
    <xf numFmtId="0" fontId="17" fillId="18" borderId="0" xfId="0" applyFont="1" applyFill="1"/>
    <xf numFmtId="0" fontId="0" fillId="0" borderId="0" xfId="0"/>
    <xf numFmtId="168" fontId="14" fillId="16" borderId="0" xfId="3" applyNumberFormat="1"/>
    <xf numFmtId="168" fontId="0" fillId="0" borderId="0" xfId="0" applyNumberFormat="1"/>
    <xf numFmtId="0" fontId="15" fillId="17" borderId="7" xfId="0" applyFont="1" applyFill="1" applyBorder="1" applyAlignment="1">
      <alignment vertical="center"/>
    </xf>
    <xf numFmtId="0" fontId="0" fillId="0" borderId="0" xfId="0" applyFont="1"/>
    <xf numFmtId="0" fontId="1" fillId="0" borderId="0" xfId="0" applyFont="1" applyAlignment="1">
      <alignment vertical="center"/>
    </xf>
    <xf numFmtId="0" fontId="15" fillId="19" borderId="7" xfId="0" applyFont="1" applyFill="1" applyBorder="1" applyAlignment="1">
      <alignment vertical="center"/>
    </xf>
    <xf numFmtId="0" fontId="15" fillId="19" borderId="7" xfId="0" applyFont="1" applyFill="1" applyBorder="1" applyAlignment="1">
      <alignment horizontal="center" vertical="center"/>
    </xf>
    <xf numFmtId="0" fontId="15" fillId="19" borderId="7" xfId="0" applyFont="1" applyFill="1" applyBorder="1" applyAlignment="1">
      <alignment horizontal="left" vertical="center"/>
    </xf>
    <xf numFmtId="169" fontId="0" fillId="0" borderId="0" xfId="0" applyNumberFormat="1"/>
    <xf numFmtId="169" fontId="0" fillId="0" borderId="0" xfId="2" applyNumberFormat="1" applyFont="1" applyBorder="1"/>
    <xf numFmtId="10" fontId="0" fillId="0" borderId="0" xfId="2" applyNumberFormat="1" applyFont="1"/>
    <xf numFmtId="164" fontId="0" fillId="0" borderId="0" xfId="1" applyNumberFormat="1" applyFont="1"/>
    <xf numFmtId="164" fontId="0" fillId="0" borderId="0" xfId="1" applyNumberFormat="1" applyFont="1" applyBorder="1"/>
    <xf numFmtId="170" fontId="0" fillId="0" borderId="0" xfId="0" applyNumberFormat="1"/>
    <xf numFmtId="0" fontId="0" fillId="0" borderId="0" xfId="0" applyAlignment="1">
      <alignment horizontal="right"/>
    </xf>
    <xf numFmtId="168" fontId="0" fillId="0" borderId="0" xfId="0" applyNumberFormat="1" applyAlignment="1">
      <alignment vertical="center"/>
    </xf>
    <xf numFmtId="0" fontId="15" fillId="17" borderId="39" xfId="0" applyFont="1" applyFill="1" applyBorder="1" applyAlignment="1">
      <alignment vertical="center"/>
    </xf>
    <xf numFmtId="0" fontId="0" fillId="0" borderId="0" xfId="0"/>
    <xf numFmtId="0" fontId="0" fillId="20" borderId="0" xfId="0" applyFill="1"/>
    <xf numFmtId="0" fontId="0" fillId="8" borderId="0" xfId="0" applyFont="1" applyFill="1" applyAlignment="1">
      <alignment vertical="center"/>
    </xf>
    <xf numFmtId="0" fontId="0" fillId="4" borderId="0" xfId="0" applyFont="1" applyFill="1" applyAlignment="1">
      <alignment vertical="center"/>
    </xf>
    <xf numFmtId="0" fontId="25" fillId="4" borderId="0" xfId="4" applyFont="1" applyFill="1" applyBorder="1" applyAlignment="1">
      <alignment vertical="center"/>
    </xf>
    <xf numFmtId="0" fontId="24" fillId="4" borderId="0" xfId="4" applyFont="1" applyFill="1" applyBorder="1" applyAlignment="1">
      <alignment vertical="center"/>
    </xf>
    <xf numFmtId="0" fontId="0" fillId="13" borderId="0" xfId="0" applyFont="1" applyFill="1" applyAlignment="1">
      <alignment vertical="center"/>
    </xf>
    <xf numFmtId="0" fontId="15" fillId="4" borderId="0" xfId="4" applyFont="1" applyFill="1" applyBorder="1" applyAlignment="1">
      <alignment vertical="center"/>
    </xf>
    <xf numFmtId="0" fontId="26" fillId="4" borderId="0" xfId="4" applyFont="1" applyFill="1" applyBorder="1" applyAlignment="1">
      <alignment vertical="center"/>
    </xf>
    <xf numFmtId="0" fontId="23" fillId="8" borderId="0" xfId="0" applyFont="1" applyFill="1" applyBorder="1" applyAlignment="1">
      <alignment vertical="center"/>
    </xf>
    <xf numFmtId="0" fontId="19" fillId="4" borderId="0" xfId="4" applyFont="1" applyFill="1" applyBorder="1" applyAlignment="1">
      <alignment vertical="center"/>
    </xf>
    <xf numFmtId="0" fontId="27" fillId="4" borderId="0" xfId="4" applyFont="1" applyFill="1" applyBorder="1" applyAlignment="1">
      <alignment vertical="center"/>
    </xf>
    <xf numFmtId="0" fontId="28" fillId="8" borderId="0" xfId="0" applyFont="1" applyFill="1" applyAlignment="1">
      <alignment vertical="center"/>
    </xf>
    <xf numFmtId="0" fontId="28" fillId="4" borderId="0" xfId="0" applyFont="1" applyFill="1" applyAlignment="1">
      <alignment vertical="center"/>
    </xf>
    <xf numFmtId="0" fontId="0" fillId="0" borderId="0" xfId="0" applyAlignment="1">
      <alignment vertical="center"/>
    </xf>
    <xf numFmtId="38" fontId="10" fillId="0" borderId="0" xfId="0" applyNumberFormat="1" applyFont="1" applyAlignment="1"/>
    <xf numFmtId="38" fontId="31" fillId="8" borderId="0" xfId="0" applyNumberFormat="1" applyFont="1" applyFill="1" applyAlignment="1"/>
    <xf numFmtId="38" fontId="10" fillId="0" borderId="0" xfId="0" applyNumberFormat="1" applyFont="1" applyFill="1"/>
    <xf numFmtId="38" fontId="32" fillId="8" borderId="0" xfId="0" applyNumberFormat="1" applyFont="1" applyFill="1"/>
    <xf numFmtId="38" fontId="33" fillId="8" borderId="0" xfId="0" applyNumberFormat="1" applyFont="1" applyFill="1"/>
    <xf numFmtId="38" fontId="11" fillId="0" borderId="0" xfId="0" applyNumberFormat="1" applyFont="1" applyFill="1"/>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32" fillId="8" borderId="0" xfId="0" applyNumberFormat="1" applyFont="1" applyFill="1" applyBorder="1"/>
    <xf numFmtId="38" fontId="10" fillId="0" borderId="0" xfId="0" applyNumberFormat="1" applyFont="1" applyFill="1" applyBorder="1"/>
    <xf numFmtId="38" fontId="33" fillId="8" borderId="0" xfId="0" applyNumberFormat="1" applyFont="1" applyFill="1" applyBorder="1"/>
    <xf numFmtId="38" fontId="11" fillId="0" borderId="0" xfId="0" applyNumberFormat="1" applyFont="1" applyFill="1" applyBorder="1"/>
    <xf numFmtId="38" fontId="10" fillId="0" borderId="0" xfId="0" applyNumberFormat="1" applyFont="1"/>
    <xf numFmtId="38" fontId="0" fillId="0" borderId="0" xfId="0" applyNumberFormat="1"/>
    <xf numFmtId="38" fontId="0" fillId="0" borderId="0" xfId="0" applyNumberFormat="1" applyFill="1"/>
    <xf numFmtId="38" fontId="10" fillId="0" borderId="0" xfId="0" applyNumberFormat="1" applyFont="1" applyBorder="1" applyAlignment="1">
      <alignment horizontal="left"/>
    </xf>
    <xf numFmtId="38" fontId="11" fillId="0" borderId="0" xfId="0" applyNumberFormat="1" applyFont="1" applyBorder="1" applyAlignment="1">
      <alignment horizontal="center"/>
    </xf>
    <xf numFmtId="169" fontId="11" fillId="0" borderId="0" xfId="0" applyNumberFormat="1" applyFont="1" applyFill="1" applyBorder="1" applyAlignment="1">
      <alignment horizontal="center"/>
    </xf>
    <xf numFmtId="38" fontId="11" fillId="0" borderId="0" xfId="0" applyNumberFormat="1" applyFont="1"/>
    <xf numFmtId="171" fontId="11" fillId="0" borderId="0" xfId="0" applyNumberFormat="1" applyFont="1" applyBorder="1" applyAlignment="1">
      <alignment horizontal="left"/>
    </xf>
    <xf numFmtId="171" fontId="11" fillId="13" borderId="0" xfId="0" applyNumberFormat="1" applyFont="1" applyFill="1" applyBorder="1" applyAlignment="1">
      <alignment horizontal="left"/>
    </xf>
    <xf numFmtId="171" fontId="10" fillId="12" borderId="0" xfId="0" applyNumberFormat="1" applyFont="1" applyFill="1" applyBorder="1" applyAlignment="1">
      <alignment horizontal="left"/>
    </xf>
    <xf numFmtId="171" fontId="11" fillId="0" borderId="0" xfId="0" applyNumberFormat="1" applyFont="1" applyFill="1" applyBorder="1" applyAlignment="1">
      <alignment horizontal="left"/>
    </xf>
    <xf numFmtId="171" fontId="10" fillId="13" borderId="0" xfId="0" applyNumberFormat="1" applyFont="1" applyFill="1" applyBorder="1" applyAlignment="1">
      <alignment horizontal="left"/>
    </xf>
    <xf numFmtId="38" fontId="11" fillId="13" borderId="0" xfId="0" applyNumberFormat="1" applyFont="1" applyFill="1"/>
    <xf numFmtId="38" fontId="10" fillId="0" borderId="0" xfId="0" applyNumberFormat="1" applyFont="1" applyFill="1"/>
    <xf numFmtId="38" fontId="11" fillId="0" borderId="0" xfId="0" applyNumberFormat="1" applyFont="1" applyFill="1"/>
    <xf numFmtId="40" fontId="10" fillId="0" borderId="0" xfId="0" applyNumberFormat="1" applyFont="1" applyFill="1"/>
    <xf numFmtId="0" fontId="0" fillId="0" borderId="0" xfId="0" applyFill="1"/>
    <xf numFmtId="38" fontId="11" fillId="0" borderId="0" xfId="0" applyNumberFormat="1" applyFont="1" applyBorder="1"/>
    <xf numFmtId="40" fontId="11" fillId="0" borderId="0" xfId="0" applyNumberFormat="1" applyFont="1" applyFill="1"/>
    <xf numFmtId="40" fontId="11" fillId="0" borderId="0" xfId="0" applyNumberFormat="1" applyFont="1" applyFill="1" applyBorder="1"/>
    <xf numFmtId="38" fontId="10" fillId="0" borderId="0" xfId="0" applyNumberFormat="1" applyFont="1" applyAlignment="1">
      <alignment horizontal="left"/>
    </xf>
    <xf numFmtId="38" fontId="11" fillId="0" borderId="0" xfId="0" applyNumberFormat="1" applyFont="1" applyFill="1" applyAlignment="1">
      <alignment horizontal="center"/>
    </xf>
    <xf numFmtId="38" fontId="10" fillId="0" borderId="0" xfId="0" applyNumberFormat="1" applyFont="1" applyFill="1" applyAlignment="1">
      <alignment horizontal="center"/>
    </xf>
    <xf numFmtId="38" fontId="11" fillId="0" borderId="0" xfId="0" applyNumberFormat="1" applyFont="1" applyFill="1" applyBorder="1"/>
    <xf numFmtId="0" fontId="0" fillId="0" borderId="0" xfId="0"/>
    <xf numFmtId="0" fontId="0" fillId="0" borderId="0" xfId="0" applyFont="1" applyAlignment="1">
      <alignment vertical="center"/>
    </xf>
    <xf numFmtId="0" fontId="34" fillId="27" borderId="138" xfId="0" applyFont="1" applyFill="1" applyBorder="1" applyAlignment="1">
      <alignment vertical="center"/>
    </xf>
    <xf numFmtId="0" fontId="34" fillId="27" borderId="147" xfId="0" applyFont="1" applyFill="1" applyBorder="1" applyAlignment="1">
      <alignment vertical="center"/>
    </xf>
    <xf numFmtId="0" fontId="1" fillId="0" borderId="0" xfId="0" applyFont="1"/>
    <xf numFmtId="0" fontId="16" fillId="0" borderId="108" xfId="0" applyFont="1" applyFill="1" applyBorder="1" applyAlignment="1">
      <alignment vertical="center"/>
    </xf>
    <xf numFmtId="0" fontId="16" fillId="0" borderId="23" xfId="0" applyFont="1" applyFill="1" applyBorder="1" applyAlignment="1">
      <alignment vertical="center"/>
    </xf>
    <xf numFmtId="0" fontId="16" fillId="0" borderId="140" xfId="0" applyFont="1" applyFill="1" applyBorder="1" applyAlignment="1">
      <alignment vertical="center"/>
    </xf>
    <xf numFmtId="0" fontId="2" fillId="0" borderId="0" xfId="0" applyFont="1" applyFill="1"/>
    <xf numFmtId="0" fontId="21" fillId="0" borderId="0" xfId="0" applyFont="1" applyFill="1" applyBorder="1"/>
    <xf numFmtId="0" fontId="1" fillId="0" borderId="0" xfId="0" applyFont="1" applyBorder="1"/>
    <xf numFmtId="0" fontId="34" fillId="9" borderId="109" xfId="0" applyFont="1" applyFill="1" applyBorder="1" applyAlignment="1">
      <alignment vertical="center"/>
    </xf>
    <xf numFmtId="0" fontId="34" fillId="9" borderId="141" xfId="0" applyFont="1" applyFill="1" applyBorder="1" applyAlignment="1">
      <alignment vertical="center"/>
    </xf>
    <xf numFmtId="0" fontId="2" fillId="0" borderId="108" xfId="0" applyFont="1" applyBorder="1"/>
    <xf numFmtId="0" fontId="2" fillId="0" borderId="23" xfId="0" applyFont="1" applyBorder="1"/>
    <xf numFmtId="0" fontId="1" fillId="0" borderId="3" xfId="0" applyFont="1" applyBorder="1"/>
    <xf numFmtId="0" fontId="2" fillId="0" borderId="140" xfId="0" applyFont="1" applyBorder="1"/>
    <xf numFmtId="0" fontId="1" fillId="0" borderId="143" xfId="0" applyFont="1" applyBorder="1" applyAlignment="1">
      <alignment horizontal="left"/>
    </xf>
    <xf numFmtId="0" fontId="0" fillId="0" borderId="141" xfId="0" applyFont="1" applyBorder="1"/>
    <xf numFmtId="0" fontId="1" fillId="0" borderId="108" xfId="0" applyFont="1" applyFill="1" applyBorder="1"/>
    <xf numFmtId="0" fontId="21" fillId="18" borderId="23" xfId="0" applyFont="1" applyFill="1" applyBorder="1"/>
    <xf numFmtId="0" fontId="21" fillId="29" borderId="23" xfId="0" applyFont="1" applyFill="1" applyBorder="1"/>
    <xf numFmtId="0" fontId="21" fillId="28" borderId="23" xfId="0" applyFont="1" applyFill="1" applyBorder="1"/>
    <xf numFmtId="0" fontId="21" fillId="15" borderId="23" xfId="0" applyFont="1" applyFill="1" applyBorder="1"/>
    <xf numFmtId="0" fontId="21" fillId="31" borderId="23" xfId="0" applyFont="1" applyFill="1" applyBorder="1"/>
    <xf numFmtId="0" fontId="21" fillId="30" borderId="140" xfId="0" applyFont="1" applyFill="1" applyBorder="1"/>
    <xf numFmtId="0" fontId="0" fillId="0" borderId="108" xfId="0" applyFont="1" applyBorder="1"/>
    <xf numFmtId="0" fontId="0" fillId="0" borderId="23" xfId="0" applyFont="1" applyBorder="1"/>
    <xf numFmtId="0" fontId="0" fillId="0" borderId="140" xfId="0" applyFont="1" applyBorder="1"/>
    <xf numFmtId="0" fontId="15" fillId="0" borderId="109" xfId="0" applyFont="1" applyFill="1" applyBorder="1" applyAlignment="1">
      <alignment vertical="center"/>
    </xf>
    <xf numFmtId="0" fontId="15" fillId="0" borderId="141" xfId="0" applyFont="1" applyFill="1" applyBorder="1" applyAlignment="1">
      <alignment vertical="center"/>
    </xf>
    <xf numFmtId="0" fontId="16" fillId="0" borderId="141" xfId="0" applyFont="1" applyFill="1" applyBorder="1" applyAlignment="1">
      <alignment vertical="center"/>
    </xf>
    <xf numFmtId="0" fontId="16" fillId="0" borderId="3" xfId="0" applyFont="1" applyFill="1" applyBorder="1" applyAlignment="1">
      <alignment vertical="center"/>
    </xf>
    <xf numFmtId="0" fontId="16" fillId="0" borderId="143" xfId="0" applyFont="1" applyFill="1" applyBorder="1" applyAlignment="1">
      <alignment vertical="center"/>
    </xf>
    <xf numFmtId="0" fontId="35" fillId="0" borderId="0" xfId="0" applyFont="1"/>
    <xf numFmtId="0" fontId="19" fillId="0" borderId="0" xfId="0" applyFont="1"/>
    <xf numFmtId="0" fontId="0" fillId="0" borderId="144" xfId="0" applyFont="1" applyBorder="1"/>
    <xf numFmtId="0" fontId="2" fillId="25" borderId="144" xfId="0" applyFont="1" applyFill="1" applyBorder="1" applyAlignment="1" applyProtection="1">
      <alignment horizontal="right" vertical="center"/>
      <protection locked="0"/>
    </xf>
    <xf numFmtId="0" fontId="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left" vertical="center"/>
      <protection locked="0"/>
    </xf>
    <xf numFmtId="0" fontId="2" fillId="0" borderId="0" xfId="0" applyFont="1"/>
    <xf numFmtId="3" fontId="0" fillId="0" borderId="0" xfId="0" applyNumberFormat="1"/>
    <xf numFmtId="1" fontId="0" fillId="0" borderId="0" xfId="0" applyNumberFormat="1"/>
    <xf numFmtId="0" fontId="2" fillId="0" borderId="144" xfId="0" applyFont="1" applyBorder="1"/>
    <xf numFmtId="0" fontId="8" fillId="0" borderId="0" xfId="0" applyFont="1" applyBorder="1" applyAlignment="1">
      <alignment horizontal="right"/>
    </xf>
    <xf numFmtId="38" fontId="10" fillId="0" borderId="52" xfId="0" applyNumberFormat="1" applyFont="1" applyFill="1" applyBorder="1" applyAlignment="1">
      <alignment horizontal="center"/>
    </xf>
    <xf numFmtId="38" fontId="10" fillId="0" borderId="60" xfId="0" applyNumberFormat="1" applyFont="1" applyFill="1" applyBorder="1" applyAlignment="1">
      <alignment horizontal="center"/>
    </xf>
    <xf numFmtId="38" fontId="10" fillId="0" borderId="29" xfId="0" applyNumberFormat="1" applyFont="1" applyBorder="1" applyAlignment="1">
      <alignment horizontal="left" vertical="top" wrapText="1"/>
    </xf>
    <xf numFmtId="38" fontId="10" fillId="0" borderId="30" xfId="0" applyNumberFormat="1" applyFont="1" applyBorder="1" applyAlignment="1">
      <alignment vertical="top"/>
    </xf>
    <xf numFmtId="38" fontId="10" fillId="0" borderId="9" xfId="0" applyNumberFormat="1" applyFont="1" applyBorder="1" applyAlignment="1">
      <alignment horizontal="left" vertical="top" wrapText="1"/>
    </xf>
    <xf numFmtId="38" fontId="10" fillId="0" borderId="10" xfId="0" applyNumberFormat="1" applyFont="1" applyBorder="1" applyAlignment="1">
      <alignment vertical="top"/>
    </xf>
    <xf numFmtId="38" fontId="10" fillId="0" borderId="92" xfId="0" applyNumberFormat="1" applyFont="1" applyBorder="1" applyAlignment="1">
      <alignment vertical="top"/>
    </xf>
    <xf numFmtId="38" fontId="10" fillId="0" borderId="27" xfId="0" applyNumberFormat="1" applyFont="1" applyFill="1" applyBorder="1" applyAlignment="1">
      <alignment horizontal="center"/>
    </xf>
    <xf numFmtId="38" fontId="10" fillId="0" borderId="63" xfId="0" applyNumberFormat="1" applyFont="1" applyFill="1" applyBorder="1" applyAlignment="1">
      <alignment horizontal="center"/>
    </xf>
    <xf numFmtId="38" fontId="11" fillId="0" borderId="151" xfId="0" applyNumberFormat="1" applyFont="1" applyFill="1" applyBorder="1" applyAlignment="1">
      <alignment horizontal="center"/>
    </xf>
    <xf numFmtId="38" fontId="20" fillId="0" borderId="0" xfId="0" applyNumberFormat="1" applyFont="1" applyAlignment="1">
      <alignment horizontal="left" wrapText="1"/>
    </xf>
    <xf numFmtId="38" fontId="10" fillId="0" borderId="56" xfId="0" applyNumberFormat="1" applyFont="1" applyFill="1" applyBorder="1" applyAlignment="1">
      <alignment horizontal="center"/>
    </xf>
    <xf numFmtId="38" fontId="11" fillId="0" borderId="120" xfId="0" applyNumberFormat="1" applyFont="1" applyFill="1" applyBorder="1" applyAlignment="1">
      <alignment horizontal="center"/>
    </xf>
    <xf numFmtId="38" fontId="11" fillId="0" borderId="56" xfId="0" applyNumberFormat="1" applyFont="1" applyFill="1" applyBorder="1" applyAlignment="1">
      <alignment horizontal="center"/>
    </xf>
    <xf numFmtId="38" fontId="10" fillId="0" borderId="85" xfId="0" applyNumberFormat="1" applyFont="1" applyFill="1" applyBorder="1" applyAlignment="1">
      <alignment horizontal="center"/>
    </xf>
    <xf numFmtId="38" fontId="10" fillId="0" borderId="95" xfId="0" applyNumberFormat="1" applyFont="1" applyFill="1" applyBorder="1" applyAlignment="1">
      <alignment horizontal="center"/>
    </xf>
    <xf numFmtId="38" fontId="11" fillId="0" borderId="26" xfId="0" applyNumberFormat="1" applyFont="1" applyFill="1" applyBorder="1" applyAlignment="1">
      <alignment horizontal="center"/>
    </xf>
    <xf numFmtId="38" fontId="10" fillId="0" borderId="106" xfId="0" applyNumberFormat="1" applyFont="1" applyFill="1" applyBorder="1" applyAlignment="1">
      <alignment horizontal="center"/>
    </xf>
    <xf numFmtId="38" fontId="10" fillId="0" borderId="26" xfId="0" applyNumberFormat="1" applyFont="1" applyFill="1" applyBorder="1" applyAlignment="1">
      <alignment horizontal="center"/>
    </xf>
    <xf numFmtId="38" fontId="10" fillId="0" borderId="34" xfId="0" applyNumberFormat="1" applyFont="1" applyFill="1" applyBorder="1" applyAlignment="1">
      <alignment horizontal="center"/>
    </xf>
    <xf numFmtId="38" fontId="11" fillId="0" borderId="127" xfId="0" applyNumberFormat="1" applyFont="1" applyFill="1" applyBorder="1" applyAlignment="1">
      <alignment horizontal="center"/>
    </xf>
    <xf numFmtId="38" fontId="10" fillId="0" borderId="90" xfId="0" applyNumberFormat="1" applyFont="1" applyFill="1" applyBorder="1" applyAlignment="1">
      <alignment horizontal="center"/>
    </xf>
    <xf numFmtId="38" fontId="11" fillId="0" borderId="101" xfId="0" applyNumberFormat="1" applyFont="1" applyFill="1" applyBorder="1" applyAlignment="1">
      <alignment horizontal="center"/>
    </xf>
    <xf numFmtId="38" fontId="10" fillId="0" borderId="61" xfId="0" applyNumberFormat="1" applyFont="1" applyFill="1" applyBorder="1" applyAlignment="1">
      <alignment horizontal="center"/>
    </xf>
    <xf numFmtId="38" fontId="11" fillId="0" borderId="106" xfId="0" applyNumberFormat="1" applyFont="1" applyFill="1" applyBorder="1" applyAlignment="1">
      <alignment horizontal="center"/>
    </xf>
    <xf numFmtId="38" fontId="11" fillId="0" borderId="20" xfId="0" applyNumberFormat="1" applyFont="1" applyFill="1" applyBorder="1" applyAlignment="1">
      <alignment horizontal="center"/>
    </xf>
    <xf numFmtId="38" fontId="10" fillId="0" borderId="49" xfId="0" applyNumberFormat="1" applyFont="1" applyFill="1" applyBorder="1" applyAlignment="1">
      <alignment horizontal="left"/>
    </xf>
    <xf numFmtId="38" fontId="11" fillId="0" borderId="50" xfId="0" applyNumberFormat="1" applyFont="1" applyFill="1" applyBorder="1" applyAlignment="1">
      <alignment horizontal="center"/>
    </xf>
    <xf numFmtId="38" fontId="10" fillId="0" borderId="58" xfId="0" applyNumberFormat="1" applyFont="1" applyFill="1" applyBorder="1" applyAlignment="1">
      <alignment horizontal="center"/>
    </xf>
    <xf numFmtId="38" fontId="10" fillId="0" borderId="9" xfId="0" applyNumberFormat="1" applyFont="1" applyFill="1" applyBorder="1" applyAlignment="1">
      <alignment horizontal="left"/>
    </xf>
    <xf numFmtId="38" fontId="11" fillId="0" borderId="10" xfId="0" applyNumberFormat="1" applyFont="1" applyFill="1" applyBorder="1" applyAlignment="1">
      <alignment horizontal="center"/>
    </xf>
    <xf numFmtId="38" fontId="10" fillId="0" borderId="65" xfId="0" applyNumberFormat="1" applyFont="1" applyFill="1" applyBorder="1" applyAlignment="1">
      <alignment horizontal="center"/>
    </xf>
    <xf numFmtId="38" fontId="10" fillId="0" borderId="31" xfId="0" applyNumberFormat="1" applyFont="1" applyFill="1" applyBorder="1" applyAlignment="1">
      <alignment horizontal="left"/>
    </xf>
    <xf numFmtId="38" fontId="11" fillId="0" borderId="32" xfId="0" applyNumberFormat="1" applyFont="1" applyFill="1" applyBorder="1" applyAlignment="1">
      <alignment horizontal="center"/>
    </xf>
    <xf numFmtId="38" fontId="10" fillId="0" borderId="38" xfId="0" applyNumberFormat="1" applyFont="1" applyFill="1" applyBorder="1" applyAlignment="1">
      <alignment horizontal="center"/>
    </xf>
    <xf numFmtId="38" fontId="11" fillId="0" borderId="116" xfId="0" applyNumberFormat="1" applyFont="1" applyFill="1" applyBorder="1" applyAlignment="1">
      <alignment horizontal="left"/>
    </xf>
    <xf numFmtId="38" fontId="11" fillId="0" borderId="117" xfId="0" applyNumberFormat="1" applyFont="1" applyFill="1" applyBorder="1" applyAlignment="1">
      <alignment horizontal="center"/>
    </xf>
    <xf numFmtId="38" fontId="11" fillId="0" borderId="123" xfId="0" applyNumberFormat="1" applyFont="1" applyFill="1" applyBorder="1" applyAlignment="1">
      <alignment horizontal="center"/>
    </xf>
    <xf numFmtId="38" fontId="11" fillId="0" borderId="66" xfId="0" applyNumberFormat="1" applyFont="1" applyFill="1" applyBorder="1" applyAlignment="1">
      <alignment horizontal="left"/>
    </xf>
    <xf numFmtId="38" fontId="11" fillId="0" borderId="67" xfId="0" applyNumberFormat="1" applyFont="1" applyFill="1" applyBorder="1" applyAlignment="1">
      <alignment horizontal="center"/>
    </xf>
    <xf numFmtId="38" fontId="11" fillId="0" borderId="80" xfId="0" applyNumberFormat="1" applyFont="1" applyFill="1" applyBorder="1" applyAlignment="1">
      <alignment horizontal="center"/>
    </xf>
    <xf numFmtId="38" fontId="10" fillId="0" borderId="81" xfId="0" applyNumberFormat="1" applyFont="1" applyFill="1" applyBorder="1" applyAlignment="1">
      <alignment horizontal="left"/>
    </xf>
    <xf numFmtId="38" fontId="11" fillId="0" borderId="82" xfId="0" applyNumberFormat="1" applyFont="1" applyFill="1" applyBorder="1" applyAlignment="1">
      <alignment horizontal="center"/>
    </xf>
    <xf numFmtId="38" fontId="10" fillId="0" borderId="89" xfId="0" applyNumberFormat="1" applyFont="1" applyFill="1" applyBorder="1" applyAlignment="1">
      <alignment horizontal="center"/>
    </xf>
    <xf numFmtId="38" fontId="10" fillId="0" borderId="91" xfId="0" applyNumberFormat="1" applyFont="1" applyFill="1" applyBorder="1" applyAlignment="1">
      <alignment horizontal="left"/>
    </xf>
    <xf numFmtId="38" fontId="11" fillId="0" borderId="92" xfId="0" applyNumberFormat="1" applyFont="1" applyFill="1" applyBorder="1" applyAlignment="1">
      <alignment horizontal="center"/>
    </xf>
    <xf numFmtId="38" fontId="10" fillId="0" borderId="99" xfId="0" applyNumberFormat="1" applyFont="1" applyFill="1" applyBorder="1" applyAlignment="1">
      <alignment horizontal="center"/>
    </xf>
    <xf numFmtId="38" fontId="11" fillId="0" borderId="0" xfId="0" applyNumberFormat="1" applyFont="1" applyFill="1" applyBorder="1" applyAlignment="1">
      <alignment horizontal="left"/>
    </xf>
    <xf numFmtId="38" fontId="11" fillId="0" borderId="0" xfId="0" applyNumberFormat="1" applyFont="1" applyFill="1" applyBorder="1" applyAlignment="1">
      <alignment horizontal="center"/>
    </xf>
    <xf numFmtId="38" fontId="11" fillId="0" borderId="28" xfId="0" applyNumberFormat="1" applyFont="1" applyFill="1" applyBorder="1" applyAlignment="1">
      <alignment horizontal="center"/>
    </xf>
    <xf numFmtId="38" fontId="10" fillId="0" borderId="102" xfId="0" applyNumberFormat="1" applyFont="1" applyFill="1" applyBorder="1" applyAlignment="1">
      <alignment horizontal="center"/>
    </xf>
    <xf numFmtId="38" fontId="11" fillId="0" borderId="146" xfId="0" applyNumberFormat="1" applyFont="1" applyFill="1" applyBorder="1" applyAlignment="1">
      <alignment horizontal="left"/>
    </xf>
    <xf numFmtId="38" fontId="11" fillId="0" borderId="103" xfId="0" applyNumberFormat="1" applyFont="1" applyFill="1" applyBorder="1" applyAlignment="1">
      <alignment horizontal="center"/>
    </xf>
    <xf numFmtId="38" fontId="10" fillId="0" borderId="110" xfId="0" applyNumberFormat="1" applyFont="1" applyFill="1" applyBorder="1" applyAlignment="1">
      <alignment horizontal="center"/>
    </xf>
    <xf numFmtId="38" fontId="10" fillId="0" borderId="0" xfId="0" applyNumberFormat="1" applyFont="1" applyFill="1" applyBorder="1" applyAlignment="1">
      <alignment horizontal="left"/>
    </xf>
    <xf numFmtId="38" fontId="10" fillId="0" borderId="0" xfId="0" applyNumberFormat="1" applyFont="1" applyFill="1" applyBorder="1" applyAlignment="1">
      <alignment horizontal="center"/>
    </xf>
    <xf numFmtId="38" fontId="10" fillId="0" borderId="28" xfId="0" applyNumberFormat="1" applyFont="1" applyFill="1" applyBorder="1" applyAlignment="1">
      <alignment horizontal="center"/>
    </xf>
    <xf numFmtId="38" fontId="11" fillId="0" borderId="72" xfId="0" applyNumberFormat="1" applyFont="1" applyFill="1" applyBorder="1" applyAlignment="1">
      <alignment horizontal="center"/>
    </xf>
    <xf numFmtId="38" fontId="10" fillId="0" borderId="146" xfId="0" applyNumberFormat="1" applyFont="1" applyFill="1" applyBorder="1" applyAlignment="1">
      <alignment horizontal="left"/>
    </xf>
    <xf numFmtId="38" fontId="10" fillId="0" borderId="103" xfId="0" applyNumberFormat="1" applyFont="1" applyFill="1" applyBorder="1" applyAlignment="1">
      <alignment horizontal="center"/>
    </xf>
    <xf numFmtId="38" fontId="11" fillId="0" borderId="124" xfId="0" applyNumberFormat="1" applyFont="1" applyFill="1" applyBorder="1" applyAlignment="1">
      <alignment horizontal="left"/>
    </xf>
    <xf numFmtId="38" fontId="11" fillId="0" borderId="125" xfId="0" applyNumberFormat="1" applyFont="1" applyFill="1" applyBorder="1" applyAlignment="1">
      <alignment horizontal="center"/>
    </xf>
    <xf numFmtId="38" fontId="10" fillId="0" borderId="29" xfId="0" applyNumberFormat="1" applyFont="1" applyFill="1" applyBorder="1" applyAlignment="1">
      <alignment horizontal="left" vertical="top" wrapText="1"/>
    </xf>
    <xf numFmtId="38" fontId="10" fillId="0" borderId="9" xfId="0" applyNumberFormat="1" applyFont="1" applyFill="1" applyBorder="1" applyAlignment="1">
      <alignment horizontal="left" vertical="top" wrapText="1"/>
    </xf>
    <xf numFmtId="38" fontId="10" fillId="0" borderId="10" xfId="0" applyNumberFormat="1" applyFont="1" applyFill="1" applyBorder="1" applyAlignment="1">
      <alignment vertical="top"/>
    </xf>
    <xf numFmtId="38" fontId="10" fillId="0" borderId="91" xfId="0" applyNumberFormat="1" applyFont="1" applyFill="1" applyBorder="1" applyAlignment="1">
      <alignment horizontal="left" vertical="top" wrapText="1"/>
    </xf>
    <xf numFmtId="38" fontId="10" fillId="0" borderId="19" xfId="0" applyNumberFormat="1" applyFont="1" applyFill="1" applyBorder="1" applyAlignment="1">
      <alignment horizontal="center"/>
    </xf>
    <xf numFmtId="38" fontId="11" fillId="0" borderId="40" xfId="0" applyNumberFormat="1" applyFont="1" applyFill="1" applyBorder="1" applyAlignment="1">
      <alignment horizontal="center"/>
    </xf>
    <xf numFmtId="38" fontId="10" fillId="0" borderId="81" xfId="0" applyNumberFormat="1" applyFont="1" applyFill="1" applyBorder="1" applyAlignment="1">
      <alignment horizontal="left" vertical="top" wrapText="1"/>
    </xf>
    <xf numFmtId="38" fontId="11" fillId="0" borderId="145" xfId="0" applyNumberFormat="1" applyFont="1" applyFill="1" applyBorder="1" applyAlignment="1">
      <alignment horizontal="left"/>
    </xf>
    <xf numFmtId="38" fontId="11" fillId="0" borderId="148" xfId="0" applyNumberFormat="1" applyFont="1" applyFill="1" applyBorder="1" applyAlignment="1">
      <alignment horizontal="center"/>
    </xf>
    <xf numFmtId="38" fontId="11" fillId="0" borderId="51" xfId="0" applyNumberFormat="1" applyFont="1" applyFill="1" applyBorder="1" applyAlignment="1">
      <alignment horizontal="center"/>
    </xf>
    <xf numFmtId="38" fontId="11" fillId="0" borderId="52" xfId="0" applyNumberFormat="1" applyFont="1" applyFill="1" applyBorder="1" applyAlignment="1">
      <alignment horizontal="center"/>
    </xf>
    <xf numFmtId="38" fontId="11" fillId="0" borderId="53" xfId="0" applyNumberFormat="1" applyFont="1" applyFill="1" applyBorder="1" applyAlignment="1">
      <alignment horizontal="center"/>
    </xf>
    <xf numFmtId="38" fontId="10" fillId="0" borderId="54" xfId="0" applyNumberFormat="1" applyFont="1" applyFill="1" applyBorder="1" applyAlignment="1">
      <alignment horizontal="center"/>
    </xf>
    <xf numFmtId="38" fontId="11" fillId="0" borderId="59" xfId="0" applyNumberFormat="1" applyFont="1" applyFill="1" applyBorder="1" applyAlignment="1">
      <alignment horizontal="center"/>
    </xf>
    <xf numFmtId="38" fontId="11" fillId="0" borderId="60" xfId="0" applyNumberFormat="1" applyFont="1" applyFill="1" applyBorder="1" applyAlignment="1">
      <alignment horizontal="center"/>
    </xf>
    <xf numFmtId="38" fontId="11" fillId="0" borderId="63" xfId="0" applyNumberFormat="1" applyFont="1" applyFill="1" applyBorder="1" applyAlignment="1">
      <alignment horizontal="center"/>
    </xf>
    <xf numFmtId="38" fontId="11" fillId="0" borderId="33" xfId="0" applyNumberFormat="1" applyFont="1" applyFill="1" applyBorder="1" applyAlignment="1">
      <alignment horizontal="center"/>
    </xf>
    <xf numFmtId="38" fontId="10" fillId="0" borderId="35" xfId="0" applyNumberFormat="1" applyFont="1" applyFill="1" applyBorder="1" applyAlignment="1">
      <alignment horizontal="center"/>
    </xf>
    <xf numFmtId="38" fontId="11" fillId="0" borderId="118" xfId="0" applyNumberFormat="1" applyFont="1" applyFill="1" applyBorder="1" applyAlignment="1">
      <alignment horizontal="center"/>
    </xf>
    <xf numFmtId="38" fontId="11" fillId="0" borderId="116" xfId="0" applyNumberFormat="1" applyFont="1" applyFill="1" applyBorder="1" applyAlignment="1">
      <alignment horizontal="center"/>
    </xf>
    <xf numFmtId="38" fontId="11" fillId="0" borderId="68" xfId="0" applyNumberFormat="1" applyFont="1" applyFill="1" applyBorder="1" applyAlignment="1">
      <alignment horizontal="center"/>
    </xf>
    <xf numFmtId="38" fontId="11" fillId="0" borderId="70" xfId="0" applyNumberFormat="1" applyFont="1" applyFill="1" applyBorder="1" applyAlignment="1">
      <alignment horizontal="center"/>
    </xf>
    <xf numFmtId="38" fontId="11" fillId="0" borderId="78" xfId="0" applyNumberFormat="1" applyFont="1" applyFill="1" applyBorder="1" applyAlignment="1">
      <alignment horizontal="center"/>
    </xf>
    <xf numFmtId="38" fontId="11" fillId="0" borderId="83" xfId="0" applyNumberFormat="1" applyFont="1" applyFill="1" applyBorder="1" applyAlignment="1">
      <alignment horizontal="center"/>
    </xf>
    <xf numFmtId="38" fontId="10" fillId="0" borderId="84" xfId="0" applyNumberFormat="1" applyFont="1" applyFill="1" applyBorder="1" applyAlignment="1">
      <alignment horizontal="center"/>
    </xf>
    <xf numFmtId="38" fontId="10" fillId="0" borderId="86" xfId="0" applyNumberFormat="1" applyFont="1" applyFill="1" applyBorder="1" applyAlignment="1">
      <alignment horizontal="center"/>
    </xf>
    <xf numFmtId="38" fontId="11" fillId="0" borderId="93" xfId="0" applyNumberFormat="1" applyFont="1" applyFill="1" applyBorder="1" applyAlignment="1">
      <alignment horizontal="center"/>
    </xf>
    <xf numFmtId="38" fontId="10" fillId="0" borderId="94" xfId="0" applyNumberFormat="1" applyFont="1" applyFill="1" applyBorder="1" applyAlignment="1">
      <alignment horizontal="center"/>
    </xf>
    <xf numFmtId="38" fontId="10" fillId="0" borderId="96" xfId="0" applyNumberFormat="1" applyFont="1" applyFill="1" applyBorder="1" applyAlignment="1">
      <alignment horizontal="center"/>
    </xf>
    <xf numFmtId="38" fontId="11" fillId="0" borderId="24" xfId="0" applyNumberFormat="1" applyFont="1" applyFill="1" applyBorder="1" applyAlignment="1">
      <alignment horizontal="center"/>
    </xf>
    <xf numFmtId="38" fontId="11" fillId="0" borderId="25" xfId="0" applyNumberFormat="1" applyFont="1" applyFill="1" applyBorder="1" applyAlignment="1">
      <alignment horizontal="center"/>
    </xf>
    <xf numFmtId="38" fontId="11" fillId="0" borderId="27" xfId="0" applyNumberFormat="1" applyFont="1" applyFill="1" applyBorder="1" applyAlignment="1">
      <alignment horizontal="center"/>
    </xf>
    <xf numFmtId="38" fontId="11" fillId="0" borderId="104" xfId="0" applyNumberFormat="1" applyFont="1" applyFill="1" applyBorder="1" applyAlignment="1">
      <alignment horizontal="center"/>
    </xf>
    <xf numFmtId="38" fontId="10" fillId="0" borderId="105" xfId="0" applyNumberFormat="1" applyFont="1" applyFill="1" applyBorder="1" applyAlignment="1">
      <alignment horizontal="center"/>
    </xf>
    <xf numFmtId="38" fontId="10" fillId="0" borderId="107" xfId="0" applyNumberFormat="1" applyFont="1" applyFill="1" applyBorder="1" applyAlignment="1">
      <alignment horizontal="center"/>
    </xf>
    <xf numFmtId="38" fontId="11" fillId="0" borderId="111" xfId="0" applyNumberFormat="1" applyFont="1" applyFill="1" applyBorder="1" applyAlignment="1">
      <alignment horizontal="center"/>
    </xf>
    <xf numFmtId="38" fontId="11" fillId="0" borderId="112" xfId="0" applyNumberFormat="1" applyFont="1" applyFill="1" applyBorder="1" applyAlignment="1">
      <alignment horizontal="center"/>
    </xf>
    <xf numFmtId="38" fontId="11" fillId="0" borderId="85" xfId="0" applyNumberFormat="1" applyFont="1" applyFill="1" applyBorder="1" applyAlignment="1">
      <alignment horizontal="center"/>
    </xf>
    <xf numFmtId="38" fontId="11" fillId="0" borderId="3" xfId="0" applyNumberFormat="1" applyFont="1" applyFill="1" applyBorder="1" applyAlignment="1">
      <alignment horizontal="center"/>
    </xf>
    <xf numFmtId="38" fontId="11" fillId="0" borderId="113" xfId="0" applyNumberFormat="1" applyFont="1" applyFill="1" applyBorder="1" applyAlignment="1">
      <alignment horizontal="center"/>
    </xf>
    <xf numFmtId="38" fontId="11" fillId="0" borderId="114" xfId="0" applyNumberFormat="1" applyFont="1" applyFill="1" applyBorder="1" applyAlignment="1">
      <alignment horizontal="center"/>
    </xf>
    <xf numFmtId="38" fontId="11" fillId="0" borderId="119" xfId="0" applyNumberFormat="1" applyFont="1" applyFill="1" applyBorder="1" applyAlignment="1">
      <alignment horizontal="center"/>
    </xf>
    <xf numFmtId="38" fontId="10" fillId="0" borderId="104" xfId="0" applyNumberFormat="1" applyFont="1" applyFill="1" applyBorder="1" applyAlignment="1">
      <alignment horizontal="center"/>
    </xf>
    <xf numFmtId="38" fontId="11" fillId="0" borderId="126" xfId="0" applyNumberFormat="1" applyFont="1" applyFill="1" applyBorder="1" applyAlignment="1">
      <alignment horizontal="center"/>
    </xf>
    <xf numFmtId="38" fontId="11" fillId="0" borderId="130" xfId="0" applyNumberFormat="1" applyFont="1" applyFill="1" applyBorder="1" applyAlignment="1">
      <alignment horizontal="center"/>
    </xf>
    <xf numFmtId="38" fontId="11" fillId="0" borderId="128" xfId="0" applyNumberFormat="1" applyFont="1" applyFill="1" applyBorder="1" applyAlignment="1">
      <alignment horizontal="center"/>
    </xf>
    <xf numFmtId="38" fontId="11" fillId="0" borderId="132" xfId="0" applyNumberFormat="1" applyFont="1" applyFill="1" applyBorder="1" applyAlignment="1">
      <alignment horizontal="center"/>
    </xf>
    <xf numFmtId="38" fontId="10" fillId="0" borderId="134" xfId="0" applyNumberFormat="1" applyFont="1" applyFill="1" applyBorder="1" applyAlignment="1">
      <alignment horizontal="center"/>
    </xf>
    <xf numFmtId="38" fontId="10" fillId="0" borderId="133" xfId="0" applyNumberFormat="1" applyFont="1" applyFill="1" applyBorder="1" applyAlignment="1">
      <alignment horizontal="center"/>
    </xf>
    <xf numFmtId="38" fontId="11" fillId="0" borderId="11" xfId="0" applyNumberFormat="1" applyFont="1" applyFill="1" applyBorder="1" applyAlignment="1">
      <alignment horizontal="center"/>
    </xf>
    <xf numFmtId="38" fontId="10" fillId="0" borderId="13" xfId="0" applyNumberFormat="1" applyFont="1" applyFill="1" applyBorder="1" applyAlignment="1">
      <alignment horizontal="center"/>
    </xf>
    <xf numFmtId="38" fontId="10" fillId="0" borderId="14" xfId="0" applyNumberFormat="1" applyFont="1" applyFill="1" applyBorder="1" applyAlignment="1">
      <alignment horizontal="center"/>
    </xf>
    <xf numFmtId="38" fontId="11" fillId="0" borderId="41" xfId="0" applyNumberFormat="1" applyFont="1" applyFill="1" applyBorder="1" applyAlignment="1">
      <alignment horizontal="center"/>
    </xf>
    <xf numFmtId="38" fontId="11" fillId="0" borderId="136" xfId="0" applyNumberFormat="1" applyFont="1" applyFill="1" applyBorder="1" applyAlignment="1">
      <alignment horizontal="center"/>
    </xf>
    <xf numFmtId="38" fontId="11" fillId="0" borderId="84" xfId="0" applyNumberFormat="1" applyFont="1" applyFill="1" applyBorder="1" applyAlignment="1">
      <alignment horizontal="center"/>
    </xf>
    <xf numFmtId="38" fontId="11" fillId="0" borderId="94" xfId="0" applyNumberFormat="1" applyFont="1" applyFill="1" applyBorder="1" applyAlignment="1">
      <alignment horizontal="center"/>
    </xf>
    <xf numFmtId="38" fontId="11" fillId="0" borderId="95" xfId="0" applyNumberFormat="1" applyFont="1" applyFill="1" applyBorder="1" applyAlignment="1">
      <alignment horizontal="center"/>
    </xf>
    <xf numFmtId="38" fontId="11" fillId="0" borderId="137" xfId="0" applyNumberFormat="1" applyFont="1" applyFill="1" applyBorder="1" applyAlignment="1">
      <alignment horizontal="center"/>
    </xf>
    <xf numFmtId="38" fontId="11" fillId="0" borderId="105" xfId="0" applyNumberFormat="1" applyFont="1" applyFill="1" applyBorder="1" applyAlignment="1">
      <alignment horizontal="center"/>
    </xf>
    <xf numFmtId="38" fontId="11" fillId="0" borderId="107" xfId="0" applyNumberFormat="1" applyFont="1" applyFill="1" applyBorder="1" applyAlignment="1">
      <alignment horizontal="center"/>
    </xf>
    <xf numFmtId="38" fontId="11" fillId="0" borderId="122" xfId="0" applyNumberFormat="1" applyFont="1" applyFill="1" applyBorder="1" applyAlignment="1">
      <alignment horizontal="center"/>
    </xf>
    <xf numFmtId="38" fontId="10" fillId="0" borderId="100" xfId="0" applyNumberFormat="1" applyFont="1" applyFill="1" applyBorder="1" applyAlignment="1">
      <alignment horizontal="center"/>
    </xf>
    <xf numFmtId="38" fontId="11" fillId="0" borderId="55" xfId="0" applyNumberFormat="1" applyFont="1" applyFill="1" applyBorder="1" applyAlignment="1">
      <alignment horizontal="center"/>
    </xf>
    <xf numFmtId="38" fontId="10" fillId="0" borderId="53" xfId="0" applyNumberFormat="1" applyFont="1" applyFill="1" applyBorder="1" applyAlignment="1">
      <alignment horizontal="center"/>
    </xf>
    <xf numFmtId="38" fontId="11" fillId="0" borderId="62" xfId="0" applyNumberFormat="1" applyFont="1" applyFill="1" applyBorder="1" applyAlignment="1">
      <alignment horizontal="center"/>
    </xf>
    <xf numFmtId="38" fontId="11" fillId="0" borderId="36" xfId="0" applyNumberFormat="1" applyFont="1" applyFill="1" applyBorder="1" applyAlignment="1">
      <alignment horizontal="center"/>
    </xf>
    <xf numFmtId="38" fontId="10" fillId="0" borderId="33" xfId="0" applyNumberFormat="1" applyFont="1" applyFill="1" applyBorder="1" applyAlignment="1">
      <alignment horizontal="center"/>
    </xf>
    <xf numFmtId="38" fontId="11" fillId="0" borderId="121" xfId="0" applyNumberFormat="1" applyFont="1" applyFill="1" applyBorder="1" applyAlignment="1">
      <alignment horizontal="center"/>
    </xf>
    <xf numFmtId="38" fontId="11" fillId="0" borderId="69" xfId="0" applyNumberFormat="1" applyFont="1" applyFill="1" applyBorder="1" applyAlignment="1">
      <alignment horizontal="center"/>
    </xf>
    <xf numFmtId="38" fontId="11" fillId="0" borderId="87" xfId="0" applyNumberFormat="1" applyFont="1" applyFill="1" applyBorder="1" applyAlignment="1">
      <alignment horizontal="center"/>
    </xf>
    <xf numFmtId="38" fontId="11" fillId="0" borderId="97" xfId="0" applyNumberFormat="1" applyFont="1" applyFill="1" applyBorder="1" applyAlignment="1">
      <alignment horizontal="center"/>
    </xf>
    <xf numFmtId="38" fontId="11" fillId="0" borderId="23" xfId="0" applyNumberFormat="1" applyFont="1" applyFill="1" applyBorder="1" applyAlignment="1">
      <alignment horizontal="center"/>
    </xf>
    <xf numFmtId="38" fontId="11" fillId="0" borderId="108" xfId="0" applyNumberFormat="1" applyFont="1" applyFill="1" applyBorder="1" applyAlignment="1">
      <alignment horizontal="center"/>
    </xf>
    <xf numFmtId="38" fontId="10" fillId="0" borderId="81" xfId="0" applyNumberFormat="1" applyFont="1" applyFill="1" applyBorder="1" applyAlignment="1">
      <alignment horizontal="center"/>
    </xf>
    <xf numFmtId="38" fontId="10" fillId="0" borderId="31" xfId="0" applyNumberFormat="1" applyFont="1" applyFill="1" applyBorder="1" applyAlignment="1">
      <alignment horizontal="center"/>
    </xf>
    <xf numFmtId="38" fontId="10" fillId="0" borderId="108" xfId="0" applyNumberFormat="1" applyFont="1" applyFill="1" applyBorder="1" applyAlignment="1">
      <alignment horizontal="center"/>
    </xf>
    <xf numFmtId="38" fontId="11" fillId="0" borderId="129" xfId="0" applyNumberFormat="1" applyFont="1" applyFill="1" applyBorder="1" applyAlignment="1">
      <alignment horizontal="center"/>
    </xf>
    <xf numFmtId="38" fontId="11" fillId="0" borderId="18" xfId="0" applyNumberFormat="1" applyFont="1" applyFill="1" applyBorder="1" applyAlignment="1">
      <alignment horizontal="center"/>
    </xf>
    <xf numFmtId="38" fontId="11" fillId="0" borderId="15" xfId="0" applyNumberFormat="1" applyFont="1" applyFill="1" applyBorder="1" applyAlignment="1">
      <alignment horizontal="center"/>
    </xf>
    <xf numFmtId="38" fontId="10" fillId="0" borderId="12" xfId="0" applyNumberFormat="1" applyFont="1" applyFill="1" applyBorder="1" applyAlignment="1">
      <alignment horizontal="center"/>
    </xf>
    <xf numFmtId="38" fontId="11" fillId="0" borderId="49" xfId="0" applyNumberFormat="1" applyFont="1" applyFill="1" applyBorder="1" applyAlignment="1">
      <alignment horizontal="center"/>
    </xf>
    <xf numFmtId="38" fontId="10" fillId="0" borderId="57" xfId="0" applyNumberFormat="1" applyFont="1" applyFill="1" applyBorder="1" applyAlignment="1">
      <alignment horizontal="center"/>
    </xf>
    <xf numFmtId="38" fontId="11" fillId="0" borderId="9" xfId="0" applyNumberFormat="1" applyFont="1" applyFill="1" applyBorder="1" applyAlignment="1">
      <alignment horizontal="center"/>
    </xf>
    <xf numFmtId="38" fontId="10" fillId="0" borderId="64" xfId="0" applyNumberFormat="1" applyFont="1" applyFill="1" applyBorder="1" applyAlignment="1">
      <alignment horizontal="center"/>
    </xf>
    <xf numFmtId="38" fontId="11" fillId="0" borderId="31" xfId="0" applyNumberFormat="1" applyFont="1" applyFill="1" applyBorder="1" applyAlignment="1">
      <alignment horizontal="center"/>
    </xf>
    <xf numFmtId="38" fontId="10" fillId="0" borderId="37" xfId="0" applyNumberFormat="1" applyFont="1" applyFill="1" applyBorder="1" applyAlignment="1">
      <alignment horizontal="center"/>
    </xf>
    <xf numFmtId="38" fontId="11" fillId="0" borderId="66" xfId="0" applyNumberFormat="1" applyFont="1" applyFill="1" applyBorder="1" applyAlignment="1">
      <alignment horizontal="center"/>
    </xf>
    <xf numFmtId="38" fontId="11" fillId="0" borderId="79" xfId="0" applyNumberFormat="1" applyFont="1" applyFill="1" applyBorder="1" applyAlignment="1">
      <alignment horizontal="center"/>
    </xf>
    <xf numFmtId="38" fontId="11" fillId="0" borderId="81" xfId="0" applyNumberFormat="1" applyFont="1" applyFill="1" applyBorder="1" applyAlignment="1">
      <alignment horizontal="center"/>
    </xf>
    <xf numFmtId="38" fontId="10" fillId="0" borderId="88" xfId="0" applyNumberFormat="1" applyFont="1" applyFill="1" applyBorder="1" applyAlignment="1">
      <alignment horizontal="center"/>
    </xf>
    <xf numFmtId="38" fontId="11" fillId="0" borderId="91" xfId="0" applyNumberFormat="1" applyFont="1" applyFill="1" applyBorder="1" applyAlignment="1">
      <alignment horizontal="center"/>
    </xf>
    <xf numFmtId="38" fontId="10" fillId="0" borderId="98" xfId="0" applyNumberFormat="1" applyFont="1" applyFill="1" applyBorder="1" applyAlignment="1">
      <alignment horizontal="center"/>
    </xf>
    <xf numFmtId="38" fontId="11" fillId="0" borderId="100" xfId="0" applyNumberFormat="1" applyFont="1" applyFill="1" applyBorder="1" applyAlignment="1">
      <alignment horizontal="center"/>
    </xf>
    <xf numFmtId="38" fontId="11" fillId="0" borderId="146" xfId="0" applyNumberFormat="1" applyFont="1" applyFill="1" applyBorder="1" applyAlignment="1">
      <alignment horizontal="center"/>
    </xf>
    <xf numFmtId="38" fontId="10" fillId="0" borderId="109" xfId="0" applyNumberFormat="1" applyFont="1" applyFill="1" applyBorder="1" applyAlignment="1">
      <alignment horizontal="center"/>
    </xf>
    <xf numFmtId="38" fontId="10" fillId="0" borderId="101" xfId="0" applyNumberFormat="1" applyFont="1" applyFill="1" applyBorder="1" applyAlignment="1">
      <alignment horizontal="center"/>
    </xf>
    <xf numFmtId="38" fontId="11" fillId="0" borderId="139" xfId="0" applyNumberFormat="1" applyFont="1" applyFill="1" applyBorder="1" applyAlignment="1">
      <alignment horizontal="center"/>
    </xf>
    <xf numFmtId="38" fontId="10" fillId="0" borderId="146" xfId="0" applyNumberFormat="1" applyFont="1" applyFill="1" applyBorder="1" applyAlignment="1">
      <alignment horizontal="center"/>
    </xf>
    <xf numFmtId="38" fontId="11" fillId="0" borderId="124" xfId="0" applyNumberFormat="1" applyFont="1" applyFill="1" applyBorder="1" applyAlignment="1">
      <alignment horizontal="center"/>
    </xf>
    <xf numFmtId="38" fontId="11" fillId="0" borderId="131" xfId="0" applyNumberFormat="1" applyFont="1" applyFill="1" applyBorder="1" applyAlignment="1">
      <alignment horizontal="center"/>
    </xf>
    <xf numFmtId="38" fontId="11" fillId="0" borderId="29" xfId="0" applyNumberFormat="1" applyFont="1" applyFill="1" applyBorder="1" applyAlignment="1">
      <alignment horizontal="center"/>
    </xf>
    <xf numFmtId="38" fontId="10" fillId="0" borderId="135" xfId="0" applyNumberFormat="1" applyFont="1" applyFill="1" applyBorder="1" applyAlignment="1">
      <alignment horizontal="center"/>
    </xf>
    <xf numFmtId="38" fontId="11" fillId="0" borderId="16" xfId="0" applyNumberFormat="1" applyFont="1" applyFill="1" applyBorder="1" applyAlignment="1">
      <alignment horizontal="center"/>
    </xf>
    <xf numFmtId="38" fontId="10" fillId="0" borderId="17" xfId="0" applyNumberFormat="1" applyFont="1" applyFill="1" applyBorder="1" applyAlignment="1">
      <alignment horizontal="center"/>
    </xf>
    <xf numFmtId="38" fontId="11" fillId="0" borderId="145" xfId="0" applyNumberFormat="1" applyFont="1" applyFill="1" applyBorder="1" applyAlignment="1">
      <alignment horizontal="center"/>
    </xf>
    <xf numFmtId="38" fontId="11" fillId="0" borderId="138" xfId="0" applyNumberFormat="1" applyFont="1" applyFill="1" applyBorder="1" applyAlignment="1">
      <alignment horizontal="center"/>
    </xf>
    <xf numFmtId="38" fontId="11" fillId="0" borderId="109" xfId="0" applyNumberFormat="1" applyFont="1" applyFill="1" applyBorder="1" applyAlignment="1">
      <alignment horizontal="center"/>
    </xf>
    <xf numFmtId="38" fontId="10" fillId="0" borderId="18" xfId="0" applyNumberFormat="1" applyFont="1" applyFill="1" applyBorder="1" applyAlignment="1">
      <alignment horizontal="center"/>
    </xf>
    <xf numFmtId="38" fontId="10" fillId="0" borderId="55" xfId="0" applyNumberFormat="1" applyFont="1" applyFill="1" applyBorder="1" applyAlignment="1">
      <alignment horizontal="center"/>
    </xf>
    <xf numFmtId="38" fontId="10" fillId="0" borderId="62" xfId="0" applyNumberFormat="1" applyFont="1" applyFill="1" applyBorder="1" applyAlignment="1">
      <alignment horizontal="center"/>
    </xf>
    <xf numFmtId="38" fontId="10" fillId="0" borderId="36" xfId="0" applyNumberFormat="1" applyFont="1" applyFill="1" applyBorder="1" applyAlignment="1">
      <alignment horizontal="center"/>
    </xf>
    <xf numFmtId="38" fontId="10" fillId="0" borderId="87" xfId="0" applyNumberFormat="1" applyFont="1" applyFill="1" applyBorder="1" applyAlignment="1">
      <alignment horizontal="center"/>
    </xf>
    <xf numFmtId="38" fontId="10" fillId="0" borderId="97" xfId="0" applyNumberFormat="1" applyFont="1" applyFill="1" applyBorder="1" applyAlignment="1">
      <alignment horizontal="center"/>
    </xf>
    <xf numFmtId="38" fontId="10" fillId="0" borderId="25" xfId="0" applyNumberFormat="1" applyFont="1" applyFill="1" applyBorder="1" applyAlignment="1">
      <alignment horizontal="center"/>
    </xf>
    <xf numFmtId="38" fontId="11" fillId="0" borderId="71" xfId="0" applyNumberFormat="1" applyFont="1" applyFill="1" applyBorder="1" applyAlignment="1">
      <alignment horizontal="center"/>
    </xf>
    <xf numFmtId="38" fontId="11" fillId="0" borderId="39" xfId="0" applyNumberFormat="1" applyFont="1" applyFill="1" applyBorder="1" applyAlignment="1">
      <alignment horizontal="left"/>
    </xf>
    <xf numFmtId="38" fontId="11" fillId="0" borderId="73" xfId="0" applyNumberFormat="1" applyFont="1" applyFill="1" applyBorder="1" applyAlignment="1">
      <alignment horizontal="center"/>
    </xf>
    <xf numFmtId="38" fontId="11" fillId="0" borderId="1" xfId="0" applyNumberFormat="1" applyFont="1" applyFill="1" applyBorder="1" applyAlignment="1">
      <alignment horizontal="center"/>
    </xf>
    <xf numFmtId="38" fontId="11" fillId="0" borderId="39" xfId="0" applyNumberFormat="1" applyFont="1" applyFill="1" applyBorder="1" applyAlignment="1">
      <alignment horizontal="center"/>
    </xf>
    <xf numFmtId="38" fontId="11" fillId="0" borderId="74" xfId="0" applyNumberFormat="1" applyFont="1" applyFill="1" applyBorder="1" applyAlignment="1">
      <alignment horizontal="center"/>
    </xf>
    <xf numFmtId="38" fontId="11" fillId="0" borderId="75" xfId="0" applyNumberFormat="1" applyFont="1" applyFill="1" applyBorder="1" applyAlignment="1">
      <alignment horizontal="center"/>
    </xf>
    <xf numFmtId="38" fontId="11" fillId="0" borderId="43" xfId="0" applyNumberFormat="1" applyFont="1" applyFill="1" applyBorder="1" applyAlignment="1">
      <alignment horizontal="center"/>
    </xf>
    <xf numFmtId="38" fontId="11" fillId="0" borderId="77" xfId="0" applyNumberFormat="1" applyFont="1" applyFill="1" applyBorder="1" applyAlignment="1">
      <alignment horizontal="center"/>
    </xf>
    <xf numFmtId="38" fontId="10" fillId="0" borderId="115" xfId="0" applyNumberFormat="1" applyFont="1" applyFill="1" applyBorder="1" applyAlignment="1">
      <alignment horizontal="center"/>
    </xf>
    <xf numFmtId="38" fontId="10" fillId="0" borderId="23" xfId="0" applyNumberFormat="1" applyFont="1" applyFill="1" applyBorder="1" applyAlignment="1">
      <alignment horizontal="center"/>
    </xf>
    <xf numFmtId="38" fontId="11" fillId="0" borderId="61" xfId="0" applyNumberFormat="1" applyFont="1" applyFill="1" applyBorder="1" applyAlignment="1">
      <alignment horizontal="center"/>
    </xf>
    <xf numFmtId="38" fontId="10" fillId="0" borderId="43" xfId="0" applyNumberFormat="1" applyFont="1" applyFill="1" applyBorder="1" applyAlignment="1">
      <alignment horizontal="center"/>
    </xf>
    <xf numFmtId="38" fontId="11" fillId="0" borderId="44" xfId="0" applyNumberFormat="1" applyFont="1" applyFill="1" applyBorder="1" applyAlignment="1">
      <alignment horizontal="center" textRotation="90" wrapText="1"/>
    </xf>
    <xf numFmtId="38" fontId="11" fillId="0" borderId="45" xfId="0" applyNumberFormat="1" applyFont="1" applyFill="1" applyBorder="1" applyAlignment="1">
      <alignment horizontal="center" textRotation="90" wrapText="1"/>
    </xf>
    <xf numFmtId="38" fontId="11" fillId="0" borderId="21" xfId="0" applyNumberFormat="1" applyFont="1" applyFill="1" applyBorder="1" applyAlignment="1">
      <alignment horizontal="center" textRotation="90" wrapText="1"/>
    </xf>
    <xf numFmtId="38" fontId="11" fillId="0" borderId="22" xfId="0" applyNumberFormat="1" applyFont="1" applyFill="1" applyBorder="1" applyAlignment="1">
      <alignment horizontal="center" textRotation="90" wrapText="1"/>
    </xf>
    <xf numFmtId="38" fontId="11" fillId="0" borderId="46" xfId="0" applyNumberFormat="1" applyFont="1" applyFill="1" applyBorder="1" applyAlignment="1">
      <alignment horizontal="center" textRotation="90" wrapText="1"/>
    </xf>
    <xf numFmtId="38" fontId="11" fillId="0" borderId="42" xfId="0" applyNumberFormat="1" applyFont="1" applyFill="1" applyBorder="1" applyAlignment="1">
      <alignment horizontal="center" textRotation="90" wrapText="1"/>
    </xf>
    <xf numFmtId="38" fontId="11" fillId="0" borderId="47" xfId="0" applyNumberFormat="1" applyFont="1" applyFill="1" applyBorder="1" applyAlignment="1">
      <alignment horizontal="center" textRotation="90" wrapText="1"/>
    </xf>
    <xf numFmtId="38" fontId="11" fillId="0" borderId="48" xfId="0" applyNumberFormat="1" applyFont="1" applyFill="1" applyBorder="1" applyAlignment="1">
      <alignment horizontal="center" textRotation="90" wrapText="1"/>
    </xf>
    <xf numFmtId="38" fontId="10" fillId="0" borderId="10" xfId="0" applyNumberFormat="1" applyFont="1" applyBorder="1" applyAlignment="1">
      <alignment horizontal="left" vertical="top"/>
    </xf>
    <xf numFmtId="38" fontId="10" fillId="19" borderId="9" xfId="0" applyNumberFormat="1" applyFont="1" applyFill="1" applyBorder="1" applyAlignment="1">
      <alignment horizontal="left" vertical="top" wrapText="1"/>
    </xf>
    <xf numFmtId="38" fontId="10" fillId="19" borderId="91" xfId="0" applyNumberFormat="1" applyFont="1" applyFill="1" applyBorder="1" applyAlignment="1">
      <alignment horizontal="left" vertical="top" wrapText="1"/>
    </xf>
    <xf numFmtId="38" fontId="11" fillId="0" borderId="76" xfId="0" applyNumberFormat="1" applyFont="1" applyFill="1" applyBorder="1" applyAlignment="1">
      <alignment horizontal="center"/>
    </xf>
    <xf numFmtId="38" fontId="10" fillId="0" borderId="9" xfId="0" applyNumberFormat="1" applyFont="1" applyFill="1" applyBorder="1" applyAlignment="1">
      <alignment horizontal="center"/>
    </xf>
    <xf numFmtId="38" fontId="10" fillId="0" borderId="91" xfId="0" applyNumberFormat="1" applyFont="1" applyFill="1" applyBorder="1" applyAlignment="1">
      <alignment horizontal="center"/>
    </xf>
    <xf numFmtId="38" fontId="10" fillId="0" borderId="29" xfId="0" applyNumberFormat="1" applyFont="1" applyFill="1" applyBorder="1" applyAlignment="1">
      <alignment horizontal="center"/>
    </xf>
    <xf numFmtId="1" fontId="10" fillId="0" borderId="62" xfId="0" applyNumberFormat="1" applyFont="1" applyFill="1" applyBorder="1" applyAlignment="1">
      <alignment horizontal="center"/>
    </xf>
    <xf numFmtId="38" fontId="11" fillId="0" borderId="20" xfId="0" applyNumberFormat="1" applyFont="1" applyBorder="1" applyAlignment="1">
      <alignment horizontal="center" wrapText="1"/>
    </xf>
    <xf numFmtId="38" fontId="11" fillId="0" borderId="91" xfId="0" applyNumberFormat="1" applyFont="1" applyFill="1" applyBorder="1" applyAlignment="1">
      <alignment horizontal="left" vertical="top" wrapText="1"/>
    </xf>
    <xf numFmtId="38" fontId="11" fillId="12" borderId="18" xfId="0" applyNumberFormat="1" applyFont="1" applyFill="1" applyBorder="1" applyAlignment="1">
      <alignment horizontal="center"/>
    </xf>
    <xf numFmtId="38" fontId="11" fillId="12" borderId="62" xfId="0" applyNumberFormat="1" applyFont="1" applyFill="1" applyBorder="1" applyAlignment="1">
      <alignment horizontal="center"/>
    </xf>
    <xf numFmtId="38" fontId="11" fillId="12" borderId="15" xfId="0" applyNumberFormat="1" applyFont="1" applyFill="1" applyBorder="1" applyAlignment="1">
      <alignment horizontal="center"/>
    </xf>
    <xf numFmtId="38" fontId="10" fillId="12" borderId="87" xfId="0" applyNumberFormat="1" applyFont="1" applyFill="1" applyBorder="1" applyAlignment="1">
      <alignment horizontal="center"/>
    </xf>
    <xf numFmtId="38" fontId="10" fillId="12" borderId="62" xfId="0" applyNumberFormat="1" applyFont="1" applyFill="1" applyBorder="1" applyAlignment="1">
      <alignment horizontal="center"/>
    </xf>
    <xf numFmtId="38" fontId="10" fillId="12" borderId="18" xfId="0" applyNumberFormat="1" applyFont="1" applyFill="1" applyBorder="1" applyAlignment="1">
      <alignment horizontal="center"/>
    </xf>
    <xf numFmtId="38" fontId="10" fillId="12" borderId="23" xfId="0" applyNumberFormat="1" applyFont="1" applyFill="1" applyBorder="1" applyAlignment="1">
      <alignment horizontal="center"/>
    </xf>
    <xf numFmtId="38" fontId="10" fillId="12" borderId="97" xfId="0" applyNumberFormat="1" applyFont="1" applyFill="1" applyBorder="1" applyAlignment="1">
      <alignment horizontal="center"/>
    </xf>
    <xf numFmtId="38" fontId="11" fillId="0" borderId="99" xfId="0" applyNumberFormat="1" applyFont="1" applyFill="1" applyBorder="1" applyAlignment="1">
      <alignment horizontal="center"/>
    </xf>
    <xf numFmtId="38" fontId="11" fillId="0" borderId="30" xfId="0" applyNumberFormat="1" applyFont="1" applyFill="1" applyBorder="1" applyAlignment="1">
      <alignment horizontal="center"/>
    </xf>
    <xf numFmtId="38" fontId="11" fillId="0" borderId="134" xfId="0" applyNumberFormat="1" applyFont="1" applyFill="1" applyBorder="1" applyAlignment="1">
      <alignment horizontal="center"/>
    </xf>
    <xf numFmtId="38" fontId="11" fillId="0" borderId="90" xfId="0" applyNumberFormat="1" applyFont="1" applyFill="1" applyBorder="1" applyAlignment="1">
      <alignment horizontal="center"/>
    </xf>
    <xf numFmtId="9" fontId="0" fillId="0" borderId="0" xfId="2" applyFont="1"/>
    <xf numFmtId="38" fontId="10" fillId="32" borderId="53" xfId="0" applyNumberFormat="1" applyFont="1" applyFill="1" applyBorder="1" applyAlignment="1">
      <alignment horizontal="center"/>
    </xf>
    <xf numFmtId="38" fontId="10" fillId="32" borderId="63" xfId="0" applyNumberFormat="1" applyFont="1" applyFill="1" applyBorder="1" applyAlignment="1">
      <alignment horizontal="center"/>
    </xf>
    <xf numFmtId="38" fontId="10" fillId="32" borderId="33" xfId="0" applyNumberFormat="1" applyFont="1" applyFill="1" applyBorder="1" applyAlignment="1">
      <alignment horizontal="center"/>
    </xf>
    <xf numFmtId="38" fontId="11" fillId="32" borderId="56" xfId="0" applyNumberFormat="1" applyFont="1" applyFill="1" applyBorder="1" applyAlignment="1">
      <alignment horizontal="center"/>
    </xf>
    <xf numFmtId="38" fontId="11" fillId="32" borderId="74" xfId="0" applyNumberFormat="1" applyFont="1" applyFill="1" applyBorder="1" applyAlignment="1">
      <alignment horizontal="center"/>
    </xf>
    <xf numFmtId="38" fontId="10" fillId="32" borderId="85" xfId="0" applyNumberFormat="1" applyFont="1" applyFill="1" applyBorder="1" applyAlignment="1">
      <alignment horizontal="center"/>
    </xf>
    <xf numFmtId="38" fontId="10" fillId="32" borderId="95" xfId="0" applyNumberFormat="1" applyFont="1" applyFill="1" applyBorder="1" applyAlignment="1">
      <alignment horizontal="center"/>
    </xf>
    <xf numFmtId="38" fontId="11" fillId="32" borderId="26" xfId="0" applyNumberFormat="1" applyFont="1" applyFill="1" applyBorder="1" applyAlignment="1">
      <alignment horizontal="center"/>
    </xf>
    <xf numFmtId="38" fontId="10" fillId="0" borderId="0" xfId="0" applyNumberFormat="1" applyFont="1" applyFill="1" applyBorder="1"/>
    <xf numFmtId="38" fontId="10" fillId="32" borderId="106" xfId="0" applyNumberFormat="1" applyFont="1" applyFill="1" applyBorder="1" applyAlignment="1">
      <alignment horizontal="center"/>
    </xf>
    <xf numFmtId="38" fontId="10" fillId="32" borderId="26" xfId="0" applyNumberFormat="1" applyFont="1" applyFill="1" applyBorder="1" applyAlignment="1">
      <alignment horizontal="center"/>
    </xf>
    <xf numFmtId="38" fontId="10" fillId="32" borderId="34" xfId="0" applyNumberFormat="1" applyFont="1" applyFill="1" applyBorder="1" applyAlignment="1">
      <alignment horizontal="center"/>
    </xf>
    <xf numFmtId="38" fontId="11" fillId="32" borderId="120" xfId="0" applyNumberFormat="1" applyFont="1" applyFill="1" applyBorder="1" applyAlignment="1">
      <alignment horizontal="center"/>
    </xf>
    <xf numFmtId="38" fontId="11" fillId="32" borderId="70" xfId="0" applyNumberFormat="1" applyFont="1" applyFill="1" applyBorder="1" applyAlignment="1">
      <alignment horizontal="center"/>
    </xf>
    <xf numFmtId="38" fontId="11" fillId="32" borderId="127" xfId="0" applyNumberFormat="1" applyFont="1" applyFill="1" applyBorder="1" applyAlignment="1">
      <alignment horizontal="center"/>
    </xf>
    <xf numFmtId="38" fontId="10" fillId="32" borderId="90" xfId="0" applyNumberFormat="1" applyFont="1" applyFill="1" applyBorder="1" applyAlignment="1">
      <alignment horizontal="center"/>
    </xf>
    <xf numFmtId="38" fontId="10" fillId="32" borderId="13" xfId="0" applyNumberFormat="1" applyFont="1" applyFill="1" applyBorder="1" applyAlignment="1">
      <alignment horizontal="center"/>
    </xf>
    <xf numFmtId="38" fontId="11" fillId="32" borderId="101" xfId="0" applyNumberFormat="1" applyFont="1" applyFill="1" applyBorder="1" applyAlignment="1">
      <alignment horizontal="center"/>
    </xf>
    <xf numFmtId="38" fontId="11" fillId="32" borderId="137" xfId="0" applyNumberFormat="1" applyFont="1" applyFill="1" applyBorder="1" applyAlignment="1">
      <alignment horizontal="center"/>
    </xf>
    <xf numFmtId="38" fontId="11" fillId="32" borderId="106" xfId="0" applyNumberFormat="1" applyFont="1" applyFill="1" applyBorder="1" applyAlignment="1">
      <alignment horizontal="center"/>
    </xf>
    <xf numFmtId="38" fontId="0" fillId="0" borderId="0" xfId="0" applyNumberFormat="1"/>
    <xf numFmtId="38" fontId="0" fillId="0" borderId="0" xfId="0" applyNumberFormat="1" applyFill="1"/>
    <xf numFmtId="171" fontId="10" fillId="14" borderId="0" xfId="0" applyNumberFormat="1" applyFont="1" applyFill="1" applyBorder="1" applyAlignment="1">
      <alignment horizontal="left"/>
    </xf>
    <xf numFmtId="38" fontId="10" fillId="32" borderId="0" xfId="0" applyNumberFormat="1" applyFont="1" applyFill="1" applyAlignment="1">
      <alignment horizontal="left"/>
    </xf>
    <xf numFmtId="38" fontId="0" fillId="13" borderId="0" xfId="0" applyNumberFormat="1" applyFill="1"/>
    <xf numFmtId="38" fontId="10" fillId="0" borderId="0" xfId="0" applyNumberFormat="1" applyFont="1" applyAlignment="1">
      <alignment horizontal="left"/>
    </xf>
    <xf numFmtId="38" fontId="10" fillId="0" borderId="0" xfId="0" applyNumberFormat="1" applyFont="1"/>
    <xf numFmtId="0" fontId="0" fillId="0" borderId="151" xfId="0" applyBorder="1"/>
    <xf numFmtId="0" fontId="0" fillId="0" borderId="151" xfId="0" applyBorder="1" applyAlignment="1">
      <alignment horizontal="center" vertical="center"/>
    </xf>
    <xf numFmtId="0" fontId="2" fillId="0" borderId="151" xfId="0" applyFont="1" applyBorder="1" applyAlignment="1">
      <alignment horizontal="center" vertical="center"/>
    </xf>
    <xf numFmtId="169" fontId="0" fillId="0" borderId="0" xfId="2" applyNumberFormat="1" applyFont="1"/>
    <xf numFmtId="0" fontId="24" fillId="0" borderId="0" xfId="4"/>
    <xf numFmtId="0" fontId="0" fillId="0" borderId="3" xfId="0" applyFont="1" applyBorder="1"/>
    <xf numFmtId="0" fontId="0" fillId="0" borderId="0" xfId="0"/>
    <xf numFmtId="0" fontId="0" fillId="0" borderId="144" xfId="0" applyBorder="1"/>
    <xf numFmtId="0" fontId="0" fillId="0" borderId="144" xfId="0" applyBorder="1"/>
    <xf numFmtId="0" fontId="0" fillId="0" borderId="0" xfId="0"/>
    <xf numFmtId="9" fontId="0" fillId="0" borderId="0" xfId="2" applyNumberFormat="1" applyFont="1"/>
    <xf numFmtId="164" fontId="0" fillId="0" borderId="0" xfId="0" applyNumberFormat="1" applyAlignment="1">
      <alignment horizontal="right"/>
    </xf>
    <xf numFmtId="169" fontId="0" fillId="0" borderId="144" xfId="2" applyNumberFormat="1" applyFont="1" applyBorder="1"/>
    <xf numFmtId="165" fontId="0" fillId="0" borderId="0" xfId="0" applyNumberFormat="1"/>
    <xf numFmtId="164" fontId="2" fillId="0" borderId="144" xfId="1" applyNumberFormat="1" applyFont="1" applyBorder="1"/>
    <xf numFmtId="164" fontId="2" fillId="0" borderId="144" xfId="0" applyNumberFormat="1" applyFont="1" applyBorder="1"/>
    <xf numFmtId="0" fontId="28" fillId="0" borderId="0" xfId="0" applyFont="1"/>
    <xf numFmtId="164" fontId="0" fillId="0" borderId="0" xfId="0" applyNumberFormat="1" applyBorder="1"/>
    <xf numFmtId="9" fontId="0" fillId="0" borderId="144" xfId="2" applyFont="1" applyBorder="1"/>
    <xf numFmtId="9" fontId="0" fillId="0" borderId="0" xfId="2" applyNumberFormat="1" applyFont="1" applyBorder="1"/>
    <xf numFmtId="9" fontId="0" fillId="0" borderId="144" xfId="2" applyNumberFormat="1" applyFont="1" applyBorder="1"/>
    <xf numFmtId="0" fontId="0" fillId="0" borderId="0" xfId="0" applyNumberFormat="1" applyAlignment="1">
      <alignment horizontal="left" vertical="center"/>
    </xf>
    <xf numFmtId="9" fontId="0" fillId="0" borderId="144" xfId="0" applyNumberFormat="1" applyBorder="1"/>
    <xf numFmtId="0" fontId="2" fillId="0" borderId="0" xfId="0" applyFont="1" applyFill="1" applyBorder="1" applyAlignment="1" applyProtection="1">
      <alignment horizontal="left" vertical="center"/>
      <protection locked="0"/>
    </xf>
    <xf numFmtId="0" fontId="2" fillId="25" borderId="0" xfId="0" applyFont="1" applyFill="1" applyBorder="1" applyAlignment="1" applyProtection="1">
      <alignment horizontal="right" vertical="center"/>
      <protection locked="0"/>
    </xf>
    <xf numFmtId="0" fontId="2" fillId="0" borderId="144" xfId="0" applyFont="1" applyBorder="1" applyAlignment="1">
      <alignment horizontal="center"/>
    </xf>
    <xf numFmtId="0" fontId="0" fillId="0" borderId="0" xfId="0" applyAlignment="1">
      <alignment horizontal="left"/>
    </xf>
    <xf numFmtId="10" fontId="0" fillId="0" borderId="151" xfId="2" applyNumberFormat="1" applyFont="1" applyBorder="1" applyAlignment="1">
      <alignment horizontal="center" vertical="center"/>
    </xf>
    <xf numFmtId="2" fontId="2" fillId="0" borderId="151" xfId="0" applyNumberFormat="1" applyFont="1" applyBorder="1" applyAlignment="1">
      <alignment horizontal="center" vertical="center"/>
    </xf>
    <xf numFmtId="0" fontId="2" fillId="0" borderId="151" xfId="0" applyFont="1" applyFill="1" applyBorder="1" applyAlignment="1">
      <alignment horizontal="center" vertical="center" wrapText="1"/>
    </xf>
    <xf numFmtId="2" fontId="0" fillId="0" borderId="151" xfId="0" applyNumberFormat="1" applyBorder="1" applyAlignment="1">
      <alignment horizontal="center" vertical="center"/>
    </xf>
    <xf numFmtId="0" fontId="2" fillId="25" borderId="151" xfId="0" applyFont="1" applyFill="1" applyBorder="1" applyAlignment="1">
      <alignment horizontal="center" vertical="center"/>
    </xf>
    <xf numFmtId="0" fontId="0" fillId="0" borderId="140" xfId="0" applyFont="1" applyBorder="1" applyAlignment="1">
      <alignment horizontal="center" vertical="center"/>
    </xf>
    <xf numFmtId="0" fontId="0" fillId="0" borderId="140" xfId="0" applyFont="1" applyBorder="1" applyAlignment="1">
      <alignment horizontal="center" vertical="center" wrapText="1"/>
    </xf>
    <xf numFmtId="0" fontId="2" fillId="25" borderId="144" xfId="0" applyFont="1" applyFill="1" applyBorder="1" applyAlignment="1">
      <alignment horizontal="center" vertical="center"/>
    </xf>
    <xf numFmtId="0" fontId="2" fillId="25" borderId="150" xfId="0" applyFont="1" applyFill="1" applyBorder="1" applyAlignment="1">
      <alignment horizontal="center" vertical="center"/>
    </xf>
    <xf numFmtId="0" fontId="2" fillId="25" borderId="138" xfId="0" applyFont="1" applyFill="1" applyBorder="1" applyAlignment="1">
      <alignment horizontal="center" vertical="center"/>
    </xf>
    <xf numFmtId="0" fontId="2" fillId="25" borderId="147" xfId="0" applyFont="1" applyFill="1" applyBorder="1" applyAlignment="1">
      <alignment horizontal="center" vertical="center"/>
    </xf>
    <xf numFmtId="0" fontId="2" fillId="25" borderId="142" xfId="0" applyFont="1" applyFill="1" applyBorder="1" applyAlignment="1">
      <alignment horizontal="center" vertical="center"/>
    </xf>
    <xf numFmtId="0" fontId="2" fillId="25" borderId="143" xfId="0" applyFont="1" applyFill="1" applyBorder="1" applyAlignment="1">
      <alignment horizontal="center" vertical="center"/>
    </xf>
    <xf numFmtId="0" fontId="28" fillId="0" borderId="0" xfId="0" applyFont="1" applyFill="1"/>
    <xf numFmtId="0" fontId="2" fillId="0" borderId="0" xfId="0" applyFont="1" applyAlignment="1">
      <alignment vertical="center"/>
    </xf>
    <xf numFmtId="0" fontId="15" fillId="17" borderId="150" xfId="0" applyFont="1" applyFill="1" applyBorder="1" applyAlignment="1">
      <alignment vertical="center"/>
    </xf>
    <xf numFmtId="0" fontId="0" fillId="0" borderId="144" xfId="0" applyBorder="1" applyAlignment="1">
      <alignment vertical="center"/>
    </xf>
    <xf numFmtId="0" fontId="0" fillId="0" borderId="42" xfId="0" applyBorder="1"/>
    <xf numFmtId="0" fontId="0" fillId="0" borderId="42" xfId="0" applyBorder="1" applyAlignment="1">
      <alignment vertical="center"/>
    </xf>
    <xf numFmtId="0" fontId="38" fillId="0" borderId="0" xfId="0" applyFont="1" applyAlignment="1">
      <alignment horizontal="left"/>
    </xf>
    <xf numFmtId="4" fontId="39" fillId="0" borderId="0" xfId="0" applyNumberFormat="1" applyFont="1"/>
    <xf numFmtId="0" fontId="38" fillId="0" borderId="151" xfId="0" applyFont="1" applyBorder="1" applyAlignment="1">
      <alignment horizontal="center"/>
    </xf>
    <xf numFmtId="0" fontId="40" fillId="0" borderId="151" xfId="0" applyFont="1" applyBorder="1" applyAlignment="1">
      <alignment horizontal="center" vertical="center"/>
    </xf>
    <xf numFmtId="0" fontId="29" fillId="0" borderId="151" xfId="0" applyFont="1" applyBorder="1" applyAlignment="1">
      <alignment horizontal="center" vertical="center"/>
    </xf>
    <xf numFmtId="3" fontId="39" fillId="0" borderId="151" xfId="0" applyNumberFormat="1" applyFont="1" applyBorder="1" applyAlignment="1">
      <alignment horizontal="center" vertical="center"/>
    </xf>
    <xf numFmtId="0" fontId="39" fillId="0" borderId="151" xfId="0" applyFont="1" applyBorder="1" applyAlignment="1">
      <alignment horizontal="center"/>
    </xf>
    <xf numFmtId="3" fontId="39" fillId="0" borderId="151" xfId="0" applyNumberFormat="1" applyFont="1" applyBorder="1" applyAlignment="1">
      <alignment horizontal="center"/>
    </xf>
    <xf numFmtId="0" fontId="41" fillId="0" borderId="153" xfId="0" applyFont="1" applyBorder="1" applyAlignment="1">
      <alignment horizontal="left"/>
    </xf>
    <xf numFmtId="10" fontId="39" fillId="0" borderId="151" xfId="2" applyNumberFormat="1" applyFont="1" applyBorder="1" applyAlignment="1">
      <alignment horizontal="center" vertical="center"/>
    </xf>
    <xf numFmtId="0" fontId="42" fillId="0" borderId="0" xfId="0" applyFont="1"/>
    <xf numFmtId="0" fontId="0" fillId="0" borderId="0" xfId="0"/>
    <xf numFmtId="0" fontId="0" fillId="0" borderId="0" xfId="0"/>
    <xf numFmtId="0" fontId="0" fillId="0" borderId="151" xfId="0" applyFont="1" applyBorder="1" applyAlignment="1">
      <alignment horizontal="center" vertical="center"/>
    </xf>
    <xf numFmtId="164" fontId="2" fillId="0" borderId="0" xfId="1" applyNumberFormat="1" applyFont="1" applyBorder="1"/>
    <xf numFmtId="0" fontId="0" fillId="0" borderId="0" xfId="0" applyFont="1" applyBorder="1" applyAlignment="1">
      <alignment horizontal="left"/>
    </xf>
    <xf numFmtId="0" fontId="0" fillId="0" borderId="0" xfId="0"/>
    <xf numFmtId="0" fontId="0" fillId="0" borderId="0" xfId="0"/>
    <xf numFmtId="0" fontId="8" fillId="0" borderId="144" xfId="0" applyFont="1" applyBorder="1" applyAlignment="1"/>
    <xf numFmtId="0" fontId="8" fillId="0" borderId="0" xfId="0" applyFont="1" applyAlignment="1"/>
    <xf numFmtId="0" fontId="24" fillId="0" borderId="0" xfId="4" applyAlignment="1">
      <alignment horizontal="left" vertical="center" wrapText="1" indent="1"/>
    </xf>
    <xf numFmtId="0" fontId="8" fillId="0" borderId="0" xfId="0" applyFont="1" applyFill="1" applyBorder="1" applyAlignment="1"/>
    <xf numFmtId="0" fontId="14" fillId="16" borderId="0" xfId="3"/>
    <xf numFmtId="0" fontId="28" fillId="7" borderId="0" xfId="0" applyFont="1" applyFill="1"/>
    <xf numFmtId="0" fontId="2" fillId="7" borderId="0" xfId="0" applyFont="1" applyFill="1"/>
    <xf numFmtId="1" fontId="15" fillId="11" borderId="39" xfId="0" applyNumberFormat="1" applyFont="1" applyFill="1" applyBorder="1" applyAlignment="1">
      <alignment horizontal="right" vertical="center"/>
    </xf>
    <xf numFmtId="0" fontId="0" fillId="0" borderId="144" xfId="0" applyBorder="1" applyAlignment="1">
      <alignment horizontal="right"/>
    </xf>
    <xf numFmtId="0" fontId="0" fillId="0" borderId="144" xfId="0" applyBorder="1"/>
    <xf numFmtId="0" fontId="0" fillId="0" borderId="0" xfId="0"/>
    <xf numFmtId="1" fontId="15" fillId="11" borderId="39" xfId="0" applyNumberFormat="1" applyFont="1" applyFill="1" applyBorder="1" applyAlignment="1">
      <alignment vertical="center"/>
    </xf>
    <xf numFmtId="0" fontId="22" fillId="0" borderId="0" xfId="0" applyFont="1"/>
    <xf numFmtId="0" fontId="0" fillId="0" borderId="0" xfId="0" applyBorder="1" applyAlignment="1">
      <alignment horizontal="right"/>
    </xf>
    <xf numFmtId="164" fontId="0" fillId="0" borderId="0" xfId="1" applyNumberFormat="1" applyFont="1" applyAlignment="1">
      <alignment horizontal="right" vertical="center"/>
    </xf>
    <xf numFmtId="0" fontId="2" fillId="0" borderId="0" xfId="0" applyFont="1" applyBorder="1" applyAlignment="1">
      <alignment horizontal="left"/>
    </xf>
    <xf numFmtId="164" fontId="2" fillId="0" borderId="0" xfId="0" applyNumberFormat="1" applyFont="1" applyBorder="1"/>
    <xf numFmtId="0" fontId="0" fillId="0" borderId="0" xfId="0" applyFont="1" applyFill="1" applyBorder="1" applyAlignment="1">
      <alignment horizontal="left"/>
    </xf>
    <xf numFmtId="9" fontId="0" fillId="0" borderId="144" xfId="2" applyNumberFormat="1" applyFont="1" applyBorder="1" applyAlignment="1">
      <alignment horizontal="right"/>
    </xf>
    <xf numFmtId="0" fontId="22" fillId="0" borderId="0" xfId="0" applyFont="1" applyBorder="1" applyAlignment="1">
      <alignment horizontal="left"/>
    </xf>
    <xf numFmtId="164" fontId="0" fillId="0" borderId="0" xfId="1" applyNumberFormat="1" applyFont="1" applyAlignment="1">
      <alignment horizontal="right"/>
    </xf>
    <xf numFmtId="165" fontId="2" fillId="0" borderId="0" xfId="0" applyNumberFormat="1" applyFont="1" applyAlignment="1">
      <alignment horizontal="left" vertical="center"/>
    </xf>
    <xf numFmtId="0" fontId="1" fillId="0" borderId="0" xfId="0" applyFont="1"/>
    <xf numFmtId="170" fontId="1" fillId="0" borderId="0" xfId="0" applyNumberFormat="1" applyFont="1"/>
    <xf numFmtId="0" fontId="2" fillId="7" borderId="0" xfId="0" applyFont="1" applyFill="1" applyAlignment="1">
      <alignment wrapText="1"/>
    </xf>
    <xf numFmtId="3" fontId="0" fillId="0" borderId="0" xfId="0" applyNumberFormat="1" applyFont="1"/>
    <xf numFmtId="0" fontId="37" fillId="0" borderId="0" xfId="0" applyFont="1" applyFill="1" applyBorder="1"/>
    <xf numFmtId="0" fontId="19" fillId="0" borderId="150" xfId="0" applyFont="1" applyBorder="1"/>
    <xf numFmtId="0" fontId="19" fillId="0" borderId="5"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xf numFmtId="0" fontId="19" fillId="0" borderId="0" xfId="0" applyFont="1" applyAlignment="1">
      <alignment horizontal="left" indent="1"/>
    </xf>
    <xf numFmtId="3" fontId="19" fillId="0" borderId="0" xfId="0" applyNumberFormat="1" applyFont="1" applyFill="1" applyAlignment="1"/>
    <xf numFmtId="3" fontId="19" fillId="0" borderId="0" xfId="0" applyNumberFormat="1" applyFont="1" applyAlignment="1">
      <alignment horizontal="right"/>
    </xf>
    <xf numFmtId="3" fontId="22" fillId="0" borderId="0" xfId="0" applyNumberFormat="1" applyFont="1" applyAlignment="1">
      <alignment horizontal="right"/>
    </xf>
    <xf numFmtId="3" fontId="47" fillId="0" borderId="0" xfId="0" applyNumberFormat="1" applyFont="1" applyAlignment="1">
      <alignment horizontal="right"/>
    </xf>
    <xf numFmtId="0" fontId="19" fillId="0" borderId="0" xfId="0" applyFont="1" applyFill="1"/>
    <xf numFmtId="169" fontId="22" fillId="0" borderId="0" xfId="0" applyNumberFormat="1" applyFont="1" applyFill="1" applyAlignment="1">
      <alignment horizontal="right"/>
    </xf>
    <xf numFmtId="169" fontId="47" fillId="0" borderId="0" xfId="0" applyNumberFormat="1" applyFont="1" applyFill="1" applyAlignment="1">
      <alignment horizontal="right"/>
    </xf>
    <xf numFmtId="0" fontId="19" fillId="0" borderId="144" xfId="0" applyFont="1" applyFill="1" applyBorder="1"/>
    <xf numFmtId="3" fontId="19" fillId="0" borderId="144" xfId="0" applyNumberFormat="1" applyFont="1" applyFill="1" applyBorder="1" applyAlignment="1"/>
    <xf numFmtId="0" fontId="22" fillId="0" borderId="0" xfId="0" applyFont="1" applyAlignment="1">
      <alignment horizontal="right"/>
    </xf>
    <xf numFmtId="0" fontId="47" fillId="0" borderId="0" xfId="0" applyFont="1" applyAlignment="1">
      <alignment horizontal="right"/>
    </xf>
    <xf numFmtId="0" fontId="19" fillId="0" borderId="0" xfId="0" applyFont="1" applyBorder="1"/>
    <xf numFmtId="0" fontId="19" fillId="0" borderId="0" xfId="0" applyFont="1" applyBorder="1" applyAlignment="1"/>
    <xf numFmtId="0" fontId="19" fillId="0" borderId="0" xfId="0" applyFont="1" applyBorder="1" applyAlignment="1">
      <alignment horizontal="left"/>
    </xf>
    <xf numFmtId="0" fontId="19" fillId="0" borderId="144" xfId="0" applyFont="1" applyBorder="1"/>
    <xf numFmtId="10" fontId="19" fillId="0" borderId="144" xfId="0" applyNumberFormat="1" applyFont="1" applyBorder="1" applyAlignment="1">
      <alignment horizontal="right"/>
    </xf>
    <xf numFmtId="0" fontId="19" fillId="0" borderId="0" xfId="0" applyFont="1" applyBorder="1" applyAlignment="1">
      <alignment horizontal="left"/>
    </xf>
    <xf numFmtId="0" fontId="19" fillId="0" borderId="0" xfId="0" applyFont="1" applyFill="1" applyBorder="1" applyAlignment="1"/>
    <xf numFmtId="0" fontId="22" fillId="0" borderId="0" xfId="0" applyFont="1" applyAlignment="1">
      <alignment horizontal="left"/>
    </xf>
    <xf numFmtId="0" fontId="2" fillId="0" borderId="144" xfId="0" applyFont="1" applyBorder="1" applyAlignment="1">
      <alignment horizontal="center"/>
    </xf>
    <xf numFmtId="0" fontId="46" fillId="0" borderId="150" xfId="0" applyFont="1" applyBorder="1" applyAlignment="1">
      <alignment horizontal="right"/>
    </xf>
    <xf numFmtId="0" fontId="49" fillId="0" borderId="150" xfId="0" applyFont="1" applyBorder="1" applyAlignment="1">
      <alignment horizontal="right"/>
    </xf>
    <xf numFmtId="164" fontId="0" fillId="0" borderId="144" xfId="1" applyNumberFormat="1" applyFont="1" applyBorder="1"/>
    <xf numFmtId="167" fontId="0" fillId="0" borderId="0" xfId="2" applyNumberFormat="1" applyFont="1"/>
    <xf numFmtId="167" fontId="0" fillId="0" borderId="144" xfId="2" applyNumberFormat="1" applyFont="1" applyBorder="1"/>
    <xf numFmtId="0" fontId="0" fillId="0" borderId="146" xfId="0" applyBorder="1"/>
    <xf numFmtId="1" fontId="0" fillId="0" borderId="144" xfId="0" applyNumberFormat="1" applyBorder="1"/>
    <xf numFmtId="167" fontId="50" fillId="0" borderId="0" xfId="2" applyNumberFormat="1" applyFont="1" applyFill="1" applyBorder="1"/>
    <xf numFmtId="0" fontId="0" fillId="0" borderId="0" xfId="0" applyFont="1" applyFill="1" applyBorder="1"/>
    <xf numFmtId="0" fontId="0" fillId="3" borderId="0" xfId="0" applyFill="1"/>
    <xf numFmtId="164" fontId="50" fillId="0" borderId="0" xfId="0" applyNumberFormat="1" applyFont="1"/>
    <xf numFmtId="164" fontId="50" fillId="0" borderId="0" xfId="1" applyNumberFormat="1" applyFont="1" applyAlignment="1">
      <alignment horizontal="right" vertical="center"/>
    </xf>
    <xf numFmtId="167" fontId="50" fillId="0" borderId="144" xfId="2" applyNumberFormat="1" applyFont="1" applyFill="1" applyBorder="1"/>
    <xf numFmtId="0" fontId="0" fillId="0" borderId="0" xfId="2" applyNumberFormat="1" applyFont="1"/>
    <xf numFmtId="166" fontId="0" fillId="0" borderId="144" xfId="0" applyNumberFormat="1" applyBorder="1"/>
    <xf numFmtId="173" fontId="0" fillId="0" borderId="0" xfId="0" applyNumberFormat="1"/>
    <xf numFmtId="0" fontId="7" fillId="0" borderId="0" xfId="0" applyFont="1" applyAlignment="1">
      <alignment horizontal="left"/>
    </xf>
    <xf numFmtId="0" fontId="36" fillId="17" borderId="150" xfId="0" applyFont="1" applyFill="1" applyBorder="1" applyAlignment="1">
      <alignment vertical="center"/>
    </xf>
    <xf numFmtId="0" fontId="0" fillId="11" borderId="0" xfId="0" applyFill="1"/>
    <xf numFmtId="9" fontId="0" fillId="11" borderId="0" xfId="0" applyNumberFormat="1" applyFill="1"/>
    <xf numFmtId="0" fontId="44" fillId="11" borderId="0" xfId="0" applyFont="1" applyFill="1"/>
    <xf numFmtId="0" fontId="2" fillId="0" borderId="144" xfId="0" applyFont="1" applyBorder="1" applyAlignment="1">
      <alignment horizontal="right"/>
    </xf>
    <xf numFmtId="164" fontId="2" fillId="0" borderId="144" xfId="1" applyNumberFormat="1" applyFont="1" applyBorder="1" applyAlignment="1">
      <alignment horizontal="right"/>
    </xf>
    <xf numFmtId="0" fontId="0" fillId="35" borderId="0" xfId="0" applyFill="1"/>
    <xf numFmtId="0" fontId="2" fillId="10" borderId="144" xfId="0" applyFont="1" applyFill="1" applyBorder="1" applyAlignment="1" applyProtection="1">
      <alignment horizontal="left" vertical="center"/>
      <protection locked="0"/>
    </xf>
    <xf numFmtId="0" fontId="0" fillId="35" borderId="144" xfId="0" applyFill="1" applyBorder="1"/>
    <xf numFmtId="0" fontId="42" fillId="6" borderId="0" xfId="0" applyFont="1" applyFill="1"/>
    <xf numFmtId="0" fontId="0" fillId="33" borderId="0" xfId="0" applyFill="1"/>
    <xf numFmtId="0" fontId="2" fillId="33" borderId="144" xfId="0" applyFont="1" applyFill="1" applyBorder="1" applyAlignment="1" applyProtection="1">
      <alignment horizontal="left" vertical="center"/>
      <protection locked="0"/>
    </xf>
    <xf numFmtId="0" fontId="2" fillId="5" borderId="144" xfId="0" applyFont="1" applyFill="1" applyBorder="1" applyAlignment="1" applyProtection="1">
      <alignment horizontal="left" vertical="center"/>
      <protection locked="0"/>
    </xf>
    <xf numFmtId="0" fontId="0" fillId="5" borderId="0" xfId="0" applyFill="1"/>
    <xf numFmtId="0" fontId="2" fillId="34" borderId="144" xfId="0" applyFont="1" applyFill="1" applyBorder="1" applyAlignment="1" applyProtection="1">
      <alignment horizontal="left" vertical="center"/>
      <protection locked="0"/>
    </xf>
    <xf numFmtId="0" fontId="0" fillId="34" borderId="0" xfId="0" applyFill="1"/>
    <xf numFmtId="0" fontId="2" fillId="20" borderId="144" xfId="0" applyFont="1" applyFill="1" applyBorder="1" applyAlignment="1" applyProtection="1">
      <alignment horizontal="left" vertical="center"/>
      <protection locked="0"/>
    </xf>
    <xf numFmtId="0" fontId="2" fillId="36" borderId="144" xfId="0" applyFont="1" applyFill="1" applyBorder="1" applyAlignment="1" applyProtection="1">
      <alignment horizontal="left" vertical="center"/>
      <protection locked="0"/>
    </xf>
    <xf numFmtId="0" fontId="0" fillId="36" borderId="0" xfId="0" applyFill="1"/>
    <xf numFmtId="0" fontId="2" fillId="37" borderId="144" xfId="0" applyFont="1" applyFill="1" applyBorder="1" applyAlignment="1" applyProtection="1">
      <alignment horizontal="left" vertical="center"/>
      <protection locked="0"/>
    </xf>
    <xf numFmtId="0" fontId="0" fillId="37" borderId="0" xfId="0" applyFill="1"/>
    <xf numFmtId="0" fontId="0" fillId="4" borderId="144" xfId="0" applyFill="1" applyBorder="1"/>
    <xf numFmtId="0" fontId="2" fillId="8" borderId="144" xfId="0" applyFont="1" applyFill="1" applyBorder="1" applyAlignment="1" applyProtection="1">
      <alignment horizontal="left" vertical="center"/>
      <protection locked="0"/>
    </xf>
    <xf numFmtId="164" fontId="0" fillId="0" borderId="0" xfId="2" applyNumberFormat="1" applyFont="1"/>
    <xf numFmtId="0" fontId="8" fillId="0" borderId="144" xfId="0" quotePrefix="1" applyFont="1" applyBorder="1" applyAlignment="1">
      <alignment horizontal="right"/>
    </xf>
    <xf numFmtId="0" fontId="8" fillId="0" borderId="150" xfId="0" applyFont="1" applyBorder="1"/>
    <xf numFmtId="0" fontId="8" fillId="0" borderId="150" xfId="0" quotePrefix="1" applyFont="1" applyBorder="1"/>
    <xf numFmtId="0" fontId="8" fillId="0" borderId="150" xfId="0" applyFont="1" applyBorder="1"/>
    <xf numFmtId="0" fontId="8" fillId="0" borderId="0" xfId="0" applyFont="1" applyAlignment="1">
      <alignment horizontal="left"/>
    </xf>
    <xf numFmtId="0" fontId="7" fillId="0" borderId="0" xfId="0" applyFont="1"/>
    <xf numFmtId="3" fontId="7" fillId="0" borderId="0" xfId="0" applyNumberFormat="1" applyFont="1"/>
    <xf numFmtId="0" fontId="8" fillId="0" borderId="144" xfId="0" applyFont="1" applyBorder="1"/>
    <xf numFmtId="3" fontId="8" fillId="0" borderId="144" xfId="0" applyNumberFormat="1" applyFont="1" applyBorder="1"/>
    <xf numFmtId="0" fontId="2" fillId="25" borderId="151" xfId="0" applyFont="1" applyFill="1" applyBorder="1" applyAlignment="1">
      <alignment horizontal="center"/>
    </xf>
    <xf numFmtId="0" fontId="2" fillId="25" borderId="138" xfId="0" applyFont="1" applyFill="1" applyBorder="1" applyAlignment="1">
      <alignment horizontal="center"/>
    </xf>
    <xf numFmtId="0" fontId="2" fillId="25" borderId="150" xfId="0" applyFont="1" applyFill="1" applyBorder="1" applyAlignment="1">
      <alignment horizontal="center"/>
    </xf>
    <xf numFmtId="0" fontId="2" fillId="25" borderId="147" xfId="0" applyFont="1" applyFill="1" applyBorder="1" applyAlignment="1">
      <alignment horizontal="center"/>
    </xf>
    <xf numFmtId="169" fontId="0" fillId="0" borderId="0" xfId="2" applyNumberFormat="1" applyFont="1" applyAlignment="1">
      <alignment horizontal="center" vertical="center"/>
    </xf>
    <xf numFmtId="2" fontId="50" fillId="0" borderId="0" xfId="0" applyNumberFormat="1" applyFont="1"/>
    <xf numFmtId="0" fontId="30" fillId="0" borderId="154" xfId="0" applyFont="1" applyBorder="1" applyAlignment="1">
      <alignment horizontal="left" vertical="center" wrapText="1"/>
    </xf>
    <xf numFmtId="0" fontId="55" fillId="21" borderId="8" xfId="0" applyFont="1" applyFill="1" applyBorder="1" applyAlignment="1">
      <alignment horizontal="center" vertical="center" wrapText="1"/>
    </xf>
    <xf numFmtId="0" fontId="30" fillId="39" borderId="154" xfId="0" applyFont="1" applyFill="1" applyBorder="1" applyAlignment="1">
      <alignment horizontal="left" vertical="center" wrapText="1"/>
    </xf>
    <xf numFmtId="0" fontId="55" fillId="22" borderId="8" xfId="0" applyFont="1" applyFill="1" applyBorder="1" applyAlignment="1">
      <alignment horizontal="center" vertical="center" wrapText="1"/>
    </xf>
    <xf numFmtId="0" fontId="56" fillId="39" borderId="154" xfId="0" applyFont="1" applyFill="1" applyBorder="1" applyAlignment="1">
      <alignment horizontal="left" vertical="center" wrapText="1"/>
    </xf>
    <xf numFmtId="0" fontId="57" fillId="23" borderId="151" xfId="0" applyFont="1" applyFill="1" applyBorder="1" applyAlignment="1">
      <alignment vertical="top" wrapText="1"/>
    </xf>
    <xf numFmtId="0" fontId="55" fillId="21" borderId="151" xfId="0" applyFont="1" applyFill="1" applyBorder="1" applyAlignment="1">
      <alignment horizontal="center" vertical="center" wrapText="1"/>
    </xf>
    <xf numFmtId="0" fontId="55" fillId="22" borderId="151" xfId="0" applyFont="1" applyFill="1" applyBorder="1" applyAlignment="1">
      <alignment horizontal="center" vertical="center" wrapText="1"/>
    </xf>
    <xf numFmtId="0" fontId="13" fillId="0" borderId="151" xfId="0" applyFont="1" applyBorder="1"/>
    <xf numFmtId="0" fontId="43" fillId="0" borderId="0" xfId="0" applyFont="1"/>
    <xf numFmtId="1" fontId="22" fillId="0" borderId="0" xfId="0" applyNumberFormat="1" applyFont="1"/>
    <xf numFmtId="166" fontId="47" fillId="0" borderId="0" xfId="0" applyNumberFormat="1" applyFont="1"/>
    <xf numFmtId="170" fontId="58" fillId="0" borderId="0" xfId="0" applyNumberFormat="1" applyFont="1"/>
    <xf numFmtId="169" fontId="11" fillId="0" borderId="0" xfId="2" applyNumberFormat="1" applyFont="1" applyFill="1" applyBorder="1" applyAlignment="1">
      <alignment horizontal="center"/>
    </xf>
    <xf numFmtId="172" fontId="0" fillId="0" borderId="0" xfId="0" applyNumberFormat="1"/>
    <xf numFmtId="38" fontId="32" fillId="0" borderId="0" xfId="0" applyNumberFormat="1" applyFont="1" applyFill="1"/>
    <xf numFmtId="0" fontId="0" fillId="0" borderId="0" xfId="0" applyAlignment="1">
      <alignment horizontal="left" vertical="center"/>
    </xf>
    <xf numFmtId="0" fontId="28" fillId="7" borderId="0" xfId="0" applyFont="1" applyFill="1" applyAlignment="1">
      <alignment horizontal="right"/>
    </xf>
    <xf numFmtId="172" fontId="0" fillId="0" borderId="144" xfId="0" applyNumberFormat="1" applyBorder="1"/>
    <xf numFmtId="0" fontId="2" fillId="0" borderId="0" xfId="0" applyFont="1" applyFill="1" applyBorder="1"/>
    <xf numFmtId="166"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9" fontId="0" fillId="0" borderId="144" xfId="2" applyFont="1" applyBorder="1" applyAlignment="1">
      <alignment horizontal="right"/>
    </xf>
    <xf numFmtId="169" fontId="0" fillId="0" borderId="0" xfId="2" applyNumberFormat="1" applyFont="1" applyAlignment="1">
      <alignment horizontal="right"/>
    </xf>
    <xf numFmtId="0" fontId="2" fillId="25" borderId="144"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4" fontId="0" fillId="0" borderId="0" xfId="0" applyNumberFormat="1"/>
    <xf numFmtId="15" fontId="35" fillId="0" borderId="0" xfId="0" applyNumberFormat="1" applyFont="1"/>
    <xf numFmtId="0" fontId="2" fillId="2" borderId="156" xfId="0" applyFont="1" applyFill="1" applyBorder="1"/>
    <xf numFmtId="0" fontId="2" fillId="2" borderId="157" xfId="0" applyFont="1" applyFill="1" applyBorder="1" applyAlignment="1">
      <alignment horizontal="center"/>
    </xf>
    <xf numFmtId="0" fontId="1" fillId="24" borderId="2" xfId="0" applyFont="1" applyFill="1" applyBorder="1"/>
    <xf numFmtId="0" fontId="1" fillId="24" borderId="156" xfId="0" applyFont="1" applyFill="1" applyBorder="1"/>
    <xf numFmtId="0" fontId="42" fillId="24" borderId="142" xfId="0" applyFont="1" applyFill="1" applyBorder="1"/>
    <xf numFmtId="0" fontId="59" fillId="0" borderId="0" xfId="0" applyFont="1"/>
    <xf numFmtId="9" fontId="0" fillId="0" borderId="151" xfId="2" applyFont="1" applyBorder="1"/>
    <xf numFmtId="0" fontId="15" fillId="0" borderId="0" xfId="0" applyFont="1" applyAlignment="1">
      <alignment vertical="center"/>
    </xf>
    <xf numFmtId="2" fontId="1" fillId="24" borderId="0" xfId="0" applyNumberFormat="1" applyFont="1" applyFill="1" applyBorder="1" applyAlignment="1">
      <alignment horizontal="left" vertical="center"/>
    </xf>
    <xf numFmtId="0" fontId="1" fillId="24" borderId="152" xfId="0" applyFont="1" applyFill="1" applyBorder="1"/>
    <xf numFmtId="0" fontId="42" fillId="24" borderId="140" xfId="0" applyFont="1" applyFill="1" applyBorder="1"/>
    <xf numFmtId="0" fontId="1" fillId="24" borderId="23" xfId="0" applyFont="1" applyFill="1" applyBorder="1"/>
    <xf numFmtId="0" fontId="2" fillId="2" borderId="151" xfId="0" applyFont="1" applyFill="1" applyBorder="1" applyAlignment="1">
      <alignment horizontal="center"/>
    </xf>
    <xf numFmtId="0" fontId="2" fillId="2" borderId="152" xfId="0" applyFont="1" applyFill="1" applyBorder="1" applyAlignment="1">
      <alignment horizontal="center"/>
    </xf>
    <xf numFmtId="2" fontId="0" fillId="0" borderId="144" xfId="0" applyNumberFormat="1" applyBorder="1"/>
    <xf numFmtId="165" fontId="0" fillId="0" borderId="144" xfId="0" applyNumberFormat="1" applyBorder="1"/>
    <xf numFmtId="164" fontId="0" fillId="0" borderId="144" xfId="0" applyNumberFormat="1" applyBorder="1"/>
    <xf numFmtId="1" fontId="42" fillId="24" borderId="140" xfId="0" applyNumberFormat="1" applyFont="1" applyFill="1" applyBorder="1" applyAlignment="1">
      <alignment horizontal="center" vertical="center"/>
    </xf>
    <xf numFmtId="166" fontId="1" fillId="24" borderId="152" xfId="0" applyNumberFormat="1" applyFont="1" applyFill="1" applyBorder="1" applyAlignment="1">
      <alignment horizontal="center" vertical="center"/>
    </xf>
    <xf numFmtId="166" fontId="1" fillId="24" borderId="23" xfId="0" applyNumberFormat="1" applyFont="1" applyFill="1" applyBorder="1" applyAlignment="1">
      <alignment horizontal="center" vertical="center"/>
    </xf>
    <xf numFmtId="1" fontId="1" fillId="24" borderId="152" xfId="0" applyNumberFormat="1" applyFont="1" applyFill="1" applyBorder="1" applyAlignment="1">
      <alignment horizontal="center" vertical="center"/>
    </xf>
    <xf numFmtId="1" fontId="1" fillId="24" borderId="23" xfId="0" applyNumberFormat="1" applyFont="1" applyFill="1" applyBorder="1" applyAlignment="1">
      <alignment horizontal="center" vertical="center"/>
    </xf>
    <xf numFmtId="1" fontId="42" fillId="24" borderId="143" xfId="0" applyNumberFormat="1" applyFont="1" applyFill="1" applyBorder="1" applyAlignment="1">
      <alignment horizontal="center" vertical="center"/>
    </xf>
    <xf numFmtId="1" fontId="1" fillId="24" borderId="3" xfId="0" applyNumberFormat="1" applyFont="1" applyFill="1" applyBorder="1" applyAlignment="1">
      <alignment horizontal="center" vertical="center"/>
    </xf>
    <xf numFmtId="0" fontId="15" fillId="0" borderId="150" xfId="0" applyFont="1" applyBorder="1" applyAlignment="1">
      <alignment horizontal="right"/>
    </xf>
    <xf numFmtId="166" fontId="19" fillId="0" borderId="144" xfId="0" applyNumberFormat="1" applyFont="1" applyBorder="1" applyAlignment="1">
      <alignment horizontal="right"/>
    </xf>
    <xf numFmtId="165" fontId="2" fillId="0" borderId="0" xfId="1" applyNumberFormat="1" applyFont="1" applyBorder="1"/>
    <xf numFmtId="0" fontId="46" fillId="0" borderId="0" xfId="0" applyFont="1" applyFill="1" applyBorder="1"/>
    <xf numFmtId="164" fontId="1" fillId="0" borderId="0" xfId="1" applyNumberFormat="1" applyFont="1"/>
    <xf numFmtId="168" fontId="61" fillId="0" borderId="0" xfId="0" applyNumberFormat="1" applyFont="1"/>
    <xf numFmtId="168" fontId="4" fillId="0" borderId="0" xfId="0" applyNumberFormat="1" applyFont="1"/>
    <xf numFmtId="168" fontId="3" fillId="19" borderId="149" xfId="0" applyNumberFormat="1" applyFont="1" applyFill="1" applyBorder="1" applyAlignment="1">
      <alignment horizontal="left"/>
    </xf>
    <xf numFmtId="168" fontId="3" fillId="19" borderId="150" xfId="0" applyNumberFormat="1" applyFont="1" applyFill="1" applyBorder="1" applyAlignment="1">
      <alignment horizontal="left"/>
    </xf>
    <xf numFmtId="0" fontId="4" fillId="0" borderId="0" xfId="0" applyFont="1"/>
    <xf numFmtId="168" fontId="9" fillId="40" borderId="39" xfId="5" applyNumberFormat="1" applyFont="1" applyBorder="1" applyAlignment="1">
      <alignment horizontal="left" wrapText="1"/>
    </xf>
    <xf numFmtId="0" fontId="61" fillId="0" borderId="0" xfId="0" applyFont="1" applyAlignment="1">
      <alignment horizontal="left"/>
    </xf>
    <xf numFmtId="0" fontId="3" fillId="19" borderId="149" xfId="0" applyFont="1" applyFill="1" applyBorder="1" applyAlignment="1">
      <alignment horizontal="left"/>
    </xf>
    <xf numFmtId="0" fontId="3" fillId="19" borderId="150" xfId="0" applyFont="1" applyFill="1" applyBorder="1" applyAlignment="1">
      <alignment horizontal="left"/>
    </xf>
    <xf numFmtId="0" fontId="3" fillId="19" borderId="149" xfId="0" applyFont="1" applyFill="1" applyBorder="1" applyAlignment="1">
      <alignment horizontal="center"/>
    </xf>
    <xf numFmtId="0" fontId="9" fillId="40" borderId="39" xfId="5" applyFont="1" applyBorder="1" applyAlignment="1">
      <alignment horizontal="left" wrapText="1"/>
    </xf>
    <xf numFmtId="0" fontId="9" fillId="40" borderId="39" xfId="5" applyFont="1" applyBorder="1" applyAlignment="1">
      <alignment horizontal="center" wrapText="1"/>
    </xf>
    <xf numFmtId="168" fontId="9" fillId="40" borderId="39" xfId="5" applyNumberFormat="1" applyFont="1" applyBorder="1" applyAlignment="1">
      <alignment horizontal="center" wrapText="1"/>
    </xf>
    <xf numFmtId="168" fontId="35" fillId="0" borderId="0" xfId="0" applyNumberFormat="1" applyFont="1"/>
    <xf numFmtId="168" fontId="15" fillId="17" borderId="6" xfId="0" applyNumberFormat="1" applyFont="1" applyFill="1" applyBorder="1" applyAlignment="1">
      <alignment vertical="center"/>
    </xf>
    <xf numFmtId="168" fontId="36" fillId="17" borderId="6" xfId="0" applyNumberFormat="1" applyFont="1" applyFill="1" applyBorder="1" applyAlignment="1">
      <alignment vertical="center"/>
    </xf>
    <xf numFmtId="168" fontId="15" fillId="17" borderId="150" xfId="0" applyNumberFormat="1" applyFont="1" applyFill="1" applyBorder="1" applyAlignment="1">
      <alignment vertical="center"/>
    </xf>
    <xf numFmtId="168" fontId="36" fillId="17" borderId="150" xfId="0" applyNumberFormat="1" applyFont="1" applyFill="1" applyBorder="1" applyAlignment="1">
      <alignment vertical="center"/>
    </xf>
    <xf numFmtId="168" fontId="2" fillId="7" borderId="0" xfId="0" applyNumberFormat="1" applyFont="1" applyFill="1"/>
    <xf numFmtId="168" fontId="0" fillId="0" borderId="0" xfId="0" applyNumberFormat="1" applyFont="1"/>
    <xf numFmtId="168" fontId="46" fillId="7" borderId="0" xfId="0" applyNumberFormat="1" applyFont="1" applyFill="1"/>
    <xf numFmtId="0" fontId="0" fillId="0" borderId="0" xfId="0" applyBorder="1" applyAlignment="1">
      <alignment vertical="center"/>
    </xf>
    <xf numFmtId="168" fontId="0" fillId="0" borderId="0" xfId="0" applyNumberFormat="1" applyBorder="1"/>
    <xf numFmtId="168" fontId="0" fillId="0" borderId="144" xfId="0" applyNumberFormat="1" applyBorder="1"/>
    <xf numFmtId="0" fontId="64" fillId="7" borderId="0" xfId="0" applyFont="1" applyFill="1" applyAlignment="1">
      <alignment horizontal="right"/>
    </xf>
    <xf numFmtId="168" fontId="0" fillId="0" borderId="144" xfId="0" applyNumberFormat="1" applyFont="1" applyBorder="1"/>
    <xf numFmtId="1" fontId="47" fillId="0" borderId="0" xfId="0" applyNumberFormat="1" applyFont="1"/>
    <xf numFmtId="1" fontId="22" fillId="0" borderId="144" xfId="0" applyNumberFormat="1" applyFont="1" applyBorder="1"/>
    <xf numFmtId="0" fontId="22" fillId="0" borderId="144" xfId="0" applyFont="1" applyBorder="1"/>
    <xf numFmtId="43" fontId="0" fillId="0" borderId="0" xfId="1" applyNumberFormat="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164" fontId="35" fillId="0" borderId="0" xfId="0" applyNumberFormat="1" applyFont="1"/>
    <xf numFmtId="0" fontId="65" fillId="0" borderId="0" xfId="0" applyFont="1"/>
    <xf numFmtId="168" fontId="4" fillId="0" borderId="144" xfId="0" applyNumberFormat="1" applyFont="1" applyBorder="1"/>
    <xf numFmtId="0" fontId="4" fillId="0" borderId="144" xfId="0" applyFont="1" applyBorder="1"/>
    <xf numFmtId="0" fontId="3" fillId="19" borderId="146" xfId="0" applyFont="1" applyFill="1" applyBorder="1" applyAlignment="1">
      <alignment horizontal="left"/>
    </xf>
    <xf numFmtId="2" fontId="0" fillId="0" borderId="0" xfId="0" applyNumberFormat="1" applyBorder="1"/>
    <xf numFmtId="0" fontId="35" fillId="0" borderId="144" xfId="0" applyFont="1" applyBorder="1"/>
    <xf numFmtId="0" fontId="22" fillId="0" borderId="144" xfId="0" applyFont="1" applyBorder="1" applyAlignment="1">
      <alignment horizontal="right"/>
    </xf>
    <xf numFmtId="38" fontId="22" fillId="0" borderId="0" xfId="0" applyNumberFormat="1" applyFont="1"/>
    <xf numFmtId="0" fontId="19" fillId="0" borderId="0" xfId="0" applyFont="1" applyFill="1"/>
    <xf numFmtId="165" fontId="0" fillId="0" borderId="0" xfId="0" applyNumberFormat="1" applyFill="1"/>
    <xf numFmtId="43" fontId="0" fillId="0" borderId="0" xfId="0" applyNumberFormat="1"/>
    <xf numFmtId="167" fontId="0" fillId="0" borderId="0" xfId="0" applyNumberFormat="1" applyBorder="1"/>
    <xf numFmtId="167" fontId="0" fillId="0" borderId="144" xfId="0" applyNumberFormat="1" applyBorder="1"/>
    <xf numFmtId="168" fontId="4" fillId="0" borderId="150" xfId="0" applyNumberFormat="1" applyFont="1" applyBorder="1"/>
    <xf numFmtId="168" fontId="0" fillId="0" borderId="150" xfId="0" applyNumberFormat="1" applyBorder="1"/>
    <xf numFmtId="0" fontId="0" fillId="0" borderId="150" xfId="0" applyBorder="1"/>
    <xf numFmtId="0" fontId="30" fillId="0" borderId="0" xfId="0" applyFont="1"/>
    <xf numFmtId="0" fontId="30" fillId="0" borderId="0" xfId="0" applyFont="1" applyFill="1" applyBorder="1"/>
    <xf numFmtId="168" fontId="30" fillId="0" borderId="0" xfId="0" applyNumberFormat="1" applyFont="1"/>
    <xf numFmtId="168" fontId="30" fillId="0" borderId="0" xfId="0" applyNumberFormat="1" applyFont="1" applyAlignment="1">
      <alignment wrapText="1"/>
    </xf>
    <xf numFmtId="0" fontId="30" fillId="0" borderId="144" xfId="0" applyFont="1" applyBorder="1"/>
    <xf numFmtId="168" fontId="30" fillId="0" borderId="144" xfId="0" applyNumberFormat="1" applyFont="1" applyBorder="1"/>
    <xf numFmtId="168" fontId="2" fillId="17" borderId="150" xfId="0" applyNumberFormat="1" applyFont="1" applyFill="1" applyBorder="1" applyAlignment="1">
      <alignment vertical="center"/>
    </xf>
    <xf numFmtId="173" fontId="0" fillId="0" borderId="0" xfId="0" applyNumberFormat="1" applyFont="1"/>
    <xf numFmtId="0" fontId="2" fillId="17" borderId="39" xfId="0" applyFont="1" applyFill="1" applyBorder="1" applyAlignment="1">
      <alignment horizontal="right"/>
    </xf>
    <xf numFmtId="0" fontId="0" fillId="0" borderId="0" xfId="0" applyFont="1" applyAlignment="1">
      <alignment horizontal="right"/>
    </xf>
    <xf numFmtId="0" fontId="14" fillId="16" borderId="0" xfId="3" applyAlignment="1">
      <alignment horizontal="left"/>
    </xf>
    <xf numFmtId="0" fontId="2" fillId="0" borderId="144" xfId="0" applyFont="1" applyBorder="1" applyAlignment="1">
      <alignment horizontal="center"/>
    </xf>
    <xf numFmtId="0" fontId="0" fillId="0" borderId="151" xfId="0" applyFill="1" applyBorder="1"/>
    <xf numFmtId="0" fontId="0" fillId="0" borderId="153" xfId="0" applyFill="1" applyBorder="1"/>
    <xf numFmtId="0" fontId="0" fillId="0" borderId="140" xfId="0" applyFill="1" applyBorder="1"/>
    <xf numFmtId="0" fontId="2" fillId="26" borderId="39" xfId="0" applyFont="1" applyFill="1" applyBorder="1"/>
    <xf numFmtId="0" fontId="9" fillId="0" borderId="0" xfId="0" applyFont="1" applyAlignment="1">
      <alignment horizontal="left" vertical="center" wrapText="1"/>
    </xf>
    <xf numFmtId="0" fontId="66" fillId="0" borderId="0" xfId="0" applyFont="1"/>
    <xf numFmtId="0" fontId="9" fillId="0" borderId="0" xfId="0" applyFont="1"/>
    <xf numFmtId="0" fontId="66" fillId="0" borderId="0" xfId="0" applyFont="1" applyBorder="1"/>
    <xf numFmtId="0" fontId="0" fillId="0" borderId="0" xfId="0" applyAlignment="1">
      <alignment horizontal="right" vertical="center"/>
    </xf>
    <xf numFmtId="166" fontId="0" fillId="0" borderId="0" xfId="0" applyNumberFormat="1" applyAlignment="1">
      <alignment horizontal="right" vertical="center"/>
    </xf>
    <xf numFmtId="166" fontId="0" fillId="0" borderId="144" xfId="0" applyNumberFormat="1" applyBorder="1" applyAlignment="1">
      <alignment horizontal="right" vertical="center"/>
    </xf>
    <xf numFmtId="0" fontId="8" fillId="0" borderId="144" xfId="0" applyFont="1" applyBorder="1" applyAlignment="1">
      <alignment horizontal="right" wrapText="1"/>
    </xf>
    <xf numFmtId="0" fontId="8" fillId="0" borderId="144" xfId="0" applyFont="1" applyBorder="1" applyAlignment="1">
      <alignment horizontal="center" wrapText="1"/>
    </xf>
    <xf numFmtId="0" fontId="8" fillId="0" borderId="144" xfId="0" applyFont="1" applyBorder="1" applyAlignment="1">
      <alignment horizontal="right"/>
    </xf>
    <xf numFmtId="0" fontId="8" fillId="0" borderId="144" xfId="0" applyFont="1" applyBorder="1"/>
    <xf numFmtId="0" fontId="8" fillId="0" borderId="0" xfId="0" applyFont="1" applyAlignment="1" applyProtection="1">
      <alignment horizontal="left"/>
      <protection locked="0"/>
    </xf>
    <xf numFmtId="3" fontId="8" fillId="0" borderId="0" xfId="0" applyNumberFormat="1" applyFont="1" applyAlignment="1">
      <alignment horizontal="right"/>
    </xf>
    <xf numFmtId="0" fontId="8" fillId="0" borderId="0" xfId="0" applyFont="1" applyAlignment="1">
      <alignment horizontal="right"/>
    </xf>
    <xf numFmtId="0" fontId="7" fillId="0" borderId="144" xfId="0" applyFont="1" applyBorder="1" applyProtection="1">
      <protection locked="0"/>
    </xf>
    <xf numFmtId="3" fontId="7" fillId="0" borderId="144" xfId="0" applyNumberFormat="1" applyFont="1" applyBorder="1" applyAlignment="1">
      <alignment horizontal="right"/>
    </xf>
    <xf numFmtId="2" fontId="2" fillId="0" borderId="144" xfId="0" applyNumberFormat="1" applyFont="1" applyBorder="1" applyAlignment="1">
      <alignment horizontal="right"/>
    </xf>
    <xf numFmtId="2" fontId="2" fillId="0" borderId="144" xfId="2" applyNumberFormat="1" applyFont="1" applyBorder="1" applyAlignment="1">
      <alignment horizontal="right"/>
    </xf>
    <xf numFmtId="2" fontId="0" fillId="0" borderId="0" xfId="2" applyNumberFormat="1" applyFont="1" applyAlignment="1">
      <alignment horizontal="right"/>
    </xf>
    <xf numFmtId="164" fontId="2" fillId="0" borderId="144" xfId="0" applyNumberFormat="1" applyFont="1" applyBorder="1" applyAlignment="1">
      <alignment horizontal="right"/>
    </xf>
    <xf numFmtId="0" fontId="2" fillId="0" borderId="0" xfId="0" applyFont="1" applyBorder="1"/>
    <xf numFmtId="2" fontId="2" fillId="0" borderId="0" xfId="0" applyNumberFormat="1" applyFont="1" applyBorder="1" applyAlignment="1">
      <alignment horizontal="right"/>
    </xf>
    <xf numFmtId="0" fontId="2" fillId="0" borderId="0" xfId="0" applyFont="1" applyBorder="1" applyAlignment="1">
      <alignment horizontal="right"/>
    </xf>
    <xf numFmtId="2" fontId="2" fillId="0" borderId="0" xfId="2" applyNumberFormat="1" applyFont="1" applyBorder="1" applyAlignment="1">
      <alignment horizontal="right"/>
    </xf>
    <xf numFmtId="164" fontId="2" fillId="0" borderId="0" xfId="0" applyNumberFormat="1" applyFont="1" applyBorder="1" applyAlignment="1">
      <alignment horizontal="right"/>
    </xf>
    <xf numFmtId="165" fontId="0" fillId="0" borderId="0" xfId="0" applyNumberFormat="1" applyBorder="1"/>
    <xf numFmtId="165" fontId="0" fillId="0" borderId="0" xfId="1" applyNumberFormat="1" applyFont="1"/>
    <xf numFmtId="164" fontId="19" fillId="0" borderId="0" xfId="1" applyNumberFormat="1" applyFont="1"/>
    <xf numFmtId="9" fontId="19" fillId="0" borderId="0" xfId="2" applyFont="1"/>
    <xf numFmtId="0" fontId="2" fillId="7" borderId="0" xfId="0" applyFont="1" applyFill="1" applyBorder="1"/>
    <xf numFmtId="0" fontId="28" fillId="7" borderId="0" xfId="0" applyFont="1" applyFill="1" applyBorder="1"/>
    <xf numFmtId="0" fontId="0" fillId="0" borderId="0" xfId="0" applyFont="1" applyBorder="1"/>
    <xf numFmtId="0" fontId="22" fillId="0" borderId="0" xfId="0" applyFont="1" applyBorder="1"/>
    <xf numFmtId="169" fontId="19" fillId="0" borderId="0" xfId="2" applyNumberFormat="1" applyFont="1"/>
    <xf numFmtId="9" fontId="19" fillId="0" borderId="0" xfId="2" applyNumberFormat="1" applyFont="1"/>
    <xf numFmtId="9" fontId="0" fillId="0" borderId="144" xfId="0" applyNumberFormat="1" applyBorder="1" applyAlignment="1">
      <alignment horizontal="right"/>
    </xf>
    <xf numFmtId="0" fontId="0" fillId="0" borderId="0" xfId="0"/>
    <xf numFmtId="0" fontId="2" fillId="25" borderId="144" xfId="0" applyFont="1" applyFill="1" applyBorder="1" applyAlignment="1">
      <alignment horizontal="left" vertical="center"/>
    </xf>
    <xf numFmtId="0" fontId="2" fillId="25" borderId="144" xfId="0" applyFont="1" applyFill="1" applyBorder="1" applyAlignment="1" applyProtection="1">
      <alignment horizontal="left" vertical="center"/>
      <protection locked="0"/>
    </xf>
    <xf numFmtId="0" fontId="2" fillId="25" borderId="144" xfId="0" applyFont="1" applyFill="1" applyBorder="1" applyAlignment="1" applyProtection="1">
      <alignment horizontal="left" vertical="center"/>
    </xf>
    <xf numFmtId="0" fontId="2" fillId="25" borderId="144" xfId="0" applyFont="1" applyFill="1" applyBorder="1" applyAlignment="1" applyProtection="1">
      <alignment horizontal="right" vertical="center"/>
    </xf>
    <xf numFmtId="2" fontId="19" fillId="0" borderId="0" xfId="0" applyNumberFormat="1" applyFont="1"/>
    <xf numFmtId="2" fontId="68" fillId="0" borderId="0" xfId="0" applyNumberFormat="1" applyFont="1"/>
    <xf numFmtId="2" fontId="19" fillId="0" borderId="144" xfId="0" applyNumberFormat="1" applyFont="1" applyBorder="1"/>
    <xf numFmtId="164" fontId="19" fillId="0" borderId="0" xfId="0" applyNumberFormat="1" applyFont="1"/>
    <xf numFmtId="164" fontId="19" fillId="0" borderId="144" xfId="0" applyNumberFormat="1" applyFont="1" applyBorder="1"/>
    <xf numFmtId="166" fontId="19" fillId="0" borderId="0" xfId="0" applyNumberFormat="1" applyFont="1" applyAlignment="1">
      <alignment horizontal="right"/>
    </xf>
    <xf numFmtId="0" fontId="15" fillId="7" borderId="0" xfId="0" applyFont="1" applyFill="1"/>
    <xf numFmtId="2" fontId="19" fillId="0" borderId="0" xfId="0" applyNumberFormat="1" applyFont="1" applyBorder="1" applyAlignment="1">
      <alignment horizontal="right"/>
    </xf>
    <xf numFmtId="2" fontId="19" fillId="0" borderId="144" xfId="0" applyNumberFormat="1" applyFont="1" applyBorder="1" applyAlignment="1">
      <alignment horizontal="right"/>
    </xf>
    <xf numFmtId="170" fontId="1" fillId="0" borderId="144" xfId="0" applyNumberFormat="1" applyFont="1" applyBorder="1"/>
    <xf numFmtId="168" fontId="14" fillId="16" borderId="0" xfId="3" applyNumberFormat="1" applyAlignment="1">
      <alignment vertical="center"/>
    </xf>
    <xf numFmtId="0" fontId="15" fillId="17" borderId="39" xfId="0" applyFont="1" applyFill="1" applyBorder="1" applyAlignment="1">
      <alignment horizontal="center" vertical="center"/>
    </xf>
    <xf numFmtId="9" fontId="0" fillId="0" borderId="0" xfId="2" applyFont="1" applyAlignment="1">
      <alignment horizontal="center"/>
    </xf>
    <xf numFmtId="0" fontId="0" fillId="0" borderId="149" xfId="0" applyBorder="1" applyAlignment="1">
      <alignment vertical="center"/>
    </xf>
    <xf numFmtId="9" fontId="0" fillId="0" borderId="149" xfId="2" applyFont="1" applyBorder="1" applyAlignment="1">
      <alignment horizontal="center"/>
    </xf>
    <xf numFmtId="9" fontId="0" fillId="0" borderId="149" xfId="2" applyFont="1" applyFill="1" applyBorder="1" applyAlignment="1">
      <alignment horizontal="center"/>
    </xf>
    <xf numFmtId="0" fontId="69" fillId="0" borderId="0" xfId="0" applyFont="1" applyAlignment="1">
      <alignment horizontal="left"/>
    </xf>
    <xf numFmtId="4" fontId="70" fillId="0" borderId="0" xfId="0" applyNumberFormat="1" applyFont="1"/>
    <xf numFmtId="0" fontId="69" fillId="0" borderId="151" xfId="0" applyFont="1" applyBorder="1" applyAlignment="1">
      <alignment horizontal="center"/>
    </xf>
    <xf numFmtId="0" fontId="71" fillId="0" borderId="151" xfId="0" applyFont="1" applyBorder="1" applyAlignment="1">
      <alignment horizontal="center" vertical="center"/>
    </xf>
    <xf numFmtId="0" fontId="72" fillId="0" borderId="151" xfId="0" applyFont="1" applyBorder="1" applyAlignment="1">
      <alignment horizontal="center" vertical="center"/>
    </xf>
    <xf numFmtId="3" fontId="70" fillId="0" borderId="151" xfId="0" applyNumberFormat="1" applyFont="1" applyBorder="1" applyAlignment="1">
      <alignment horizontal="center" vertical="center"/>
    </xf>
    <xf numFmtId="0" fontId="70" fillId="0" borderId="151" xfId="0" applyFont="1" applyBorder="1" applyAlignment="1">
      <alignment horizontal="center"/>
    </xf>
    <xf numFmtId="3" fontId="70" fillId="0" borderId="151" xfId="0" applyNumberFormat="1" applyFont="1" applyBorder="1" applyAlignment="1">
      <alignment horizontal="center"/>
    </xf>
    <xf numFmtId="0" fontId="70" fillId="0" borderId="153" xfId="0" applyFont="1" applyBorder="1" applyAlignment="1">
      <alignment horizontal="left"/>
    </xf>
    <xf numFmtId="0" fontId="73" fillId="0" borderId="0" xfId="0" applyFont="1"/>
    <xf numFmtId="10" fontId="70" fillId="0" borderId="151" xfId="2" applyNumberFormat="1" applyFont="1" applyBorder="1" applyAlignment="1">
      <alignment horizontal="center" vertical="center"/>
    </xf>
    <xf numFmtId="0" fontId="0" fillId="0" borderId="0" xfId="0" applyFill="1" applyBorder="1" applyAlignment="1">
      <alignment vertical="center"/>
    </xf>
    <xf numFmtId="0" fontId="0" fillId="0" borderId="28" xfId="0" applyBorder="1"/>
    <xf numFmtId="0" fontId="0" fillId="0" borderId="158" xfId="0" applyBorder="1" applyAlignment="1">
      <alignment horizontal="center" vertical="center"/>
    </xf>
    <xf numFmtId="0" fontId="0" fillId="0" borderId="48" xfId="0" applyBorder="1"/>
    <xf numFmtId="169" fontId="0" fillId="0" borderId="42" xfId="2" applyNumberFormat="1" applyFont="1" applyBorder="1"/>
    <xf numFmtId="0" fontId="0" fillId="0" borderId="80" xfId="0" applyBorder="1"/>
    <xf numFmtId="0" fontId="0" fillId="0" borderId="124" xfId="0" applyBorder="1"/>
    <xf numFmtId="169" fontId="0" fillId="0" borderId="0" xfId="2" applyNumberFormat="1" applyFont="1" applyBorder="1" applyAlignment="1">
      <alignment horizontal="right" vertical="center"/>
    </xf>
    <xf numFmtId="169" fontId="0" fillId="0" borderId="158" xfId="2" applyNumberFormat="1" applyFont="1" applyBorder="1" applyAlignment="1">
      <alignment horizontal="right" vertical="center"/>
    </xf>
    <xf numFmtId="169" fontId="0" fillId="0" borderId="159" xfId="2" applyNumberFormat="1" applyFont="1" applyBorder="1"/>
    <xf numFmtId="0" fontId="0" fillId="0" borderId="160" xfId="0" applyBorder="1"/>
    <xf numFmtId="11" fontId="0" fillId="0" borderId="0" xfId="0" applyNumberFormat="1" applyBorder="1"/>
    <xf numFmtId="11" fontId="0" fillId="0" borderId="0" xfId="0" applyNumberFormat="1" applyBorder="1" applyAlignment="1">
      <alignment horizontal="center" vertical="center"/>
    </xf>
    <xf numFmtId="0" fontId="0" fillId="0" borderId="0" xfId="0" applyBorder="1" applyAlignment="1">
      <alignment horizontal="center" vertical="center"/>
    </xf>
    <xf numFmtId="9" fontId="0" fillId="0" borderId="42" xfId="2" applyNumberFormat="1" applyFont="1" applyBorder="1"/>
    <xf numFmtId="170" fontId="1" fillId="0" borderId="0" xfId="0" applyNumberFormat="1" applyFont="1" applyBorder="1"/>
    <xf numFmtId="173" fontId="0" fillId="0" borderId="0" xfId="0" applyNumberFormat="1" applyBorder="1"/>
    <xf numFmtId="170" fontId="0" fillId="0" borderId="0" xfId="0" applyNumberFormat="1" applyBorder="1"/>
    <xf numFmtId="0" fontId="1" fillId="0" borderId="144" xfId="0" applyFont="1" applyBorder="1"/>
    <xf numFmtId="173" fontId="0" fillId="0" borderId="144" xfId="0" applyNumberFormat="1" applyBorder="1"/>
    <xf numFmtId="9" fontId="0" fillId="0" borderId="0" xfId="0" applyNumberFormat="1" applyAlignment="1">
      <alignment horizontal="center" vertical="center"/>
    </xf>
    <xf numFmtId="0" fontId="25" fillId="8" borderId="0" xfId="4" applyFont="1" applyFill="1" applyBorder="1" applyAlignment="1">
      <alignment horizontal="center" vertical="center"/>
    </xf>
    <xf numFmtId="0" fontId="15" fillId="8" borderId="0" xfId="4" applyFont="1" applyFill="1" applyBorder="1" applyAlignment="1">
      <alignment vertical="center"/>
    </xf>
    <xf numFmtId="0" fontId="19" fillId="8" borderId="0" xfId="4" applyFont="1" applyFill="1" applyBorder="1" applyAlignment="1">
      <alignment vertical="center"/>
    </xf>
    <xf numFmtId="0" fontId="52" fillId="18" borderId="144" xfId="0" applyFont="1" applyFill="1" applyBorder="1" applyAlignment="1">
      <alignment horizontal="center"/>
    </xf>
    <xf numFmtId="0" fontId="7" fillId="0" borderId="0" xfId="0" applyFont="1" applyAlignment="1">
      <alignment horizontal="left"/>
    </xf>
    <xf numFmtId="0" fontId="37" fillId="0" borderId="0" xfId="0" applyFont="1" applyAlignment="1"/>
    <xf numFmtId="0" fontId="0" fillId="0" borderId="0" xfId="0" applyAlignment="1">
      <alignment horizontal="center"/>
    </xf>
    <xf numFmtId="0" fontId="53" fillId="38" borderId="155" xfId="0" applyFont="1" applyFill="1" applyBorder="1" applyAlignment="1">
      <alignment horizontal="center" vertical="center" wrapText="1"/>
    </xf>
    <xf numFmtId="0" fontId="53" fillId="38" borderId="0" xfId="0" applyFont="1" applyFill="1" applyBorder="1" applyAlignment="1">
      <alignment horizontal="center" vertical="center" wrapText="1"/>
    </xf>
    <xf numFmtId="0" fontId="54" fillId="0" borderId="0" xfId="0" applyFont="1" applyAlignment="1">
      <alignment horizontal="center" vertical="center" wrapText="1"/>
    </xf>
    <xf numFmtId="0" fontId="42" fillId="0" borderId="151" xfId="0" applyFont="1" applyBorder="1" applyAlignment="1">
      <alignment horizontal="center" vertical="center" wrapText="1"/>
    </xf>
    <xf numFmtId="0" fontId="13" fillId="0" borderId="151" xfId="0" applyFont="1" applyBorder="1" applyAlignment="1">
      <alignment horizontal="center" vertical="center" wrapText="1"/>
    </xf>
    <xf numFmtId="0" fontId="13" fillId="0" borderId="151" xfId="0" applyFont="1" applyBorder="1" applyAlignment="1">
      <alignment horizontal="center" vertical="center"/>
    </xf>
    <xf numFmtId="0" fontId="42" fillId="0" borderId="151" xfId="0" applyFont="1" applyBorder="1" applyAlignment="1">
      <alignment horizontal="center" vertical="center"/>
    </xf>
    <xf numFmtId="0" fontId="15" fillId="17" borderId="144" xfId="0" applyFont="1" applyFill="1" applyBorder="1" applyAlignment="1">
      <alignment horizontal="center" vertical="center"/>
    </xf>
    <xf numFmtId="1" fontId="42" fillId="24" borderId="149" xfId="0" applyNumberFormat="1" applyFont="1" applyFill="1" applyBorder="1" applyAlignment="1">
      <alignment horizontal="center" vertical="center"/>
    </xf>
    <xf numFmtId="1" fontId="42" fillId="24" borderId="0" xfId="0" applyNumberFormat="1" applyFont="1" applyFill="1" applyBorder="1" applyAlignment="1">
      <alignment horizontal="center" vertical="center"/>
    </xf>
    <xf numFmtId="1" fontId="42" fillId="24" borderId="144" xfId="0" applyNumberFormat="1" applyFont="1" applyFill="1" applyBorder="1" applyAlignment="1">
      <alignment horizontal="center" vertical="center"/>
    </xf>
    <xf numFmtId="169" fontId="60" fillId="24" borderId="152" xfId="2" applyNumberFormat="1" applyFont="1" applyFill="1" applyBorder="1" applyAlignment="1">
      <alignment horizontal="center" vertical="center"/>
    </xf>
    <xf numFmtId="169" fontId="60" fillId="24" borderId="23" xfId="2" applyNumberFormat="1" applyFont="1" applyFill="1" applyBorder="1" applyAlignment="1">
      <alignment horizontal="center" vertical="center"/>
    </xf>
    <xf numFmtId="169" fontId="60" fillId="24" borderId="140" xfId="2" applyNumberFormat="1" applyFont="1" applyFill="1" applyBorder="1" applyAlignment="1">
      <alignment horizontal="center" vertical="center"/>
    </xf>
    <xf numFmtId="1" fontId="42" fillId="24" borderId="151" xfId="0" applyNumberFormat="1" applyFont="1" applyFill="1" applyBorder="1" applyAlignment="1">
      <alignment horizontal="center" vertical="center"/>
    </xf>
    <xf numFmtId="0" fontId="42" fillId="25" borderId="144" xfId="0" applyFont="1" applyFill="1" applyBorder="1" applyAlignment="1" applyProtection="1">
      <alignment horizontal="center" vertical="center"/>
      <protection locked="0"/>
    </xf>
    <xf numFmtId="0" fontId="2" fillId="25" borderId="144" xfId="0" applyFont="1" applyFill="1" applyBorder="1" applyAlignment="1" applyProtection="1">
      <alignment horizontal="center" vertical="center"/>
      <protection locked="0"/>
    </xf>
    <xf numFmtId="0" fontId="2" fillId="0" borderId="144" xfId="0" applyFont="1" applyBorder="1" applyAlignment="1">
      <alignment horizontal="center" vertical="center"/>
    </xf>
    <xf numFmtId="0" fontId="2" fillId="0" borderId="144" xfId="0" applyFont="1" applyBorder="1" applyAlignment="1">
      <alignment horizontal="center"/>
    </xf>
    <xf numFmtId="0" fontId="19" fillId="0" borderId="0" xfId="0" applyFont="1" applyBorder="1" applyAlignment="1">
      <alignment horizontal="left"/>
    </xf>
    <xf numFmtId="0" fontId="7" fillId="0" borderId="144" xfId="0" applyFont="1" applyBorder="1" applyAlignment="1">
      <alignment horizontal="left"/>
    </xf>
    <xf numFmtId="0" fontId="8" fillId="0" borderId="146" xfId="0" applyFont="1" applyBorder="1" applyAlignment="1">
      <alignment horizontal="left" wrapText="1"/>
    </xf>
    <xf numFmtId="0" fontId="8" fillId="0" borderId="144" xfId="0" applyFont="1" applyBorder="1" applyAlignment="1">
      <alignment horizontal="left" wrapText="1"/>
    </xf>
    <xf numFmtId="0" fontId="8" fillId="0" borderId="144" xfId="0" applyFont="1" applyBorder="1" applyAlignment="1">
      <alignment horizontal="center"/>
    </xf>
    <xf numFmtId="0" fontId="8" fillId="0" borderId="146" xfId="0" applyFont="1" applyBorder="1" applyAlignment="1">
      <alignment horizontal="left"/>
    </xf>
    <xf numFmtId="0" fontId="8" fillId="0" borderId="0" xfId="0" applyFont="1" applyBorder="1" applyAlignment="1">
      <alignment horizontal="left"/>
    </xf>
    <xf numFmtId="0" fontId="18" fillId="18" borderId="0" xfId="0" applyFont="1" applyFill="1" applyAlignment="1">
      <alignment horizontal="left"/>
    </xf>
    <xf numFmtId="0" fontId="0" fillId="0" borderId="151" xfId="0" applyFont="1" applyBorder="1" applyAlignment="1">
      <alignment horizontal="center" vertical="center"/>
    </xf>
    <xf numFmtId="168" fontId="30" fillId="0" borderId="144" xfId="0" applyNumberFormat="1" applyFont="1" applyBorder="1" applyAlignment="1">
      <alignment wrapText="1"/>
    </xf>
  </cellXfs>
  <cellStyles count="6">
    <cellStyle name="20% - Accent5" xfId="5" builtinId="46"/>
    <cellStyle name="Accent1" xfId="3" builtinId="29"/>
    <cellStyle name="Comma" xfId="1" builtinId="3"/>
    <cellStyle name="Hyperlink" xfId="4" builtinId="8"/>
    <cellStyle name="Normal" xfId="0" builtinId="0"/>
    <cellStyle name="Percent" xfId="2" builtinId="5"/>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5</xdr:col>
      <xdr:colOff>942912</xdr:colOff>
      <xdr:row>12</xdr:row>
      <xdr:rowOff>9525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24462" cy="2295524"/>
        </a:xfrm>
        <a:prstGeom prst="rect">
          <a:avLst/>
        </a:prstGeom>
      </xdr:spPr>
    </xdr:pic>
    <xdr:clientData/>
  </xdr:twoCellAnchor>
  <xdr:twoCellAnchor editAs="oneCell">
    <xdr:from>
      <xdr:col>4</xdr:col>
      <xdr:colOff>397565</xdr:colOff>
      <xdr:row>35</xdr:row>
      <xdr:rowOff>91109</xdr:rowOff>
    </xdr:from>
    <xdr:to>
      <xdr:col>5</xdr:col>
      <xdr:colOff>564421</xdr:colOff>
      <xdr:row>40</xdr:row>
      <xdr:rowOff>110671</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45665" y="8101634"/>
          <a:ext cx="1109831" cy="972062"/>
        </a:xfrm>
        <a:prstGeom prst="rect">
          <a:avLst/>
        </a:prstGeom>
      </xdr:spPr>
    </xdr:pic>
    <xdr:clientData/>
  </xdr:twoCellAnchor>
  <xdr:twoCellAnchor editAs="oneCell">
    <xdr:from>
      <xdr:col>0</xdr:col>
      <xdr:colOff>0</xdr:colOff>
      <xdr:row>35</xdr:row>
      <xdr:rowOff>184881</xdr:rowOff>
    </xdr:from>
    <xdr:to>
      <xdr:col>1</xdr:col>
      <xdr:colOff>927652</xdr:colOff>
      <xdr:row>40</xdr:row>
      <xdr:rowOff>122251</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8169316"/>
          <a:ext cx="1946413" cy="88987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22860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8</xdr:col>
      <xdr:colOff>367552</xdr:colOff>
      <xdr:row>5</xdr:row>
      <xdr:rowOff>56861</xdr:rowOff>
    </xdr:from>
    <xdr:to>
      <xdr:col>21</xdr:col>
      <xdr:colOff>359228</xdr:colOff>
      <xdr:row>16</xdr:row>
      <xdr:rowOff>134470</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12523693" y="953332"/>
          <a:ext cx="8266100" cy="2049844"/>
          <a:chOff x="8912547" y="56728659"/>
          <a:chExt cx="8335547" cy="1242571"/>
        </a:xfrm>
      </xdr:grpSpPr>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8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8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8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8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8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A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26" Type="http://schemas.openxmlformats.org/officeDocument/2006/relationships/comments" Target="../comments3.xm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vmlDrawing" Target="../drawings/vmlDrawing5.v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drawing" Target="../drawings/drawing3.x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7"/>
  </sheetPr>
  <dimension ref="A1:N43"/>
  <sheetViews>
    <sheetView showGridLines="0" topLeftCell="A25" zoomScaleNormal="100" zoomScalePageLayoutView="70" workbookViewId="0">
      <selection activeCell="I17" sqref="I17"/>
    </sheetView>
  </sheetViews>
  <sheetFormatPr defaultColWidth="8.88671875" defaultRowHeight="14.4"/>
  <cols>
    <col min="1" max="1" width="15.33203125" style="45" customWidth="1"/>
    <col min="2" max="8" width="14.109375" style="45" customWidth="1"/>
    <col min="9" max="9" width="12.109375" style="45" customWidth="1"/>
    <col min="10" max="12" width="8.109375" style="45" customWidth="1"/>
    <col min="13" max="13" width="9.6640625" style="45" customWidth="1"/>
    <col min="14" max="14" width="8.109375" style="45" customWidth="1"/>
    <col min="15" max="15" width="10" style="45" customWidth="1"/>
    <col min="16" max="16" width="11.44140625" style="45" customWidth="1"/>
    <col min="17" max="17" width="13.44140625" style="45" customWidth="1"/>
    <col min="18" max="31" width="8.88671875" style="45"/>
    <col min="32" max="32" width="21.44140625" style="45" customWidth="1"/>
    <col min="33" max="38" width="8.88671875" style="45"/>
    <col min="39" max="39" width="21.33203125" style="45" customWidth="1"/>
    <col min="40" max="16384" width="8.88671875" style="45"/>
  </cols>
  <sheetData>
    <row r="1" spans="1:6">
      <c r="A1" s="44"/>
      <c r="B1" s="44"/>
      <c r="C1" s="44"/>
      <c r="D1" s="44"/>
      <c r="E1" s="44"/>
      <c r="F1" s="44"/>
    </row>
    <row r="2" spans="1:6">
      <c r="A2" s="44"/>
      <c r="B2" s="44"/>
      <c r="C2" s="44"/>
      <c r="D2" s="44"/>
      <c r="E2" s="44"/>
      <c r="F2" s="44"/>
    </row>
    <row r="3" spans="1:6">
      <c r="A3" s="44"/>
      <c r="B3" s="44"/>
      <c r="C3" s="44"/>
      <c r="D3" s="44"/>
      <c r="E3" s="44"/>
      <c r="F3" s="44"/>
    </row>
    <row r="4" spans="1:6">
      <c r="A4" s="44"/>
      <c r="B4" s="44"/>
      <c r="C4" s="44"/>
      <c r="D4" s="44"/>
      <c r="E4" s="44"/>
      <c r="F4" s="44"/>
    </row>
    <row r="5" spans="1:6">
      <c r="A5" s="44"/>
      <c r="B5" s="44"/>
      <c r="C5" s="44"/>
      <c r="D5" s="44"/>
      <c r="E5" s="44"/>
      <c r="F5" s="44"/>
    </row>
    <row r="6" spans="1:6">
      <c r="A6" s="44"/>
      <c r="B6" s="44"/>
      <c r="C6" s="44"/>
      <c r="D6" s="44"/>
      <c r="E6" s="44"/>
      <c r="F6" s="44"/>
    </row>
    <row r="7" spans="1:6">
      <c r="A7" s="44"/>
      <c r="B7" s="44"/>
      <c r="C7" s="44"/>
      <c r="D7" s="44"/>
      <c r="E7" s="44"/>
      <c r="F7" s="44"/>
    </row>
    <row r="8" spans="1:6">
      <c r="A8" s="44"/>
      <c r="B8" s="44"/>
      <c r="C8" s="44"/>
      <c r="D8" s="44"/>
      <c r="E8" s="44"/>
      <c r="F8" s="44"/>
    </row>
    <row r="9" spans="1:6">
      <c r="A9" s="44"/>
      <c r="B9" s="44"/>
      <c r="C9" s="44"/>
      <c r="D9" s="44"/>
      <c r="E9" s="44"/>
      <c r="F9" s="44"/>
    </row>
    <row r="10" spans="1:6">
      <c r="A10" s="44"/>
      <c r="B10" s="44"/>
      <c r="C10" s="44"/>
      <c r="D10" s="44"/>
      <c r="E10" s="44"/>
      <c r="F10" s="44"/>
    </row>
    <row r="11" spans="1:6">
      <c r="A11" s="44"/>
      <c r="B11" s="44"/>
      <c r="C11" s="44"/>
      <c r="D11" s="44"/>
      <c r="E11" s="44"/>
      <c r="F11" s="44"/>
    </row>
    <row r="12" spans="1:6">
      <c r="A12" s="44"/>
      <c r="B12" s="44"/>
      <c r="C12" s="44"/>
      <c r="D12" s="44"/>
      <c r="E12" s="44"/>
      <c r="F12" s="44"/>
    </row>
    <row r="13" spans="1:6">
      <c r="A13" s="44"/>
      <c r="B13" s="44"/>
      <c r="C13" s="44"/>
      <c r="D13" s="44"/>
      <c r="E13" s="44"/>
      <c r="F13" s="44"/>
    </row>
    <row r="14" spans="1:6">
      <c r="A14" s="44"/>
      <c r="B14" s="44"/>
      <c r="C14" s="44"/>
      <c r="D14" s="44"/>
      <c r="E14" s="44"/>
      <c r="F14" s="44"/>
    </row>
    <row r="15" spans="1:6">
      <c r="A15" s="44"/>
      <c r="B15" s="44"/>
      <c r="C15" s="44"/>
      <c r="D15" s="44"/>
      <c r="E15" s="44"/>
      <c r="F15" s="44"/>
    </row>
    <row r="16" spans="1:6">
      <c r="A16" s="44"/>
      <c r="B16" s="44"/>
      <c r="C16" s="44"/>
      <c r="D16" s="44"/>
      <c r="E16" s="44"/>
      <c r="F16" s="44"/>
    </row>
    <row r="17" spans="1:14" ht="102.75" customHeight="1">
      <c r="A17" s="771" t="s">
        <v>222</v>
      </c>
      <c r="B17" s="771"/>
      <c r="C17" s="771"/>
      <c r="D17" s="771"/>
      <c r="E17" s="771"/>
      <c r="F17" s="771"/>
      <c r="G17" s="46"/>
      <c r="H17" s="46"/>
      <c r="I17" s="47"/>
      <c r="J17" s="47"/>
      <c r="K17" s="47"/>
      <c r="L17" s="47"/>
      <c r="M17" s="47"/>
      <c r="N17" s="47"/>
    </row>
    <row r="18" spans="1:14" ht="17.25" customHeight="1">
      <c r="A18" s="48"/>
      <c r="B18" s="48"/>
      <c r="C18" s="48"/>
      <c r="D18" s="48"/>
      <c r="E18" s="48"/>
      <c r="F18" s="48"/>
    </row>
    <row r="19" spans="1:14" ht="17.25" customHeight="1">
      <c r="A19" s="48"/>
      <c r="B19" s="48"/>
      <c r="C19" s="48"/>
      <c r="D19" s="48"/>
      <c r="E19" s="48"/>
      <c r="F19" s="48"/>
      <c r="G19" s="49"/>
      <c r="H19" s="49"/>
      <c r="I19" s="50"/>
      <c r="J19" s="50"/>
      <c r="K19" s="50"/>
      <c r="L19" s="50"/>
      <c r="M19" s="50"/>
      <c r="N19" s="50"/>
    </row>
    <row r="20" spans="1:14" ht="17.25" customHeight="1">
      <c r="A20" s="51" t="s">
        <v>223</v>
      </c>
      <c r="B20" s="772" t="s">
        <v>224</v>
      </c>
      <c r="C20" s="772"/>
      <c r="D20" s="772"/>
      <c r="E20" s="772"/>
      <c r="F20" s="772"/>
      <c r="G20" s="52"/>
      <c r="H20" s="52"/>
      <c r="I20" s="53"/>
      <c r="J20" s="53"/>
      <c r="K20" s="53"/>
      <c r="L20" s="53"/>
      <c r="M20" s="53"/>
      <c r="N20" s="53"/>
    </row>
    <row r="21" spans="1:14" ht="17.25" customHeight="1">
      <c r="A21" s="51" t="s">
        <v>225</v>
      </c>
      <c r="B21" s="773" t="s">
        <v>228</v>
      </c>
      <c r="C21" s="773"/>
      <c r="D21" s="773"/>
      <c r="E21" s="773"/>
      <c r="F21" s="773"/>
      <c r="G21" s="52"/>
      <c r="H21" s="52"/>
      <c r="I21" s="53"/>
      <c r="J21" s="53"/>
      <c r="K21" s="53"/>
      <c r="L21" s="53"/>
      <c r="M21" s="53"/>
      <c r="N21" s="53"/>
    </row>
    <row r="22" spans="1:14" ht="17.25" customHeight="1">
      <c r="A22" s="51" t="s">
        <v>226</v>
      </c>
      <c r="B22" s="773" t="s">
        <v>227</v>
      </c>
      <c r="C22" s="773"/>
      <c r="D22" s="773"/>
      <c r="E22" s="773"/>
      <c r="F22" s="773"/>
    </row>
    <row r="23" spans="1:14" ht="17.25" customHeight="1">
      <c r="A23" s="48"/>
      <c r="B23" s="44"/>
      <c r="C23" s="44"/>
      <c r="D23" s="44"/>
      <c r="E23" s="54"/>
      <c r="F23" s="54"/>
      <c r="G23" s="55"/>
      <c r="H23" s="55"/>
    </row>
    <row r="24" spans="1:14" ht="17.25" customHeight="1">
      <c r="A24" s="48"/>
      <c r="B24" s="44"/>
      <c r="C24" s="44"/>
      <c r="D24" s="44"/>
      <c r="E24" s="54"/>
      <c r="F24" s="54"/>
      <c r="G24" s="55"/>
      <c r="H24" s="55"/>
    </row>
    <row r="25" spans="1:14" ht="17.25" customHeight="1">
      <c r="A25" s="44"/>
      <c r="B25" s="44"/>
      <c r="C25" s="44"/>
      <c r="D25" s="44"/>
      <c r="E25" s="44"/>
      <c r="F25" s="44"/>
    </row>
    <row r="26" spans="1:14">
      <c r="A26" s="44"/>
      <c r="B26" s="44"/>
      <c r="C26" s="44"/>
      <c r="D26" s="44"/>
      <c r="E26" s="44"/>
      <c r="F26" s="44"/>
    </row>
    <row r="27" spans="1:14">
      <c r="A27" s="44"/>
      <c r="B27" s="44"/>
      <c r="C27" s="44"/>
      <c r="D27" s="44"/>
      <c r="E27" s="44"/>
      <c r="F27" s="44"/>
    </row>
    <row r="28" spans="1:14">
      <c r="A28" s="44"/>
      <c r="B28" s="44"/>
      <c r="C28" s="44"/>
      <c r="D28" s="44"/>
      <c r="E28" s="44"/>
      <c r="F28" s="44"/>
    </row>
    <row r="29" spans="1:14">
      <c r="A29" s="44"/>
      <c r="B29" s="44"/>
      <c r="C29" s="44"/>
      <c r="D29" s="44"/>
      <c r="E29" s="44"/>
      <c r="F29" s="44"/>
    </row>
    <row r="30" spans="1:14">
      <c r="A30" s="44"/>
      <c r="B30" s="44"/>
      <c r="C30" s="44"/>
      <c r="D30" s="44"/>
      <c r="E30" s="44"/>
      <c r="F30" s="44"/>
    </row>
    <row r="31" spans="1:14">
      <c r="A31" s="44"/>
      <c r="B31" s="44"/>
      <c r="C31" s="44"/>
      <c r="D31" s="44"/>
      <c r="E31" s="44"/>
      <c r="F31" s="44"/>
    </row>
    <row r="32" spans="1:14">
      <c r="A32" s="44"/>
      <c r="B32" s="44"/>
      <c r="C32" s="44"/>
      <c r="D32" s="44"/>
      <c r="E32" s="44"/>
      <c r="F32" s="44"/>
    </row>
    <row r="33" spans="1:6">
      <c r="A33" s="44"/>
      <c r="B33" s="44"/>
      <c r="C33" s="44"/>
      <c r="D33" s="44"/>
      <c r="E33" s="44"/>
      <c r="F33" s="44"/>
    </row>
    <row r="34" spans="1:6">
      <c r="A34" s="44"/>
      <c r="B34" s="44"/>
      <c r="C34" s="44"/>
      <c r="D34" s="44"/>
      <c r="E34" s="44"/>
      <c r="F34" s="44"/>
    </row>
    <row r="35" spans="1:6">
      <c r="A35" s="44"/>
      <c r="B35" s="44"/>
      <c r="C35" s="44"/>
      <c r="D35" s="44"/>
      <c r="E35" s="44"/>
      <c r="F35" s="44"/>
    </row>
    <row r="36" spans="1:6">
      <c r="A36" s="44"/>
      <c r="B36" s="44"/>
      <c r="C36" s="44"/>
      <c r="D36" s="44"/>
      <c r="E36" s="44"/>
      <c r="F36" s="44"/>
    </row>
    <row r="37" spans="1:6">
      <c r="A37" s="44"/>
      <c r="B37" s="44"/>
      <c r="C37" s="44"/>
      <c r="D37" s="44"/>
      <c r="E37" s="44"/>
      <c r="F37" s="44"/>
    </row>
    <row r="38" spans="1:6">
      <c r="A38" s="44"/>
      <c r="B38" s="44"/>
      <c r="C38" s="44"/>
      <c r="D38" s="44"/>
      <c r="E38" s="44"/>
      <c r="F38" s="44"/>
    </row>
    <row r="39" spans="1:6">
      <c r="A39" s="44"/>
      <c r="B39" s="44"/>
      <c r="C39" s="44"/>
      <c r="D39" s="44"/>
      <c r="E39" s="44"/>
      <c r="F39" s="44"/>
    </row>
    <row r="40" spans="1:6">
      <c r="A40" s="44"/>
      <c r="B40" s="44"/>
      <c r="C40" s="44"/>
      <c r="D40" s="44"/>
      <c r="E40" s="44"/>
      <c r="F40" s="44"/>
    </row>
    <row r="41" spans="1:6">
      <c r="A41" s="44"/>
      <c r="B41" s="44"/>
      <c r="C41" s="44"/>
      <c r="D41" s="44"/>
      <c r="E41" s="44"/>
      <c r="F41" s="44"/>
    </row>
    <row r="42" spans="1:6">
      <c r="A42" s="44"/>
      <c r="B42" s="44"/>
      <c r="C42" s="44"/>
      <c r="D42" s="44"/>
      <c r="E42" s="44"/>
      <c r="F42" s="44"/>
    </row>
    <row r="43" spans="1:6">
      <c r="A43" s="44"/>
      <c r="B43" s="44"/>
      <c r="C43" s="44"/>
      <c r="D43" s="44"/>
      <c r="E43" s="44"/>
      <c r="F43" s="44"/>
    </row>
  </sheetData>
  <mergeCells count="4">
    <mergeCell ref="A17:F17"/>
    <mergeCell ref="B20:F20"/>
    <mergeCell ref="B21:F21"/>
    <mergeCell ref="B22:F2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topLeftCell="A16" zoomScale="80" zoomScaleNormal="80" workbookViewId="0">
      <selection activeCell="B36" sqref="B36:B37"/>
    </sheetView>
  </sheetViews>
  <sheetFormatPr defaultColWidth="9.109375" defaultRowHeight="14.4"/>
  <cols>
    <col min="1" max="1" width="3.6640625" style="97" customWidth="1"/>
    <col min="2" max="2" width="19.5546875" style="97" customWidth="1"/>
    <col min="3" max="3" width="37.6640625" style="97" customWidth="1"/>
    <col min="4" max="16384" width="9.109375" style="97"/>
  </cols>
  <sheetData>
    <row r="2" spans="2:3" ht="18">
      <c r="B2" s="95" t="s">
        <v>302</v>
      </c>
      <c r="C2" s="96"/>
    </row>
    <row r="3" spans="2:3">
      <c r="B3" s="122" t="s">
        <v>303</v>
      </c>
      <c r="C3" s="123" t="s">
        <v>108</v>
      </c>
    </row>
    <row r="4" spans="2:3">
      <c r="B4" s="98" t="s">
        <v>588</v>
      </c>
      <c r="C4" s="124" t="s">
        <v>358</v>
      </c>
    </row>
    <row r="5" spans="2:3">
      <c r="B5" s="99" t="s">
        <v>308</v>
      </c>
      <c r="C5" s="125" t="s">
        <v>309</v>
      </c>
    </row>
    <row r="6" spans="2:3">
      <c r="B6" s="99" t="s">
        <v>310</v>
      </c>
      <c r="C6" s="125" t="s">
        <v>336</v>
      </c>
    </row>
    <row r="7" spans="2:3">
      <c r="B7" s="99" t="s">
        <v>311</v>
      </c>
      <c r="C7" s="125" t="s">
        <v>335</v>
      </c>
    </row>
    <row r="8" spans="2:3">
      <c r="B8" s="99" t="s">
        <v>312</v>
      </c>
      <c r="C8" s="125" t="s">
        <v>315</v>
      </c>
    </row>
    <row r="9" spans="2:3">
      <c r="B9" s="99" t="s">
        <v>313</v>
      </c>
      <c r="C9" s="125" t="s">
        <v>314</v>
      </c>
    </row>
    <row r="10" spans="2:3">
      <c r="B10" s="99" t="s">
        <v>316</v>
      </c>
      <c r="C10" s="125" t="s">
        <v>329</v>
      </c>
    </row>
    <row r="11" spans="2:3">
      <c r="B11" s="99" t="s">
        <v>317</v>
      </c>
      <c r="C11" s="125" t="s">
        <v>330</v>
      </c>
    </row>
    <row r="12" spans="2:3">
      <c r="B12" s="99" t="s">
        <v>318</v>
      </c>
      <c r="C12" s="125" t="s">
        <v>331</v>
      </c>
    </row>
    <row r="13" spans="2:3">
      <c r="B13" s="99" t="s">
        <v>319</v>
      </c>
      <c r="C13" s="125" t="s">
        <v>332</v>
      </c>
    </row>
    <row r="14" spans="2:3">
      <c r="B14" s="99" t="s">
        <v>320</v>
      </c>
      <c r="C14" s="125" t="s">
        <v>333</v>
      </c>
    </row>
    <row r="15" spans="2:3">
      <c r="B15" s="99" t="s">
        <v>321</v>
      </c>
      <c r="C15" s="125" t="s">
        <v>334</v>
      </c>
    </row>
    <row r="16" spans="2:3">
      <c r="B16" s="100" t="s">
        <v>327</v>
      </c>
      <c r="C16" s="126" t="s">
        <v>328</v>
      </c>
    </row>
    <row r="17" spans="2:3">
      <c r="B17" s="101"/>
    </row>
    <row r="18" spans="2:3" ht="18">
      <c r="B18" s="104" t="s">
        <v>304</v>
      </c>
      <c r="C18" s="105"/>
    </row>
    <row r="19" spans="2:3">
      <c r="B19" s="112"/>
      <c r="C19" s="119" t="s">
        <v>323</v>
      </c>
    </row>
    <row r="20" spans="2:3">
      <c r="B20" s="113"/>
      <c r="C20" s="120" t="s">
        <v>322</v>
      </c>
    </row>
    <row r="21" spans="2:3">
      <c r="B21" s="114"/>
      <c r="C21" s="120" t="s">
        <v>324</v>
      </c>
    </row>
    <row r="22" spans="2:3">
      <c r="B22" s="115"/>
      <c r="C22" s="120" t="s">
        <v>325</v>
      </c>
    </row>
    <row r="23" spans="2:3">
      <c r="B23" s="116"/>
      <c r="C23" s="120" t="s">
        <v>326</v>
      </c>
    </row>
    <row r="24" spans="2:3">
      <c r="B24" s="117"/>
      <c r="C24" s="120" t="s">
        <v>173</v>
      </c>
    </row>
    <row r="25" spans="2:3">
      <c r="B25" s="118"/>
      <c r="C25" s="121" t="s">
        <v>95</v>
      </c>
    </row>
    <row r="26" spans="2:3">
      <c r="B26" s="102"/>
      <c r="C26" s="103"/>
    </row>
    <row r="27" spans="2:3" ht="18">
      <c r="B27" s="104" t="s">
        <v>58</v>
      </c>
      <c r="C27" s="105"/>
    </row>
    <row r="28" spans="2:3">
      <c r="B28" s="106" t="s">
        <v>305</v>
      </c>
      <c r="C28" s="111" t="s">
        <v>947</v>
      </c>
    </row>
    <row r="29" spans="2:3">
      <c r="B29" s="107" t="s">
        <v>300</v>
      </c>
      <c r="C29" s="108" t="s">
        <v>88</v>
      </c>
    </row>
    <row r="30" spans="2:3">
      <c r="B30" s="107" t="s">
        <v>306</v>
      </c>
      <c r="C30" s="390" t="s">
        <v>359</v>
      </c>
    </row>
    <row r="31" spans="2:3">
      <c r="B31" s="109" t="s">
        <v>307</v>
      </c>
      <c r="C31" s="110">
        <v>2018</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O71"/>
  <sheetViews>
    <sheetView view="pageBreakPreview" topLeftCell="A16" zoomScale="60" zoomScaleNormal="65" workbookViewId="0">
      <selection activeCell="A55" sqref="A55:XFD55"/>
    </sheetView>
  </sheetViews>
  <sheetFormatPr defaultColWidth="9.109375" defaultRowHeight="13.2"/>
  <cols>
    <col min="1" max="1" width="51.44140625" style="89" customWidth="1"/>
    <col min="2" max="2" width="15.6640625" style="69" customWidth="1"/>
    <col min="3" max="4" width="7.5546875" style="90" bestFit="1" customWidth="1"/>
    <col min="5" max="5" width="9.109375" style="90"/>
    <col min="6" max="6" width="6.109375" style="91" customWidth="1"/>
    <col min="7" max="7" width="5.88671875" style="91" bestFit="1" customWidth="1"/>
    <col min="8" max="8" width="6.44140625" style="90" bestFit="1" customWidth="1"/>
    <col min="9" max="9" width="6.109375" style="91" bestFit="1" customWidth="1"/>
    <col min="10" max="10" width="6" style="91" bestFit="1" customWidth="1"/>
    <col min="11" max="11" width="6.88671875" style="91" bestFit="1" customWidth="1"/>
    <col min="12" max="12" width="8.6640625" style="83" bestFit="1" customWidth="1"/>
    <col min="13" max="13" width="8.109375" style="82" bestFit="1" customWidth="1"/>
    <col min="14" max="14" width="5.33203125" style="82" customWidth="1"/>
    <col min="15" max="15" width="7.44140625" style="82" customWidth="1"/>
    <col min="16" max="16" width="7.44140625" style="82" bestFit="1" customWidth="1"/>
    <col min="17" max="17" width="8.109375" style="82" bestFit="1" customWidth="1"/>
    <col min="18" max="18" width="7.33203125" style="82" bestFit="1" customWidth="1"/>
    <col min="19" max="19" width="7.44140625" style="82" bestFit="1" customWidth="1"/>
    <col min="20" max="20" width="8.44140625" style="82" bestFit="1" customWidth="1"/>
    <col min="21" max="21" width="6.88671875" style="82" bestFit="1" customWidth="1"/>
    <col min="22" max="24" width="5.44140625" style="82" customWidth="1"/>
    <col min="25" max="25" width="5.44140625" style="91" customWidth="1"/>
    <col min="26" max="26" width="8.109375" style="86" bestFit="1" customWidth="1"/>
    <col min="27" max="27" width="6.6640625" style="83" bestFit="1" customWidth="1"/>
    <col min="28" max="29" width="5.5546875" style="82" customWidth="1"/>
    <col min="30" max="30" width="8.6640625" style="82" bestFit="1" customWidth="1"/>
    <col min="31" max="31" width="5.5546875" style="82" customWidth="1"/>
    <col min="32" max="32" width="5.6640625" style="82" customWidth="1"/>
    <col min="33" max="33" width="7" style="82" customWidth="1"/>
    <col min="34" max="36" width="5.5546875" style="82" customWidth="1"/>
    <col min="37" max="37" width="8.6640625" style="86" bestFit="1" customWidth="1"/>
    <col min="38" max="38" width="4.44140625" style="92" bestFit="1" customWidth="1"/>
    <col min="39" max="39" width="9.33203125" style="82" bestFit="1" customWidth="1"/>
    <col min="40" max="40" width="9.109375" style="69"/>
    <col min="41" max="41" width="9.109375" style="60"/>
    <col min="42" max="16384" width="9.109375" style="69"/>
  </cols>
  <sheetData>
    <row r="1" spans="1:41" s="57" customFormat="1" ht="105.75" customHeight="1" thickBot="1">
      <c r="A1" s="148" t="s">
        <v>341</v>
      </c>
      <c r="B1" s="343" t="s">
        <v>340</v>
      </c>
      <c r="C1" s="327" t="s">
        <v>174</v>
      </c>
      <c r="D1" s="328" t="s">
        <v>175</v>
      </c>
      <c r="E1" s="329" t="s">
        <v>176</v>
      </c>
      <c r="F1" s="330" t="s">
        <v>177</v>
      </c>
      <c r="G1" s="330" t="s">
        <v>178</v>
      </c>
      <c r="H1" s="331" t="s">
        <v>179</v>
      </c>
      <c r="I1" s="328" t="s">
        <v>180</v>
      </c>
      <c r="J1" s="329" t="s">
        <v>181</v>
      </c>
      <c r="K1" s="329" t="s">
        <v>182</v>
      </c>
      <c r="L1" s="331" t="s">
        <v>183</v>
      </c>
      <c r="M1" s="328" t="s">
        <v>184</v>
      </c>
      <c r="N1" s="329" t="s">
        <v>185</v>
      </c>
      <c r="O1" s="329" t="s">
        <v>186</v>
      </c>
      <c r="P1" s="329" t="s">
        <v>187</v>
      </c>
      <c r="Q1" s="329" t="s">
        <v>188</v>
      </c>
      <c r="R1" s="329" t="s">
        <v>189</v>
      </c>
      <c r="S1" s="329" t="s">
        <v>190</v>
      </c>
      <c r="T1" s="329" t="s">
        <v>191</v>
      </c>
      <c r="U1" s="329" t="s">
        <v>192</v>
      </c>
      <c r="V1" s="330" t="s">
        <v>193</v>
      </c>
      <c r="W1" s="330" t="s">
        <v>194</v>
      </c>
      <c r="X1" s="330" t="s">
        <v>195</v>
      </c>
      <c r="Y1" s="329" t="s">
        <v>196</v>
      </c>
      <c r="Z1" s="331" t="s">
        <v>197</v>
      </c>
      <c r="AA1" s="332" t="s">
        <v>198</v>
      </c>
      <c r="AB1" s="333" t="s">
        <v>199</v>
      </c>
      <c r="AC1" s="329" t="s">
        <v>200</v>
      </c>
      <c r="AD1" s="329" t="s">
        <v>201</v>
      </c>
      <c r="AE1" s="329" t="s">
        <v>202</v>
      </c>
      <c r="AF1" s="329" t="s">
        <v>203</v>
      </c>
      <c r="AG1" s="329" t="s">
        <v>204</v>
      </c>
      <c r="AH1" s="329" t="s">
        <v>205</v>
      </c>
      <c r="AI1" s="330" t="s">
        <v>206</v>
      </c>
      <c r="AJ1" s="331" t="s">
        <v>207</v>
      </c>
      <c r="AK1" s="331" t="s">
        <v>208</v>
      </c>
      <c r="AL1" s="332" t="s">
        <v>209</v>
      </c>
      <c r="AM1" s="334" t="s">
        <v>210</v>
      </c>
      <c r="AO1" s="58"/>
    </row>
    <row r="2" spans="1:41" s="59" customFormat="1" ht="12.75" customHeight="1">
      <c r="A2" s="164" t="s">
        <v>230</v>
      </c>
      <c r="B2" s="165"/>
      <c r="C2" s="209">
        <f>SUM(D2:G2)</f>
        <v>0</v>
      </c>
      <c r="D2" s="210">
        <v>0</v>
      </c>
      <c r="E2" s="211"/>
      <c r="F2" s="212"/>
      <c r="G2" s="212"/>
      <c r="H2" s="262">
        <f>SUM(I2:K2)</f>
        <v>815.92434898628403</v>
      </c>
      <c r="I2" s="138">
        <v>688.22034898628408</v>
      </c>
      <c r="J2" s="358">
        <v>127.70399999999999</v>
      </c>
      <c r="K2" s="263"/>
      <c r="L2" s="262">
        <f>SUM(M2:Y2)</f>
        <v>0</v>
      </c>
      <c r="M2" s="138"/>
      <c r="N2" s="149"/>
      <c r="O2" s="149"/>
      <c r="P2" s="149"/>
      <c r="Q2" s="149"/>
      <c r="R2" s="149"/>
      <c r="S2" s="149"/>
      <c r="T2" s="149"/>
      <c r="U2" s="149"/>
      <c r="V2" s="212"/>
      <c r="W2" s="212"/>
      <c r="X2" s="212"/>
      <c r="Y2" s="263"/>
      <c r="Z2" s="262">
        <v>2751.9191872187112</v>
      </c>
      <c r="AA2" s="280">
        <f>SUM(AB2:AI2)</f>
        <v>1326.3230582727738</v>
      </c>
      <c r="AB2" s="281">
        <v>59.691708987970003</v>
      </c>
      <c r="AC2" s="263">
        <v>743.01992281532614</v>
      </c>
      <c r="AD2" s="263">
        <v>386.92983626909194</v>
      </c>
      <c r="AE2" s="263">
        <v>33.531818868055431</v>
      </c>
      <c r="AF2" s="263">
        <v>16.813132576534866</v>
      </c>
      <c r="AG2" s="263">
        <v>27.095124147648001</v>
      </c>
      <c r="AH2" s="138">
        <v>14.978481167970049</v>
      </c>
      <c r="AI2" s="212">
        <v>44.263033440177487</v>
      </c>
      <c r="AJ2" s="308">
        <v>145.43710297949829</v>
      </c>
      <c r="AK2" s="308"/>
      <c r="AL2" s="280"/>
      <c r="AM2" s="166">
        <f>C2+H2+L2+Z2+AA2+AJ2+AK2+AL2</f>
        <v>5039.6036974572671</v>
      </c>
      <c r="AO2" s="60"/>
    </row>
    <row r="3" spans="1:41" s="59" customFormat="1" ht="12.75" customHeight="1">
      <c r="A3" s="167" t="s">
        <v>231</v>
      </c>
      <c r="B3" s="168"/>
      <c r="C3" s="213">
        <f>SUM(D3:G3)</f>
        <v>845.31519216250194</v>
      </c>
      <c r="D3" s="214">
        <v>795.03994947759963</v>
      </c>
      <c r="E3" s="325">
        <v>42.207539024941362</v>
      </c>
      <c r="F3" s="161"/>
      <c r="G3" s="161">
        <v>8.0677036599609497</v>
      </c>
      <c r="H3" s="264">
        <f>SUM(I3:K3)</f>
        <v>0</v>
      </c>
      <c r="I3" s="139"/>
      <c r="J3" s="359"/>
      <c r="K3" s="146"/>
      <c r="L3" s="264">
        <f>SUM(M3:Y3)</f>
        <v>9098.7612301490572</v>
      </c>
      <c r="M3" s="139">
        <v>3053.4742963851995</v>
      </c>
      <c r="N3" s="146">
        <v>0</v>
      </c>
      <c r="O3" s="146">
        <v>564.2282843555555</v>
      </c>
      <c r="P3" s="146">
        <v>369.55541863968</v>
      </c>
      <c r="Q3" s="146">
        <v>1543.1782335883197</v>
      </c>
      <c r="R3" s="146">
        <v>59.086705990112996</v>
      </c>
      <c r="S3" s="146">
        <v>157.5463640726893</v>
      </c>
      <c r="T3" s="146">
        <v>2941.4703035056637</v>
      </c>
      <c r="U3" s="146">
        <v>163.70335639230669</v>
      </c>
      <c r="V3" s="161">
        <v>0</v>
      </c>
      <c r="W3" s="161">
        <v>201.02619184950296</v>
      </c>
      <c r="X3" s="161">
        <v>1.2397796420726457</v>
      </c>
      <c r="Y3" s="146">
        <v>44.252295727955044</v>
      </c>
      <c r="Z3" s="264">
        <v>1728.338063506957</v>
      </c>
      <c r="AA3" s="282">
        <f>SUM(AB3:AI3)</f>
        <v>150.18873559012798</v>
      </c>
      <c r="AB3" s="283"/>
      <c r="AC3" s="146"/>
      <c r="AD3" s="146">
        <v>23.169037781663999</v>
      </c>
      <c r="AE3" s="146"/>
      <c r="AF3" s="146"/>
      <c r="AG3" s="146">
        <v>127.01969780846397</v>
      </c>
      <c r="AH3" s="139"/>
      <c r="AI3" s="161"/>
      <c r="AJ3" s="309"/>
      <c r="AK3" s="309">
        <v>139.45061680000001</v>
      </c>
      <c r="AL3" s="282"/>
      <c r="AM3" s="169">
        <f t="shared" ref="AM3:AM21" si="0">C3+H3+L3+Z3+AA3+AJ3+AK3+AL3</f>
        <v>11962.053838208643</v>
      </c>
      <c r="AO3" s="60"/>
    </row>
    <row r="4" spans="1:41" s="59" customFormat="1" ht="12.75" customHeight="1">
      <c r="A4" s="167" t="s">
        <v>232</v>
      </c>
      <c r="B4" s="168"/>
      <c r="C4" s="213">
        <f>SUM(D4:G4)</f>
        <v>15.186580890896002</v>
      </c>
      <c r="D4" s="214">
        <v>0</v>
      </c>
      <c r="E4" s="215">
        <v>14.097722162000002</v>
      </c>
      <c r="F4" s="161"/>
      <c r="G4" s="161">
        <v>1.0888587288959999</v>
      </c>
      <c r="H4" s="264">
        <f>SUM(I4:K4)</f>
        <v>7.0330680000000001</v>
      </c>
      <c r="I4" s="139"/>
      <c r="J4" s="359"/>
      <c r="K4" s="146">
        <v>7.0330680000000001</v>
      </c>
      <c r="L4" s="264">
        <f>SUM(M4:Y4)</f>
        <v>1717.0574370770564</v>
      </c>
      <c r="M4" s="139">
        <v>0</v>
      </c>
      <c r="N4" s="146"/>
      <c r="O4" s="146">
        <v>364.52221864444448</v>
      </c>
      <c r="P4" s="146">
        <v>21.672508399360005</v>
      </c>
      <c r="Q4" s="146">
        <v>156.29379915984001</v>
      </c>
      <c r="R4" s="146">
        <v>986.60611760112999</v>
      </c>
      <c r="S4" s="146">
        <v>35.289733288720633</v>
      </c>
      <c r="T4" s="146">
        <v>102.14625414775992</v>
      </c>
      <c r="U4" s="146">
        <v>2.9088437938490893E-3</v>
      </c>
      <c r="V4" s="161">
        <v>36.297317128453038</v>
      </c>
      <c r="W4" s="161">
        <v>5.465927722</v>
      </c>
      <c r="X4" s="161">
        <v>1.7941621000000001E-2</v>
      </c>
      <c r="Y4" s="146">
        <v>8.7427105205545299</v>
      </c>
      <c r="Z4" s="264">
        <v>0</v>
      </c>
      <c r="AA4" s="282">
        <f>SUM(AB4:AI4)</f>
        <v>9.4476585178560004</v>
      </c>
      <c r="AB4" s="283"/>
      <c r="AC4" s="146"/>
      <c r="AD4" s="146">
        <v>0.41264639999999991</v>
      </c>
      <c r="AE4" s="146"/>
      <c r="AF4" s="146"/>
      <c r="AG4" s="146">
        <v>9.0350121178560006</v>
      </c>
      <c r="AH4" s="139"/>
      <c r="AI4" s="161"/>
      <c r="AJ4" s="309"/>
      <c r="AK4" s="309">
        <v>141.83539077999998</v>
      </c>
      <c r="AL4" s="282"/>
      <c r="AM4" s="169">
        <f t="shared" si="0"/>
        <v>1890.5601352658084</v>
      </c>
      <c r="AO4" s="60"/>
    </row>
    <row r="5" spans="1:41" s="59" customFormat="1" ht="12.75" customHeight="1">
      <c r="A5" s="167" t="s">
        <v>233</v>
      </c>
      <c r="B5" s="168"/>
      <c r="C5" s="213">
        <f>SUM(D5:G5)</f>
        <v>0</v>
      </c>
      <c r="D5" s="214"/>
      <c r="E5" s="215"/>
      <c r="F5" s="161"/>
      <c r="G5" s="161"/>
      <c r="H5" s="264">
        <f>SUM(I5:K5)</f>
        <v>0</v>
      </c>
      <c r="I5" s="139"/>
      <c r="J5" s="359"/>
      <c r="K5" s="146"/>
      <c r="L5" s="264">
        <f>SUM(M5:Y5)</f>
        <v>162.14899063248015</v>
      </c>
      <c r="M5" s="139"/>
      <c r="N5" s="146"/>
      <c r="O5" s="146"/>
      <c r="P5" s="146"/>
      <c r="Q5" s="146"/>
      <c r="R5" s="146">
        <v>15.730078096892656</v>
      </c>
      <c r="S5" s="146"/>
      <c r="T5" s="146">
        <v>146.41891253558748</v>
      </c>
      <c r="U5" s="146"/>
      <c r="V5" s="161"/>
      <c r="W5" s="161"/>
      <c r="X5" s="161"/>
      <c r="Y5" s="146"/>
      <c r="Z5" s="264"/>
      <c r="AA5" s="282">
        <f>SUM(AB5:AI5)</f>
        <v>0</v>
      </c>
      <c r="AB5" s="283"/>
      <c r="AC5" s="146"/>
      <c r="AD5" s="146"/>
      <c r="AE5" s="146"/>
      <c r="AF5" s="146"/>
      <c r="AG5" s="146"/>
      <c r="AH5" s="139"/>
      <c r="AI5" s="161"/>
      <c r="AJ5" s="309"/>
      <c r="AK5" s="309"/>
      <c r="AL5" s="282"/>
      <c r="AM5" s="169">
        <f t="shared" si="0"/>
        <v>162.14899063248015</v>
      </c>
      <c r="AO5" s="60"/>
    </row>
    <row r="6" spans="1:41" s="59" customFormat="1" ht="12.75" customHeight="1" thickBot="1">
      <c r="A6" s="170" t="s">
        <v>234</v>
      </c>
      <c r="B6" s="171"/>
      <c r="C6" s="213">
        <f>SUM(D6:G6)</f>
        <v>-105.50045932171129</v>
      </c>
      <c r="D6" s="216">
        <v>-106.11399866466098</v>
      </c>
      <c r="E6" s="161">
        <v>-0.8079766727235479</v>
      </c>
      <c r="F6" s="217"/>
      <c r="G6" s="217">
        <v>1.4215160156732278</v>
      </c>
      <c r="H6" s="265">
        <f>SUM(I6:K6)</f>
        <v>-122.93905189963694</v>
      </c>
      <c r="I6" s="266">
        <v>-136.53826589963694</v>
      </c>
      <c r="J6" s="360">
        <v>0</v>
      </c>
      <c r="K6" s="266">
        <v>13.599214000000003</v>
      </c>
      <c r="L6" s="265">
        <f>SUM(M6:Y6)</f>
        <v>160.4304507360369</v>
      </c>
      <c r="M6" s="139">
        <v>38.730964773999993</v>
      </c>
      <c r="N6" s="146"/>
      <c r="O6" s="146">
        <v>-9.6980083333333713</v>
      </c>
      <c r="P6" s="146">
        <v>12.883201938880001</v>
      </c>
      <c r="Q6" s="146">
        <v>82.12024884504001</v>
      </c>
      <c r="R6" s="146">
        <v>23.637599999999999</v>
      </c>
      <c r="S6" s="146">
        <v>1.4659197380156652</v>
      </c>
      <c r="T6" s="146">
        <v>8.3874136006762399</v>
      </c>
      <c r="U6" s="146">
        <v>3.419577960051174</v>
      </c>
      <c r="V6" s="217">
        <v>-0.51646778729281662</v>
      </c>
      <c r="W6" s="217">
        <v>0</v>
      </c>
      <c r="X6" s="217">
        <v>0</v>
      </c>
      <c r="Y6" s="266">
        <v>0</v>
      </c>
      <c r="Z6" s="265">
        <v>0</v>
      </c>
      <c r="AA6" s="284">
        <f>SUM(AB6:AI6)</f>
        <v>4.2804283179600002</v>
      </c>
      <c r="AB6" s="285"/>
      <c r="AC6" s="157"/>
      <c r="AD6" s="157">
        <v>8.7401158199999704E-2</v>
      </c>
      <c r="AE6" s="157"/>
      <c r="AF6" s="157"/>
      <c r="AG6" s="157">
        <v>4.1930271597600006</v>
      </c>
      <c r="AH6" s="266"/>
      <c r="AI6" s="217"/>
      <c r="AJ6" s="310"/>
      <c r="AK6" s="310"/>
      <c r="AL6" s="284"/>
      <c r="AM6" s="172">
        <f t="shared" si="0"/>
        <v>-63.728632167351321</v>
      </c>
      <c r="AO6" s="60"/>
    </row>
    <row r="7" spans="1:41" s="62" customFormat="1" ht="12.75" customHeight="1">
      <c r="A7" s="176" t="s">
        <v>235</v>
      </c>
      <c r="B7" s="177"/>
      <c r="C7" s="220">
        <f t="shared" ref="C7:AL7" si="1">C2+C3-C4-C5+C6</f>
        <v>724.62815194989457</v>
      </c>
      <c r="D7" s="286">
        <f t="shared" si="1"/>
        <v>688.92595081293871</v>
      </c>
      <c r="E7" s="151">
        <f t="shared" si="1"/>
        <v>27.30184019021781</v>
      </c>
      <c r="F7" s="151">
        <f t="shared" si="1"/>
        <v>0</v>
      </c>
      <c r="G7" s="151">
        <f t="shared" si="1"/>
        <v>8.4003609467381786</v>
      </c>
      <c r="H7" s="268">
        <f t="shared" si="1"/>
        <v>685.95222908664709</v>
      </c>
      <c r="I7" s="286">
        <f t="shared" si="1"/>
        <v>551.68208308664714</v>
      </c>
      <c r="J7" s="361">
        <f t="shared" si="1"/>
        <v>127.70399999999999</v>
      </c>
      <c r="K7" s="151">
        <f t="shared" si="1"/>
        <v>6.5661460000000034</v>
      </c>
      <c r="L7" s="268">
        <f t="shared" si="1"/>
        <v>7379.9852531755569</v>
      </c>
      <c r="M7" s="286">
        <f t="shared" si="1"/>
        <v>3092.2052611591994</v>
      </c>
      <c r="N7" s="151">
        <f t="shared" si="1"/>
        <v>0</v>
      </c>
      <c r="O7" s="151">
        <f t="shared" si="1"/>
        <v>190.00805737777765</v>
      </c>
      <c r="P7" s="151">
        <f t="shared" si="1"/>
        <v>360.76611217919998</v>
      </c>
      <c r="Q7" s="151">
        <f t="shared" si="1"/>
        <v>1469.0046832735197</v>
      </c>
      <c r="R7" s="151">
        <f t="shared" si="1"/>
        <v>-919.61188970790954</v>
      </c>
      <c r="S7" s="151">
        <f t="shared" si="1"/>
        <v>123.72255052198433</v>
      </c>
      <c r="T7" s="151">
        <f t="shared" si="1"/>
        <v>2701.2925504229925</v>
      </c>
      <c r="U7" s="151">
        <f t="shared" si="1"/>
        <v>167.12002550856403</v>
      </c>
      <c r="V7" s="151">
        <f t="shared" si="1"/>
        <v>-36.813784915745856</v>
      </c>
      <c r="W7" s="151">
        <f t="shared" si="1"/>
        <v>195.56026412750296</v>
      </c>
      <c r="X7" s="151">
        <f t="shared" si="1"/>
        <v>1.2218380210726456</v>
      </c>
      <c r="Y7" s="151">
        <f t="shared" si="1"/>
        <v>35.509585207400512</v>
      </c>
      <c r="Z7" s="268">
        <f t="shared" si="1"/>
        <v>4480.2572507256682</v>
      </c>
      <c r="AA7" s="268">
        <f t="shared" si="1"/>
        <v>1471.3445636630058</v>
      </c>
      <c r="AB7" s="286">
        <f t="shared" si="1"/>
        <v>59.691708987970003</v>
      </c>
      <c r="AC7" s="151">
        <f t="shared" si="1"/>
        <v>743.01992281532614</v>
      </c>
      <c r="AD7" s="151">
        <f t="shared" si="1"/>
        <v>409.77362880895589</v>
      </c>
      <c r="AE7" s="151">
        <f t="shared" si="1"/>
        <v>33.531818868055431</v>
      </c>
      <c r="AF7" s="151">
        <f t="shared" si="1"/>
        <v>16.813132576534866</v>
      </c>
      <c r="AG7" s="151">
        <f t="shared" si="1"/>
        <v>149.27283699801595</v>
      </c>
      <c r="AH7" s="221">
        <f t="shared" si="1"/>
        <v>14.978481167970049</v>
      </c>
      <c r="AI7" s="286">
        <f t="shared" si="1"/>
        <v>44.263033440177487</v>
      </c>
      <c r="AJ7" s="268">
        <f t="shared" si="1"/>
        <v>145.43710297949829</v>
      </c>
      <c r="AK7" s="268">
        <f t="shared" si="1"/>
        <v>-2.3847739799999772</v>
      </c>
      <c r="AL7" s="314">
        <f t="shared" si="1"/>
        <v>0</v>
      </c>
      <c r="AM7" s="195">
        <f t="shared" si="0"/>
        <v>14885.21977760027</v>
      </c>
      <c r="AN7" s="59"/>
      <c r="AO7" s="61"/>
    </row>
    <row r="8" spans="1:41" s="62" customFormat="1" ht="12.75" customHeight="1" thickBot="1">
      <c r="A8" s="315" t="s">
        <v>236</v>
      </c>
      <c r="B8" s="316"/>
      <c r="C8" s="317">
        <f t="shared" ref="C8:AL8" si="2">C7-C28</f>
        <v>724.62815194989457</v>
      </c>
      <c r="D8" s="318">
        <f>D7-D28</f>
        <v>688.92595081293871</v>
      </c>
      <c r="E8" s="319">
        <f t="shared" si="2"/>
        <v>27.30184019021781</v>
      </c>
      <c r="F8" s="320">
        <f t="shared" si="2"/>
        <v>0</v>
      </c>
      <c r="G8" s="320">
        <f t="shared" si="2"/>
        <v>8.4003609467381786</v>
      </c>
      <c r="H8" s="321">
        <f t="shared" si="2"/>
        <v>685.95222908664709</v>
      </c>
      <c r="I8" s="318">
        <f t="shared" si="2"/>
        <v>551.68208308664714</v>
      </c>
      <c r="J8" s="362">
        <f t="shared" si="2"/>
        <v>127.70399999999999</v>
      </c>
      <c r="K8" s="319">
        <f t="shared" si="2"/>
        <v>6.5661460000000034</v>
      </c>
      <c r="L8" s="321">
        <f t="shared" si="2"/>
        <v>7147.6935658195807</v>
      </c>
      <c r="M8" s="318">
        <f t="shared" si="2"/>
        <v>3092.2052611591994</v>
      </c>
      <c r="N8" s="319">
        <f t="shared" si="2"/>
        <v>0</v>
      </c>
      <c r="O8" s="319">
        <f t="shared" si="2"/>
        <v>190.00805737777765</v>
      </c>
      <c r="P8" s="319">
        <f t="shared" si="2"/>
        <v>360.76611217919998</v>
      </c>
      <c r="Q8" s="319">
        <f t="shared" si="2"/>
        <v>1469.0046832735197</v>
      </c>
      <c r="R8" s="319">
        <f t="shared" si="2"/>
        <v>-919.61188970790954</v>
      </c>
      <c r="S8" s="319">
        <f t="shared" si="2"/>
        <v>123.72255052198433</v>
      </c>
      <c r="T8" s="319">
        <f t="shared" si="2"/>
        <v>2701.2925504229925</v>
      </c>
      <c r="U8" s="319">
        <f t="shared" si="2"/>
        <v>167.12002550856403</v>
      </c>
      <c r="V8" s="320">
        <f t="shared" si="2"/>
        <v>-36.813784915745856</v>
      </c>
      <c r="W8" s="320">
        <f t="shared" si="2"/>
        <v>0</v>
      </c>
      <c r="X8" s="320">
        <f t="shared" si="2"/>
        <v>0</v>
      </c>
      <c r="Y8" s="319">
        <f t="shared" si="2"/>
        <v>0</v>
      </c>
      <c r="Z8" s="321">
        <f t="shared" si="2"/>
        <v>4480.2572507256682</v>
      </c>
      <c r="AA8" s="326">
        <f t="shared" si="2"/>
        <v>1471.3445636630058</v>
      </c>
      <c r="AB8" s="318">
        <f t="shared" si="2"/>
        <v>59.691708987970003</v>
      </c>
      <c r="AC8" s="319">
        <f t="shared" si="2"/>
        <v>743.01992281532614</v>
      </c>
      <c r="AD8" s="319">
        <f t="shared" si="2"/>
        <v>409.77362880895589</v>
      </c>
      <c r="AE8" s="319">
        <f t="shared" si="2"/>
        <v>33.531818868055431</v>
      </c>
      <c r="AF8" s="319">
        <f t="shared" si="2"/>
        <v>16.813132576534866</v>
      </c>
      <c r="AG8" s="319">
        <f t="shared" si="2"/>
        <v>149.27283699801595</v>
      </c>
      <c r="AH8" s="338">
        <f t="shared" si="2"/>
        <v>14.978481167970049</v>
      </c>
      <c r="AI8" s="318">
        <f t="shared" si="2"/>
        <v>44.263033440177487</v>
      </c>
      <c r="AJ8" s="321">
        <f t="shared" si="2"/>
        <v>145.43710297949829</v>
      </c>
      <c r="AK8" s="321">
        <f t="shared" si="2"/>
        <v>-2.3847739799999772</v>
      </c>
      <c r="AL8" s="318">
        <f t="shared" si="2"/>
        <v>0</v>
      </c>
      <c r="AM8" s="322">
        <f t="shared" si="0"/>
        <v>14652.928090244295</v>
      </c>
      <c r="AN8" s="59"/>
      <c r="AO8" s="61"/>
    </row>
    <row r="9" spans="1:41" s="62" customFormat="1" ht="12.75" customHeight="1">
      <c r="A9" s="176" t="s">
        <v>237</v>
      </c>
      <c r="B9" s="177"/>
      <c r="C9" s="220">
        <f t="shared" ref="C9:AL9" si="3">SUM(C10:C14)</f>
        <v>488.64939432989598</v>
      </c>
      <c r="D9" s="221">
        <f t="shared" si="3"/>
        <v>488.64939432989598</v>
      </c>
      <c r="E9" s="151">
        <f t="shared" si="3"/>
        <v>0</v>
      </c>
      <c r="F9" s="222">
        <f t="shared" si="3"/>
        <v>0</v>
      </c>
      <c r="G9" s="222">
        <f t="shared" si="3"/>
        <v>0</v>
      </c>
      <c r="H9" s="268">
        <f t="shared" si="3"/>
        <v>539.94139129191865</v>
      </c>
      <c r="I9" s="221">
        <f t="shared" si="3"/>
        <v>539.94139129191865</v>
      </c>
      <c r="J9" s="361">
        <f t="shared" si="3"/>
        <v>0</v>
      </c>
      <c r="K9" s="151">
        <f t="shared" si="3"/>
        <v>0</v>
      </c>
      <c r="L9" s="268">
        <f t="shared" si="3"/>
        <v>3126.9350452866179</v>
      </c>
      <c r="M9" s="151">
        <f t="shared" si="3"/>
        <v>3092.2052611591994</v>
      </c>
      <c r="N9" s="151">
        <f t="shared" si="3"/>
        <v>0</v>
      </c>
      <c r="O9" s="151">
        <f t="shared" si="3"/>
        <v>0</v>
      </c>
      <c r="P9" s="151">
        <f t="shared" si="3"/>
        <v>0</v>
      </c>
      <c r="Q9" s="151">
        <f t="shared" si="3"/>
        <v>0</v>
      </c>
      <c r="R9" s="151">
        <f t="shared" si="3"/>
        <v>25.868327226603597</v>
      </c>
      <c r="S9" s="151">
        <f t="shared" si="3"/>
        <v>0.63499472294399995</v>
      </c>
      <c r="T9" s="151">
        <f t="shared" si="3"/>
        <v>8.2264621778709284</v>
      </c>
      <c r="U9" s="151">
        <f t="shared" si="3"/>
        <v>0</v>
      </c>
      <c r="V9" s="222">
        <f t="shared" si="3"/>
        <v>0</v>
      </c>
      <c r="W9" s="222">
        <f t="shared" si="3"/>
        <v>0</v>
      </c>
      <c r="X9" s="222">
        <f t="shared" si="3"/>
        <v>0</v>
      </c>
      <c r="Y9" s="151">
        <f t="shared" si="3"/>
        <v>0</v>
      </c>
      <c r="Z9" s="268">
        <f t="shared" si="3"/>
        <v>2501.2994242635782</v>
      </c>
      <c r="AA9" s="286">
        <f t="shared" si="3"/>
        <v>213.29280212790383</v>
      </c>
      <c r="AB9" s="287">
        <f t="shared" si="3"/>
        <v>0</v>
      </c>
      <c r="AC9" s="151">
        <f t="shared" si="3"/>
        <v>0</v>
      </c>
      <c r="AD9" s="151">
        <f t="shared" si="3"/>
        <v>172.72491180671966</v>
      </c>
      <c r="AE9" s="151">
        <f t="shared" si="3"/>
        <v>33.531818868055431</v>
      </c>
      <c r="AF9" s="151">
        <f t="shared" si="3"/>
        <v>7.0360714531287174</v>
      </c>
      <c r="AG9" s="151">
        <f t="shared" si="3"/>
        <v>0</v>
      </c>
      <c r="AH9" s="221">
        <f t="shared" si="3"/>
        <v>0</v>
      </c>
      <c r="AI9" s="222">
        <f t="shared" si="3"/>
        <v>0</v>
      </c>
      <c r="AJ9" s="268">
        <f t="shared" si="3"/>
        <v>90.714163374524205</v>
      </c>
      <c r="AK9" s="268">
        <f t="shared" si="3"/>
        <v>54.069944079999999</v>
      </c>
      <c r="AL9" s="286">
        <f t="shared" si="3"/>
        <v>0</v>
      </c>
      <c r="AM9" s="178">
        <f t="shared" si="0"/>
        <v>7014.9021647544387</v>
      </c>
      <c r="AN9" s="59"/>
      <c r="AO9" s="61"/>
    </row>
    <row r="10" spans="1:41" s="59" customFormat="1" ht="12.75" customHeight="1">
      <c r="A10" s="179" t="s">
        <v>238</v>
      </c>
      <c r="B10" s="180"/>
      <c r="C10" s="223">
        <f>SUM(D10:G10)</f>
        <v>488.64939432989598</v>
      </c>
      <c r="D10" s="224">
        <v>488.64939432989598</v>
      </c>
      <c r="E10" s="152"/>
      <c r="F10" s="225"/>
      <c r="G10" s="225"/>
      <c r="H10" s="269">
        <f>SUM(I10:K10)</f>
        <v>467.10845991760607</v>
      </c>
      <c r="I10" s="224">
        <v>467.10845991760607</v>
      </c>
      <c r="J10" s="363">
        <v>0</v>
      </c>
      <c r="K10" s="152"/>
      <c r="L10" s="269">
        <f>SUM(M10:Y10)</f>
        <v>34.094789404474525</v>
      </c>
      <c r="M10" s="152"/>
      <c r="N10" s="152"/>
      <c r="O10" s="152"/>
      <c r="P10" s="152"/>
      <c r="Q10" s="152"/>
      <c r="R10" s="152">
        <v>25.868327226603597</v>
      </c>
      <c r="S10" s="152"/>
      <c r="T10" s="152">
        <v>8.2264621778709284</v>
      </c>
      <c r="U10" s="152"/>
      <c r="V10" s="225"/>
      <c r="W10" s="225"/>
      <c r="X10" s="225"/>
      <c r="Y10" s="152"/>
      <c r="Z10" s="269">
        <v>2187.6033883210698</v>
      </c>
      <c r="AA10" s="288">
        <f>SUM(AB10:AI10)</f>
        <v>204.19282321191795</v>
      </c>
      <c r="AB10" s="289"/>
      <c r="AC10" s="152"/>
      <c r="AD10" s="152">
        <v>170.66100434386252</v>
      </c>
      <c r="AE10" s="152">
        <v>33.531818868055431</v>
      </c>
      <c r="AF10" s="152"/>
      <c r="AG10" s="152"/>
      <c r="AH10" s="224"/>
      <c r="AI10" s="225"/>
      <c r="AJ10" s="311">
        <v>90.714163374524205</v>
      </c>
      <c r="AK10" s="269"/>
      <c r="AL10" s="288"/>
      <c r="AM10" s="181">
        <f t="shared" si="0"/>
        <v>3472.3630185594884</v>
      </c>
      <c r="AO10" s="60"/>
    </row>
    <row r="11" spans="1:41" s="59" customFormat="1" ht="12.75" customHeight="1">
      <c r="A11" s="167" t="s">
        <v>239</v>
      </c>
      <c r="B11" s="168"/>
      <c r="C11" s="213">
        <f>SUM(D11:G11)</f>
        <v>0</v>
      </c>
      <c r="D11" s="139">
        <v>0</v>
      </c>
      <c r="E11" s="146"/>
      <c r="F11" s="161"/>
      <c r="G11" s="161"/>
      <c r="H11" s="264">
        <f>SUM(I11:K11)</f>
        <v>4.7573545322072528</v>
      </c>
      <c r="I11" s="139">
        <v>4.7573545322072528</v>
      </c>
      <c r="J11" s="359"/>
      <c r="K11" s="146"/>
      <c r="L11" s="264">
        <f>SUM(M11:Y11)</f>
        <v>0.63499472294399995</v>
      </c>
      <c r="M11" s="146"/>
      <c r="N11" s="159">
        <v>0</v>
      </c>
      <c r="O11" s="146"/>
      <c r="P11" s="146"/>
      <c r="Q11" s="146"/>
      <c r="R11" s="146">
        <v>0</v>
      </c>
      <c r="S11" s="146">
        <v>0.63499472294399995</v>
      </c>
      <c r="T11" s="146">
        <v>0</v>
      </c>
      <c r="U11" s="146"/>
      <c r="V11" s="161"/>
      <c r="W11" s="161"/>
      <c r="X11" s="161"/>
      <c r="Y11" s="146"/>
      <c r="Z11" s="264">
        <v>272.96145103491432</v>
      </c>
      <c r="AA11" s="282">
        <f>SUM(AB11:AI11)</f>
        <v>9.0999789159858597</v>
      </c>
      <c r="AB11" s="283"/>
      <c r="AC11" s="146"/>
      <c r="AD11" s="146">
        <v>2.0639074628571428</v>
      </c>
      <c r="AE11" s="146"/>
      <c r="AF11" s="146">
        <v>7.0360714531287174</v>
      </c>
      <c r="AG11" s="146"/>
      <c r="AH11" s="139"/>
      <c r="AI11" s="161"/>
      <c r="AJ11" s="309"/>
      <c r="AK11" s="309"/>
      <c r="AL11" s="282"/>
      <c r="AM11" s="169">
        <f t="shared" si="0"/>
        <v>287.45377920605142</v>
      </c>
      <c r="AO11" s="60"/>
    </row>
    <row r="12" spans="1:41" s="59" customFormat="1" ht="12.75" customHeight="1">
      <c r="A12" s="167" t="s">
        <v>240</v>
      </c>
      <c r="B12" s="168"/>
      <c r="C12" s="213"/>
      <c r="D12" s="139"/>
      <c r="E12" s="146"/>
      <c r="F12" s="161"/>
      <c r="G12" s="161"/>
      <c r="H12" s="264"/>
      <c r="I12" s="139"/>
      <c r="J12" s="359"/>
      <c r="K12" s="146"/>
      <c r="L12" s="264"/>
      <c r="M12" s="146"/>
      <c r="N12" s="159"/>
      <c r="O12" s="146"/>
      <c r="P12" s="146"/>
      <c r="Q12" s="146"/>
      <c r="R12" s="146"/>
      <c r="S12" s="146"/>
      <c r="T12" s="146"/>
      <c r="U12" s="146"/>
      <c r="V12" s="161"/>
      <c r="W12" s="161"/>
      <c r="X12" s="161"/>
      <c r="Y12" s="146"/>
      <c r="Z12" s="264"/>
      <c r="AA12" s="282"/>
      <c r="AB12" s="283"/>
      <c r="AC12" s="146"/>
      <c r="AD12" s="146"/>
      <c r="AE12" s="146"/>
      <c r="AF12" s="146"/>
      <c r="AG12" s="146"/>
      <c r="AH12" s="139"/>
      <c r="AI12" s="161"/>
      <c r="AJ12" s="309"/>
      <c r="AK12" s="309">
        <v>42.942060079999997</v>
      </c>
      <c r="AL12" s="282"/>
      <c r="AM12" s="169">
        <f t="shared" si="0"/>
        <v>42.942060079999997</v>
      </c>
      <c r="AO12" s="60"/>
    </row>
    <row r="13" spans="1:41" s="59" customFormat="1" ht="12.75" customHeight="1">
      <c r="A13" s="167" t="s">
        <v>241</v>
      </c>
      <c r="B13" s="168"/>
      <c r="C13" s="213">
        <f>SUM(D13:G13)</f>
        <v>0</v>
      </c>
      <c r="D13" s="139"/>
      <c r="E13" s="161"/>
      <c r="F13" s="161"/>
      <c r="G13" s="161"/>
      <c r="H13" s="264">
        <f>SUM(I13:K13)</f>
        <v>68.075576842105264</v>
      </c>
      <c r="I13" s="139">
        <v>68.075576842105264</v>
      </c>
      <c r="J13" s="359"/>
      <c r="K13" s="146"/>
      <c r="L13" s="264">
        <f>SUM(M13:Y13)</f>
        <v>0</v>
      </c>
      <c r="M13" s="146"/>
      <c r="N13" s="146"/>
      <c r="O13" s="146"/>
      <c r="P13" s="146"/>
      <c r="Q13" s="146"/>
      <c r="R13" s="146"/>
      <c r="S13" s="146"/>
      <c r="T13" s="146"/>
      <c r="U13" s="146"/>
      <c r="V13" s="161"/>
      <c r="W13" s="161"/>
      <c r="X13" s="161"/>
      <c r="Y13" s="146"/>
      <c r="Z13" s="264"/>
      <c r="AA13" s="282">
        <f>SUM(AB13:AI13)</f>
        <v>0</v>
      </c>
      <c r="AB13" s="283"/>
      <c r="AC13" s="146"/>
      <c r="AD13" s="146"/>
      <c r="AE13" s="146"/>
      <c r="AF13" s="146"/>
      <c r="AG13" s="146"/>
      <c r="AH13" s="139"/>
      <c r="AI13" s="161"/>
      <c r="AJ13" s="309"/>
      <c r="AK13" s="309"/>
      <c r="AL13" s="282"/>
      <c r="AM13" s="169">
        <f t="shared" si="0"/>
        <v>68.075576842105264</v>
      </c>
      <c r="AO13" s="60"/>
    </row>
    <row r="14" spans="1:41" s="59" customFormat="1" ht="12.75" customHeight="1">
      <c r="A14" s="182" t="s">
        <v>242</v>
      </c>
      <c r="B14" s="183"/>
      <c r="C14" s="226">
        <f>SUM(D14:G14)</f>
        <v>0</v>
      </c>
      <c r="D14" s="227"/>
      <c r="E14" s="153"/>
      <c r="F14" s="228"/>
      <c r="G14" s="228"/>
      <c r="H14" s="270">
        <f>SUM(I14:K14)</f>
        <v>0</v>
      </c>
      <c r="I14" s="227"/>
      <c r="J14" s="364"/>
      <c r="K14" s="153"/>
      <c r="L14" s="270">
        <f>SUM(M14:Y14)</f>
        <v>3092.2052611591994</v>
      </c>
      <c r="M14" s="153">
        <v>3092.2052611591994</v>
      </c>
      <c r="N14" s="153"/>
      <c r="O14" s="153"/>
      <c r="P14" s="153"/>
      <c r="Q14" s="153"/>
      <c r="R14" s="153"/>
      <c r="S14" s="153"/>
      <c r="T14" s="153"/>
      <c r="U14" s="153"/>
      <c r="V14" s="228"/>
      <c r="W14" s="228"/>
      <c r="X14" s="228"/>
      <c r="Y14" s="153"/>
      <c r="Z14" s="270">
        <v>40.734584907594211</v>
      </c>
      <c r="AA14" s="290">
        <f>SUM(AB14:AI14)</f>
        <v>0</v>
      </c>
      <c r="AB14" s="291"/>
      <c r="AC14" s="153"/>
      <c r="AD14" s="153"/>
      <c r="AE14" s="153"/>
      <c r="AF14" s="153"/>
      <c r="AG14" s="153"/>
      <c r="AH14" s="227"/>
      <c r="AI14" s="228"/>
      <c r="AJ14" s="312"/>
      <c r="AK14" s="312">
        <v>11.127884</v>
      </c>
      <c r="AL14" s="290"/>
      <c r="AM14" s="184">
        <f t="shared" si="0"/>
        <v>3144.0677300667935</v>
      </c>
      <c r="AO14" s="60"/>
    </row>
    <row r="15" spans="1:41" s="62" customFormat="1" ht="12.75" customHeight="1">
      <c r="A15" s="185" t="s">
        <v>243</v>
      </c>
      <c r="B15" s="163"/>
      <c r="C15" s="229">
        <f t="shared" ref="C15:AL15" si="4">SUM(C16:C21)</f>
        <v>0</v>
      </c>
      <c r="D15" s="230">
        <f t="shared" si="4"/>
        <v>0</v>
      </c>
      <c r="E15" s="154">
        <f t="shared" si="4"/>
        <v>0</v>
      </c>
      <c r="F15" s="231">
        <f t="shared" si="4"/>
        <v>0</v>
      </c>
      <c r="G15" s="231">
        <f t="shared" si="4"/>
        <v>0</v>
      </c>
      <c r="H15" s="271">
        <f t="shared" si="4"/>
        <v>64.671797999999995</v>
      </c>
      <c r="I15" s="230">
        <f t="shared" si="4"/>
        <v>0</v>
      </c>
      <c r="J15" s="365">
        <f t="shared" si="4"/>
        <v>0</v>
      </c>
      <c r="K15" s="154">
        <f t="shared" si="4"/>
        <v>64.671797999999995</v>
      </c>
      <c r="L15" s="271">
        <f t="shared" si="4"/>
        <v>3166.7368998172387</v>
      </c>
      <c r="M15" s="154">
        <f t="shared" si="4"/>
        <v>0</v>
      </c>
      <c r="N15" s="154">
        <f t="shared" si="4"/>
        <v>89.969014531910801</v>
      </c>
      <c r="O15" s="154">
        <f t="shared" si="4"/>
        <v>640.53679657777786</v>
      </c>
      <c r="P15" s="154">
        <f t="shared" si="4"/>
        <v>226.77459106847999</v>
      </c>
      <c r="Q15" s="154">
        <f t="shared" si="4"/>
        <v>0</v>
      </c>
      <c r="R15" s="154">
        <f t="shared" si="4"/>
        <v>960.95017928079096</v>
      </c>
      <c r="S15" s="154">
        <f t="shared" si="4"/>
        <v>64.797462901984332</v>
      </c>
      <c r="T15" s="154">
        <f t="shared" si="4"/>
        <v>1146.9502117491124</v>
      </c>
      <c r="U15" s="154">
        <f t="shared" si="4"/>
        <v>0</v>
      </c>
      <c r="V15" s="231">
        <f t="shared" si="4"/>
        <v>36.758643707182323</v>
      </c>
      <c r="W15" s="231">
        <f t="shared" si="4"/>
        <v>0</v>
      </c>
      <c r="X15" s="231">
        <f t="shared" si="4"/>
        <v>0</v>
      </c>
      <c r="Y15" s="154">
        <f t="shared" si="4"/>
        <v>0</v>
      </c>
      <c r="Z15" s="271">
        <f t="shared" si="4"/>
        <v>0</v>
      </c>
      <c r="AA15" s="186">
        <f t="shared" si="4"/>
        <v>72.589002064606689</v>
      </c>
      <c r="AB15" s="292">
        <f t="shared" si="4"/>
        <v>0</v>
      </c>
      <c r="AC15" s="154">
        <f t="shared" si="4"/>
        <v>0</v>
      </c>
      <c r="AD15" s="154">
        <f t="shared" si="4"/>
        <v>56.757089411255542</v>
      </c>
      <c r="AE15" s="160">
        <f t="shared" si="4"/>
        <v>11.967173135751148</v>
      </c>
      <c r="AF15" s="160">
        <f t="shared" si="4"/>
        <v>3.8647395175999999</v>
      </c>
      <c r="AG15" s="160">
        <f t="shared" si="4"/>
        <v>0</v>
      </c>
      <c r="AH15" s="230">
        <f t="shared" si="4"/>
        <v>0</v>
      </c>
      <c r="AI15" s="231">
        <f t="shared" si="4"/>
        <v>0</v>
      </c>
      <c r="AJ15" s="271">
        <f t="shared" si="4"/>
        <v>25.936587456974625</v>
      </c>
      <c r="AK15" s="271">
        <f t="shared" si="4"/>
        <v>1873.361490524092</v>
      </c>
      <c r="AL15" s="186">
        <f t="shared" si="4"/>
        <v>0</v>
      </c>
      <c r="AM15" s="187">
        <f t="shared" si="0"/>
        <v>5203.2957778629116</v>
      </c>
      <c r="AN15" s="59"/>
      <c r="AO15" s="61"/>
    </row>
    <row r="16" spans="1:41" s="66" customFormat="1" ht="12.75" customHeight="1">
      <c r="A16" s="179" t="s">
        <v>238</v>
      </c>
      <c r="B16" s="180"/>
      <c r="C16" s="223">
        <f>SUM(D16:G16)</f>
        <v>0</v>
      </c>
      <c r="D16" s="224"/>
      <c r="E16" s="152"/>
      <c r="F16" s="225"/>
      <c r="G16" s="225"/>
      <c r="H16" s="269">
        <f>SUM(I16:K16)</f>
        <v>0</v>
      </c>
      <c r="I16" s="224"/>
      <c r="J16" s="363"/>
      <c r="K16" s="152"/>
      <c r="L16" s="269">
        <f>SUM(M16:Y16)</f>
        <v>0</v>
      </c>
      <c r="M16" s="152"/>
      <c r="N16" s="152"/>
      <c r="O16" s="152"/>
      <c r="P16" s="152"/>
      <c r="Q16" s="152"/>
      <c r="R16" s="152"/>
      <c r="S16" s="152"/>
      <c r="T16" s="152"/>
      <c r="U16" s="152"/>
      <c r="V16" s="225"/>
      <c r="W16" s="225"/>
      <c r="X16" s="225"/>
      <c r="Y16" s="152"/>
      <c r="Z16" s="269"/>
      <c r="AA16" s="288">
        <f>SUM(AB16:AI16)</f>
        <v>67.629224547006686</v>
      </c>
      <c r="AB16" s="289"/>
      <c r="AC16" s="152"/>
      <c r="AD16" s="152">
        <v>55.66205141125554</v>
      </c>
      <c r="AE16" s="159">
        <v>11.967173135751148</v>
      </c>
      <c r="AF16" s="159"/>
      <c r="AG16" s="159"/>
      <c r="AH16" s="224"/>
      <c r="AI16" s="225"/>
      <c r="AJ16" s="311">
        <v>25.936587456974625</v>
      </c>
      <c r="AK16" s="311">
        <v>1667.7865923774164</v>
      </c>
      <c r="AL16" s="288"/>
      <c r="AM16" s="188">
        <f>C16+H16+L16+Z16+AK16+AL16</f>
        <v>1667.7865923774164</v>
      </c>
      <c r="AN16" s="59"/>
      <c r="AO16" s="65"/>
    </row>
    <row r="17" spans="1:41" s="66" customFormat="1" ht="12.75" customHeight="1">
      <c r="A17" s="167" t="s">
        <v>244</v>
      </c>
      <c r="B17" s="168"/>
      <c r="C17" s="213">
        <f>SUM(D17:G17)</f>
        <v>0</v>
      </c>
      <c r="D17" s="139"/>
      <c r="E17" s="146"/>
      <c r="F17" s="161"/>
      <c r="G17" s="161"/>
      <c r="H17" s="264">
        <f>SUM(I17:K17)</f>
        <v>0</v>
      </c>
      <c r="I17" s="139"/>
      <c r="J17" s="359"/>
      <c r="K17" s="146"/>
      <c r="L17" s="264">
        <f>SUM(M17:Y17)</f>
        <v>0</v>
      </c>
      <c r="M17" s="146"/>
      <c r="N17" s="146"/>
      <c r="O17" s="146"/>
      <c r="P17" s="146"/>
      <c r="Q17" s="146"/>
      <c r="R17" s="146"/>
      <c r="S17" s="146"/>
      <c r="T17" s="146"/>
      <c r="U17" s="146"/>
      <c r="V17" s="161"/>
      <c r="W17" s="161"/>
      <c r="X17" s="161"/>
      <c r="Y17" s="146"/>
      <c r="Z17" s="264"/>
      <c r="AA17" s="282">
        <f>SUM(AB17:AI17)</f>
        <v>4.9597775176000001</v>
      </c>
      <c r="AB17" s="283"/>
      <c r="AC17" s="146"/>
      <c r="AD17" s="146">
        <v>1.095038</v>
      </c>
      <c r="AE17" s="146"/>
      <c r="AF17" s="146">
        <v>3.8647395175999999</v>
      </c>
      <c r="AG17" s="146"/>
      <c r="AH17" s="139"/>
      <c r="AI17" s="161"/>
      <c r="AJ17" s="309"/>
      <c r="AK17" s="342">
        <v>185.14395873624346</v>
      </c>
      <c r="AL17" s="282"/>
      <c r="AM17" s="169">
        <f>C17+H17+L17+Z17+AK17+AL17</f>
        <v>185.14395873624346</v>
      </c>
      <c r="AN17" s="59"/>
      <c r="AO17" s="65"/>
    </row>
    <row r="18" spans="1:41" s="66" customFormat="1" ht="12.75" customHeight="1">
      <c r="A18" s="167" t="s">
        <v>245</v>
      </c>
      <c r="B18" s="168"/>
      <c r="C18" s="213"/>
      <c r="D18" s="139"/>
      <c r="E18" s="146"/>
      <c r="F18" s="161"/>
      <c r="G18" s="161"/>
      <c r="H18" s="264"/>
      <c r="I18" s="139"/>
      <c r="J18" s="359"/>
      <c r="K18" s="146"/>
      <c r="L18" s="264"/>
      <c r="M18" s="146"/>
      <c r="N18" s="146"/>
      <c r="O18" s="146"/>
      <c r="P18" s="146"/>
      <c r="Q18" s="146"/>
      <c r="R18" s="146"/>
      <c r="S18" s="146"/>
      <c r="T18" s="146"/>
      <c r="U18" s="146"/>
      <c r="V18" s="161"/>
      <c r="W18" s="161"/>
      <c r="X18" s="161"/>
      <c r="Y18" s="146"/>
      <c r="Z18" s="264"/>
      <c r="AA18" s="282">
        <f>SUM(AB18:AI18)</f>
        <v>0</v>
      </c>
      <c r="AB18" s="283"/>
      <c r="AC18" s="146"/>
      <c r="AD18" s="146"/>
      <c r="AE18" s="146"/>
      <c r="AF18" s="146"/>
      <c r="AG18" s="146"/>
      <c r="AH18" s="139"/>
      <c r="AI18" s="161"/>
      <c r="AJ18" s="309"/>
      <c r="AK18" s="309"/>
      <c r="AL18" s="282"/>
      <c r="AM18" s="169">
        <f t="shared" si="0"/>
        <v>0</v>
      </c>
      <c r="AN18" s="59"/>
      <c r="AO18" s="65"/>
    </row>
    <row r="19" spans="1:41" s="66" customFormat="1" ht="12.75" customHeight="1">
      <c r="A19" s="167" t="s">
        <v>246</v>
      </c>
      <c r="B19" s="168"/>
      <c r="C19" s="213"/>
      <c r="D19" s="139"/>
      <c r="E19" s="146"/>
      <c r="F19" s="161"/>
      <c r="G19" s="161"/>
      <c r="H19" s="264"/>
      <c r="I19" s="139"/>
      <c r="J19" s="359"/>
      <c r="K19" s="146"/>
      <c r="L19" s="264"/>
      <c r="M19" s="146"/>
      <c r="N19" s="146"/>
      <c r="O19" s="146"/>
      <c r="P19" s="146"/>
      <c r="Q19" s="146"/>
      <c r="R19" s="146"/>
      <c r="S19" s="146"/>
      <c r="T19" s="146"/>
      <c r="U19" s="146"/>
      <c r="V19" s="161"/>
      <c r="W19" s="161"/>
      <c r="X19" s="161"/>
      <c r="Y19" s="146"/>
      <c r="Z19" s="264"/>
      <c r="AA19" s="282"/>
      <c r="AB19" s="283"/>
      <c r="AC19" s="146"/>
      <c r="AD19" s="146"/>
      <c r="AE19" s="146"/>
      <c r="AF19" s="146"/>
      <c r="AG19" s="146"/>
      <c r="AH19" s="139"/>
      <c r="AI19" s="161"/>
      <c r="AJ19" s="309"/>
      <c r="AK19" s="309">
        <v>20.430939410432</v>
      </c>
      <c r="AL19" s="282"/>
      <c r="AM19" s="169">
        <f t="shared" si="0"/>
        <v>20.430939410432</v>
      </c>
      <c r="AN19" s="59"/>
      <c r="AO19" s="65"/>
    </row>
    <row r="20" spans="1:41" s="66" customFormat="1" ht="12.75" customHeight="1">
      <c r="A20" s="167" t="s">
        <v>241</v>
      </c>
      <c r="B20" s="168"/>
      <c r="C20" s="213"/>
      <c r="D20" s="366"/>
      <c r="E20" s="146"/>
      <c r="F20" s="161"/>
      <c r="G20" s="161"/>
      <c r="H20" s="264">
        <f>SUM(I20:K20)</f>
        <v>64.671797999999995</v>
      </c>
      <c r="I20" s="139"/>
      <c r="J20" s="359"/>
      <c r="K20" s="146">
        <v>64.671797999999995</v>
      </c>
      <c r="L20" s="264">
        <f>SUM(M20:Y20)</f>
        <v>0</v>
      </c>
      <c r="M20" s="146"/>
      <c r="N20" s="146"/>
      <c r="O20" s="146"/>
      <c r="P20" s="146"/>
      <c r="Q20" s="146"/>
      <c r="R20" s="146"/>
      <c r="S20" s="146"/>
      <c r="T20" s="146"/>
      <c r="U20" s="146"/>
      <c r="V20" s="161"/>
      <c r="W20" s="161"/>
      <c r="X20" s="161"/>
      <c r="Y20" s="146"/>
      <c r="Z20" s="264"/>
      <c r="AA20" s="282">
        <f>SUM(AB20:AI20)</f>
        <v>0</v>
      </c>
      <c r="AB20" s="283"/>
      <c r="AC20" s="146"/>
      <c r="AD20" s="146"/>
      <c r="AE20" s="146"/>
      <c r="AF20" s="146"/>
      <c r="AG20" s="146"/>
      <c r="AH20" s="139"/>
      <c r="AI20" s="161"/>
      <c r="AJ20" s="309"/>
      <c r="AK20" s="309"/>
      <c r="AL20" s="282"/>
      <c r="AM20" s="169">
        <f t="shared" si="0"/>
        <v>64.671797999999995</v>
      </c>
      <c r="AN20" s="59"/>
      <c r="AO20" s="65"/>
    </row>
    <row r="21" spans="1:41" s="66" customFormat="1" ht="12.75" customHeight="1">
      <c r="A21" s="182" t="s">
        <v>247</v>
      </c>
      <c r="B21" s="183"/>
      <c r="C21" s="226"/>
      <c r="D21" s="227"/>
      <c r="E21" s="153"/>
      <c r="F21" s="228"/>
      <c r="G21" s="228"/>
      <c r="H21" s="270">
        <f>SUM(I21:K21)</f>
        <v>0</v>
      </c>
      <c r="I21" s="227"/>
      <c r="J21" s="364"/>
      <c r="K21" s="153"/>
      <c r="L21" s="270">
        <f>SUM(M21:Y21)</f>
        <v>3166.7368998172387</v>
      </c>
      <c r="M21" s="153"/>
      <c r="N21" s="153">
        <v>89.969014531910801</v>
      </c>
      <c r="O21" s="153">
        <v>640.53679657777786</v>
      </c>
      <c r="P21" s="153">
        <v>226.77459106847999</v>
      </c>
      <c r="Q21" s="153">
        <v>0</v>
      </c>
      <c r="R21" s="153">
        <v>960.95017928079096</v>
      </c>
      <c r="S21" s="153">
        <v>64.797462901984332</v>
      </c>
      <c r="T21" s="153">
        <v>1146.9502117491124</v>
      </c>
      <c r="U21" s="153"/>
      <c r="V21" s="228">
        <v>36.758643707182323</v>
      </c>
      <c r="W21" s="228"/>
      <c r="X21" s="228"/>
      <c r="Y21" s="153"/>
      <c r="Z21" s="270"/>
      <c r="AA21" s="290">
        <f>SUM(AB21:AI21)</f>
        <v>0</v>
      </c>
      <c r="AB21" s="291"/>
      <c r="AC21" s="153"/>
      <c r="AD21" s="153"/>
      <c r="AE21" s="153"/>
      <c r="AF21" s="153"/>
      <c r="AG21" s="153"/>
      <c r="AH21" s="227"/>
      <c r="AI21" s="228"/>
      <c r="AJ21" s="312"/>
      <c r="AK21" s="312"/>
      <c r="AL21" s="290"/>
      <c r="AM21" s="184">
        <f t="shared" si="0"/>
        <v>3166.7368998172387</v>
      </c>
      <c r="AN21" s="59"/>
      <c r="AO21" s="65"/>
    </row>
    <row r="22" spans="1:41" s="66" customFormat="1" ht="12.75" customHeight="1">
      <c r="A22" s="189" t="s">
        <v>248</v>
      </c>
      <c r="B22" s="190"/>
      <c r="C22" s="232">
        <f>SUM(C23:C25)</f>
        <v>21.675620234332229</v>
      </c>
      <c r="D22" s="233">
        <f>SUM(D23:D25)</f>
        <v>-17.141361188350004</v>
      </c>
      <c r="E22" s="155">
        <f>SUM(E23:E25)</f>
        <v>38.816981422682233</v>
      </c>
      <c r="F22" s="234">
        <f>SUM(F23:F25)</f>
        <v>0</v>
      </c>
      <c r="G22" s="234">
        <f>SUM(G23:G25)</f>
        <v>0</v>
      </c>
      <c r="H22" s="272">
        <f>SUM(I22:K22)</f>
        <v>0</v>
      </c>
      <c r="I22" s="233">
        <f>SUM(I23:I25)</f>
        <v>0</v>
      </c>
      <c r="J22" s="367">
        <f>SUM(J23:J25)</f>
        <v>0</v>
      </c>
      <c r="K22" s="155">
        <f>SUM(K23:K25)</f>
        <v>0</v>
      </c>
      <c r="L22" s="272">
        <f>SUM(M22:Y22)</f>
        <v>-24.071643477187674</v>
      </c>
      <c r="M22" s="155">
        <f t="shared" ref="M22:AM22" si="5">SUM(M23:M25)</f>
        <v>0</v>
      </c>
      <c r="N22" s="155">
        <f t="shared" si="5"/>
        <v>0</v>
      </c>
      <c r="O22" s="155">
        <f t="shared" si="5"/>
        <v>0.11733854444431926</v>
      </c>
      <c r="P22" s="155">
        <f t="shared" si="5"/>
        <v>374.46366644960005</v>
      </c>
      <c r="Q22" s="155">
        <f t="shared" si="5"/>
        <v>-373.64776418279996</v>
      </c>
      <c r="R22" s="155">
        <f t="shared" si="5"/>
        <v>0</v>
      </c>
      <c r="S22" s="155">
        <f t="shared" si="5"/>
        <v>0</v>
      </c>
      <c r="T22" s="155">
        <f t="shared" si="5"/>
        <v>-3.3292640540998377</v>
      </c>
      <c r="U22" s="155">
        <f t="shared" si="5"/>
        <v>-21.675620234332225</v>
      </c>
      <c r="V22" s="234">
        <f t="shared" si="5"/>
        <v>0</v>
      </c>
      <c r="W22" s="234">
        <f t="shared" si="5"/>
        <v>0</v>
      </c>
      <c r="X22" s="234">
        <f t="shared" si="5"/>
        <v>0</v>
      </c>
      <c r="Y22" s="155">
        <f t="shared" si="5"/>
        <v>0</v>
      </c>
      <c r="Z22" s="272">
        <f t="shared" si="5"/>
        <v>0</v>
      </c>
      <c r="AA22" s="293">
        <f t="shared" si="5"/>
        <v>-804.14402736760053</v>
      </c>
      <c r="AB22" s="294">
        <f t="shared" si="5"/>
        <v>-59.691708987970003</v>
      </c>
      <c r="AC22" s="155">
        <f t="shared" si="5"/>
        <v>-743.01992281532614</v>
      </c>
      <c r="AD22" s="155">
        <f t="shared" si="5"/>
        <v>0</v>
      </c>
      <c r="AE22" s="295">
        <f t="shared" si="5"/>
        <v>0</v>
      </c>
      <c r="AF22" s="295">
        <f t="shared" si="5"/>
        <v>0</v>
      </c>
      <c r="AG22" s="295">
        <f t="shared" si="5"/>
        <v>0</v>
      </c>
      <c r="AH22" s="233">
        <f t="shared" si="5"/>
        <v>-1.4323955643044282</v>
      </c>
      <c r="AI22" s="234">
        <f t="shared" si="5"/>
        <v>0</v>
      </c>
      <c r="AJ22" s="275">
        <f t="shared" si="5"/>
        <v>0</v>
      </c>
      <c r="AK22" s="272">
        <f t="shared" si="5"/>
        <v>804.14402736760053</v>
      </c>
      <c r="AL22" s="293">
        <f t="shared" si="5"/>
        <v>0</v>
      </c>
      <c r="AM22" s="191">
        <f t="shared" si="5"/>
        <v>-2.3960232428554455</v>
      </c>
      <c r="AN22" s="59"/>
      <c r="AO22" s="65"/>
    </row>
    <row r="23" spans="1:41" s="66" customFormat="1" ht="12.75" customHeight="1">
      <c r="A23" s="179" t="s">
        <v>107</v>
      </c>
      <c r="B23" s="180"/>
      <c r="C23" s="235"/>
      <c r="D23" s="236"/>
      <c r="E23" s="237"/>
      <c r="F23" s="225"/>
      <c r="G23" s="225"/>
      <c r="H23" s="269"/>
      <c r="I23" s="273"/>
      <c r="J23" s="363"/>
      <c r="K23" s="152"/>
      <c r="L23" s="269"/>
      <c r="M23" s="152"/>
      <c r="N23" s="152"/>
      <c r="O23" s="152"/>
      <c r="P23" s="152"/>
      <c r="Q23" s="152"/>
      <c r="R23" s="152"/>
      <c r="S23" s="152"/>
      <c r="T23" s="152"/>
      <c r="U23" s="152"/>
      <c r="V23" s="225"/>
      <c r="W23" s="225"/>
      <c r="X23" s="225"/>
      <c r="Y23" s="152"/>
      <c r="Z23" s="269"/>
      <c r="AA23" s="288">
        <f>SUM(AB23:AI23)</f>
        <v>-804.14402736760053</v>
      </c>
      <c r="AB23" s="289">
        <f>-AB2</f>
        <v>-59.691708987970003</v>
      </c>
      <c r="AC23" s="152">
        <f>-AC2</f>
        <v>-743.01992281532614</v>
      </c>
      <c r="AD23" s="152"/>
      <c r="AE23" s="159"/>
      <c r="AF23" s="159"/>
      <c r="AG23" s="159"/>
      <c r="AH23" s="224">
        <v>-1.4323955643044282</v>
      </c>
      <c r="AI23" s="225"/>
      <c r="AJ23" s="311"/>
      <c r="AK23" s="269">
        <f>-(C23+H23+L23+Z23+AA23)</f>
        <v>804.14402736760053</v>
      </c>
      <c r="AL23" s="288"/>
      <c r="AM23" s="188">
        <f>C23+H23+L23+Z23+AA23+AJ23+AK23+AL23</f>
        <v>0</v>
      </c>
      <c r="AN23" s="59"/>
      <c r="AO23" s="65"/>
    </row>
    <row r="24" spans="1:41" s="66" customFormat="1" ht="12.75" customHeight="1">
      <c r="A24" s="192" t="s">
        <v>249</v>
      </c>
      <c r="B24" s="163"/>
      <c r="C24" s="238"/>
      <c r="D24" s="239"/>
      <c r="E24" s="154"/>
      <c r="F24" s="145"/>
      <c r="G24" s="145"/>
      <c r="H24" s="271"/>
      <c r="I24" s="193"/>
      <c r="J24" s="368"/>
      <c r="K24" s="156"/>
      <c r="L24" s="271"/>
      <c r="M24" s="156"/>
      <c r="N24" s="156"/>
      <c r="O24" s="156"/>
      <c r="P24" s="156"/>
      <c r="Q24" s="156"/>
      <c r="R24" s="156"/>
      <c r="S24" s="156"/>
      <c r="T24" s="156"/>
      <c r="U24" s="156"/>
      <c r="V24" s="145"/>
      <c r="W24" s="145"/>
      <c r="X24" s="145"/>
      <c r="Y24" s="156"/>
      <c r="Z24" s="271"/>
      <c r="AA24" s="186"/>
      <c r="AB24" s="261"/>
      <c r="AC24" s="156"/>
      <c r="AD24" s="156"/>
      <c r="AE24" s="156"/>
      <c r="AF24" s="156"/>
      <c r="AG24" s="156"/>
      <c r="AH24" s="313"/>
      <c r="AI24" s="145"/>
      <c r="AJ24" s="324"/>
      <c r="AK24" s="271"/>
      <c r="AL24" s="186"/>
      <c r="AM24" s="194">
        <f>C24+H24+L24+Z24+AA24+AJ24+AK24+AL24</f>
        <v>0</v>
      </c>
      <c r="AN24" s="59"/>
      <c r="AO24" s="65"/>
    </row>
    <row r="25" spans="1:41" s="66" customFormat="1" ht="12.75" customHeight="1" thickBot="1">
      <c r="A25" s="170" t="s">
        <v>250</v>
      </c>
      <c r="B25" s="171"/>
      <c r="C25" s="240">
        <f>SUM(D25:G25)</f>
        <v>21.675620234332229</v>
      </c>
      <c r="D25" s="323">
        <v>-17.141361188350004</v>
      </c>
      <c r="E25" s="157">
        <f>-D25-U25</f>
        <v>38.816981422682233</v>
      </c>
      <c r="F25" s="217"/>
      <c r="G25" s="217"/>
      <c r="H25" s="265"/>
      <c r="I25" s="274"/>
      <c r="J25" s="369"/>
      <c r="K25" s="157"/>
      <c r="L25" s="265">
        <f>SUM(N25:Y25)</f>
        <v>-24.071643477187674</v>
      </c>
      <c r="M25" s="157"/>
      <c r="N25" s="157"/>
      <c r="O25" s="157">
        <v>0.11733854444431926</v>
      </c>
      <c r="P25" s="157">
        <v>374.46366644960005</v>
      </c>
      <c r="Q25" s="157">
        <v>-373.64776418279996</v>
      </c>
      <c r="R25" s="157">
        <v>0</v>
      </c>
      <c r="S25" s="157"/>
      <c r="T25" s="157">
        <v>-3.3292640540998377</v>
      </c>
      <c r="U25" s="217">
        <v>-21.675620234332225</v>
      </c>
      <c r="V25" s="217"/>
      <c r="W25" s="217"/>
      <c r="X25" s="217"/>
      <c r="Y25" s="157"/>
      <c r="Z25" s="265"/>
      <c r="AA25" s="265">
        <f>SUM(AB25:AI25)</f>
        <v>0</v>
      </c>
      <c r="AB25" s="285"/>
      <c r="AC25" s="157"/>
      <c r="AD25" s="157"/>
      <c r="AE25" s="157"/>
      <c r="AF25" s="157"/>
      <c r="AG25" s="157"/>
      <c r="AH25" s="266"/>
      <c r="AI25" s="217"/>
      <c r="AJ25" s="310"/>
      <c r="AK25" s="265"/>
      <c r="AL25" s="284"/>
      <c r="AM25" s="172">
        <f>C25+H25+L25+Z25+AA25+AJ25+AK25+AL25</f>
        <v>-2.3960232428554455</v>
      </c>
      <c r="AN25" s="59"/>
      <c r="AO25" s="65"/>
    </row>
    <row r="26" spans="1:41" s="66" customFormat="1" ht="12.75" customHeight="1" thickBot="1">
      <c r="A26" s="185" t="s">
        <v>251</v>
      </c>
      <c r="B26" s="163"/>
      <c r="C26" s="229">
        <f>SUM(D26:G26)</f>
        <v>0</v>
      </c>
      <c r="D26" s="230"/>
      <c r="E26" s="154"/>
      <c r="F26" s="145"/>
      <c r="G26" s="145"/>
      <c r="H26" s="271">
        <f>SUM(I26:K26)</f>
        <v>11.368440725877685</v>
      </c>
      <c r="I26" s="145">
        <v>11.368440725877685</v>
      </c>
      <c r="J26" s="368"/>
      <c r="K26" s="156"/>
      <c r="L26" s="271">
        <f>SUM(N26:Y26)</f>
        <v>92.978980127232518</v>
      </c>
      <c r="M26" s="156"/>
      <c r="N26" s="156">
        <v>89.969014531910801</v>
      </c>
      <c r="O26" s="156"/>
      <c r="P26" s="156"/>
      <c r="Q26" s="156"/>
      <c r="R26" s="156">
        <v>0</v>
      </c>
      <c r="S26" s="156">
        <v>4.1693256233877908E-3</v>
      </c>
      <c r="T26" s="156">
        <v>3.0057962696983291</v>
      </c>
      <c r="U26" s="156"/>
      <c r="V26" s="145"/>
      <c r="W26" s="145"/>
      <c r="X26" s="145"/>
      <c r="Y26" s="156"/>
      <c r="Z26" s="271">
        <v>57.528599543766255</v>
      </c>
      <c r="AA26" s="186">
        <f>SUM(AB26:AG26)</f>
        <v>0</v>
      </c>
      <c r="AB26" s="292"/>
      <c r="AC26" s="156"/>
      <c r="AD26" s="156"/>
      <c r="AE26" s="156"/>
      <c r="AF26" s="156"/>
      <c r="AG26" s="156"/>
      <c r="AH26" s="313"/>
      <c r="AI26" s="145"/>
      <c r="AJ26" s="324"/>
      <c r="AK26" s="271">
        <v>259.46681438260083</v>
      </c>
      <c r="AL26" s="186"/>
      <c r="AM26" s="194">
        <f>C26+H26+L26+Z26+AA26+AJ26+AK26+AL26</f>
        <v>421.3428347794773</v>
      </c>
      <c r="AN26" s="59"/>
      <c r="AO26" s="65"/>
    </row>
    <row r="27" spans="1:41" s="62" customFormat="1" ht="12.75" customHeight="1" thickBot="1">
      <c r="A27" s="173" t="s">
        <v>252</v>
      </c>
      <c r="B27" s="174"/>
      <c r="C27" s="218">
        <f t="shared" ref="C27:AL27" si="6">C7-C9+C15+C22-C26</f>
        <v>257.65437785433085</v>
      </c>
      <c r="D27" s="241">
        <f t="shared" si="6"/>
        <v>183.13519529469272</v>
      </c>
      <c r="E27" s="150">
        <f t="shared" si="6"/>
        <v>66.118821612900035</v>
      </c>
      <c r="F27" s="150">
        <f t="shared" si="6"/>
        <v>0</v>
      </c>
      <c r="G27" s="150">
        <f t="shared" si="6"/>
        <v>8.4003609467381786</v>
      </c>
      <c r="H27" s="267">
        <f t="shared" si="6"/>
        <v>199.31419506885075</v>
      </c>
      <c r="I27" s="241">
        <f t="shared" si="6"/>
        <v>0.37225106885080628</v>
      </c>
      <c r="J27" s="370">
        <f t="shared" si="6"/>
        <v>127.70399999999999</v>
      </c>
      <c r="K27" s="150">
        <f t="shared" si="6"/>
        <v>71.237943999999999</v>
      </c>
      <c r="L27" s="267">
        <f t="shared" si="6"/>
        <v>7302.736484101757</v>
      </c>
      <c r="M27" s="150">
        <f t="shared" si="6"/>
        <v>0</v>
      </c>
      <c r="N27" s="150">
        <f t="shared" si="6"/>
        <v>0</v>
      </c>
      <c r="O27" s="150">
        <f t="shared" si="6"/>
        <v>830.66219249999983</v>
      </c>
      <c r="P27" s="150">
        <f t="shared" si="6"/>
        <v>962.00436969728003</v>
      </c>
      <c r="Q27" s="150">
        <f t="shared" si="6"/>
        <v>1095.3569190907197</v>
      </c>
      <c r="R27" s="150">
        <f t="shared" si="6"/>
        <v>15.469962346277839</v>
      </c>
      <c r="S27" s="150">
        <f t="shared" si="6"/>
        <v>187.88084937540125</v>
      </c>
      <c r="T27" s="150">
        <f t="shared" si="6"/>
        <v>3833.6812396704358</v>
      </c>
      <c r="U27" s="150">
        <f t="shared" si="6"/>
        <v>145.4444052742318</v>
      </c>
      <c r="V27" s="150">
        <f t="shared" si="6"/>
        <v>-5.5141208563533439E-2</v>
      </c>
      <c r="W27" s="150">
        <f t="shared" si="6"/>
        <v>195.56026412750296</v>
      </c>
      <c r="X27" s="150">
        <f t="shared" si="6"/>
        <v>1.2218380210726456</v>
      </c>
      <c r="Y27" s="150">
        <f t="shared" si="6"/>
        <v>35.509585207400512</v>
      </c>
      <c r="Z27" s="267">
        <f t="shared" si="6"/>
        <v>1921.4292269183238</v>
      </c>
      <c r="AA27" s="219">
        <f t="shared" ref="AA27:AJ27" si="7">AA7-AA9+AA22-AA26</f>
        <v>453.90773416750153</v>
      </c>
      <c r="AB27" s="287">
        <f t="shared" si="7"/>
        <v>0</v>
      </c>
      <c r="AC27" s="151">
        <f t="shared" si="7"/>
        <v>0</v>
      </c>
      <c r="AD27" s="151">
        <f t="shared" si="7"/>
        <v>237.04871700223623</v>
      </c>
      <c r="AE27" s="151">
        <f t="shared" si="7"/>
        <v>0</v>
      </c>
      <c r="AF27" s="151">
        <f t="shared" si="7"/>
        <v>9.7770611234061491</v>
      </c>
      <c r="AG27" s="151">
        <f t="shared" si="7"/>
        <v>149.27283699801595</v>
      </c>
      <c r="AH27" s="221">
        <f t="shared" si="7"/>
        <v>13.54608560366562</v>
      </c>
      <c r="AI27" s="260">
        <f t="shared" si="7"/>
        <v>44.263033440177487</v>
      </c>
      <c r="AJ27" s="267">
        <f t="shared" si="7"/>
        <v>54.722939604974087</v>
      </c>
      <c r="AK27" s="267">
        <f t="shared" si="6"/>
        <v>2361.5839854490919</v>
      </c>
      <c r="AL27" s="219">
        <f t="shared" si="6"/>
        <v>0</v>
      </c>
      <c r="AM27" s="175">
        <f>C27+H27+L27+Z27+AA27+AJ27+AK27+AL27</f>
        <v>12551.348943164829</v>
      </c>
      <c r="AN27" s="59"/>
      <c r="AO27" s="61"/>
    </row>
    <row r="28" spans="1:41" s="62" customFormat="1" ht="12.75" customHeight="1">
      <c r="A28" s="176" t="s">
        <v>253</v>
      </c>
      <c r="B28" s="177"/>
      <c r="C28" s="220">
        <f t="shared" ref="C28:U28" si="8">C29</f>
        <v>0</v>
      </c>
      <c r="D28" s="221">
        <f t="shared" si="8"/>
        <v>0</v>
      </c>
      <c r="E28" s="151">
        <f t="shared" si="8"/>
        <v>0</v>
      </c>
      <c r="F28" s="222">
        <f t="shared" si="8"/>
        <v>0</v>
      </c>
      <c r="G28" s="222">
        <f t="shared" si="8"/>
        <v>0</v>
      </c>
      <c r="H28" s="268">
        <f t="shared" si="8"/>
        <v>0</v>
      </c>
      <c r="I28" s="221">
        <f t="shared" si="8"/>
        <v>0</v>
      </c>
      <c r="J28" s="361">
        <f t="shared" si="8"/>
        <v>0</v>
      </c>
      <c r="K28" s="151">
        <f t="shared" si="8"/>
        <v>0</v>
      </c>
      <c r="L28" s="268">
        <f t="shared" si="8"/>
        <v>232.29168735597611</v>
      </c>
      <c r="M28" s="151">
        <f t="shared" si="8"/>
        <v>0</v>
      </c>
      <c r="N28" s="151">
        <f t="shared" si="8"/>
        <v>0</v>
      </c>
      <c r="O28" s="151">
        <f t="shared" si="8"/>
        <v>0</v>
      </c>
      <c r="P28" s="151">
        <f t="shared" si="8"/>
        <v>0</v>
      </c>
      <c r="Q28" s="151">
        <f t="shared" si="8"/>
        <v>0</v>
      </c>
      <c r="R28" s="151">
        <f t="shared" si="8"/>
        <v>0</v>
      </c>
      <c r="S28" s="151">
        <f t="shared" si="8"/>
        <v>0</v>
      </c>
      <c r="T28" s="151">
        <f t="shared" si="8"/>
        <v>0</v>
      </c>
      <c r="U28" s="151">
        <f t="shared" si="8"/>
        <v>0</v>
      </c>
      <c r="V28" s="222"/>
      <c r="W28" s="222">
        <f t="shared" ref="W28:AM28" si="9">W29</f>
        <v>195.56026412750296</v>
      </c>
      <c r="X28" s="222">
        <f t="shared" si="9"/>
        <v>1.2218380210726456</v>
      </c>
      <c r="Y28" s="151">
        <f t="shared" si="9"/>
        <v>35.509585207400512</v>
      </c>
      <c r="Z28" s="268">
        <f t="shared" si="9"/>
        <v>0</v>
      </c>
      <c r="AA28" s="286">
        <f t="shared" si="9"/>
        <v>0</v>
      </c>
      <c r="AB28" s="287">
        <f t="shared" si="9"/>
        <v>0</v>
      </c>
      <c r="AC28" s="151">
        <f t="shared" si="9"/>
        <v>0</v>
      </c>
      <c r="AD28" s="151">
        <f t="shared" si="9"/>
        <v>0</v>
      </c>
      <c r="AE28" s="151">
        <f t="shared" si="9"/>
        <v>0</v>
      </c>
      <c r="AF28" s="151">
        <f t="shared" si="9"/>
        <v>0</v>
      </c>
      <c r="AG28" s="151">
        <f t="shared" si="9"/>
        <v>0</v>
      </c>
      <c r="AH28" s="221">
        <f t="shared" si="9"/>
        <v>0</v>
      </c>
      <c r="AI28" s="222">
        <f t="shared" si="9"/>
        <v>0</v>
      </c>
      <c r="AJ28" s="268">
        <f t="shared" si="9"/>
        <v>0</v>
      </c>
      <c r="AK28" s="268">
        <f t="shared" si="9"/>
        <v>0</v>
      </c>
      <c r="AL28" s="286">
        <f t="shared" si="9"/>
        <v>0</v>
      </c>
      <c r="AM28" s="195">
        <f t="shared" si="9"/>
        <v>232.29168735597611</v>
      </c>
      <c r="AN28" s="59"/>
      <c r="AO28" s="61"/>
    </row>
    <row r="29" spans="1:41" s="59" customFormat="1" ht="12.75" customHeight="1" thickBot="1">
      <c r="A29" s="196" t="s">
        <v>254</v>
      </c>
      <c r="B29" s="197"/>
      <c r="C29" s="242">
        <f>SUM(D29:G29)</f>
        <v>0</v>
      </c>
      <c r="D29" s="233"/>
      <c r="E29" s="155"/>
      <c r="F29" s="234"/>
      <c r="G29" s="234"/>
      <c r="H29" s="275">
        <f>SUM(I29:K29)</f>
        <v>0</v>
      </c>
      <c r="I29" s="233"/>
      <c r="J29" s="367"/>
      <c r="K29" s="155"/>
      <c r="L29" s="275">
        <f>SUM(M29:Y29)</f>
        <v>232.29168735597611</v>
      </c>
      <c r="M29" s="155"/>
      <c r="N29" s="155"/>
      <c r="O29" s="155"/>
      <c r="P29" s="155"/>
      <c r="Q29" s="155"/>
      <c r="R29" s="155"/>
      <c r="S29" s="155"/>
      <c r="T29" s="155"/>
      <c r="U29" s="155"/>
      <c r="V29" s="234"/>
      <c r="W29" s="234">
        <f>W27</f>
        <v>195.56026412750296</v>
      </c>
      <c r="X29" s="234">
        <f>X27</f>
        <v>1.2218380210726456</v>
      </c>
      <c r="Y29" s="155">
        <f>Y27</f>
        <v>35.509585207400512</v>
      </c>
      <c r="Z29" s="275">
        <v>0</v>
      </c>
      <c r="AA29" s="297">
        <f>SUM(AB29:AG29)</f>
        <v>0</v>
      </c>
      <c r="AB29" s="294"/>
      <c r="AC29" s="155"/>
      <c r="AD29" s="155"/>
      <c r="AE29" s="155"/>
      <c r="AF29" s="155"/>
      <c r="AG29" s="155"/>
      <c r="AH29" s="233"/>
      <c r="AI29" s="234"/>
      <c r="AJ29" s="275"/>
      <c r="AK29" s="275"/>
      <c r="AL29" s="297"/>
      <c r="AM29" s="191">
        <f t="shared" ref="AM29:AM62" si="10">C29+H29+L29+Z29+AA29+AJ29+AK29+AL29</f>
        <v>232.29168735597611</v>
      </c>
      <c r="AO29" s="60"/>
    </row>
    <row r="30" spans="1:41" s="62" customFormat="1" ht="12.75" customHeight="1" thickBot="1">
      <c r="A30" s="176" t="s">
        <v>255</v>
      </c>
      <c r="B30" s="177"/>
      <c r="C30" s="220">
        <f>C31+C45+C56+C57+C60+C61</f>
        <v>260.60987477319378</v>
      </c>
      <c r="D30" s="221">
        <f t="shared" ref="D30:AL30" si="11">D31+D45+D56+D57+D60+D61</f>
        <v>182.95234745162335</v>
      </c>
      <c r="E30" s="151">
        <f t="shared" si="11"/>
        <v>70.131951348544106</v>
      </c>
      <c r="F30" s="222">
        <f t="shared" si="11"/>
        <v>0</v>
      </c>
      <c r="G30" s="222">
        <f t="shared" si="11"/>
        <v>7.5255759730262914</v>
      </c>
      <c r="H30" s="268">
        <f t="shared" si="11"/>
        <v>197.36847005356</v>
      </c>
      <c r="I30" s="221">
        <f t="shared" si="11"/>
        <v>0.82966372355999995</v>
      </c>
      <c r="J30" s="371">
        <f t="shared" si="11"/>
        <v>127.70399999999999</v>
      </c>
      <c r="K30" s="221">
        <f t="shared" si="11"/>
        <v>68.834806329999992</v>
      </c>
      <c r="L30" s="268">
        <f t="shared" si="11"/>
        <v>7064.8482904861212</v>
      </c>
      <c r="M30" s="151">
        <f t="shared" si="11"/>
        <v>0</v>
      </c>
      <c r="N30" s="151">
        <f t="shared" si="11"/>
        <v>0</v>
      </c>
      <c r="O30" s="151">
        <f t="shared" si="11"/>
        <v>821.48002832197108</v>
      </c>
      <c r="P30" s="151">
        <f t="shared" si="11"/>
        <v>946.63395628256001</v>
      </c>
      <c r="Q30" s="151">
        <f t="shared" si="11"/>
        <v>1102.0673096951998</v>
      </c>
      <c r="R30" s="151">
        <f t="shared" si="11"/>
        <v>30.568237653241653</v>
      </c>
      <c r="S30" s="151">
        <f t="shared" si="11"/>
        <v>181.32381570558749</v>
      </c>
      <c r="T30" s="151">
        <f t="shared" si="11"/>
        <v>3838.1558666328428</v>
      </c>
      <c r="U30" s="151">
        <f t="shared" si="11"/>
        <v>144.61907619471961</v>
      </c>
      <c r="V30" s="222">
        <f t="shared" si="11"/>
        <v>0</v>
      </c>
      <c r="W30" s="222">
        <f t="shared" si="11"/>
        <v>0</v>
      </c>
      <c r="X30" s="222">
        <f t="shared" si="11"/>
        <v>0</v>
      </c>
      <c r="Y30" s="221">
        <f t="shared" si="11"/>
        <v>0</v>
      </c>
      <c r="Z30" s="267">
        <f t="shared" si="11"/>
        <v>1948.4940140158224</v>
      </c>
      <c r="AA30" s="286">
        <f t="shared" si="11"/>
        <v>463.87782848328834</v>
      </c>
      <c r="AB30" s="287">
        <f t="shared" si="11"/>
        <v>0</v>
      </c>
      <c r="AC30" s="151">
        <f t="shared" si="11"/>
        <v>0</v>
      </c>
      <c r="AD30" s="151">
        <f t="shared" si="11"/>
        <v>242.05204627234301</v>
      </c>
      <c r="AE30" s="151">
        <f t="shared" si="11"/>
        <v>0</v>
      </c>
      <c r="AF30" s="151">
        <f t="shared" si="11"/>
        <v>9.7770611234061491</v>
      </c>
      <c r="AG30" s="151">
        <f t="shared" si="11"/>
        <v>154.23960204369604</v>
      </c>
      <c r="AH30" s="286">
        <f t="shared" si="11"/>
        <v>13.546085603665619</v>
      </c>
      <c r="AI30" s="286">
        <f t="shared" si="11"/>
        <v>44.263033440177495</v>
      </c>
      <c r="AJ30" s="286">
        <f t="shared" si="11"/>
        <v>54.722939604974094</v>
      </c>
      <c r="AK30" s="268">
        <f t="shared" si="11"/>
        <v>2334.3258387002484</v>
      </c>
      <c r="AL30" s="286">
        <f t="shared" si="11"/>
        <v>0</v>
      </c>
      <c r="AM30" s="175">
        <f t="shared" si="10"/>
        <v>12324.247256117205</v>
      </c>
      <c r="AN30" s="59"/>
      <c r="AO30" s="61"/>
    </row>
    <row r="31" spans="1:41" s="68" customFormat="1" ht="12.75" customHeight="1">
      <c r="A31" s="198" t="s">
        <v>256</v>
      </c>
      <c r="B31" s="199"/>
      <c r="C31" s="243">
        <f>SUM(C32:C44)</f>
        <v>105.42454930000001</v>
      </c>
      <c r="D31" s="158">
        <v>105.4245493</v>
      </c>
      <c r="E31" s="158">
        <v>0</v>
      </c>
      <c r="F31" s="245"/>
      <c r="G31" s="245"/>
      <c r="H31" s="276">
        <f t="shared" ref="H31:N31" si="12">SUM(H32:H44)</f>
        <v>0.82966372355999995</v>
      </c>
      <c r="I31" s="244">
        <f t="shared" si="12"/>
        <v>0.82966372355999995</v>
      </c>
      <c r="J31" s="372">
        <f t="shared" si="12"/>
        <v>0</v>
      </c>
      <c r="K31" s="158">
        <f t="shared" si="12"/>
        <v>0</v>
      </c>
      <c r="L31" s="276">
        <f t="shared" si="12"/>
        <v>515.57312076608696</v>
      </c>
      <c r="M31" s="158">
        <f t="shared" si="12"/>
        <v>0</v>
      </c>
      <c r="N31" s="158">
        <f t="shared" si="12"/>
        <v>0</v>
      </c>
      <c r="O31" s="158">
        <v>0</v>
      </c>
      <c r="P31" s="158">
        <v>94.663395628256012</v>
      </c>
      <c r="Q31" s="158">
        <f>SUM(Q32:Q44)</f>
        <v>0</v>
      </c>
      <c r="R31" s="158">
        <v>29.321232722679056</v>
      </c>
      <c r="S31" s="158">
        <v>126.43007128347482</v>
      </c>
      <c r="T31" s="158">
        <v>124.05002195842548</v>
      </c>
      <c r="U31" s="158">
        <v>141.10839917325163</v>
      </c>
      <c r="V31" s="245">
        <f>SUM(V32:V44)</f>
        <v>0</v>
      </c>
      <c r="W31" s="245">
        <f>SUM(W32:W44)</f>
        <v>0</v>
      </c>
      <c r="X31" s="245">
        <f>SUM(X32:X44)</f>
        <v>0</v>
      </c>
      <c r="Y31" s="158">
        <f>SUM(Y32:Y44)</f>
        <v>0</v>
      </c>
      <c r="Z31" s="276">
        <v>789.72423233353879</v>
      </c>
      <c r="AA31" s="298">
        <f>SUM(AA32:AA44)</f>
        <v>198.35341364492615</v>
      </c>
      <c r="AB31" s="299">
        <f>SUM(AB32:AB44)</f>
        <v>0</v>
      </c>
      <c r="AC31" s="158">
        <f>SUM(AC32:AC44)</f>
        <v>0</v>
      </c>
      <c r="AD31" s="158">
        <f>SUM(AD32:AD44)</f>
        <v>196.11790789019597</v>
      </c>
      <c r="AE31" s="158"/>
      <c r="AF31" s="158">
        <f>SUM(AF32:AF44)</f>
        <v>2.2355057547301662</v>
      </c>
      <c r="AG31" s="158">
        <f>SUM(AG32:AG44)</f>
        <v>0</v>
      </c>
      <c r="AH31" s="298">
        <f>SUM(AH32:AH44)</f>
        <v>0</v>
      </c>
      <c r="AI31" s="158">
        <f>SUM(AI32:AI44)</f>
        <v>0</v>
      </c>
      <c r="AJ31" s="276">
        <f>SUM(AJ32:AJ44)</f>
        <v>54.722939604974094</v>
      </c>
      <c r="AK31" s="276">
        <v>936.44298977497101</v>
      </c>
      <c r="AL31" s="298">
        <f>SUM(AL32:AL44)</f>
        <v>0</v>
      </c>
      <c r="AM31" s="178">
        <f t="shared" si="10"/>
        <v>2601.0709091480567</v>
      </c>
      <c r="AN31" s="59"/>
      <c r="AO31" s="67"/>
    </row>
    <row r="32" spans="1:41" ht="12.75" customHeight="1">
      <c r="A32" s="140" t="s">
        <v>257</v>
      </c>
      <c r="B32" s="141" t="s">
        <v>258</v>
      </c>
      <c r="C32" s="246">
        <f t="shared" ref="C32:C44" si="13">SUM(D32:G32)</f>
        <v>0</v>
      </c>
      <c r="D32" s="159">
        <v>0</v>
      </c>
      <c r="E32" s="159"/>
      <c r="F32" s="248"/>
      <c r="G32" s="248"/>
      <c r="H32" s="277">
        <f t="shared" ref="H32:H44" si="14">SUM(I32:K32)</f>
        <v>0</v>
      </c>
      <c r="I32" s="247"/>
      <c r="J32" s="373"/>
      <c r="K32" s="159"/>
      <c r="L32" s="345">
        <f t="shared" ref="L32:L44" si="15">SUM(M32:Y32)</f>
        <v>33.639134861596197</v>
      </c>
      <c r="M32" s="159"/>
      <c r="N32" s="159"/>
      <c r="O32" s="159"/>
      <c r="P32" s="159">
        <v>2.9872785510101791</v>
      </c>
      <c r="Q32" s="159"/>
      <c r="R32" s="159">
        <v>0.89247079050168787</v>
      </c>
      <c r="S32" s="159">
        <v>0.21512334429923258</v>
      </c>
      <c r="T32" s="159">
        <v>29.544262175785097</v>
      </c>
      <c r="U32" s="159">
        <v>0</v>
      </c>
      <c r="V32" s="248"/>
      <c r="W32" s="248"/>
      <c r="X32" s="248"/>
      <c r="Y32" s="159"/>
      <c r="Z32" s="348">
        <v>12.651334090576015</v>
      </c>
      <c r="AA32" s="300">
        <f t="shared" ref="AA32:AA44" si="16">SUM(AB32:AI32)</f>
        <v>0</v>
      </c>
      <c r="AB32" s="301"/>
      <c r="AC32" s="159"/>
      <c r="AD32" s="159"/>
      <c r="AE32" s="159"/>
      <c r="AF32" s="159"/>
      <c r="AG32" s="159"/>
      <c r="AH32" s="273"/>
      <c r="AI32" s="159"/>
      <c r="AJ32" s="311"/>
      <c r="AK32" s="348">
        <v>67.453701320160064</v>
      </c>
      <c r="AL32" s="300"/>
      <c r="AM32" s="181">
        <f t="shared" si="10"/>
        <v>113.74417027233227</v>
      </c>
    </row>
    <row r="33" spans="1:41" ht="12.75" customHeight="1">
      <c r="A33" s="336" t="s">
        <v>259</v>
      </c>
      <c r="B33" s="335" t="s">
        <v>260</v>
      </c>
      <c r="C33" s="213">
        <f t="shared" si="13"/>
        <v>18.505496800000003</v>
      </c>
      <c r="D33" s="159">
        <v>18.505496800000003</v>
      </c>
      <c r="E33" s="146"/>
      <c r="F33" s="161"/>
      <c r="G33" s="161"/>
      <c r="H33" s="264">
        <f t="shared" si="14"/>
        <v>0.82966372355999995</v>
      </c>
      <c r="I33" s="139">
        <v>0.82966372355999995</v>
      </c>
      <c r="J33" s="359"/>
      <c r="K33" s="146"/>
      <c r="L33" s="346">
        <f t="shared" si="15"/>
        <v>136.37317803157953</v>
      </c>
      <c r="M33" s="146"/>
      <c r="N33" s="146"/>
      <c r="O33" s="159"/>
      <c r="P33" s="159">
        <v>55.612421136590243</v>
      </c>
      <c r="Q33" s="146"/>
      <c r="R33" s="159">
        <v>16.614607779613237</v>
      </c>
      <c r="S33" s="159">
        <v>36.050508826919781</v>
      </c>
      <c r="T33" s="159">
        <v>28.095640288456277</v>
      </c>
      <c r="U33" s="159">
        <v>0</v>
      </c>
      <c r="V33" s="161"/>
      <c r="W33" s="161"/>
      <c r="X33" s="161"/>
      <c r="Y33" s="146"/>
      <c r="Z33" s="349">
        <v>111.23553213326231</v>
      </c>
      <c r="AA33" s="282">
        <f t="shared" si="16"/>
        <v>26.063524749810167</v>
      </c>
      <c r="AB33" s="283"/>
      <c r="AC33" s="146"/>
      <c r="AD33" s="146">
        <v>23.828018995080001</v>
      </c>
      <c r="AE33" s="159"/>
      <c r="AF33" s="159">
        <v>2.2355057547301662</v>
      </c>
      <c r="AG33" s="159"/>
      <c r="AH33" s="339"/>
      <c r="AI33" s="146"/>
      <c r="AJ33" s="309"/>
      <c r="AK33" s="349">
        <v>200.52429981097404</v>
      </c>
      <c r="AL33" s="282"/>
      <c r="AM33" s="169">
        <f t="shared" si="10"/>
        <v>493.53169524918599</v>
      </c>
    </row>
    <row r="34" spans="1:41" ht="12.75" customHeight="1">
      <c r="A34" s="142" t="s">
        <v>261</v>
      </c>
      <c r="B34" s="143" t="s">
        <v>262</v>
      </c>
      <c r="C34" s="213">
        <f t="shared" si="13"/>
        <v>0</v>
      </c>
      <c r="D34" s="159">
        <v>0</v>
      </c>
      <c r="E34" s="146"/>
      <c r="F34" s="161"/>
      <c r="G34" s="161"/>
      <c r="H34" s="264">
        <f t="shared" si="14"/>
        <v>0</v>
      </c>
      <c r="I34" s="139"/>
      <c r="J34" s="359"/>
      <c r="K34" s="146"/>
      <c r="L34" s="346">
        <f t="shared" si="15"/>
        <v>2.5106544550385581</v>
      </c>
      <c r="M34" s="146"/>
      <c r="N34" s="146"/>
      <c r="O34" s="159"/>
      <c r="P34" s="159">
        <v>1.2308100467681424</v>
      </c>
      <c r="Q34" s="146"/>
      <c r="R34" s="159">
        <v>0.36771328707365675</v>
      </c>
      <c r="S34" s="159">
        <v>5.551570175464067E-2</v>
      </c>
      <c r="T34" s="159">
        <v>0.85661541944211816</v>
      </c>
      <c r="U34" s="159">
        <v>0</v>
      </c>
      <c r="V34" s="161"/>
      <c r="W34" s="161"/>
      <c r="X34" s="161"/>
      <c r="Y34" s="146"/>
      <c r="Z34" s="349">
        <v>1.212219083963938</v>
      </c>
      <c r="AA34" s="282">
        <f t="shared" si="16"/>
        <v>0</v>
      </c>
      <c r="AB34" s="283"/>
      <c r="AC34" s="146"/>
      <c r="AD34" s="146"/>
      <c r="AE34" s="159"/>
      <c r="AF34" s="159"/>
      <c r="AG34" s="159"/>
      <c r="AH34" s="339"/>
      <c r="AI34" s="146"/>
      <c r="AJ34" s="309"/>
      <c r="AK34" s="349">
        <v>12.00063987648436</v>
      </c>
      <c r="AL34" s="282"/>
      <c r="AM34" s="169">
        <f t="shared" si="10"/>
        <v>15.723513415486856</v>
      </c>
    </row>
    <row r="35" spans="1:41" ht="12.75" customHeight="1">
      <c r="A35" s="142" t="s">
        <v>263</v>
      </c>
      <c r="B35" s="143" t="s">
        <v>264</v>
      </c>
      <c r="C35" s="213">
        <f t="shared" si="13"/>
        <v>0</v>
      </c>
      <c r="D35" s="159">
        <v>0</v>
      </c>
      <c r="E35" s="146"/>
      <c r="F35" s="161"/>
      <c r="G35" s="161"/>
      <c r="H35" s="264">
        <f t="shared" si="14"/>
        <v>0</v>
      </c>
      <c r="I35" s="139"/>
      <c r="J35" s="359"/>
      <c r="K35" s="146"/>
      <c r="L35" s="346">
        <f t="shared" si="15"/>
        <v>2.6786305315985559</v>
      </c>
      <c r="M35" s="146"/>
      <c r="N35" s="146"/>
      <c r="O35" s="159"/>
      <c r="P35" s="159">
        <v>0.43430927431532101</v>
      </c>
      <c r="Q35" s="146"/>
      <c r="R35" s="159">
        <v>0.12975299582937627</v>
      </c>
      <c r="S35" s="159">
        <v>0.29145743421186349</v>
      </c>
      <c r="T35" s="159">
        <v>1.8231108272419951</v>
      </c>
      <c r="U35" s="159">
        <v>0</v>
      </c>
      <c r="V35" s="161"/>
      <c r="W35" s="161"/>
      <c r="X35" s="161"/>
      <c r="Y35" s="146"/>
      <c r="Z35" s="349">
        <v>2.1627527783737563</v>
      </c>
      <c r="AA35" s="282">
        <f t="shared" si="16"/>
        <v>129.37121058215999</v>
      </c>
      <c r="AB35" s="283"/>
      <c r="AC35" s="146"/>
      <c r="AD35" s="146">
        <v>129.37121058215999</v>
      </c>
      <c r="AE35" s="159"/>
      <c r="AF35" s="159"/>
      <c r="AG35" s="159"/>
      <c r="AH35" s="339"/>
      <c r="AI35" s="146"/>
      <c r="AJ35" s="309"/>
      <c r="AK35" s="349">
        <v>40.337112401767612</v>
      </c>
      <c r="AL35" s="282"/>
      <c r="AM35" s="169">
        <f t="shared" si="10"/>
        <v>174.54970629389993</v>
      </c>
    </row>
    <row r="36" spans="1:41" ht="12.75" customHeight="1">
      <c r="A36" s="142" t="s">
        <v>265</v>
      </c>
      <c r="B36" s="143" t="s">
        <v>266</v>
      </c>
      <c r="C36" s="213">
        <f t="shared" si="13"/>
        <v>0</v>
      </c>
      <c r="D36" s="159">
        <v>0</v>
      </c>
      <c r="E36" s="146"/>
      <c r="F36" s="161"/>
      <c r="G36" s="161"/>
      <c r="H36" s="264">
        <f t="shared" si="14"/>
        <v>0</v>
      </c>
      <c r="I36" s="139"/>
      <c r="J36" s="359"/>
      <c r="K36" s="146"/>
      <c r="L36" s="346">
        <f t="shared" si="15"/>
        <v>2.916718912628498</v>
      </c>
      <c r="M36" s="146"/>
      <c r="N36" s="146"/>
      <c r="O36" s="159"/>
      <c r="P36" s="159">
        <v>1.0064436319926997</v>
      </c>
      <c r="Q36" s="146"/>
      <c r="R36" s="159">
        <v>0.30068221911752141</v>
      </c>
      <c r="S36" s="159">
        <v>0.27757850877320334</v>
      </c>
      <c r="T36" s="159">
        <v>1.3320145527450737</v>
      </c>
      <c r="U36" s="159">
        <v>0</v>
      </c>
      <c r="V36" s="161"/>
      <c r="W36" s="161"/>
      <c r="X36" s="161"/>
      <c r="Y36" s="146"/>
      <c r="Z36" s="349">
        <v>3.5770083763316833</v>
      </c>
      <c r="AA36" s="282">
        <f t="shared" si="16"/>
        <v>0</v>
      </c>
      <c r="AB36" s="283"/>
      <c r="AC36" s="146"/>
      <c r="AD36" s="146"/>
      <c r="AE36" s="159"/>
      <c r="AF36" s="159"/>
      <c r="AG36" s="159"/>
      <c r="AH36" s="339"/>
      <c r="AI36" s="146"/>
      <c r="AJ36" s="309"/>
      <c r="AK36" s="349">
        <v>22.015130585227705</v>
      </c>
      <c r="AL36" s="282"/>
      <c r="AM36" s="169">
        <f t="shared" si="10"/>
        <v>28.508857874187889</v>
      </c>
    </row>
    <row r="37" spans="1:41" ht="12.75" customHeight="1">
      <c r="A37" s="142" t="s">
        <v>267</v>
      </c>
      <c r="B37" s="143" t="s">
        <v>268</v>
      </c>
      <c r="C37" s="213">
        <f t="shared" si="13"/>
        <v>0</v>
      </c>
      <c r="D37" s="159">
        <v>0</v>
      </c>
      <c r="E37" s="146"/>
      <c r="F37" s="161"/>
      <c r="G37" s="161"/>
      <c r="H37" s="264">
        <f t="shared" si="14"/>
        <v>0</v>
      </c>
      <c r="I37" s="139"/>
      <c r="J37" s="359"/>
      <c r="K37" s="146"/>
      <c r="L37" s="346">
        <f t="shared" si="15"/>
        <v>28.334981145867548</v>
      </c>
      <c r="M37" s="146"/>
      <c r="N37" s="146"/>
      <c r="O37" s="159"/>
      <c r="P37" s="159">
        <v>13.229605385509133</v>
      </c>
      <c r="Q37" s="146"/>
      <c r="R37" s="159">
        <v>3.9524390426992668</v>
      </c>
      <c r="S37" s="159">
        <v>3.2684869408044692</v>
      </c>
      <c r="T37" s="159">
        <v>7.8844497768546802</v>
      </c>
      <c r="U37" s="159">
        <v>0</v>
      </c>
      <c r="V37" s="161"/>
      <c r="W37" s="161"/>
      <c r="X37" s="161"/>
      <c r="Y37" s="146"/>
      <c r="Z37" s="350">
        <v>68.682793971575805</v>
      </c>
      <c r="AA37" s="282">
        <f t="shared" si="16"/>
        <v>0</v>
      </c>
      <c r="AB37" s="283"/>
      <c r="AC37" s="146"/>
      <c r="AD37" s="146">
        <v>0</v>
      </c>
      <c r="AE37" s="159"/>
      <c r="AF37" s="159"/>
      <c r="AG37" s="159"/>
      <c r="AH37" s="341"/>
      <c r="AI37" s="146"/>
      <c r="AJ37" s="307"/>
      <c r="AK37" s="350">
        <v>170.86047109558422</v>
      </c>
      <c r="AL37" s="282"/>
      <c r="AM37" s="169">
        <f t="shared" si="10"/>
        <v>267.87824621302758</v>
      </c>
    </row>
    <row r="38" spans="1:41" ht="12.75" customHeight="1">
      <c r="A38" s="142" t="s">
        <v>269</v>
      </c>
      <c r="B38" s="143" t="s">
        <v>270</v>
      </c>
      <c r="C38" s="213">
        <f t="shared" si="13"/>
        <v>0</v>
      </c>
      <c r="D38" s="159">
        <v>0</v>
      </c>
      <c r="E38" s="146"/>
      <c r="F38" s="161"/>
      <c r="G38" s="161"/>
      <c r="H38" s="264">
        <f t="shared" si="14"/>
        <v>0</v>
      </c>
      <c r="I38" s="139"/>
      <c r="J38" s="359"/>
      <c r="K38" s="146"/>
      <c r="L38" s="346">
        <f t="shared" si="15"/>
        <v>10.093508126388487</v>
      </c>
      <c r="M38" s="146"/>
      <c r="N38" s="146"/>
      <c r="O38" s="159"/>
      <c r="P38" s="159">
        <v>8.4938714164988993E-2</v>
      </c>
      <c r="Q38" s="146"/>
      <c r="R38" s="159">
        <v>2.5376047154822671E-2</v>
      </c>
      <c r="S38" s="159">
        <v>6.5230949561702776</v>
      </c>
      <c r="T38" s="159">
        <v>3.4600984088983981</v>
      </c>
      <c r="U38" s="159">
        <v>0</v>
      </c>
      <c r="V38" s="161"/>
      <c r="W38" s="161"/>
      <c r="X38" s="161"/>
      <c r="Y38" s="146"/>
      <c r="Z38" s="349">
        <v>4.7507443147729562</v>
      </c>
      <c r="AA38" s="282">
        <f t="shared" si="16"/>
        <v>0</v>
      </c>
      <c r="AB38" s="283"/>
      <c r="AC38" s="146"/>
      <c r="AD38" s="146"/>
      <c r="AE38" s="159"/>
      <c r="AF38" s="159"/>
      <c r="AG38" s="159"/>
      <c r="AH38" s="339"/>
      <c r="AI38" s="146"/>
      <c r="AJ38" s="309"/>
      <c r="AK38" s="349">
        <v>41.311344389879515</v>
      </c>
      <c r="AL38" s="282"/>
      <c r="AM38" s="169">
        <f t="shared" si="10"/>
        <v>56.15559683104096</v>
      </c>
    </row>
    <row r="39" spans="1:41" ht="12.75" customHeight="1">
      <c r="A39" s="142" t="s">
        <v>271</v>
      </c>
      <c r="B39" s="143" t="s">
        <v>272</v>
      </c>
      <c r="C39" s="213">
        <f t="shared" si="13"/>
        <v>86.919052500000006</v>
      </c>
      <c r="D39" s="139">
        <v>86.919052500000006</v>
      </c>
      <c r="E39" s="146"/>
      <c r="F39" s="161"/>
      <c r="G39" s="161"/>
      <c r="H39" s="264">
        <f t="shared" si="14"/>
        <v>0</v>
      </c>
      <c r="I39" s="139"/>
      <c r="J39" s="359"/>
      <c r="K39" s="146"/>
      <c r="L39" s="346">
        <f t="shared" si="15"/>
        <v>193.30293553297051</v>
      </c>
      <c r="M39" s="146"/>
      <c r="N39" s="146"/>
      <c r="O39" s="159"/>
      <c r="P39" s="139">
        <v>8.9570278012853475</v>
      </c>
      <c r="Q39" s="146"/>
      <c r="R39" s="139">
        <v>2.6759759914774315</v>
      </c>
      <c r="S39" s="139">
        <v>1.4711660964979776</v>
      </c>
      <c r="T39" s="139">
        <v>39.090366470458122</v>
      </c>
      <c r="U39" s="139">
        <v>141.10839917325163</v>
      </c>
      <c r="V39" s="161"/>
      <c r="W39" s="161"/>
      <c r="X39" s="161"/>
      <c r="Y39" s="146"/>
      <c r="Z39" s="349">
        <v>17.906207611695887</v>
      </c>
      <c r="AA39" s="282">
        <f t="shared" si="16"/>
        <v>42.918678312955997</v>
      </c>
      <c r="AB39" s="283"/>
      <c r="AC39" s="146"/>
      <c r="AD39" s="146">
        <v>42.918678312955997</v>
      </c>
      <c r="AE39" s="159"/>
      <c r="AF39" s="159"/>
      <c r="AG39" s="159"/>
      <c r="AH39" s="339"/>
      <c r="AI39" s="146"/>
      <c r="AJ39" s="309">
        <v>54.722939604974094</v>
      </c>
      <c r="AK39" s="349">
        <v>59.821752164005545</v>
      </c>
      <c r="AL39" s="282"/>
      <c r="AM39" s="169">
        <f t="shared" si="10"/>
        <v>455.59156572660203</v>
      </c>
    </row>
    <row r="40" spans="1:41" ht="12.75" customHeight="1">
      <c r="A40" s="142" t="s">
        <v>273</v>
      </c>
      <c r="B40" s="143" t="s">
        <v>274</v>
      </c>
      <c r="C40" s="213">
        <f t="shared" si="13"/>
        <v>0</v>
      </c>
      <c r="D40" s="159">
        <v>0</v>
      </c>
      <c r="E40" s="146"/>
      <c r="F40" s="161"/>
      <c r="G40" s="161"/>
      <c r="H40" s="264">
        <f t="shared" si="14"/>
        <v>0</v>
      </c>
      <c r="I40" s="139"/>
      <c r="J40" s="359"/>
      <c r="K40" s="146"/>
      <c r="L40" s="346">
        <f t="shared" si="15"/>
        <v>9.5454998465741827</v>
      </c>
      <c r="M40" s="146"/>
      <c r="N40" s="146"/>
      <c r="O40" s="159"/>
      <c r="P40" s="159">
        <v>0</v>
      </c>
      <c r="Q40" s="146"/>
      <c r="R40" s="159">
        <v>1.0398675653004681</v>
      </c>
      <c r="S40" s="159">
        <v>6.0165141776591833</v>
      </c>
      <c r="T40" s="159">
        <v>2.4891181036145316</v>
      </c>
      <c r="U40" s="159">
        <v>0</v>
      </c>
      <c r="V40" s="161"/>
      <c r="W40" s="161"/>
      <c r="X40" s="161"/>
      <c r="Y40" s="146"/>
      <c r="Z40" s="349">
        <v>422.29485551224087</v>
      </c>
      <c r="AA40" s="282">
        <f t="shared" si="16"/>
        <v>0</v>
      </c>
      <c r="AB40" s="283"/>
      <c r="AC40" s="146"/>
      <c r="AD40" s="146"/>
      <c r="AE40" s="159"/>
      <c r="AF40" s="159"/>
      <c r="AG40" s="159"/>
      <c r="AH40" s="339"/>
      <c r="AI40" s="146"/>
      <c r="AJ40" s="309"/>
      <c r="AK40" s="349">
        <v>70.840659833219206</v>
      </c>
      <c r="AL40" s="282"/>
      <c r="AM40" s="169">
        <f t="shared" si="10"/>
        <v>502.68101519203424</v>
      </c>
    </row>
    <row r="41" spans="1:41" ht="12.75" customHeight="1">
      <c r="A41" s="142" t="s">
        <v>275</v>
      </c>
      <c r="B41" s="143" t="s">
        <v>276</v>
      </c>
      <c r="C41" s="213">
        <f t="shared" si="13"/>
        <v>0</v>
      </c>
      <c r="D41" s="159">
        <v>0</v>
      </c>
      <c r="E41" s="146"/>
      <c r="F41" s="161"/>
      <c r="G41" s="161"/>
      <c r="H41" s="264">
        <f t="shared" si="14"/>
        <v>0</v>
      </c>
      <c r="I41" s="139"/>
      <c r="J41" s="359"/>
      <c r="K41" s="146"/>
      <c r="L41" s="346">
        <f t="shared" si="15"/>
        <v>5.708883992955986</v>
      </c>
      <c r="M41" s="146"/>
      <c r="N41" s="146"/>
      <c r="O41" s="159"/>
      <c r="P41" s="159">
        <v>0.46315638478644938</v>
      </c>
      <c r="Q41" s="146"/>
      <c r="R41" s="159">
        <v>0.13837127599516511</v>
      </c>
      <c r="S41" s="159">
        <v>2.46350926536218</v>
      </c>
      <c r="T41" s="159">
        <v>2.6438470668121914</v>
      </c>
      <c r="U41" s="159">
        <v>0</v>
      </c>
      <c r="V41" s="161"/>
      <c r="W41" s="161"/>
      <c r="X41" s="161"/>
      <c r="Y41" s="146"/>
      <c r="Z41" s="349">
        <v>5.8051825020939676</v>
      </c>
      <c r="AA41" s="282">
        <f t="shared" si="16"/>
        <v>0</v>
      </c>
      <c r="AB41" s="283"/>
      <c r="AC41" s="146"/>
      <c r="AD41" s="146"/>
      <c r="AE41" s="159"/>
      <c r="AF41" s="159"/>
      <c r="AG41" s="159"/>
      <c r="AH41" s="339"/>
      <c r="AI41" s="146"/>
      <c r="AJ41" s="309"/>
      <c r="AK41" s="349">
        <v>23.96638605711944</v>
      </c>
      <c r="AL41" s="282"/>
      <c r="AM41" s="169">
        <f t="shared" si="10"/>
        <v>35.480452552169396</v>
      </c>
    </row>
    <row r="42" spans="1:41" ht="12.75" customHeight="1">
      <c r="A42" s="142" t="s">
        <v>277</v>
      </c>
      <c r="B42" s="143" t="s">
        <v>278</v>
      </c>
      <c r="C42" s="213">
        <f t="shared" si="13"/>
        <v>0</v>
      </c>
      <c r="D42" s="159">
        <v>0</v>
      </c>
      <c r="E42" s="146"/>
      <c r="F42" s="161"/>
      <c r="G42" s="161"/>
      <c r="H42" s="264">
        <f t="shared" si="14"/>
        <v>0</v>
      </c>
      <c r="I42" s="139"/>
      <c r="J42" s="359"/>
      <c r="K42" s="146"/>
      <c r="L42" s="346">
        <f t="shared" si="15"/>
        <v>45.56990540482289</v>
      </c>
      <c r="M42" s="146"/>
      <c r="N42" s="146"/>
      <c r="O42" s="159"/>
      <c r="P42" s="159">
        <v>0.38302552236664844</v>
      </c>
      <c r="Q42" s="146"/>
      <c r="R42" s="159">
        <v>0.11443160886797392</v>
      </c>
      <c r="S42" s="159">
        <v>43.552068026515606</v>
      </c>
      <c r="T42" s="159">
        <v>1.5203802470726597</v>
      </c>
      <c r="U42" s="159">
        <v>0</v>
      </c>
      <c r="V42" s="161"/>
      <c r="W42" s="161"/>
      <c r="X42" s="161"/>
      <c r="Y42" s="146"/>
      <c r="Z42" s="350">
        <v>130.62718916213302</v>
      </c>
      <c r="AA42" s="282">
        <f t="shared" si="16"/>
        <v>0</v>
      </c>
      <c r="AB42" s="283"/>
      <c r="AC42" s="146"/>
      <c r="AD42" s="146"/>
      <c r="AE42" s="159"/>
      <c r="AF42" s="159"/>
      <c r="AG42" s="159"/>
      <c r="AH42" s="341"/>
      <c r="AI42" s="146"/>
      <c r="AJ42" s="307"/>
      <c r="AK42" s="350">
        <v>116.1150538037319</v>
      </c>
      <c r="AL42" s="282"/>
      <c r="AM42" s="169">
        <f t="shared" si="10"/>
        <v>292.31214837068779</v>
      </c>
    </row>
    <row r="43" spans="1:41" ht="12.75" customHeight="1">
      <c r="A43" s="142" t="s">
        <v>279</v>
      </c>
      <c r="B43" s="143" t="s">
        <v>280</v>
      </c>
      <c r="C43" s="213">
        <f t="shared" si="13"/>
        <v>0</v>
      </c>
      <c r="D43" s="159">
        <v>0</v>
      </c>
      <c r="E43" s="146"/>
      <c r="F43" s="161"/>
      <c r="G43" s="161"/>
      <c r="H43" s="264">
        <f t="shared" si="14"/>
        <v>0</v>
      </c>
      <c r="I43" s="139"/>
      <c r="J43" s="359"/>
      <c r="K43" s="146"/>
      <c r="L43" s="346">
        <f t="shared" si="15"/>
        <v>5.0143612384070462</v>
      </c>
      <c r="M43" s="146"/>
      <c r="N43" s="146"/>
      <c r="O43" s="159"/>
      <c r="P43" s="159">
        <v>0.2996894254500555</v>
      </c>
      <c r="Q43" s="146"/>
      <c r="R43" s="159">
        <v>8.9534355055695083E-2</v>
      </c>
      <c r="S43" s="159">
        <v>3.9277358991408273</v>
      </c>
      <c r="T43" s="159">
        <v>0.69740155876046783</v>
      </c>
      <c r="U43" s="159">
        <v>0</v>
      </c>
      <c r="V43" s="161"/>
      <c r="W43" s="161"/>
      <c r="X43" s="161"/>
      <c r="Y43" s="146"/>
      <c r="Z43" s="351">
        <v>1.9741853653126986</v>
      </c>
      <c r="AA43" s="282">
        <f t="shared" si="16"/>
        <v>0</v>
      </c>
      <c r="AB43" s="283"/>
      <c r="AC43" s="146"/>
      <c r="AD43" s="146"/>
      <c r="AE43" s="159"/>
      <c r="AF43" s="159"/>
      <c r="AG43" s="159"/>
      <c r="AH43" s="193"/>
      <c r="AI43" s="146"/>
      <c r="AJ43" s="324"/>
      <c r="AK43" s="351">
        <v>19.862887425244118</v>
      </c>
      <c r="AL43" s="282"/>
      <c r="AM43" s="169">
        <f t="shared" si="10"/>
        <v>26.851434028963862</v>
      </c>
    </row>
    <row r="44" spans="1:41" ht="12.75" customHeight="1">
      <c r="A44" s="337" t="s">
        <v>281</v>
      </c>
      <c r="B44" s="144" t="s">
        <v>282</v>
      </c>
      <c r="C44" s="249">
        <f t="shared" si="13"/>
        <v>0</v>
      </c>
      <c r="D44" s="250">
        <v>0</v>
      </c>
      <c r="E44" s="250"/>
      <c r="F44" s="251"/>
      <c r="G44" s="251"/>
      <c r="H44" s="278">
        <f t="shared" si="14"/>
        <v>0</v>
      </c>
      <c r="I44" s="279"/>
      <c r="J44" s="374"/>
      <c r="K44" s="250">
        <v>0</v>
      </c>
      <c r="L44" s="347">
        <f t="shared" si="15"/>
        <v>39.884728685658985</v>
      </c>
      <c r="M44" s="250"/>
      <c r="N44" s="250"/>
      <c r="O44" s="159"/>
      <c r="P44" s="250">
        <v>9.9746897540168185</v>
      </c>
      <c r="Q44" s="250"/>
      <c r="R44" s="250">
        <v>2.9800097639927601</v>
      </c>
      <c r="S44" s="250">
        <v>22.317312105365545</v>
      </c>
      <c r="T44" s="250">
        <v>4.612717062283866</v>
      </c>
      <c r="U44" s="250">
        <v>0</v>
      </c>
      <c r="V44" s="251"/>
      <c r="W44" s="251"/>
      <c r="X44" s="251"/>
      <c r="Y44" s="250"/>
      <c r="Z44" s="352">
        <v>6.8442274312059155</v>
      </c>
      <c r="AA44" s="302">
        <f t="shared" si="16"/>
        <v>0</v>
      </c>
      <c r="AB44" s="303"/>
      <c r="AC44" s="250"/>
      <c r="AD44" s="250"/>
      <c r="AE44" s="156"/>
      <c r="AF44" s="156"/>
      <c r="AG44" s="156"/>
      <c r="AH44" s="340"/>
      <c r="AI44" s="250"/>
      <c r="AJ44" s="312"/>
      <c r="AK44" s="352">
        <v>91.333551011573277</v>
      </c>
      <c r="AL44" s="302"/>
      <c r="AM44" s="204">
        <f t="shared" si="10"/>
        <v>138.06250712843817</v>
      </c>
    </row>
    <row r="45" spans="1:41" s="62" customFormat="1" ht="12.75" customHeight="1">
      <c r="A45" s="185" t="s">
        <v>283</v>
      </c>
      <c r="B45" s="163"/>
      <c r="C45" s="252">
        <f t="shared" ref="C45:AL45" si="17">SUM(C46:C55)</f>
        <v>0</v>
      </c>
      <c r="D45" s="160">
        <f t="shared" si="17"/>
        <v>0</v>
      </c>
      <c r="E45" s="160">
        <f t="shared" si="17"/>
        <v>0</v>
      </c>
      <c r="F45" s="253">
        <f t="shared" si="17"/>
        <v>0</v>
      </c>
      <c r="G45" s="253">
        <f t="shared" si="17"/>
        <v>0</v>
      </c>
      <c r="H45" s="147">
        <f t="shared" si="17"/>
        <v>0</v>
      </c>
      <c r="I45" s="257">
        <f t="shared" si="17"/>
        <v>0</v>
      </c>
      <c r="J45" s="375">
        <f t="shared" si="17"/>
        <v>0</v>
      </c>
      <c r="K45" s="160">
        <f t="shared" si="17"/>
        <v>0</v>
      </c>
      <c r="L45" s="147">
        <f t="shared" si="17"/>
        <v>5019.924775938709</v>
      </c>
      <c r="M45" s="160">
        <f t="shared" si="17"/>
        <v>0</v>
      </c>
      <c r="N45" s="160">
        <f t="shared" si="17"/>
        <v>0</v>
      </c>
      <c r="O45" s="160">
        <f t="shared" si="17"/>
        <v>821.48002832197108</v>
      </c>
      <c r="P45" s="160">
        <f t="shared" si="17"/>
        <v>0</v>
      </c>
      <c r="Q45" s="160">
        <f t="shared" si="17"/>
        <v>1102.0673096951998</v>
      </c>
      <c r="R45" s="160">
        <f t="shared" si="17"/>
        <v>0</v>
      </c>
      <c r="S45" s="160">
        <f t="shared" si="17"/>
        <v>1.8520724281984335</v>
      </c>
      <c r="T45" s="160">
        <f>SUM(T46:T55)</f>
        <v>3094.5253654933404</v>
      </c>
      <c r="U45" s="160">
        <f t="shared" si="17"/>
        <v>0</v>
      </c>
      <c r="V45" s="253">
        <f t="shared" si="17"/>
        <v>0</v>
      </c>
      <c r="W45" s="253">
        <f t="shared" si="17"/>
        <v>0</v>
      </c>
      <c r="X45" s="253">
        <f t="shared" si="17"/>
        <v>0</v>
      </c>
      <c r="Y45" s="160">
        <f t="shared" si="17"/>
        <v>0</v>
      </c>
      <c r="Z45" s="147">
        <f t="shared" si="17"/>
        <v>22.560835415583806</v>
      </c>
      <c r="AA45" s="304">
        <f t="shared" si="17"/>
        <v>154.23960204369604</v>
      </c>
      <c r="AB45" s="305">
        <f t="shared" si="17"/>
        <v>0</v>
      </c>
      <c r="AC45" s="160">
        <f t="shared" si="17"/>
        <v>0</v>
      </c>
      <c r="AD45" s="160">
        <f t="shared" si="17"/>
        <v>0</v>
      </c>
      <c r="AE45" s="160">
        <f t="shared" si="17"/>
        <v>0</v>
      </c>
      <c r="AF45" s="160">
        <f>SUM(AF46:AF55)</f>
        <v>0</v>
      </c>
      <c r="AG45" s="160">
        <f t="shared" si="17"/>
        <v>154.23960204369604</v>
      </c>
      <c r="AH45" s="304">
        <f t="shared" si="17"/>
        <v>0</v>
      </c>
      <c r="AI45" s="160">
        <f t="shared" si="17"/>
        <v>0</v>
      </c>
      <c r="AJ45" s="147">
        <f t="shared" si="17"/>
        <v>0</v>
      </c>
      <c r="AK45" s="147">
        <f t="shared" si="17"/>
        <v>5.1986846762489369</v>
      </c>
      <c r="AL45" s="304">
        <f t="shared" si="17"/>
        <v>0</v>
      </c>
      <c r="AM45" s="205">
        <f t="shared" si="10"/>
        <v>5201.9238980742384</v>
      </c>
      <c r="AN45" s="59"/>
      <c r="AO45" s="61"/>
    </row>
    <row r="46" spans="1:41" s="59" customFormat="1" ht="12.75" customHeight="1">
      <c r="A46" s="206" t="s">
        <v>284</v>
      </c>
      <c r="B46" s="180"/>
      <c r="C46" s="223">
        <f t="shared" ref="C46:C56" si="18">SUM(D46:G46)</f>
        <v>0</v>
      </c>
      <c r="D46" s="254"/>
      <c r="E46" s="237"/>
      <c r="F46" s="225"/>
      <c r="G46" s="225"/>
      <c r="H46" s="269">
        <f t="shared" ref="H46:H56" si="19">SUM(I46:K46)</f>
        <v>0</v>
      </c>
      <c r="I46" s="224"/>
      <c r="J46" s="363"/>
      <c r="K46" s="152"/>
      <c r="L46" s="269">
        <f t="shared" ref="L46:L56" si="20">SUM(M46:Y46)</f>
        <v>696.81086860411278</v>
      </c>
      <c r="M46" s="152"/>
      <c r="N46" s="152"/>
      <c r="O46" s="152"/>
      <c r="P46" s="152"/>
      <c r="Q46" s="152"/>
      <c r="R46" s="152"/>
      <c r="S46" s="152"/>
      <c r="T46" s="152">
        <v>696.81086860411278</v>
      </c>
      <c r="U46" s="152"/>
      <c r="V46" s="225"/>
      <c r="W46" s="225"/>
      <c r="X46" s="225"/>
      <c r="Y46" s="152"/>
      <c r="Z46" s="311"/>
      <c r="AA46" s="288">
        <f t="shared" ref="AA46:AA56" si="21">SUM(AB46:AI46)</f>
        <v>29.763125082569886</v>
      </c>
      <c r="AB46" s="289"/>
      <c r="AC46" s="152"/>
      <c r="AD46" s="152"/>
      <c r="AE46" s="152"/>
      <c r="AF46" s="152"/>
      <c r="AG46" s="152">
        <v>29.763125082569886</v>
      </c>
      <c r="AH46" s="273"/>
      <c r="AI46" s="152"/>
      <c r="AJ46" s="269"/>
      <c r="AK46" s="311"/>
      <c r="AL46" s="288"/>
      <c r="AM46" s="188">
        <f t="shared" si="10"/>
        <v>726.57399368668268</v>
      </c>
      <c r="AO46" s="60"/>
    </row>
    <row r="47" spans="1:41" s="59" customFormat="1" ht="12.75" customHeight="1">
      <c r="A47" s="200" t="s">
        <v>285</v>
      </c>
      <c r="B47" s="354"/>
      <c r="C47" s="246"/>
      <c r="D47" s="355"/>
      <c r="E47" s="356"/>
      <c r="F47" s="248"/>
      <c r="G47" s="248"/>
      <c r="H47" s="277"/>
      <c r="I47" s="247"/>
      <c r="J47" s="373"/>
      <c r="K47" s="159"/>
      <c r="L47" s="277">
        <f t="shared" si="20"/>
        <v>318.14346273201534</v>
      </c>
      <c r="M47" s="159"/>
      <c r="N47" s="159"/>
      <c r="O47" s="159"/>
      <c r="P47" s="159"/>
      <c r="Q47" s="159"/>
      <c r="R47" s="159"/>
      <c r="S47" s="159"/>
      <c r="T47" s="159">
        <v>318.14346273201534</v>
      </c>
      <c r="U47" s="159"/>
      <c r="V47" s="248"/>
      <c r="W47" s="248"/>
      <c r="X47" s="248"/>
      <c r="Y47" s="159"/>
      <c r="Z47" s="307">
        <v>2.9723185667999998E-2</v>
      </c>
      <c r="AA47" s="300">
        <f t="shared" si="21"/>
        <v>13.588972420111009</v>
      </c>
      <c r="AB47" s="301"/>
      <c r="AC47" s="159"/>
      <c r="AD47" s="159"/>
      <c r="AE47" s="159"/>
      <c r="AF47" s="159"/>
      <c r="AG47" s="159">
        <v>13.588972420111009</v>
      </c>
      <c r="AH47" s="341"/>
      <c r="AI47" s="159"/>
      <c r="AJ47" s="277"/>
      <c r="AK47" s="307"/>
      <c r="AL47" s="300"/>
      <c r="AM47" s="181">
        <f t="shared" si="10"/>
        <v>331.76215833779435</v>
      </c>
      <c r="AO47" s="60"/>
    </row>
    <row r="48" spans="1:41" s="59" customFormat="1" ht="12.75" customHeight="1">
      <c r="A48" s="201" t="s">
        <v>286</v>
      </c>
      <c r="B48" s="168"/>
      <c r="C48" s="213">
        <f t="shared" si="18"/>
        <v>0</v>
      </c>
      <c r="D48" s="214"/>
      <c r="E48" s="215"/>
      <c r="F48" s="161"/>
      <c r="G48" s="161"/>
      <c r="H48" s="264">
        <f t="shared" si="19"/>
        <v>0</v>
      </c>
      <c r="I48" s="139"/>
      <c r="J48" s="359"/>
      <c r="K48" s="146"/>
      <c r="L48" s="264">
        <f t="shared" si="20"/>
        <v>1979.3195171155053</v>
      </c>
      <c r="M48" s="146"/>
      <c r="N48" s="146"/>
      <c r="O48" s="146">
        <v>665.22585458348442</v>
      </c>
      <c r="P48" s="146"/>
      <c r="Q48" s="146"/>
      <c r="R48" s="146"/>
      <c r="S48" s="146">
        <v>1.8520724281984335</v>
      </c>
      <c r="T48" s="146">
        <v>1312.2415901038223</v>
      </c>
      <c r="U48" s="146"/>
      <c r="V48" s="161"/>
      <c r="W48" s="161"/>
      <c r="X48" s="161"/>
      <c r="Y48" s="146"/>
      <c r="Z48" s="309"/>
      <c r="AA48" s="282">
        <f t="shared" si="21"/>
        <v>78.152181932232637</v>
      </c>
      <c r="AB48" s="283"/>
      <c r="AC48" s="146"/>
      <c r="AD48" s="146"/>
      <c r="AE48" s="146"/>
      <c r="AF48" s="146"/>
      <c r="AG48" s="146">
        <v>78.152181932232637</v>
      </c>
      <c r="AH48" s="339"/>
      <c r="AI48" s="146"/>
      <c r="AJ48" s="264"/>
      <c r="AK48" s="309">
        <v>1.012968700248938</v>
      </c>
      <c r="AL48" s="282"/>
      <c r="AM48" s="169">
        <f t="shared" si="10"/>
        <v>2058.4846677479868</v>
      </c>
      <c r="AO48" s="60"/>
    </row>
    <row r="49" spans="1:41" s="59" customFormat="1" ht="12.75" customHeight="1">
      <c r="A49" s="201" t="s">
        <v>287</v>
      </c>
      <c r="B49" s="168"/>
      <c r="C49" s="213">
        <f t="shared" si="18"/>
        <v>0</v>
      </c>
      <c r="D49" s="214"/>
      <c r="E49" s="215"/>
      <c r="F49" s="161"/>
      <c r="G49" s="161"/>
      <c r="H49" s="264">
        <f t="shared" si="19"/>
        <v>0</v>
      </c>
      <c r="I49" s="139"/>
      <c r="J49" s="359"/>
      <c r="K49" s="146"/>
      <c r="L49" s="264">
        <f t="shared" si="20"/>
        <v>133.54472802969403</v>
      </c>
      <c r="M49" s="146"/>
      <c r="N49" s="146"/>
      <c r="O49" s="146">
        <v>6.5648739648342556</v>
      </c>
      <c r="P49" s="146"/>
      <c r="Q49" s="146"/>
      <c r="R49" s="146"/>
      <c r="S49" s="146"/>
      <c r="T49" s="146">
        <v>126.97985406485978</v>
      </c>
      <c r="U49" s="146"/>
      <c r="V49" s="161"/>
      <c r="W49" s="161"/>
      <c r="X49" s="161"/>
      <c r="Y49" s="146"/>
      <c r="Z49" s="309"/>
      <c r="AA49" s="282">
        <f t="shared" si="21"/>
        <v>5.6418508625160495</v>
      </c>
      <c r="AB49" s="283"/>
      <c r="AC49" s="146"/>
      <c r="AD49" s="146"/>
      <c r="AE49" s="146"/>
      <c r="AF49" s="146"/>
      <c r="AG49" s="146">
        <v>5.6418508625160495</v>
      </c>
      <c r="AH49" s="339"/>
      <c r="AI49" s="146"/>
      <c r="AJ49" s="264"/>
      <c r="AK49" s="309"/>
      <c r="AL49" s="282"/>
      <c r="AM49" s="169">
        <f t="shared" si="10"/>
        <v>139.18657889221006</v>
      </c>
      <c r="AO49" s="60"/>
    </row>
    <row r="50" spans="1:41" s="59" customFormat="1" ht="12.75" customHeight="1">
      <c r="A50" s="201" t="s">
        <v>24</v>
      </c>
      <c r="B50" s="168"/>
      <c r="C50" s="213">
        <f t="shared" si="18"/>
        <v>0</v>
      </c>
      <c r="D50" s="214"/>
      <c r="E50" s="215"/>
      <c r="F50" s="161"/>
      <c r="G50" s="161"/>
      <c r="H50" s="264">
        <f t="shared" si="19"/>
        <v>0</v>
      </c>
      <c r="I50" s="139"/>
      <c r="J50" s="359"/>
      <c r="K50" s="146"/>
      <c r="L50" s="264">
        <f t="shared" si="20"/>
        <v>38.043221783939138</v>
      </c>
      <c r="M50" s="146"/>
      <c r="N50" s="146"/>
      <c r="O50" s="146"/>
      <c r="P50" s="146"/>
      <c r="Q50" s="250"/>
      <c r="R50" s="146"/>
      <c r="S50" s="146"/>
      <c r="T50" s="146">
        <v>38.043221783939138</v>
      </c>
      <c r="U50" s="146"/>
      <c r="V50" s="161"/>
      <c r="W50" s="161"/>
      <c r="X50" s="161"/>
      <c r="Y50" s="146"/>
      <c r="Z50" s="309"/>
      <c r="AA50" s="282">
        <f t="shared" si="21"/>
        <v>0</v>
      </c>
      <c r="AB50" s="283"/>
      <c r="AC50" s="146"/>
      <c r="AD50" s="146"/>
      <c r="AE50" s="146"/>
      <c r="AF50" s="146"/>
      <c r="AG50" s="146">
        <v>0</v>
      </c>
      <c r="AH50" s="339"/>
      <c r="AI50" s="146"/>
      <c r="AJ50" s="264"/>
      <c r="AK50" s="309">
        <v>4.1857159759999991</v>
      </c>
      <c r="AL50" s="282"/>
      <c r="AM50" s="169">
        <f t="shared" si="10"/>
        <v>42.228937759939136</v>
      </c>
      <c r="AO50" s="60"/>
    </row>
    <row r="51" spans="1:41" s="59" customFormat="1" ht="12.75" customHeight="1">
      <c r="A51" s="201" t="s">
        <v>288</v>
      </c>
      <c r="B51" s="168"/>
      <c r="C51" s="213">
        <f t="shared" si="18"/>
        <v>0</v>
      </c>
      <c r="D51" s="214"/>
      <c r="E51" s="215"/>
      <c r="F51" s="161"/>
      <c r="G51" s="161"/>
      <c r="H51" s="264">
        <f t="shared" si="19"/>
        <v>0</v>
      </c>
      <c r="I51" s="139"/>
      <c r="J51" s="359"/>
      <c r="K51" s="146"/>
      <c r="L51" s="264">
        <f t="shared" si="20"/>
        <v>5.5768892778871404</v>
      </c>
      <c r="M51" s="146"/>
      <c r="N51" s="146"/>
      <c r="O51" s="146">
        <v>0.66818888888888883</v>
      </c>
      <c r="P51" s="146"/>
      <c r="Q51" s="146">
        <v>4.9087003889982519</v>
      </c>
      <c r="R51" s="146"/>
      <c r="S51" s="146"/>
      <c r="T51" s="146"/>
      <c r="U51" s="146"/>
      <c r="V51" s="161"/>
      <c r="W51" s="161"/>
      <c r="X51" s="161"/>
      <c r="Y51" s="146"/>
      <c r="Z51" s="309"/>
      <c r="AA51" s="282">
        <f t="shared" si="21"/>
        <v>0</v>
      </c>
      <c r="AB51" s="283"/>
      <c r="AC51" s="146"/>
      <c r="AD51" s="146"/>
      <c r="AE51" s="146"/>
      <c r="AF51" s="146"/>
      <c r="AG51" s="146"/>
      <c r="AH51" s="339"/>
      <c r="AI51" s="146"/>
      <c r="AJ51" s="264"/>
      <c r="AK51" s="309"/>
      <c r="AL51" s="282"/>
      <c r="AM51" s="169">
        <f t="shared" si="10"/>
        <v>5.5768892778871404</v>
      </c>
      <c r="AO51" s="60"/>
    </row>
    <row r="52" spans="1:41" s="59" customFormat="1" ht="12.75" customHeight="1">
      <c r="A52" s="201" t="s">
        <v>289</v>
      </c>
      <c r="B52" s="202"/>
      <c r="C52" s="249">
        <f t="shared" si="18"/>
        <v>0</v>
      </c>
      <c r="D52" s="250"/>
      <c r="E52" s="250"/>
      <c r="F52" s="251"/>
      <c r="G52" s="251"/>
      <c r="H52" s="278">
        <f t="shared" si="19"/>
        <v>0</v>
      </c>
      <c r="I52" s="279"/>
      <c r="J52" s="374"/>
      <c r="K52" s="250"/>
      <c r="L52" s="278">
        <f t="shared" si="20"/>
        <v>1097.1586093062015</v>
      </c>
      <c r="M52" s="250"/>
      <c r="N52" s="250"/>
      <c r="O52" s="159"/>
      <c r="P52" s="250"/>
      <c r="Q52" s="250">
        <v>1097.1586093062015</v>
      </c>
      <c r="R52" s="250"/>
      <c r="S52" s="250"/>
      <c r="T52" s="250"/>
      <c r="U52" s="250"/>
      <c r="V52" s="251"/>
      <c r="W52" s="251"/>
      <c r="X52" s="251"/>
      <c r="Y52" s="250"/>
      <c r="Z52" s="307"/>
      <c r="AA52" s="302">
        <f t="shared" si="21"/>
        <v>0</v>
      </c>
      <c r="AB52" s="303"/>
      <c r="AC52" s="250"/>
      <c r="AD52" s="250"/>
      <c r="AE52" s="250"/>
      <c r="AF52" s="250"/>
      <c r="AG52" s="250"/>
      <c r="AH52" s="341"/>
      <c r="AI52" s="250"/>
      <c r="AJ52" s="307"/>
      <c r="AK52" s="307"/>
      <c r="AL52" s="302"/>
      <c r="AM52" s="204">
        <f t="shared" si="10"/>
        <v>1097.1586093062015</v>
      </c>
      <c r="AO52" s="60"/>
    </row>
    <row r="53" spans="1:41" s="59" customFormat="1" ht="12.6" customHeight="1">
      <c r="A53" s="201" t="s">
        <v>211</v>
      </c>
      <c r="B53" s="202"/>
      <c r="C53" s="249">
        <f t="shared" si="18"/>
        <v>0</v>
      </c>
      <c r="D53" s="279"/>
      <c r="E53" s="250"/>
      <c r="F53" s="251"/>
      <c r="G53" s="251"/>
      <c r="H53" s="278">
        <f t="shared" si="19"/>
        <v>0</v>
      </c>
      <c r="I53" s="279"/>
      <c r="J53" s="250"/>
      <c r="K53" s="250"/>
      <c r="L53" s="278">
        <f t="shared" si="20"/>
        <v>176.94052908505745</v>
      </c>
      <c r="M53" s="250"/>
      <c r="N53" s="250"/>
      <c r="O53" s="250">
        <v>0</v>
      </c>
      <c r="P53" s="250"/>
      <c r="Q53" s="250"/>
      <c r="R53" s="250"/>
      <c r="S53" s="250"/>
      <c r="T53" s="250">
        <v>176.94052908505745</v>
      </c>
      <c r="U53" s="250"/>
      <c r="V53" s="251"/>
      <c r="W53" s="251"/>
      <c r="X53" s="251"/>
      <c r="Y53" s="250"/>
      <c r="Z53" s="307"/>
      <c r="AA53" s="302">
        <f t="shared" si="21"/>
        <v>7.5577223843887342</v>
      </c>
      <c r="AB53" s="303"/>
      <c r="AC53" s="250"/>
      <c r="AD53" s="250"/>
      <c r="AE53" s="250"/>
      <c r="AF53" s="250"/>
      <c r="AG53" s="146">
        <v>7.5577223843887342</v>
      </c>
      <c r="AH53" s="250"/>
      <c r="AI53" s="250"/>
      <c r="AJ53" s="307"/>
      <c r="AK53" s="309"/>
      <c r="AL53" s="302"/>
      <c r="AM53" s="204">
        <f t="shared" si="10"/>
        <v>184.49825146944619</v>
      </c>
      <c r="AO53" s="573"/>
    </row>
    <row r="54" spans="1:41" s="59" customFormat="1" ht="12.75" customHeight="1">
      <c r="A54" s="167" t="s">
        <v>173</v>
      </c>
      <c r="B54" s="168"/>
      <c r="C54" s="249">
        <f t="shared" si="18"/>
        <v>0</v>
      </c>
      <c r="D54" s="279"/>
      <c r="E54" s="250"/>
      <c r="F54" s="251"/>
      <c r="G54" s="251"/>
      <c r="H54" s="278">
        <f t="shared" si="19"/>
        <v>0</v>
      </c>
      <c r="I54" s="279"/>
      <c r="J54" s="250"/>
      <c r="K54" s="250"/>
      <c r="L54" s="278">
        <f t="shared" si="20"/>
        <v>83.913724293678101</v>
      </c>
      <c r="M54" s="250"/>
      <c r="N54" s="250"/>
      <c r="O54" s="250"/>
      <c r="P54" s="250"/>
      <c r="Q54" s="250"/>
      <c r="R54" s="250"/>
      <c r="S54" s="250"/>
      <c r="T54" s="250">
        <v>83.913724293678101</v>
      </c>
      <c r="U54" s="250"/>
      <c r="V54" s="251"/>
      <c r="W54" s="251"/>
      <c r="X54" s="251"/>
      <c r="Y54" s="250"/>
      <c r="Z54" s="324"/>
      <c r="AA54" s="302">
        <f t="shared" si="21"/>
        <v>0</v>
      </c>
      <c r="AB54" s="303"/>
      <c r="AC54" s="250"/>
      <c r="AD54" s="250"/>
      <c r="AE54" s="250"/>
      <c r="AF54" s="250"/>
      <c r="AG54" s="250"/>
      <c r="AH54" s="250"/>
      <c r="AI54" s="250"/>
      <c r="AJ54" s="324"/>
      <c r="AK54" s="307"/>
      <c r="AL54" s="302"/>
      <c r="AM54" s="204">
        <f t="shared" si="10"/>
        <v>83.913724293678101</v>
      </c>
      <c r="AO54" s="573"/>
    </row>
    <row r="55" spans="1:41" s="59" customFormat="1" ht="12.75" customHeight="1">
      <c r="A55" s="182" t="s">
        <v>212</v>
      </c>
      <c r="B55" s="183"/>
      <c r="C55" s="226">
        <f t="shared" si="18"/>
        <v>0</v>
      </c>
      <c r="D55" s="255"/>
      <c r="E55" s="256"/>
      <c r="F55" s="228"/>
      <c r="G55" s="228"/>
      <c r="H55" s="270">
        <f t="shared" si="19"/>
        <v>0</v>
      </c>
      <c r="I55" s="227"/>
      <c r="J55" s="153"/>
      <c r="K55" s="153"/>
      <c r="L55" s="270">
        <f t="shared" si="20"/>
        <v>490.47322571061898</v>
      </c>
      <c r="M55" s="153"/>
      <c r="N55" s="153"/>
      <c r="O55" s="153">
        <v>149.02111088476352</v>
      </c>
      <c r="P55" s="153"/>
      <c r="Q55" s="153"/>
      <c r="R55" s="153">
        <v>0</v>
      </c>
      <c r="S55" s="153"/>
      <c r="T55" s="153">
        <v>341.45211482585546</v>
      </c>
      <c r="U55" s="153"/>
      <c r="V55" s="228"/>
      <c r="W55" s="228"/>
      <c r="X55" s="228"/>
      <c r="Y55" s="153"/>
      <c r="Z55" s="312">
        <v>22.531112229915806</v>
      </c>
      <c r="AA55" s="290">
        <f t="shared" si="21"/>
        <v>19.535749361877716</v>
      </c>
      <c r="AB55" s="291"/>
      <c r="AC55" s="153"/>
      <c r="AD55" s="153"/>
      <c r="AE55" s="153"/>
      <c r="AF55" s="153"/>
      <c r="AG55" s="153">
        <v>19.535749361877716</v>
      </c>
      <c r="AH55" s="340"/>
      <c r="AI55" s="153"/>
      <c r="AJ55" s="270"/>
      <c r="AK55" s="312"/>
      <c r="AL55" s="290"/>
      <c r="AM55" s="184">
        <f t="shared" si="10"/>
        <v>532.54008730241253</v>
      </c>
      <c r="AO55" s="573"/>
    </row>
    <row r="56" spans="1:41" s="62" customFormat="1" ht="12.75" customHeight="1">
      <c r="A56" s="207" t="s">
        <v>290</v>
      </c>
      <c r="B56" s="208"/>
      <c r="C56" s="252">
        <f t="shared" si="18"/>
        <v>155.18532547319376</v>
      </c>
      <c r="D56" s="257">
        <v>77.527798151623358</v>
      </c>
      <c r="E56" s="325">
        <v>70.131951348544106</v>
      </c>
      <c r="F56" s="253"/>
      <c r="G56" s="253">
        <v>7.5255759730262914</v>
      </c>
      <c r="H56" s="147">
        <f t="shared" si="19"/>
        <v>196.53880633</v>
      </c>
      <c r="I56" s="257"/>
      <c r="J56" s="375">
        <v>127.70399999999999</v>
      </c>
      <c r="K56" s="160">
        <v>68.834806329999992</v>
      </c>
      <c r="L56" s="147">
        <f t="shared" si="20"/>
        <v>1059.0610846185803</v>
      </c>
      <c r="M56" s="160"/>
      <c r="N56" s="160"/>
      <c r="O56" s="160">
        <v>0</v>
      </c>
      <c r="P56" s="160">
        <v>851.97056065430399</v>
      </c>
      <c r="Q56" s="160"/>
      <c r="R56" s="160">
        <v>0</v>
      </c>
      <c r="S56" s="160">
        <v>43.620998386839176</v>
      </c>
      <c r="T56" s="160">
        <v>159.95923884112759</v>
      </c>
      <c r="U56" s="160">
        <v>3.5102867363093639</v>
      </c>
      <c r="V56" s="253"/>
      <c r="W56" s="253"/>
      <c r="X56" s="253"/>
      <c r="Y56" s="160"/>
      <c r="Z56" s="147">
        <v>604.09375845912712</v>
      </c>
      <c r="AA56" s="304">
        <f t="shared" si="21"/>
        <v>68.387102733754332</v>
      </c>
      <c r="AB56" s="305"/>
      <c r="AC56" s="160"/>
      <c r="AD56" s="160">
        <v>27.857660562107053</v>
      </c>
      <c r="AE56" s="160"/>
      <c r="AF56" s="160"/>
      <c r="AG56" s="160"/>
      <c r="AH56" s="304">
        <v>13.379590942008413</v>
      </c>
      <c r="AI56" s="160">
        <v>27.149851229638866</v>
      </c>
      <c r="AJ56" s="147"/>
      <c r="AK56" s="147">
        <v>702.94473599999992</v>
      </c>
      <c r="AL56" s="304"/>
      <c r="AM56" s="187">
        <f t="shared" si="10"/>
        <v>2786.2108136146558</v>
      </c>
      <c r="AN56" s="59"/>
      <c r="AO56" s="61"/>
    </row>
    <row r="57" spans="1:41" s="62" customFormat="1" ht="12.75" customHeight="1">
      <c r="A57" s="207" t="s">
        <v>291</v>
      </c>
      <c r="B57" s="208"/>
      <c r="C57" s="252">
        <f t="shared" ref="C57:N57" si="22">SUM(C58:C59)</f>
        <v>0</v>
      </c>
      <c r="D57" s="160">
        <f t="shared" si="22"/>
        <v>0</v>
      </c>
      <c r="E57" s="160">
        <f t="shared" si="22"/>
        <v>0</v>
      </c>
      <c r="F57" s="253">
        <f t="shared" si="22"/>
        <v>0</v>
      </c>
      <c r="G57" s="253">
        <f t="shared" si="22"/>
        <v>0</v>
      </c>
      <c r="H57" s="147">
        <f t="shared" si="22"/>
        <v>0</v>
      </c>
      <c r="I57" s="257">
        <f t="shared" si="22"/>
        <v>0</v>
      </c>
      <c r="J57" s="376">
        <f t="shared" si="22"/>
        <v>0</v>
      </c>
      <c r="K57" s="257">
        <f t="shared" si="22"/>
        <v>0</v>
      </c>
      <c r="L57" s="147">
        <f t="shared" si="22"/>
        <v>267.57395184315021</v>
      </c>
      <c r="M57" s="160">
        <f t="shared" si="22"/>
        <v>0</v>
      </c>
      <c r="N57" s="160">
        <f t="shared" si="22"/>
        <v>0</v>
      </c>
      <c r="O57" s="160">
        <v>0</v>
      </c>
      <c r="P57" s="160">
        <f>SUM(P58:P59)</f>
        <v>0</v>
      </c>
      <c r="Q57" s="160">
        <f>SUM(Q58:Q59)</f>
        <v>0</v>
      </c>
      <c r="R57" s="160">
        <v>1.247004930562597</v>
      </c>
      <c r="S57" s="160">
        <v>9.4206736070750594</v>
      </c>
      <c r="T57" s="160">
        <v>256.90588302035394</v>
      </c>
      <c r="U57" s="160">
        <f>SUM(U58:U59)</f>
        <v>3.9028515863367719E-4</v>
      </c>
      <c r="V57" s="253">
        <f>SUM(V58:V59)</f>
        <v>0</v>
      </c>
      <c r="W57" s="253">
        <f>SUM(W58:W59)</f>
        <v>0</v>
      </c>
      <c r="X57" s="253">
        <f>SUM(X58:X59)</f>
        <v>0</v>
      </c>
      <c r="Y57" s="257">
        <f>SUM(Y58:Y59)</f>
        <v>0</v>
      </c>
      <c r="Z57" s="147">
        <v>532.11518780757262</v>
      </c>
      <c r="AA57" s="304">
        <f>SUM(AA58:AA59)</f>
        <v>42.897710060911812</v>
      </c>
      <c r="AB57" s="305">
        <f>SUM(AB58:AB59)</f>
        <v>0</v>
      </c>
      <c r="AC57" s="160">
        <f>SUM(AC58:AC59)</f>
        <v>0</v>
      </c>
      <c r="AD57" s="160">
        <f>SUM(AD58:AD59)</f>
        <v>18.076477820039997</v>
      </c>
      <c r="AE57" s="160">
        <f>SUM(AE58:AE59)</f>
        <v>0</v>
      </c>
      <c r="AF57" s="160">
        <f>SUM(AF59:AF59)</f>
        <v>7.541555368675982</v>
      </c>
      <c r="AG57" s="160">
        <f>SUM(AG58:AG59)</f>
        <v>0</v>
      </c>
      <c r="AH57" s="160">
        <f>SUM(AH58:AH59)</f>
        <v>0.16649466165720572</v>
      </c>
      <c r="AI57" s="257">
        <f>SUM(AI58:AI59)</f>
        <v>17.113182210538625</v>
      </c>
      <c r="AJ57" s="147">
        <f>SUM(AJ58:AJ59)</f>
        <v>0</v>
      </c>
      <c r="AK57" s="147">
        <v>641.75142824902878</v>
      </c>
      <c r="AL57" s="304">
        <f>SUM(AL58:AL59)</f>
        <v>0</v>
      </c>
      <c r="AM57" s="205">
        <f t="shared" si="10"/>
        <v>1484.3382779606634</v>
      </c>
      <c r="AN57" s="59"/>
      <c r="AO57" s="61"/>
    </row>
    <row r="58" spans="1:41" s="59" customFormat="1" ht="12.75" customHeight="1">
      <c r="A58" s="206" t="s">
        <v>292</v>
      </c>
      <c r="B58" s="180"/>
      <c r="C58" s="223">
        <f>SUM(D58:G58)</f>
        <v>0</v>
      </c>
      <c r="D58" s="224">
        <v>0</v>
      </c>
      <c r="E58" s="152">
        <v>0</v>
      </c>
      <c r="F58" s="225"/>
      <c r="G58" s="225">
        <v>0</v>
      </c>
      <c r="H58" s="269">
        <f>SUM(I58:K58)</f>
        <v>0</v>
      </c>
      <c r="I58" s="224"/>
      <c r="J58" s="363"/>
      <c r="K58" s="152"/>
      <c r="L58" s="269">
        <f>SUM(M58:Y58)</f>
        <v>176.73204143195045</v>
      </c>
      <c r="M58" s="152"/>
      <c r="N58" s="152"/>
      <c r="O58" s="152"/>
      <c r="P58" s="152">
        <v>0</v>
      </c>
      <c r="Q58" s="152"/>
      <c r="R58" s="152"/>
      <c r="S58" s="152">
        <f>S57*7.63/10.25</f>
        <v>7.0126575240958742</v>
      </c>
      <c r="T58" s="152">
        <f>T57*319.4/483.48</f>
        <v>169.71899362269593</v>
      </c>
      <c r="U58" s="152">
        <v>3.9028515863367719E-4</v>
      </c>
      <c r="V58" s="225"/>
      <c r="W58" s="225"/>
      <c r="X58" s="225"/>
      <c r="Y58" s="152"/>
      <c r="Z58" s="269">
        <f>Z57*37.95/86.6</f>
        <v>233.18442698957719</v>
      </c>
      <c r="AA58" s="288">
        <f>SUM(AB58:AI58)</f>
        <v>35.356154692235833</v>
      </c>
      <c r="AB58" s="289"/>
      <c r="AC58" s="152"/>
      <c r="AD58" s="152">
        <v>18.076477820039997</v>
      </c>
      <c r="AE58" s="159"/>
      <c r="AF58" s="159"/>
      <c r="AG58" s="159"/>
      <c r="AH58" s="273">
        <v>0.16649466165720572</v>
      </c>
      <c r="AI58" s="152">
        <v>17.113182210538625</v>
      </c>
      <c r="AJ58" s="269"/>
      <c r="AK58" s="311">
        <f>AK57*172.28/240.31</f>
        <v>460.07630168841359</v>
      </c>
      <c r="AL58" s="288"/>
      <c r="AM58" s="188">
        <f t="shared" si="10"/>
        <v>905.34892480217695</v>
      </c>
      <c r="AO58" s="60"/>
    </row>
    <row r="59" spans="1:41" s="59" customFormat="1" ht="12.75" customHeight="1">
      <c r="A59" s="203" t="s">
        <v>293</v>
      </c>
      <c r="B59" s="183"/>
      <c r="C59" s="226">
        <f>SUM(D59:G59)</f>
        <v>0</v>
      </c>
      <c r="D59" s="227"/>
      <c r="E59" s="153"/>
      <c r="F59" s="228"/>
      <c r="G59" s="228"/>
      <c r="H59" s="270">
        <f>SUM(I59:K59)</f>
        <v>0</v>
      </c>
      <c r="I59" s="227"/>
      <c r="J59" s="364">
        <v>0</v>
      </c>
      <c r="K59" s="153">
        <v>0</v>
      </c>
      <c r="L59" s="270">
        <f>SUM(M59:Y59)</f>
        <v>90.841910411199763</v>
      </c>
      <c r="M59" s="153"/>
      <c r="N59" s="153"/>
      <c r="O59" s="153"/>
      <c r="P59" s="153"/>
      <c r="Q59" s="153"/>
      <c r="R59" s="153">
        <f>R57</f>
        <v>1.247004930562597</v>
      </c>
      <c r="S59" s="153">
        <f>S57*2.62/10.25</f>
        <v>2.4080160829791861</v>
      </c>
      <c r="T59" s="153">
        <f>T57*164.08/483.48</f>
        <v>87.186889397657978</v>
      </c>
      <c r="U59" s="153"/>
      <c r="V59" s="228"/>
      <c r="W59" s="228"/>
      <c r="X59" s="228"/>
      <c r="Y59" s="153"/>
      <c r="Z59" s="270">
        <f>Z57*48.65/86.6</f>
        <v>298.93076081799552</v>
      </c>
      <c r="AA59" s="290">
        <f>SUM(AB59:AI59)</f>
        <v>7.541555368675982</v>
      </c>
      <c r="AB59" s="291"/>
      <c r="AC59" s="153"/>
      <c r="AD59" s="153"/>
      <c r="AE59" s="153"/>
      <c r="AF59" s="153">
        <v>7.541555368675982</v>
      </c>
      <c r="AG59" s="153"/>
      <c r="AH59" s="340"/>
      <c r="AI59" s="153"/>
      <c r="AJ59" s="270"/>
      <c r="AK59" s="312">
        <f>AK57*68.03/240.31</f>
        <v>181.67512656061515</v>
      </c>
      <c r="AL59" s="290"/>
      <c r="AM59" s="184">
        <f t="shared" si="10"/>
        <v>578.98935315848644</v>
      </c>
      <c r="AO59" s="60"/>
    </row>
    <row r="60" spans="1:41" s="62" customFormat="1" ht="12.75" customHeight="1">
      <c r="A60" s="189" t="s">
        <v>294</v>
      </c>
      <c r="B60" s="190"/>
      <c r="C60" s="232">
        <f>SUM(D60:G60)</f>
        <v>0</v>
      </c>
      <c r="D60" s="258">
        <v>0</v>
      </c>
      <c r="E60" s="162"/>
      <c r="F60" s="259"/>
      <c r="G60" s="259"/>
      <c r="H60" s="272">
        <f>SUM(I60:K60)</f>
        <v>0</v>
      </c>
      <c r="I60" s="258"/>
      <c r="J60" s="377"/>
      <c r="K60" s="162"/>
      <c r="L60" s="272">
        <f>SUM(M60:Y60)</f>
        <v>175.46549158593075</v>
      </c>
      <c r="M60" s="162"/>
      <c r="N60" s="162"/>
      <c r="O60" s="162">
        <v>0</v>
      </c>
      <c r="P60" s="162">
        <v>0</v>
      </c>
      <c r="Q60" s="162"/>
      <c r="R60" s="162"/>
      <c r="S60" s="162">
        <v>0</v>
      </c>
      <c r="T60" s="162">
        <v>175.46549158593075</v>
      </c>
      <c r="U60" s="152"/>
      <c r="V60" s="259"/>
      <c r="W60" s="259"/>
      <c r="X60" s="259"/>
      <c r="Y60" s="162"/>
      <c r="Z60" s="272">
        <v>0</v>
      </c>
      <c r="AA60" s="293">
        <f>SUM(AB60:AI60)</f>
        <v>0</v>
      </c>
      <c r="AB60" s="306"/>
      <c r="AC60" s="162"/>
      <c r="AD60" s="162"/>
      <c r="AE60" s="162"/>
      <c r="AF60" s="162"/>
      <c r="AG60" s="162"/>
      <c r="AH60" s="293"/>
      <c r="AI60" s="162"/>
      <c r="AJ60" s="272"/>
      <c r="AK60" s="272">
        <v>47.988</v>
      </c>
      <c r="AL60" s="293"/>
      <c r="AM60" s="187">
        <f t="shared" si="10"/>
        <v>223.45349158593075</v>
      </c>
      <c r="AN60" s="59"/>
      <c r="AO60" s="61"/>
    </row>
    <row r="61" spans="1:41" s="62" customFormat="1" ht="12.75" customHeight="1" thickBot="1">
      <c r="A61" s="344" t="s">
        <v>295</v>
      </c>
      <c r="B61" s="183"/>
      <c r="C61" s="226">
        <f>SUM(D61:G61)</f>
        <v>0</v>
      </c>
      <c r="D61" s="227"/>
      <c r="E61" s="153"/>
      <c r="F61" s="228"/>
      <c r="G61" s="228"/>
      <c r="H61" s="270">
        <f>SUM(I61:K61)</f>
        <v>0</v>
      </c>
      <c r="I61" s="227"/>
      <c r="J61" s="364"/>
      <c r="K61" s="153"/>
      <c r="L61" s="270">
        <f>SUM(M61:Y61)</f>
        <v>27.249865733664667</v>
      </c>
      <c r="M61" s="153"/>
      <c r="N61" s="153"/>
      <c r="O61" s="153"/>
      <c r="P61" s="153"/>
      <c r="Q61" s="153"/>
      <c r="R61" s="153"/>
      <c r="S61" s="153"/>
      <c r="T61" s="256">
        <v>27.249865733664667</v>
      </c>
      <c r="U61" s="153"/>
      <c r="V61" s="228"/>
      <c r="W61" s="228"/>
      <c r="X61" s="228"/>
      <c r="Y61" s="153"/>
      <c r="Z61" s="270"/>
      <c r="AA61" s="290">
        <f>SUM(AB61:AI61)</f>
        <v>0</v>
      </c>
      <c r="AB61" s="291"/>
      <c r="AC61" s="153"/>
      <c r="AD61" s="153"/>
      <c r="AE61" s="153"/>
      <c r="AF61" s="153"/>
      <c r="AG61" s="153"/>
      <c r="AH61" s="340"/>
      <c r="AI61" s="153"/>
      <c r="AJ61" s="270"/>
      <c r="AK61" s="312"/>
      <c r="AL61" s="290"/>
      <c r="AM61" s="353">
        <f t="shared" si="10"/>
        <v>27.249865733664667</v>
      </c>
      <c r="AN61" s="59"/>
      <c r="AO61" s="61"/>
    </row>
    <row r="62" spans="1:41" s="62" customFormat="1" ht="12.75" customHeight="1" thickBot="1">
      <c r="A62" s="173" t="s">
        <v>296</v>
      </c>
      <c r="B62" s="174"/>
      <c r="C62" s="218">
        <f t="shared" ref="C62:AL62" si="23">C27-C28-C30</f>
        <v>-2.9554969188629343</v>
      </c>
      <c r="D62" s="241">
        <f t="shared" si="23"/>
        <v>0.18284784306936785</v>
      </c>
      <c r="E62" s="150">
        <f t="shared" si="23"/>
        <v>-4.0131297356440712</v>
      </c>
      <c r="F62" s="260">
        <f t="shared" si="23"/>
        <v>0</v>
      </c>
      <c r="G62" s="260">
        <f t="shared" si="23"/>
        <v>0.87478497371188713</v>
      </c>
      <c r="H62" s="267">
        <f t="shared" si="23"/>
        <v>1.9457250152907477</v>
      </c>
      <c r="I62" s="241">
        <f t="shared" si="23"/>
        <v>-0.45741265470919368</v>
      </c>
      <c r="J62" s="370">
        <f t="shared" si="23"/>
        <v>0</v>
      </c>
      <c r="K62" s="150">
        <f t="shared" si="23"/>
        <v>2.4031376700000067</v>
      </c>
      <c r="L62" s="267">
        <f t="shared" si="23"/>
        <v>5.5965062596596908</v>
      </c>
      <c r="M62" s="150">
        <f t="shared" si="23"/>
        <v>0</v>
      </c>
      <c r="N62" s="150">
        <f t="shared" si="23"/>
        <v>0</v>
      </c>
      <c r="O62" s="150">
        <f t="shared" si="23"/>
        <v>9.1821641780287564</v>
      </c>
      <c r="P62" s="150">
        <f t="shared" si="23"/>
        <v>15.370413414720019</v>
      </c>
      <c r="Q62" s="150">
        <f t="shared" si="23"/>
        <v>-6.7103906044801533</v>
      </c>
      <c r="R62" s="150">
        <f t="shared" si="23"/>
        <v>-15.098275306963814</v>
      </c>
      <c r="S62" s="150">
        <f t="shared" si="23"/>
        <v>6.5570336698137623</v>
      </c>
      <c r="T62" s="150">
        <f t="shared" si="23"/>
        <v>-4.474626962407001</v>
      </c>
      <c r="U62" s="150">
        <f t="shared" si="23"/>
        <v>0.82532907951218704</v>
      </c>
      <c r="V62" s="260">
        <f t="shared" si="23"/>
        <v>-5.5141208563533439E-2</v>
      </c>
      <c r="W62" s="260">
        <f t="shared" si="23"/>
        <v>0</v>
      </c>
      <c r="X62" s="260">
        <f t="shared" si="23"/>
        <v>0</v>
      </c>
      <c r="Y62" s="150">
        <f t="shared" si="23"/>
        <v>0</v>
      </c>
      <c r="Z62" s="267">
        <f t="shared" si="23"/>
        <v>-27.064787097498538</v>
      </c>
      <c r="AA62" s="219">
        <f t="shared" si="23"/>
        <v>-9.9700943157868096</v>
      </c>
      <c r="AB62" s="296">
        <f t="shared" si="23"/>
        <v>0</v>
      </c>
      <c r="AC62" s="150">
        <f t="shared" si="23"/>
        <v>0</v>
      </c>
      <c r="AD62" s="150">
        <f t="shared" si="23"/>
        <v>-5.0033292701067751</v>
      </c>
      <c r="AE62" s="150">
        <f t="shared" si="23"/>
        <v>0</v>
      </c>
      <c r="AF62" s="150">
        <f t="shared" si="23"/>
        <v>0</v>
      </c>
      <c r="AG62" s="150">
        <f t="shared" si="23"/>
        <v>-4.9667650456800914</v>
      </c>
      <c r="AH62" s="219">
        <f t="shared" si="23"/>
        <v>0</v>
      </c>
      <c r="AI62" s="150">
        <f t="shared" si="23"/>
        <v>0</v>
      </c>
      <c r="AJ62" s="267">
        <f t="shared" si="23"/>
        <v>0</v>
      </c>
      <c r="AK62" s="267">
        <f t="shared" si="23"/>
        <v>27.258146748843501</v>
      </c>
      <c r="AL62" s="219">
        <f t="shared" si="23"/>
        <v>0</v>
      </c>
      <c r="AM62" s="175">
        <f t="shared" si="10"/>
        <v>-5.1900003083543425</v>
      </c>
      <c r="AN62" s="59"/>
      <c r="AO62" s="61"/>
    </row>
    <row r="63" spans="1:41" ht="12.75" customHeight="1">
      <c r="A63" s="70"/>
      <c r="B63" s="70"/>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0"/>
      <c r="AL63" s="71"/>
      <c r="AM63" s="71"/>
    </row>
    <row r="64" spans="1:41" s="75" customFormat="1" ht="15" customHeight="1">
      <c r="A64" s="72" t="s">
        <v>297</v>
      </c>
      <c r="B64" s="73"/>
      <c r="C64" s="186"/>
      <c r="D64" s="186"/>
      <c r="E64" s="64"/>
      <c r="F64" s="64"/>
      <c r="G64" s="64"/>
      <c r="H64" s="64"/>
      <c r="I64" s="64"/>
      <c r="J64" s="64"/>
      <c r="K64" s="64"/>
      <c r="L64" s="74"/>
      <c r="M64" s="64"/>
      <c r="N64" s="62"/>
      <c r="O64" s="62"/>
      <c r="P64" s="64"/>
      <c r="Q64" s="64"/>
      <c r="R64" s="64"/>
      <c r="S64" s="64"/>
      <c r="T64" s="64"/>
      <c r="U64" s="64"/>
      <c r="V64" s="63"/>
      <c r="W64" s="62"/>
      <c r="X64" s="64"/>
      <c r="Y64" s="64"/>
      <c r="Z64" s="64"/>
      <c r="AA64" s="64"/>
      <c r="AB64" s="64"/>
      <c r="AC64" s="64"/>
      <c r="AD64" s="64"/>
      <c r="AE64" s="64"/>
      <c r="AF64" s="64"/>
      <c r="AG64" s="571"/>
      <c r="AH64" s="64"/>
      <c r="AI64" s="64"/>
      <c r="AJ64" s="64"/>
      <c r="AK64" s="73"/>
      <c r="AL64" s="64"/>
      <c r="AM64" s="64"/>
      <c r="AO64" s="61"/>
    </row>
    <row r="65" spans="1:39" ht="12.75" customHeight="1">
      <c r="A65" s="76" t="s">
        <v>342</v>
      </c>
      <c r="B65" s="378"/>
      <c r="C65" s="379"/>
      <c r="D65" s="379"/>
      <c r="E65" s="71"/>
      <c r="F65" s="71"/>
      <c r="G65" s="71"/>
      <c r="H65" s="71"/>
      <c r="I65" s="71"/>
      <c r="J65" s="71"/>
      <c r="K65" s="71"/>
      <c r="L65" s="71"/>
      <c r="M65" s="71"/>
      <c r="N65" s="71"/>
      <c r="O65" s="71"/>
      <c r="P65" s="71"/>
      <c r="Q65" s="71"/>
      <c r="R65" s="71"/>
      <c r="S65" s="71"/>
      <c r="T65" s="71"/>
      <c r="U65" s="71"/>
      <c r="V65" s="71"/>
      <c r="W65" s="71"/>
      <c r="X65" s="71"/>
      <c r="Y65" s="71"/>
      <c r="Z65" s="70"/>
      <c r="AA65" s="71"/>
      <c r="AB65" s="71"/>
      <c r="AC65" s="71"/>
      <c r="AD65" s="71"/>
      <c r="AE65" s="71"/>
      <c r="AF65" s="71"/>
      <c r="AG65" s="71"/>
      <c r="AH65" s="71"/>
      <c r="AI65" s="71"/>
      <c r="AJ65" s="71"/>
      <c r="AK65" s="70"/>
      <c r="AL65" s="71"/>
      <c r="AM65" s="71"/>
    </row>
    <row r="66" spans="1:39" ht="12.75" customHeight="1">
      <c r="A66" s="380" t="s">
        <v>343</v>
      </c>
      <c r="B66" s="77"/>
      <c r="C66" s="379"/>
      <c r="D66" s="379"/>
      <c r="E66" s="71"/>
      <c r="F66" s="71"/>
      <c r="G66" s="71"/>
      <c r="H66" s="71"/>
      <c r="I66" s="71"/>
      <c r="J66" s="71"/>
      <c r="K66" s="71"/>
      <c r="L66" s="71"/>
      <c r="M66" s="71"/>
      <c r="N66" s="71"/>
      <c r="O66" s="71"/>
      <c r="P66" s="71"/>
      <c r="Q66" s="71"/>
      <c r="R66" s="71"/>
      <c r="S66" s="71"/>
      <c r="T66" s="71"/>
      <c r="U66" s="71"/>
      <c r="V66" s="71"/>
      <c r="W66" s="71"/>
      <c r="X66" s="71"/>
      <c r="Y66" s="71"/>
      <c r="Z66" s="70"/>
      <c r="AA66" s="71"/>
      <c r="AB66" s="71"/>
      <c r="AC66" s="71"/>
      <c r="AD66" s="71"/>
      <c r="AE66" s="71"/>
      <c r="AF66" s="71"/>
      <c r="AG66" s="71"/>
      <c r="AH66" s="71"/>
      <c r="AI66" s="71"/>
      <c r="AJ66" s="71"/>
      <c r="AK66" s="70"/>
      <c r="AL66" s="71"/>
      <c r="AM66" s="71"/>
    </row>
    <row r="67" spans="1:39" ht="12.75" customHeight="1">
      <c r="A67" s="78" t="s">
        <v>344</v>
      </c>
      <c r="B67" s="79"/>
      <c r="C67" s="379"/>
      <c r="D67" s="379"/>
      <c r="E67" s="71"/>
      <c r="F67" s="71"/>
      <c r="G67" s="71"/>
      <c r="H67" s="71"/>
      <c r="I67" s="71"/>
      <c r="J67" s="71"/>
      <c r="K67" s="71"/>
      <c r="L67" s="71"/>
      <c r="M67" s="71"/>
      <c r="N67" s="71"/>
      <c r="O67" s="71"/>
      <c r="P67" s="71"/>
      <c r="Q67" s="71"/>
      <c r="R67" s="71"/>
      <c r="S67" s="71"/>
      <c r="T67" s="71"/>
      <c r="U67" s="71"/>
      <c r="V67" s="71"/>
      <c r="W67" s="71"/>
      <c r="X67" s="71"/>
      <c r="Y67" s="71"/>
      <c r="Z67" s="70"/>
      <c r="AA67" s="71"/>
      <c r="AB67" s="71"/>
      <c r="AC67" s="71"/>
      <c r="AD67" s="71"/>
      <c r="AE67" s="71"/>
      <c r="AF67" s="71"/>
      <c r="AG67" s="71"/>
      <c r="AH67" s="71"/>
      <c r="AI67" s="71"/>
      <c r="AJ67" s="71"/>
      <c r="AK67" s="70"/>
      <c r="AL67" s="71"/>
      <c r="AM67" s="71"/>
    </row>
    <row r="68" spans="1:39" ht="12.75" customHeight="1">
      <c r="A68" s="381" t="s">
        <v>345</v>
      </c>
      <c r="B68" s="79"/>
      <c r="C68" s="379"/>
      <c r="D68" s="379"/>
      <c r="E68" s="71"/>
      <c r="F68" s="71"/>
      <c r="G68" s="71"/>
      <c r="H68" s="71"/>
      <c r="I68" s="71"/>
      <c r="J68" s="71"/>
      <c r="K68" s="71"/>
      <c r="L68" s="71"/>
      <c r="M68" s="71"/>
      <c r="N68" s="71"/>
      <c r="O68" s="71"/>
      <c r="P68" s="71"/>
      <c r="Q68" s="71"/>
      <c r="R68" s="71"/>
      <c r="S68" s="71"/>
      <c r="T68" s="71"/>
      <c r="U68" s="71"/>
      <c r="V68" s="71"/>
      <c r="W68" s="71"/>
      <c r="X68" s="71"/>
      <c r="Y68" s="71"/>
      <c r="Z68" s="70"/>
      <c r="AA68" s="71"/>
      <c r="AB68" s="71"/>
      <c r="AC68" s="71"/>
      <c r="AD68" s="71"/>
      <c r="AE68" s="71"/>
      <c r="AF68" s="71"/>
      <c r="AG68" s="71"/>
      <c r="AH68" s="71"/>
      <c r="AI68" s="71"/>
      <c r="AJ68" s="71"/>
      <c r="AK68" s="70"/>
      <c r="AL68" s="71"/>
      <c r="AM68" s="71"/>
    </row>
    <row r="69" spans="1:39" ht="12.75" customHeight="1">
      <c r="A69" s="80" t="s">
        <v>298</v>
      </c>
      <c r="B69" s="382"/>
      <c r="C69" s="382"/>
      <c r="D69" s="382"/>
      <c r="E69" s="81"/>
      <c r="F69" s="82"/>
      <c r="G69" s="82"/>
      <c r="H69" s="83"/>
      <c r="I69" s="82"/>
      <c r="J69" s="82"/>
      <c r="K69" s="82"/>
      <c r="R69" s="84"/>
      <c r="S69" s="85"/>
      <c r="T69" s="84"/>
      <c r="U69" s="84"/>
      <c r="Y69" s="82"/>
      <c r="AA69" s="87"/>
      <c r="AL69" s="88"/>
    </row>
    <row r="70" spans="1:39" ht="12.75" customHeight="1">
      <c r="A70" s="80" t="s">
        <v>299</v>
      </c>
      <c r="B70" s="382"/>
      <c r="C70" s="382"/>
      <c r="D70" s="382"/>
      <c r="E70" s="81"/>
      <c r="F70" s="82"/>
      <c r="G70" s="82"/>
      <c r="H70" s="83"/>
      <c r="I70" s="82"/>
      <c r="J70" s="82"/>
      <c r="K70" s="82"/>
      <c r="R70" s="84"/>
      <c r="S70" s="85"/>
      <c r="T70" s="84"/>
      <c r="U70" s="84"/>
      <c r="Y70" s="82"/>
      <c r="AA70" s="87"/>
      <c r="AL70" s="88"/>
    </row>
    <row r="71" spans="1:39">
      <c r="A71" s="383"/>
      <c r="B71" s="384"/>
    </row>
  </sheetData>
  <pageMargins left="0.19685039370078741" right="0.19685039370078741" top="0.59055118110236227" bottom="0.78740157480314965" header="0.31496062992125984" footer="0.19685039370078741"/>
  <pageSetup paperSize="9" scale="42"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C4" sqref="C4"/>
    </sheetView>
  </sheetViews>
  <sheetFormatPr defaultColWidth="9.109375" defaultRowHeight="14.4"/>
  <cols>
    <col min="1" max="1" width="12.109375" style="718" customWidth="1"/>
    <col min="2" max="2" width="11.6640625" style="718" customWidth="1"/>
    <col min="3" max="3" width="3.109375" style="718" bestFit="1" customWidth="1"/>
    <col min="4" max="4" width="8.5546875" style="718" bestFit="1" customWidth="1"/>
    <col min="5" max="5" width="6.44140625" style="718" bestFit="1" customWidth="1"/>
    <col min="6" max="6" width="4.88671875" style="718" bestFit="1" customWidth="1"/>
    <col min="7" max="7" width="5.6640625" style="718" bestFit="1" customWidth="1"/>
    <col min="8" max="8" width="5.88671875" style="718" bestFit="1" customWidth="1"/>
    <col min="9" max="9" width="5.44140625" style="718" bestFit="1" customWidth="1"/>
    <col min="10" max="11" width="5.6640625" style="718" bestFit="1" customWidth="1"/>
    <col min="12" max="12" width="6.5546875" style="718" bestFit="1" customWidth="1"/>
    <col min="13" max="13" width="6.109375" style="718" bestFit="1" customWidth="1"/>
    <col min="14" max="14" width="6.6640625" style="718" bestFit="1" customWidth="1"/>
    <col min="15" max="15" width="6.5546875" style="718" bestFit="1" customWidth="1"/>
    <col min="16" max="16" width="7.33203125" style="718" bestFit="1" customWidth="1"/>
    <col min="17" max="17" width="5.6640625" style="718" bestFit="1" customWidth="1"/>
    <col min="18" max="18" width="6.109375" style="718" bestFit="1" customWidth="1"/>
    <col min="19" max="19" width="5.6640625" style="718" bestFit="1" customWidth="1"/>
    <col min="20" max="20" width="5.5546875" style="718" bestFit="1" customWidth="1"/>
    <col min="21" max="21" width="5.88671875" style="718" bestFit="1" customWidth="1"/>
    <col min="22" max="22" width="6.6640625" style="718" bestFit="1" customWidth="1"/>
    <col min="23" max="23" width="4.88671875" style="718" bestFit="1" customWidth="1"/>
    <col min="24" max="24" width="7.5546875" style="718" customWidth="1"/>
    <col min="25" max="25" width="6.6640625" style="718" bestFit="1" customWidth="1"/>
    <col min="26" max="26" width="6.109375" style="718" bestFit="1" customWidth="1"/>
    <col min="27" max="28" width="6" style="718" bestFit="1" customWidth="1"/>
    <col min="29" max="29" width="5.6640625" style="718" bestFit="1" customWidth="1"/>
    <col min="30" max="30" width="6.6640625" style="718" bestFit="1" customWidth="1"/>
    <col min="31" max="16384" width="9.109375" style="718"/>
  </cols>
  <sheetData>
    <row r="3" spans="1:30">
      <c r="C3" s="721" t="str" cm="1">
        <f t="array" ref="C3">INDEX(C5:C7,$A$4)</f>
        <v>IE</v>
      </c>
      <c r="D3" s="721" t="str" cm="1">
        <f t="array" ref="D3">INDEX(D5:D7,$A$4)</f>
        <v>National</v>
      </c>
      <c r="E3" s="721" t="str" cm="1">
        <f t="array" ref="E3">INDEX(E5:E7,$A$4)</f>
        <v>IE-CW</v>
      </c>
      <c r="F3" s="721" t="str" cm="1">
        <f t="array" ref="F3">INDEX(F5:F7,$A$4)</f>
        <v>IE-D</v>
      </c>
      <c r="G3" s="721" t="str" cm="1">
        <f t="array" ref="G3">INDEX(G5:G7,$A$4)</f>
        <v>IE-KE</v>
      </c>
      <c r="H3" s="721" t="str" cm="1">
        <f t="array" ref="H3">INDEX(H5:H7,$A$4)</f>
        <v>IE-KK</v>
      </c>
      <c r="I3" s="721" t="str" cm="1">
        <f t="array" ref="I3">INDEX(I5:I7,$A$4)</f>
        <v>IE-LS</v>
      </c>
      <c r="J3" s="721" t="str" cm="1">
        <f t="array" ref="J3">INDEX(J5:J7,$A$4)</f>
        <v>IE-LD</v>
      </c>
      <c r="K3" s="721" t="str" cm="1">
        <f t="array" ref="K3">INDEX(K5:K7,$A$4)</f>
        <v>IE-LH</v>
      </c>
      <c r="L3" s="721" t="str" cm="1">
        <f t="array" ref="L3">INDEX(L5:L7,$A$4)</f>
        <v>IE-MH</v>
      </c>
      <c r="M3" s="721" t="str" cm="1">
        <f t="array" ref="M3">INDEX(M5:M7,$A$4)</f>
        <v>IE-OY</v>
      </c>
      <c r="N3" s="721" t="str" cm="1">
        <f t="array" ref="N3">INDEX(N5:N7,$A$4)</f>
        <v>IE-WH</v>
      </c>
      <c r="O3" s="721" t="str" cm="1">
        <f t="array" ref="O3">INDEX(O5:O7,$A$4)</f>
        <v>IE-WX</v>
      </c>
      <c r="P3" s="721" t="str" cm="1">
        <f t="array" ref="P3">INDEX(P5:P7,$A$4)</f>
        <v>IE-WW</v>
      </c>
      <c r="Q3" s="721" t="str" cm="1">
        <f t="array" ref="Q3">INDEX(Q5:Q7,$A$4)</f>
        <v>IE-CE</v>
      </c>
      <c r="R3" s="721" t="str" cm="1">
        <f t="array" ref="R3">INDEX(R5:R7,$A$4)</f>
        <v>IE-CO</v>
      </c>
      <c r="S3" s="721" t="str" cm="1">
        <f t="array" ref="S3">INDEX(S5:S7,$A$4)</f>
        <v>IE-KY</v>
      </c>
      <c r="T3" s="721" t="str" cm="1">
        <f t="array" ref="T3">INDEX(T5:T7,$A$4)</f>
        <v>IE-LK</v>
      </c>
      <c r="U3" s="721" t="str" cm="1">
        <f t="array" ref="U3">INDEX(U5:U7,$A$4)</f>
        <v>IE-TA</v>
      </c>
      <c r="V3" s="721" t="str" cm="1">
        <f t="array" ref="V3">INDEX(V5:V7,$A$4)</f>
        <v>IE-WD</v>
      </c>
      <c r="W3" s="721" t="str" cm="1">
        <f t="array" ref="W3">INDEX(W5:W7,$A$4)</f>
        <v>IE-G</v>
      </c>
      <c r="X3" s="721" t="str" cm="1">
        <f t="array" ref="X3">INDEX(X5:X7,$A$4)</f>
        <v>IE-LM</v>
      </c>
      <c r="Y3" s="721" t="str" cm="1">
        <f t="array" ref="Y3">INDEX(Y5:Y7,$A$4)</f>
        <v>IE-MO</v>
      </c>
      <c r="Z3" s="721" t="str" cm="1">
        <f t="array" ref="Z3">INDEX(Z5:Z7,$A$4)</f>
        <v>IE-RN</v>
      </c>
      <c r="AA3" s="721" t="str" cm="1">
        <f t="array" ref="AA3">INDEX(AA5:AA7,$A$4)</f>
        <v>IE-SO</v>
      </c>
      <c r="AB3" s="721" t="str" cm="1">
        <f t="array" ref="AB3">INDEX(AB5:AB7,$A$4)</f>
        <v>IE-CN</v>
      </c>
      <c r="AC3" s="721" t="str" cm="1">
        <f t="array" ref="AC3">INDEX(AC5:AC7,$A$4)</f>
        <v>IE-DL</v>
      </c>
      <c r="AD3" s="721" t="str" cm="1">
        <f t="array" ref="AD3">INDEX(AD5:AD7,$A$4)</f>
        <v>IE-MN</v>
      </c>
    </row>
    <row r="4" spans="1:30">
      <c r="A4" s="718">
        <v>1</v>
      </c>
    </row>
    <row r="5" spans="1:30">
      <c r="A5" s="718" t="s">
        <v>1049</v>
      </c>
      <c r="C5" s="720" t="s">
        <v>1048</v>
      </c>
      <c r="D5" s="132" t="s">
        <v>401</v>
      </c>
      <c r="E5" s="721" t="str">
        <f>Regions!A11</f>
        <v>IE-CW</v>
      </c>
      <c r="F5" s="721" t="str">
        <f>Regions!A16</f>
        <v>IE-D</v>
      </c>
      <c r="G5" s="721" t="str">
        <f>Regions!A19</f>
        <v>IE-KE</v>
      </c>
      <c r="H5" s="721" t="str">
        <f>Regions!A20</f>
        <v>IE-KK</v>
      </c>
      <c r="I5" s="721" t="str">
        <f>Regions!A21</f>
        <v>IE-LS</v>
      </c>
      <c r="J5" s="721" t="str">
        <f>Regions!A24</f>
        <v>IE-LD</v>
      </c>
      <c r="K5" s="721" t="str">
        <f>Regions!A25</f>
        <v>IE-LH</v>
      </c>
      <c r="L5" s="721" t="str">
        <f>Regions!A27</f>
        <v>IE-MH</v>
      </c>
      <c r="M5" s="721" t="str">
        <f>Regions!A29</f>
        <v>IE-OY</v>
      </c>
      <c r="N5" s="721" t="str">
        <f>Regions!A34</f>
        <v>IE-WH</v>
      </c>
      <c r="O5" s="721" t="str">
        <f>Regions!A35</f>
        <v>IE-WX</v>
      </c>
      <c r="P5" s="721" t="str">
        <f>Regions!A36</f>
        <v>IE-WW</v>
      </c>
      <c r="Q5" s="721" t="str">
        <f>Regions!A13</f>
        <v>IE-CE</v>
      </c>
      <c r="R5" s="721" t="str">
        <f>Regions!A14</f>
        <v>IE-CO</v>
      </c>
      <c r="S5" s="721" t="str">
        <f>Regions!A18</f>
        <v>IE-KY</v>
      </c>
      <c r="T5" s="721" t="str">
        <f>Regions!A23</f>
        <v>IE-LK</v>
      </c>
      <c r="U5" s="721" t="str">
        <f>Regions!A32</f>
        <v>IE-TA</v>
      </c>
      <c r="V5" s="721" t="str">
        <f>Regions!A33</f>
        <v>IE-WD</v>
      </c>
      <c r="W5" s="721" t="str">
        <f>Regions!A17</f>
        <v>IE-G</v>
      </c>
      <c r="X5" s="721" t="str">
        <f>Regions!A22</f>
        <v>IE-LM</v>
      </c>
      <c r="Y5" s="721" t="str">
        <f>Regions!A26</f>
        <v>IE-MO</v>
      </c>
      <c r="Z5" s="721" t="str">
        <f>Regions!A30</f>
        <v>IE-RN</v>
      </c>
      <c r="AA5" s="721" t="str">
        <f>Regions!A31</f>
        <v>IE-SO</v>
      </c>
      <c r="AB5" s="721" t="str">
        <f>Regions!A12</f>
        <v>IE-CN</v>
      </c>
      <c r="AC5" s="721" t="str">
        <f>Regions!A15</f>
        <v>IE-DL</v>
      </c>
      <c r="AD5" s="721" t="str">
        <f>Regions!A28</f>
        <v>IE-MN</v>
      </c>
    </row>
    <row r="6" spans="1:30">
      <c r="A6" s="718" t="s">
        <v>980</v>
      </c>
      <c r="C6" s="719" t="str">
        <f>C5</f>
        <v>IE</v>
      </c>
      <c r="D6" s="719" t="str">
        <f>"*"&amp;D5</f>
        <v>*National</v>
      </c>
      <c r="E6" s="719" t="str">
        <f t="shared" ref="E6:AD6" si="0">"*"&amp;E5</f>
        <v>*IE-CW</v>
      </c>
      <c r="F6" s="719" t="str">
        <f t="shared" si="0"/>
        <v>*IE-D</v>
      </c>
      <c r="G6" s="719" t="str">
        <f t="shared" si="0"/>
        <v>*IE-KE</v>
      </c>
      <c r="H6" s="719" t="str">
        <f t="shared" si="0"/>
        <v>*IE-KK</v>
      </c>
      <c r="I6" s="719" t="str">
        <f t="shared" si="0"/>
        <v>*IE-LS</v>
      </c>
      <c r="J6" s="719" t="str">
        <f t="shared" si="0"/>
        <v>*IE-LD</v>
      </c>
      <c r="K6" s="719" t="str">
        <f t="shared" si="0"/>
        <v>*IE-LH</v>
      </c>
      <c r="L6" s="719" t="str">
        <f t="shared" si="0"/>
        <v>*IE-MH</v>
      </c>
      <c r="M6" s="719" t="str">
        <f t="shared" si="0"/>
        <v>*IE-OY</v>
      </c>
      <c r="N6" s="719" t="str">
        <f t="shared" si="0"/>
        <v>*IE-WH</v>
      </c>
      <c r="O6" s="719" t="str">
        <f t="shared" si="0"/>
        <v>*IE-WX</v>
      </c>
      <c r="P6" s="719" t="str">
        <f t="shared" si="0"/>
        <v>*IE-WW</v>
      </c>
      <c r="Q6" s="719" t="str">
        <f t="shared" si="0"/>
        <v>*IE-CE</v>
      </c>
      <c r="R6" s="719" t="str">
        <f t="shared" si="0"/>
        <v>*IE-CO</v>
      </c>
      <c r="S6" s="719" t="str">
        <f t="shared" si="0"/>
        <v>*IE-KY</v>
      </c>
      <c r="T6" s="719" t="str">
        <f t="shared" si="0"/>
        <v>*IE-LK</v>
      </c>
      <c r="U6" s="719" t="str">
        <f t="shared" si="0"/>
        <v>*IE-TA</v>
      </c>
      <c r="V6" s="719" t="str">
        <f t="shared" si="0"/>
        <v>*IE-WD</v>
      </c>
      <c r="W6" s="719" t="str">
        <f t="shared" si="0"/>
        <v>*IE-G</v>
      </c>
      <c r="X6" s="719" t="str">
        <f t="shared" si="0"/>
        <v>*IE-LM</v>
      </c>
      <c r="Y6" s="719" t="str">
        <f t="shared" si="0"/>
        <v>*IE-MO</v>
      </c>
      <c r="Z6" s="719" t="str">
        <f t="shared" si="0"/>
        <v>*IE-RN</v>
      </c>
      <c r="AA6" s="719" t="str">
        <f t="shared" si="0"/>
        <v>*IE-SO</v>
      </c>
      <c r="AB6" s="719" t="str">
        <f t="shared" si="0"/>
        <v>*IE-CN</v>
      </c>
      <c r="AC6" s="719" t="str">
        <f t="shared" si="0"/>
        <v>*IE-DL</v>
      </c>
      <c r="AD6" s="719" t="str">
        <f t="shared" si="0"/>
        <v>*IE-MN</v>
      </c>
    </row>
    <row r="7" spans="1:30">
      <c r="A7" s="718" t="s">
        <v>981</v>
      </c>
      <c r="C7" s="719" t="str">
        <f>"*"&amp;C5</f>
        <v>*IE</v>
      </c>
      <c r="D7" s="719" t="str">
        <f>D5</f>
        <v>National</v>
      </c>
      <c r="E7" s="719" t="str">
        <f t="shared" ref="E7:AD7" si="1">E5</f>
        <v>IE-CW</v>
      </c>
      <c r="F7" s="719" t="str">
        <f t="shared" si="1"/>
        <v>IE-D</v>
      </c>
      <c r="G7" s="719" t="str">
        <f t="shared" si="1"/>
        <v>IE-KE</v>
      </c>
      <c r="H7" s="719" t="str">
        <f t="shared" si="1"/>
        <v>IE-KK</v>
      </c>
      <c r="I7" s="719" t="str">
        <f t="shared" si="1"/>
        <v>IE-LS</v>
      </c>
      <c r="J7" s="719" t="str">
        <f t="shared" si="1"/>
        <v>IE-LD</v>
      </c>
      <c r="K7" s="719" t="str">
        <f t="shared" si="1"/>
        <v>IE-LH</v>
      </c>
      <c r="L7" s="719" t="str">
        <f t="shared" si="1"/>
        <v>IE-MH</v>
      </c>
      <c r="M7" s="719" t="str">
        <f t="shared" si="1"/>
        <v>IE-OY</v>
      </c>
      <c r="N7" s="719" t="str">
        <f t="shared" si="1"/>
        <v>IE-WH</v>
      </c>
      <c r="O7" s="719" t="str">
        <f t="shared" si="1"/>
        <v>IE-WX</v>
      </c>
      <c r="P7" s="719" t="str">
        <f t="shared" si="1"/>
        <v>IE-WW</v>
      </c>
      <c r="Q7" s="719" t="str">
        <f t="shared" si="1"/>
        <v>IE-CE</v>
      </c>
      <c r="R7" s="719" t="str">
        <f t="shared" si="1"/>
        <v>IE-CO</v>
      </c>
      <c r="S7" s="719" t="str">
        <f t="shared" si="1"/>
        <v>IE-KY</v>
      </c>
      <c r="T7" s="719" t="str">
        <f t="shared" si="1"/>
        <v>IE-LK</v>
      </c>
      <c r="U7" s="719" t="str">
        <f t="shared" si="1"/>
        <v>IE-TA</v>
      </c>
      <c r="V7" s="719" t="str">
        <f t="shared" si="1"/>
        <v>IE-WD</v>
      </c>
      <c r="W7" s="719" t="str">
        <f t="shared" si="1"/>
        <v>IE-G</v>
      </c>
      <c r="X7" s="719" t="str">
        <f t="shared" si="1"/>
        <v>IE-LM</v>
      </c>
      <c r="Y7" s="719" t="str">
        <f t="shared" si="1"/>
        <v>IE-MO</v>
      </c>
      <c r="Z7" s="719" t="str">
        <f t="shared" si="1"/>
        <v>IE-RN</v>
      </c>
      <c r="AA7" s="719" t="str">
        <f t="shared" si="1"/>
        <v>IE-SO</v>
      </c>
      <c r="AB7" s="719" t="str">
        <f t="shared" si="1"/>
        <v>IE-CN</v>
      </c>
      <c r="AC7" s="719" t="str">
        <f t="shared" si="1"/>
        <v>IE-DL</v>
      </c>
      <c r="AD7" s="719" t="str">
        <f t="shared" si="1"/>
        <v>IE-MN</v>
      </c>
    </row>
    <row r="10" spans="1:30" ht="15" thickBot="1">
      <c r="A10" s="681" t="s">
        <v>977</v>
      </c>
      <c r="B10" s="681" t="s">
        <v>978</v>
      </c>
    </row>
    <row r="11" spans="1:30">
      <c r="A11" s="680" t="s">
        <v>951</v>
      </c>
      <c r="B11" s="680" t="s">
        <v>374</v>
      </c>
    </row>
    <row r="12" spans="1:30">
      <c r="A12" s="678" t="s">
        <v>952</v>
      </c>
      <c r="B12" s="678" t="s">
        <v>397</v>
      </c>
    </row>
    <row r="13" spans="1:30">
      <c r="A13" s="678" t="s">
        <v>953</v>
      </c>
      <c r="B13" s="678" t="s">
        <v>386</v>
      </c>
    </row>
    <row r="14" spans="1:30">
      <c r="A14" s="678" t="s">
        <v>954</v>
      </c>
      <c r="B14" s="678" t="s">
        <v>387</v>
      </c>
    </row>
    <row r="15" spans="1:30">
      <c r="A15" s="678" t="s">
        <v>955</v>
      </c>
      <c r="B15" s="678" t="s">
        <v>398</v>
      </c>
    </row>
    <row r="16" spans="1:30">
      <c r="A16" s="678" t="s">
        <v>956</v>
      </c>
      <c r="B16" s="678" t="s">
        <v>375</v>
      </c>
    </row>
    <row r="17" spans="1:2">
      <c r="A17" s="678" t="s">
        <v>957</v>
      </c>
      <c r="B17" s="678" t="s">
        <v>392</v>
      </c>
    </row>
    <row r="18" spans="1:2">
      <c r="A18" s="678" t="s">
        <v>958</v>
      </c>
      <c r="B18" s="678" t="s">
        <v>388</v>
      </c>
    </row>
    <row r="19" spans="1:2">
      <c r="A19" s="678" t="s">
        <v>959</v>
      </c>
      <c r="B19" s="678" t="s">
        <v>376</v>
      </c>
    </row>
    <row r="20" spans="1:2">
      <c r="A20" s="678" t="s">
        <v>960</v>
      </c>
      <c r="B20" s="678" t="s">
        <v>377</v>
      </c>
    </row>
    <row r="21" spans="1:2">
      <c r="A21" s="678" t="s">
        <v>961</v>
      </c>
      <c r="B21" s="678" t="s">
        <v>378</v>
      </c>
    </row>
    <row r="22" spans="1:2">
      <c r="A22" s="678" t="s">
        <v>962</v>
      </c>
      <c r="B22" s="678" t="s">
        <v>393</v>
      </c>
    </row>
    <row r="23" spans="1:2">
      <c r="A23" s="678" t="s">
        <v>963</v>
      </c>
      <c r="B23" s="678" t="s">
        <v>389</v>
      </c>
    </row>
    <row r="24" spans="1:2">
      <c r="A24" s="678" t="s">
        <v>964</v>
      </c>
      <c r="B24" s="678" t="s">
        <v>379</v>
      </c>
    </row>
    <row r="25" spans="1:2">
      <c r="A25" s="678" t="s">
        <v>965</v>
      </c>
      <c r="B25" s="678" t="s">
        <v>380</v>
      </c>
    </row>
    <row r="26" spans="1:2">
      <c r="A26" s="678" t="s">
        <v>966</v>
      </c>
      <c r="B26" s="678" t="s">
        <v>394</v>
      </c>
    </row>
    <row r="27" spans="1:2">
      <c r="A27" s="678" t="s">
        <v>967</v>
      </c>
      <c r="B27" s="678" t="s">
        <v>381</v>
      </c>
    </row>
    <row r="28" spans="1:2">
      <c r="A28" s="678" t="s">
        <v>968</v>
      </c>
      <c r="B28" s="678" t="s">
        <v>399</v>
      </c>
    </row>
    <row r="29" spans="1:2">
      <c r="A29" s="678" t="s">
        <v>969</v>
      </c>
      <c r="B29" s="678" t="s">
        <v>382</v>
      </c>
    </row>
    <row r="30" spans="1:2">
      <c r="A30" s="678" t="s">
        <v>970</v>
      </c>
      <c r="B30" s="678" t="s">
        <v>395</v>
      </c>
    </row>
    <row r="31" spans="1:2">
      <c r="A31" s="678" t="s">
        <v>971</v>
      </c>
      <c r="B31" s="678" t="s">
        <v>396</v>
      </c>
    </row>
    <row r="32" spans="1:2">
      <c r="A32" s="678" t="s">
        <v>972</v>
      </c>
      <c r="B32" s="678" t="s">
        <v>390</v>
      </c>
    </row>
    <row r="33" spans="1:2">
      <c r="A33" s="678" t="s">
        <v>973</v>
      </c>
      <c r="B33" s="678" t="s">
        <v>391</v>
      </c>
    </row>
    <row r="34" spans="1:2">
      <c r="A34" s="678" t="s">
        <v>974</v>
      </c>
      <c r="B34" s="678" t="s">
        <v>383</v>
      </c>
    </row>
    <row r="35" spans="1:2">
      <c r="A35" s="678" t="s">
        <v>975</v>
      </c>
      <c r="B35" s="678" t="s">
        <v>384</v>
      </c>
    </row>
    <row r="36" spans="1:2">
      <c r="A36" s="678" t="s">
        <v>976</v>
      </c>
      <c r="B36" s="678" t="s">
        <v>385</v>
      </c>
    </row>
    <row r="37" spans="1:2">
      <c r="A37" s="679" t="s">
        <v>979</v>
      </c>
      <c r="B37"/>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22860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218C7-EEFD-45CA-8095-4A355F2C504E}">
  <sheetPr codeName="Sheet6"/>
  <dimension ref="A1:T37"/>
  <sheetViews>
    <sheetView topLeftCell="A5" zoomScale="85" zoomScaleNormal="85" workbookViewId="0">
      <selection activeCell="D34" sqref="D34"/>
    </sheetView>
  </sheetViews>
  <sheetFormatPr defaultRowHeight="14.4"/>
  <cols>
    <col min="1" max="1" width="3.33203125" customWidth="1"/>
    <col min="2" max="2" width="14.33203125" customWidth="1"/>
    <col min="3" max="3" width="12.88671875" customWidth="1"/>
    <col min="4" max="4" width="11.33203125" customWidth="1"/>
    <col min="5" max="5" width="11.5546875" customWidth="1"/>
    <col min="7" max="7" width="14.33203125" customWidth="1"/>
    <col min="8" max="8" width="13.44140625" bestFit="1" customWidth="1"/>
    <col min="9" max="9" width="13" customWidth="1"/>
    <col min="10" max="10" width="4" customWidth="1"/>
    <col min="11" max="11" width="12.33203125" customWidth="1"/>
    <col min="13" max="13" width="15.109375" customWidth="1"/>
    <col min="14" max="14" width="35.5546875" customWidth="1"/>
    <col min="17" max="17" width="12.88671875" customWidth="1"/>
    <col min="18" max="18" width="15.33203125" customWidth="1"/>
  </cols>
  <sheetData>
    <row r="1" spans="1:19">
      <c r="A1" s="459"/>
      <c r="B1" s="459"/>
      <c r="C1" s="459"/>
      <c r="D1" s="459"/>
      <c r="E1" s="459"/>
      <c r="F1" s="459"/>
      <c r="G1" s="459"/>
      <c r="H1" s="459"/>
      <c r="I1" s="459"/>
      <c r="J1" s="459"/>
      <c r="K1" s="459"/>
      <c r="L1" s="459"/>
      <c r="M1" s="459"/>
      <c r="N1" s="459"/>
      <c r="O1" s="459"/>
      <c r="P1" s="459"/>
      <c r="Q1" s="459"/>
      <c r="R1" s="459"/>
      <c r="S1" s="459"/>
    </row>
    <row r="2" spans="1:19">
      <c r="A2" s="459"/>
      <c r="B2" s="459"/>
      <c r="C2" s="459"/>
      <c r="D2" s="459"/>
      <c r="E2" s="459"/>
      <c r="F2" s="459"/>
      <c r="G2" s="459"/>
      <c r="H2" s="459"/>
      <c r="I2" s="459"/>
      <c r="J2" s="459"/>
      <c r="K2" s="617"/>
      <c r="L2" s="617"/>
      <c r="M2" s="618"/>
      <c r="N2" s="618"/>
      <c r="O2" s="618"/>
      <c r="P2" s="618"/>
      <c r="Q2" s="618"/>
      <c r="R2" s="618"/>
      <c r="S2" s="618"/>
    </row>
    <row r="3" spans="1:19">
      <c r="A3" s="459"/>
      <c r="B3" s="459"/>
      <c r="C3" s="459"/>
      <c r="D3" s="459"/>
      <c r="E3" s="459"/>
      <c r="F3" s="459"/>
      <c r="G3" s="459"/>
      <c r="H3" s="459"/>
      <c r="I3" s="459"/>
      <c r="J3" s="459"/>
      <c r="K3" s="619" t="s">
        <v>61</v>
      </c>
      <c r="L3" s="620" t="s">
        <v>880</v>
      </c>
      <c r="M3" s="619" t="s">
        <v>62</v>
      </c>
      <c r="N3" s="619" t="s">
        <v>63</v>
      </c>
      <c r="O3" s="619" t="s">
        <v>64</v>
      </c>
      <c r="P3" s="619" t="s">
        <v>65</v>
      </c>
      <c r="Q3" s="619" t="s">
        <v>66</v>
      </c>
      <c r="R3" s="619" t="s">
        <v>67</v>
      </c>
      <c r="S3" s="619" t="s">
        <v>68</v>
      </c>
    </row>
    <row r="4" spans="1:19" ht="35.4" customHeight="1" thickBot="1">
      <c r="A4" s="459"/>
      <c r="B4" s="459"/>
      <c r="C4" s="621"/>
      <c r="D4" s="459"/>
      <c r="E4" s="459"/>
      <c r="F4" s="459"/>
      <c r="G4" s="459"/>
      <c r="H4" s="459"/>
      <c r="I4" s="459"/>
      <c r="J4" s="459"/>
      <c r="K4" s="622" t="s">
        <v>470</v>
      </c>
      <c r="L4" s="622" t="s">
        <v>881</v>
      </c>
      <c r="M4" s="622" t="s">
        <v>471</v>
      </c>
      <c r="N4" s="622" t="s">
        <v>472</v>
      </c>
      <c r="O4" s="622" t="s">
        <v>64</v>
      </c>
      <c r="P4" s="622" t="s">
        <v>882</v>
      </c>
      <c r="Q4" s="622" t="s">
        <v>474</v>
      </c>
      <c r="R4" s="622" t="s">
        <v>475</v>
      </c>
      <c r="S4" s="622" t="s">
        <v>476</v>
      </c>
    </row>
    <row r="5" spans="1:19">
      <c r="A5" s="459"/>
      <c r="B5" s="459"/>
      <c r="C5" s="459"/>
      <c r="D5" s="459"/>
      <c r="E5" s="459"/>
      <c r="F5" s="459"/>
      <c r="G5" s="459"/>
      <c r="H5" s="459"/>
      <c r="I5" s="459"/>
      <c r="J5" s="459"/>
      <c r="K5" s="618" t="s">
        <v>85</v>
      </c>
      <c r="L5" s="26"/>
      <c r="M5" s="618" t="s">
        <v>928</v>
      </c>
      <c r="N5" s="618" t="str">
        <f>Commodities!C6</f>
        <v>Walking</v>
      </c>
      <c r="O5" s="618" t="s">
        <v>88</v>
      </c>
      <c r="P5" s="618"/>
      <c r="Q5" s="618"/>
      <c r="R5" s="618"/>
      <c r="S5" s="618"/>
    </row>
    <row r="6" spans="1:19" s="459" customFormat="1">
      <c r="K6" s="618"/>
      <c r="L6" s="26"/>
      <c r="M6" s="618" t="s">
        <v>929</v>
      </c>
      <c r="N6" s="618" t="str">
        <f>Commodities!C7</f>
        <v>Cycling</v>
      </c>
      <c r="O6" s="618" t="s">
        <v>88</v>
      </c>
      <c r="P6" s="618"/>
      <c r="Q6" s="618"/>
      <c r="R6" s="618"/>
      <c r="S6" s="618"/>
    </row>
    <row r="7" spans="1:19" s="459" customFormat="1">
      <c r="K7" s="618"/>
      <c r="L7" s="26"/>
      <c r="M7" s="618" t="s">
        <v>1056</v>
      </c>
      <c r="N7" s="618" t="str">
        <f>Commodities!C8</f>
        <v>Gasoline</v>
      </c>
      <c r="O7" s="618" t="s">
        <v>88</v>
      </c>
      <c r="P7" s="618"/>
      <c r="Q7" s="618"/>
      <c r="R7" s="618"/>
      <c r="S7" s="618"/>
    </row>
    <row r="8" spans="1:19" s="459" customFormat="1">
      <c r="K8" s="618"/>
      <c r="L8" s="26"/>
      <c r="M8" s="618" t="s">
        <v>1057</v>
      </c>
      <c r="N8" s="618" t="str">
        <f>Commodities!C9</f>
        <v>Diesel</v>
      </c>
      <c r="O8" s="618" t="s">
        <v>88</v>
      </c>
      <c r="P8" s="618"/>
      <c r="Q8" s="618"/>
      <c r="R8" s="618"/>
      <c r="S8" s="618"/>
    </row>
    <row r="9" spans="1:19" s="459" customFormat="1">
      <c r="K9" s="618"/>
      <c r="L9" s="26"/>
      <c r="M9" s="618" t="s">
        <v>1058</v>
      </c>
      <c r="N9" s="618" t="str">
        <f>Commodities!C10</f>
        <v>BioEthanol</v>
      </c>
      <c r="O9" s="618" t="s">
        <v>88</v>
      </c>
      <c r="P9" s="618"/>
      <c r="Q9" s="618"/>
      <c r="R9" s="618"/>
      <c r="S9" s="618"/>
    </row>
    <row r="10" spans="1:19" s="459" customFormat="1">
      <c r="K10" s="618"/>
      <c r="L10" s="26"/>
      <c r="M10" s="618" t="s">
        <v>1059</v>
      </c>
      <c r="N10" s="618" t="str">
        <f>Commodities!C11</f>
        <v>BioDiesel</v>
      </c>
      <c r="O10" s="618" t="s">
        <v>88</v>
      </c>
      <c r="P10" s="618"/>
      <c r="Q10" s="618"/>
      <c r="R10" s="618"/>
      <c r="S10" s="618"/>
    </row>
    <row r="11" spans="1:19" s="459" customFormat="1">
      <c r="K11" s="618"/>
      <c r="L11" s="26"/>
      <c r="M11" s="618" t="s">
        <v>480</v>
      </c>
      <c r="N11" s="618" t="str">
        <f>Commodities!C12</f>
        <v>CNG</v>
      </c>
      <c r="O11" s="618" t="s">
        <v>88</v>
      </c>
      <c r="P11" s="618"/>
      <c r="Q11" s="618"/>
      <c r="R11" s="618"/>
      <c r="S11" s="618"/>
    </row>
    <row r="12" spans="1:19" s="459" customFormat="1">
      <c r="K12" s="618"/>
      <c r="L12" s="26"/>
      <c r="M12" s="618" t="s">
        <v>930</v>
      </c>
      <c r="N12" s="618" t="str">
        <f>Commodities!C13</f>
        <v>BioCNG</v>
      </c>
      <c r="O12" s="618" t="s">
        <v>88</v>
      </c>
      <c r="P12" s="618"/>
      <c r="Q12" s="618"/>
      <c r="R12" s="618"/>
      <c r="S12" s="618"/>
    </row>
    <row r="13" spans="1:19" s="459" customFormat="1">
      <c r="M13" s="618" t="s">
        <v>1060</v>
      </c>
      <c r="N13" s="618" t="str">
        <f>Commodities!C15</f>
        <v>LNG</v>
      </c>
      <c r="O13" s="618" t="s">
        <v>88</v>
      </c>
    </row>
    <row r="14" spans="1:19" s="459" customFormat="1">
      <c r="K14" s="618"/>
      <c r="L14" s="26"/>
      <c r="M14" s="618" t="s">
        <v>931</v>
      </c>
      <c r="N14" s="618" t="str">
        <f>Commodities!C16</f>
        <v>Hydrogen</v>
      </c>
      <c r="O14" s="618" t="s">
        <v>88</v>
      </c>
    </row>
    <row r="15" spans="1:19" s="459" customFormat="1">
      <c r="K15" s="651"/>
      <c r="L15" s="651"/>
      <c r="M15" s="651" t="s">
        <v>1061</v>
      </c>
      <c r="N15" s="651" t="str">
        <f>Commodities!C17</f>
        <v>Kerosene</v>
      </c>
      <c r="O15" s="651" t="s">
        <v>88</v>
      </c>
      <c r="P15" s="651"/>
      <c r="Q15" s="651"/>
      <c r="R15" s="651"/>
      <c r="S15" s="651"/>
    </row>
    <row r="16" spans="1:19" s="459" customFormat="1">
      <c r="K16" s="663"/>
      <c r="L16" s="663"/>
      <c r="M16" s="663" t="s">
        <v>1062</v>
      </c>
      <c r="N16" s="663" t="s">
        <v>107</v>
      </c>
      <c r="O16" s="663" t="s">
        <v>88</v>
      </c>
      <c r="P16" s="663"/>
      <c r="Q16" s="663" t="s">
        <v>90</v>
      </c>
      <c r="R16" s="663"/>
      <c r="S16" s="663" t="s">
        <v>89</v>
      </c>
    </row>
    <row r="17" spans="1:20" s="459" customFormat="1"/>
    <row r="18" spans="1:20">
      <c r="A18" s="459"/>
      <c r="B18" s="459"/>
      <c r="C18" s="459"/>
      <c r="D18" s="459"/>
      <c r="E18" s="459"/>
      <c r="F18" s="459"/>
      <c r="G18" s="459"/>
      <c r="H18" s="459"/>
      <c r="I18" s="459"/>
      <c r="J18" s="459"/>
      <c r="K18" s="621"/>
      <c r="L18" s="459"/>
      <c r="M18" s="621"/>
      <c r="N18" s="621"/>
      <c r="O18" s="621"/>
      <c r="P18" s="621"/>
      <c r="Q18" s="621"/>
      <c r="R18" s="621"/>
      <c r="S18" s="621"/>
    </row>
    <row r="19" spans="1:20">
      <c r="A19" s="459"/>
      <c r="B19" s="459"/>
      <c r="C19" s="459"/>
      <c r="D19" s="459"/>
      <c r="E19" s="459"/>
      <c r="F19" s="623"/>
      <c r="G19" s="459"/>
      <c r="H19" s="623"/>
      <c r="I19" s="459"/>
      <c r="J19" s="459"/>
      <c r="K19" s="617"/>
      <c r="L19" s="617"/>
      <c r="M19" s="26"/>
      <c r="N19" s="26"/>
      <c r="O19" s="26"/>
      <c r="P19" s="26"/>
      <c r="Q19" s="26"/>
      <c r="R19" s="26"/>
      <c r="S19" s="26"/>
    </row>
    <row r="20" spans="1:20">
      <c r="A20" s="459"/>
      <c r="B20" s="624" t="s">
        <v>70</v>
      </c>
      <c r="C20" s="625" t="s">
        <v>77</v>
      </c>
      <c r="D20" s="624" t="s">
        <v>78</v>
      </c>
      <c r="E20" s="624" t="s">
        <v>2</v>
      </c>
      <c r="F20" s="624" t="s">
        <v>65</v>
      </c>
      <c r="G20" s="626" t="s">
        <v>883</v>
      </c>
      <c r="H20" s="626" t="s">
        <v>884</v>
      </c>
      <c r="I20" s="626" t="s">
        <v>885</v>
      </c>
      <c r="J20" s="459"/>
      <c r="K20" s="619" t="s">
        <v>69</v>
      </c>
      <c r="L20" s="620" t="s">
        <v>880</v>
      </c>
      <c r="M20" s="619" t="s">
        <v>70</v>
      </c>
      <c r="N20" s="619" t="s">
        <v>71</v>
      </c>
      <c r="O20" s="619" t="s">
        <v>72</v>
      </c>
      <c r="P20" s="619" t="s">
        <v>73</v>
      </c>
      <c r="Q20" s="619" t="s">
        <v>74</v>
      </c>
      <c r="R20" s="619" t="s">
        <v>75</v>
      </c>
      <c r="S20" s="619" t="s">
        <v>0</v>
      </c>
    </row>
    <row r="21" spans="1:20" ht="24" customHeight="1" thickBot="1">
      <c r="A21" s="459"/>
      <c r="B21" s="627" t="s">
        <v>79</v>
      </c>
      <c r="C21" s="627" t="s">
        <v>81</v>
      </c>
      <c r="D21" s="627" t="s">
        <v>82</v>
      </c>
      <c r="E21" s="627"/>
      <c r="F21" s="627"/>
      <c r="G21" s="627" t="s">
        <v>886</v>
      </c>
      <c r="H21" s="627" t="s">
        <v>887</v>
      </c>
      <c r="I21" s="627" t="s">
        <v>888</v>
      </c>
      <c r="J21" s="459"/>
      <c r="K21" s="622" t="s">
        <v>889</v>
      </c>
      <c r="L21" s="622" t="s">
        <v>881</v>
      </c>
      <c r="M21" s="622" t="s">
        <v>890</v>
      </c>
      <c r="N21" s="622" t="s">
        <v>80</v>
      </c>
      <c r="O21" s="622" t="s">
        <v>891</v>
      </c>
      <c r="P21" s="622" t="s">
        <v>892</v>
      </c>
      <c r="Q21" s="622" t="s">
        <v>893</v>
      </c>
      <c r="R21" s="622" t="s">
        <v>894</v>
      </c>
      <c r="S21" s="622" t="s">
        <v>895</v>
      </c>
    </row>
    <row r="22" spans="1:20" ht="15" thickBot="1">
      <c r="A22" s="459"/>
      <c r="B22" s="627" t="s">
        <v>896</v>
      </c>
      <c r="C22" s="628"/>
      <c r="D22" s="628"/>
      <c r="E22" s="628"/>
      <c r="F22" s="628"/>
      <c r="G22" s="628" t="s">
        <v>88</v>
      </c>
      <c r="H22" s="628" t="s">
        <v>906</v>
      </c>
      <c r="I22" s="628" t="s">
        <v>88</v>
      </c>
      <c r="J22" s="459"/>
      <c r="K22" s="622" t="s">
        <v>27</v>
      </c>
      <c r="L22" s="629"/>
      <c r="M22" s="629"/>
      <c r="N22" s="629"/>
      <c r="O22" s="629"/>
      <c r="P22" s="629"/>
      <c r="Q22" s="629"/>
      <c r="R22" s="629"/>
      <c r="S22" s="629"/>
    </row>
    <row r="23" spans="1:20">
      <c r="A23" s="459"/>
      <c r="B23" s="621" t="s">
        <v>897</v>
      </c>
      <c r="C23" s="621"/>
      <c r="D23" s="621" t="str">
        <f t="shared" ref="D23:D34" si="0">M5</f>
        <v>WLK</v>
      </c>
      <c r="E23" s="621"/>
      <c r="F23" s="621"/>
      <c r="G23" s="621"/>
      <c r="H23" s="621">
        <v>1</v>
      </c>
      <c r="I23" s="621"/>
      <c r="J23" s="459"/>
      <c r="K23" s="618" t="s">
        <v>907</v>
      </c>
      <c r="L23" s="618"/>
      <c r="M23" s="618" t="str">
        <f>B23</f>
        <v>MINWALK</v>
      </c>
      <c r="N23" s="618" t="str">
        <f>Commodities!C6</f>
        <v>Walking</v>
      </c>
      <c r="O23" s="618" t="s">
        <v>88</v>
      </c>
      <c r="P23" s="618" t="s">
        <v>940</v>
      </c>
      <c r="Q23" s="618"/>
      <c r="R23" s="618"/>
      <c r="S23" s="618"/>
      <c r="T23" s="618"/>
    </row>
    <row r="24" spans="1:20">
      <c r="A24" s="459"/>
      <c r="B24" s="621" t="s">
        <v>898</v>
      </c>
      <c r="C24" s="621"/>
      <c r="D24" s="621" t="str">
        <f t="shared" si="0"/>
        <v>CYC</v>
      </c>
      <c r="E24" s="621"/>
      <c r="F24" s="621"/>
      <c r="G24" s="621"/>
      <c r="H24" s="621">
        <v>1</v>
      </c>
      <c r="I24" s="621"/>
      <c r="J24" s="459"/>
      <c r="K24" s="618"/>
      <c r="L24" s="618"/>
      <c r="M24" s="618" t="str">
        <f t="shared" ref="M24:M30" si="1">B24</f>
        <v>MINCYCLING</v>
      </c>
      <c r="N24" s="618" t="str">
        <f>Commodities!C7</f>
        <v>Cycling</v>
      </c>
      <c r="O24" s="618" t="s">
        <v>88</v>
      </c>
      <c r="P24" s="618" t="s">
        <v>940</v>
      </c>
      <c r="Q24" s="618"/>
      <c r="R24" s="618"/>
      <c r="S24" s="618"/>
      <c r="T24" s="618"/>
    </row>
    <row r="25" spans="1:20">
      <c r="A25" s="459"/>
      <c r="B25" s="621" t="s">
        <v>899</v>
      </c>
      <c r="C25" s="621"/>
      <c r="D25" s="621" t="str">
        <f t="shared" si="0"/>
        <v>OILGSL</v>
      </c>
      <c r="E25" s="621"/>
      <c r="F25" s="621"/>
      <c r="G25" s="621"/>
      <c r="H25" s="621">
        <v>20</v>
      </c>
      <c r="I25" s="621"/>
      <c r="J25" s="459"/>
      <c r="K25" s="618"/>
      <c r="L25" s="618"/>
      <c r="M25" s="618" t="str">
        <f t="shared" si="1"/>
        <v>MINGASOLINE</v>
      </c>
      <c r="N25" s="618" t="str">
        <f>Commodities!C8</f>
        <v>Gasoline</v>
      </c>
      <c r="O25" s="618" t="s">
        <v>88</v>
      </c>
      <c r="P25" s="618" t="s">
        <v>940</v>
      </c>
      <c r="Q25" s="618"/>
      <c r="R25" s="618"/>
      <c r="S25" s="618"/>
      <c r="T25" s="618"/>
    </row>
    <row r="26" spans="1:20">
      <c r="A26" s="459"/>
      <c r="B26" s="621" t="s">
        <v>900</v>
      </c>
      <c r="C26" s="621"/>
      <c r="D26" s="621" t="str">
        <f t="shared" si="0"/>
        <v>OILDST</v>
      </c>
      <c r="E26" s="621"/>
      <c r="F26" s="621"/>
      <c r="G26" s="621"/>
      <c r="H26" s="621">
        <v>20</v>
      </c>
      <c r="I26" s="621"/>
      <c r="J26" s="459"/>
      <c r="K26" s="618"/>
      <c r="L26" s="618"/>
      <c r="M26" s="618" t="str">
        <f t="shared" si="1"/>
        <v>MINDIESEL</v>
      </c>
      <c r="N26" s="618" t="str">
        <f>Commodities!C9</f>
        <v>Diesel</v>
      </c>
      <c r="O26" s="618" t="s">
        <v>88</v>
      </c>
      <c r="P26" s="618" t="s">
        <v>940</v>
      </c>
      <c r="Q26" s="618"/>
      <c r="R26" s="618"/>
      <c r="S26" s="618"/>
      <c r="T26" s="618"/>
    </row>
    <row r="27" spans="1:20">
      <c r="A27" s="459"/>
      <c r="B27" s="621" t="s">
        <v>901</v>
      </c>
      <c r="C27" s="621"/>
      <c r="D27" s="621" t="str">
        <f t="shared" si="0"/>
        <v>BIOETH</v>
      </c>
      <c r="E27" s="621"/>
      <c r="F27" s="621"/>
      <c r="G27" s="621"/>
      <c r="H27" s="621">
        <v>40</v>
      </c>
      <c r="I27" s="621"/>
      <c r="J27" s="459"/>
      <c r="K27" s="618"/>
      <c r="L27" s="618"/>
      <c r="M27" s="618" t="str">
        <f t="shared" si="1"/>
        <v>MINETHANOL</v>
      </c>
      <c r="N27" s="618" t="str">
        <f>Commodities!C10</f>
        <v>BioEthanol</v>
      </c>
      <c r="O27" s="618" t="s">
        <v>88</v>
      </c>
      <c r="P27" s="618" t="s">
        <v>940</v>
      </c>
      <c r="Q27" s="618"/>
      <c r="R27" s="618"/>
      <c r="S27" s="618"/>
      <c r="T27" s="618"/>
    </row>
    <row r="28" spans="1:20">
      <c r="A28" s="459"/>
      <c r="B28" s="621" t="s">
        <v>902</v>
      </c>
      <c r="C28" s="621"/>
      <c r="D28" s="621" t="str">
        <f t="shared" si="0"/>
        <v>BIODST</v>
      </c>
      <c r="E28" s="621"/>
      <c r="F28" s="621"/>
      <c r="G28" s="621"/>
      <c r="H28" s="621">
        <v>40</v>
      </c>
      <c r="I28" s="621"/>
      <c r="J28" s="459"/>
      <c r="K28" s="618"/>
      <c r="L28" s="618"/>
      <c r="M28" s="618" t="str">
        <f t="shared" si="1"/>
        <v>MINBIODIESEL</v>
      </c>
      <c r="N28" s="618" t="str">
        <f>Commodities!C11</f>
        <v>BioDiesel</v>
      </c>
      <c r="O28" s="618" t="s">
        <v>88</v>
      </c>
      <c r="P28" s="618" t="s">
        <v>940</v>
      </c>
      <c r="Q28" s="618"/>
      <c r="R28" s="618"/>
      <c r="S28" s="618"/>
      <c r="T28" s="618"/>
    </row>
    <row r="29" spans="1:20">
      <c r="A29" s="459"/>
      <c r="B29" s="621" t="s">
        <v>903</v>
      </c>
      <c r="C29" s="621"/>
      <c r="D29" s="621" t="str">
        <f t="shared" si="0"/>
        <v>CNG</v>
      </c>
      <c r="E29" s="621"/>
      <c r="F29" s="621"/>
      <c r="G29" s="621"/>
      <c r="H29" s="621">
        <v>20</v>
      </c>
      <c r="I29" s="621"/>
      <c r="J29" s="459"/>
      <c r="K29" s="618"/>
      <c r="L29" s="618"/>
      <c r="M29" s="618" t="str">
        <f t="shared" si="1"/>
        <v>MINCNG</v>
      </c>
      <c r="N29" s="618" t="str">
        <f>Commodities!C12</f>
        <v>CNG</v>
      </c>
      <c r="O29" s="618" t="s">
        <v>88</v>
      </c>
      <c r="P29" s="618" t="s">
        <v>940</v>
      </c>
      <c r="Q29" s="618"/>
      <c r="R29" s="618"/>
      <c r="S29" s="618"/>
      <c r="T29" s="618"/>
    </row>
    <row r="30" spans="1:20">
      <c r="A30" s="459"/>
      <c r="B30" s="621" t="s">
        <v>904</v>
      </c>
      <c r="C30" s="621"/>
      <c r="D30" s="621" t="str">
        <f t="shared" si="0"/>
        <v>BNG</v>
      </c>
      <c r="E30" s="621"/>
      <c r="F30" s="621"/>
      <c r="G30" s="621"/>
      <c r="H30" s="621">
        <v>40</v>
      </c>
      <c r="I30" s="621"/>
      <c r="J30" s="459"/>
      <c r="K30" s="618"/>
      <c r="L30" s="618"/>
      <c r="M30" s="618" t="str">
        <f t="shared" si="1"/>
        <v>MINBCNG</v>
      </c>
      <c r="N30" s="618" t="str">
        <f>Commodities!C13</f>
        <v>BioCNG</v>
      </c>
      <c r="O30" s="618" t="s">
        <v>88</v>
      </c>
      <c r="P30" s="618" t="s">
        <v>940</v>
      </c>
      <c r="Q30" s="618"/>
      <c r="R30" s="618"/>
      <c r="S30" s="618"/>
      <c r="T30" s="618"/>
    </row>
    <row r="31" spans="1:20">
      <c r="A31" s="459"/>
      <c r="B31" s="621" t="s">
        <v>926</v>
      </c>
      <c r="C31" s="621"/>
      <c r="D31" s="621" t="str">
        <f t="shared" si="0"/>
        <v>GASLNG</v>
      </c>
      <c r="E31" s="621"/>
      <c r="F31" s="621"/>
      <c r="G31" s="621"/>
      <c r="H31" s="621">
        <v>80</v>
      </c>
      <c r="I31" s="621"/>
      <c r="J31" s="459"/>
      <c r="K31" s="618"/>
      <c r="L31" s="618"/>
      <c r="M31" s="618" t="str">
        <f>B31</f>
        <v>MINLNG</v>
      </c>
      <c r="N31" s="618" t="str">
        <f>Commodities!C15</f>
        <v>LNG</v>
      </c>
      <c r="O31" s="618" t="s">
        <v>88</v>
      </c>
      <c r="P31" s="618" t="s">
        <v>940</v>
      </c>
      <c r="Q31" s="618"/>
      <c r="R31" s="618"/>
      <c r="S31" s="618"/>
      <c r="T31" s="618"/>
    </row>
    <row r="32" spans="1:20">
      <c r="A32" s="459"/>
      <c r="B32" s="621" t="s">
        <v>927</v>
      </c>
      <c r="C32" s="621"/>
      <c r="D32" s="621" t="str">
        <f t="shared" si="0"/>
        <v>H2</v>
      </c>
      <c r="E32" s="621"/>
      <c r="F32" s="621"/>
      <c r="G32" s="621"/>
      <c r="H32" s="621">
        <v>80</v>
      </c>
      <c r="I32" s="621"/>
      <c r="J32" s="459"/>
      <c r="K32" s="618"/>
      <c r="L32" s="618"/>
      <c r="M32" s="618" t="str">
        <f>B32</f>
        <v>MINH2</v>
      </c>
      <c r="N32" s="618" t="str">
        <f>Commodities!C16</f>
        <v>Hydrogen</v>
      </c>
      <c r="O32" s="618" t="s">
        <v>88</v>
      </c>
      <c r="P32" s="618" t="s">
        <v>940</v>
      </c>
      <c r="Q32" s="618"/>
      <c r="R32" s="618"/>
      <c r="S32" s="618"/>
      <c r="T32" s="618"/>
    </row>
    <row r="33" spans="1:20">
      <c r="A33" s="459"/>
      <c r="B33" s="652" t="s">
        <v>905</v>
      </c>
      <c r="C33" s="652"/>
      <c r="D33" s="651" t="str">
        <f t="shared" si="0"/>
        <v>OILKER</v>
      </c>
      <c r="E33" s="652"/>
      <c r="F33" s="652"/>
      <c r="G33" s="652"/>
      <c r="H33" s="652">
        <v>20</v>
      </c>
      <c r="I33" s="652"/>
      <c r="J33" s="459"/>
      <c r="K33" s="651"/>
      <c r="L33" s="651"/>
      <c r="M33" s="651" t="str">
        <f>B33</f>
        <v>MINKEROSENE</v>
      </c>
      <c r="N33" s="651" t="str">
        <f>Commodities!C17</f>
        <v>Kerosene</v>
      </c>
      <c r="O33" s="651" t="s">
        <v>88</v>
      </c>
      <c r="P33" s="651" t="s">
        <v>940</v>
      </c>
      <c r="Q33" s="651"/>
      <c r="R33" s="651"/>
      <c r="S33" s="651"/>
      <c r="T33" s="618"/>
    </row>
    <row r="34" spans="1:20">
      <c r="A34" s="459"/>
      <c r="B34" s="663" t="s">
        <v>942</v>
      </c>
      <c r="C34" s="665"/>
      <c r="D34" s="651" t="str">
        <f t="shared" si="0"/>
        <v>ELCC</v>
      </c>
      <c r="E34" s="665"/>
      <c r="F34" s="665"/>
      <c r="G34" s="665"/>
      <c r="H34" s="665">
        <v>40</v>
      </c>
      <c r="I34" s="665"/>
      <c r="J34" s="459"/>
      <c r="K34" s="663" t="s">
        <v>941</v>
      </c>
      <c r="L34" s="663"/>
      <c r="M34" s="663" t="str">
        <f>B34</f>
        <v>IMPELC</v>
      </c>
      <c r="N34" s="663" t="s">
        <v>943</v>
      </c>
      <c r="O34" s="663" t="s">
        <v>88</v>
      </c>
      <c r="P34" s="663"/>
      <c r="Q34" s="664" t="s">
        <v>90</v>
      </c>
      <c r="R34" s="663"/>
      <c r="S34" s="663"/>
      <c r="T34" s="618"/>
    </row>
    <row r="35" spans="1:20">
      <c r="A35" s="459"/>
      <c r="B35" s="459"/>
      <c r="C35" s="459"/>
      <c r="D35" s="459"/>
      <c r="E35" s="459"/>
      <c r="F35" s="459"/>
      <c r="G35" s="459"/>
      <c r="H35" s="459"/>
      <c r="I35" s="459"/>
      <c r="J35" s="459"/>
      <c r="K35" s="459"/>
      <c r="L35" s="459"/>
      <c r="M35" s="459"/>
      <c r="N35" s="459"/>
      <c r="O35" s="459"/>
      <c r="P35" s="459"/>
      <c r="Q35" s="459"/>
      <c r="R35" s="459"/>
      <c r="S35" s="459"/>
      <c r="T35" s="618"/>
    </row>
    <row r="36" spans="1:20">
      <c r="A36" s="621"/>
      <c r="B36" s="459"/>
      <c r="C36" s="459"/>
      <c r="D36" s="459"/>
      <c r="E36" s="459"/>
      <c r="F36" s="459"/>
      <c r="G36" s="459"/>
      <c r="H36" s="459"/>
      <c r="I36" s="459"/>
      <c r="J36" s="459"/>
      <c r="K36" s="459"/>
      <c r="L36" s="459"/>
      <c r="M36" s="459"/>
      <c r="N36" s="459"/>
      <c r="O36" s="459"/>
      <c r="P36" s="459"/>
      <c r="Q36" s="459"/>
      <c r="R36" s="459"/>
      <c r="S36" s="459"/>
    </row>
    <row r="37" spans="1:20">
      <c r="A37" s="459"/>
      <c r="J37" s="45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R19"/>
  <sheetViews>
    <sheetView zoomScaleNormal="100" workbookViewId="0">
      <selection activeCell="J21" sqref="J21"/>
    </sheetView>
  </sheetViews>
  <sheetFormatPr defaultColWidth="8.88671875" defaultRowHeight="14.4"/>
  <cols>
    <col min="1" max="1" width="3.33203125" style="459" customWidth="1"/>
    <col min="2" max="2" width="15.88671875" style="459" bestFit="1" customWidth="1"/>
    <col min="3" max="3" width="12.109375" style="459" bestFit="1" customWidth="1"/>
    <col min="4" max="4" width="11.33203125" style="459" customWidth="1"/>
    <col min="5" max="5" width="7.88671875" style="459" bestFit="1" customWidth="1"/>
    <col min="6" max="6" width="12.88671875" style="459" bestFit="1" customWidth="1"/>
    <col min="7" max="7" width="10.6640625" style="459" bestFit="1" customWidth="1"/>
    <col min="8" max="8" width="9.5546875" style="459" bestFit="1" customWidth="1"/>
    <col min="9" max="9" width="3.6640625" style="459" customWidth="1"/>
    <col min="10" max="10" width="12.33203125" style="459" customWidth="1"/>
    <col min="11" max="11" width="8.88671875" style="459"/>
    <col min="12" max="12" width="15.109375" style="459" customWidth="1"/>
    <col min="13" max="13" width="49" style="459" customWidth="1"/>
    <col min="14" max="15" width="8.88671875" style="459"/>
    <col min="16" max="16" width="12.88671875" style="459" customWidth="1"/>
    <col min="17" max="17" width="15.33203125" style="459" customWidth="1"/>
    <col min="18" max="16384" width="8.88671875" style="459"/>
  </cols>
  <sheetData>
    <row r="2" spans="2:18">
      <c r="D2" s="623" t="s">
        <v>76</v>
      </c>
      <c r="E2" s="623"/>
      <c r="G2" s="623"/>
      <c r="J2" s="617" t="s">
        <v>60</v>
      </c>
      <c r="K2" s="617"/>
      <c r="L2" s="26"/>
      <c r="M2" s="26"/>
      <c r="N2" s="26"/>
      <c r="O2" s="26"/>
      <c r="P2" s="26"/>
      <c r="Q2" s="26"/>
      <c r="R2" s="26"/>
    </row>
    <row r="3" spans="2:18">
      <c r="B3" s="624" t="s">
        <v>70</v>
      </c>
      <c r="C3" s="625" t="s">
        <v>77</v>
      </c>
      <c r="D3" s="624" t="s">
        <v>78</v>
      </c>
      <c r="E3" s="653" t="s">
        <v>933</v>
      </c>
      <c r="F3" s="626" t="s">
        <v>944</v>
      </c>
      <c r="G3" s="626" t="s">
        <v>884</v>
      </c>
      <c r="H3" s="626" t="s">
        <v>885</v>
      </c>
      <c r="J3" s="619" t="s">
        <v>69</v>
      </c>
      <c r="K3" s="620" t="s">
        <v>880</v>
      </c>
      <c r="L3" s="619" t="s">
        <v>70</v>
      </c>
      <c r="M3" s="619" t="s">
        <v>71</v>
      </c>
      <c r="N3" s="619" t="s">
        <v>72</v>
      </c>
      <c r="O3" s="619" t="s">
        <v>73</v>
      </c>
      <c r="P3" s="619" t="s">
        <v>74</v>
      </c>
      <c r="Q3" s="619" t="s">
        <v>75</v>
      </c>
      <c r="R3" s="619" t="s">
        <v>0</v>
      </c>
    </row>
    <row r="4" spans="2:18" ht="32.4" thickBot="1">
      <c r="B4" s="627" t="s">
        <v>79</v>
      </c>
      <c r="C4" s="627" t="s">
        <v>81</v>
      </c>
      <c r="D4" s="627" t="s">
        <v>82</v>
      </c>
      <c r="E4" s="627" t="s">
        <v>871</v>
      </c>
      <c r="F4" s="627" t="s">
        <v>945</v>
      </c>
      <c r="G4" s="627" t="s">
        <v>887</v>
      </c>
      <c r="H4" s="627" t="s">
        <v>888</v>
      </c>
      <c r="J4" s="622" t="s">
        <v>889</v>
      </c>
      <c r="K4" s="622" t="s">
        <v>881</v>
      </c>
      <c r="L4" s="622" t="s">
        <v>890</v>
      </c>
      <c r="M4" s="622" t="s">
        <v>80</v>
      </c>
      <c r="N4" s="622" t="s">
        <v>891</v>
      </c>
      <c r="O4" s="622" t="s">
        <v>892</v>
      </c>
      <c r="P4" s="622" t="s">
        <v>893</v>
      </c>
      <c r="Q4" s="622" t="s">
        <v>894</v>
      </c>
      <c r="R4" s="622" t="s">
        <v>895</v>
      </c>
    </row>
    <row r="5" spans="2:18" ht="15" thickBot="1">
      <c r="B5" s="627" t="s">
        <v>896</v>
      </c>
      <c r="C5" s="628"/>
      <c r="D5" s="628"/>
      <c r="E5" s="628"/>
      <c r="F5" s="628" t="s">
        <v>946</v>
      </c>
      <c r="G5" s="628" t="s">
        <v>906</v>
      </c>
      <c r="H5" s="628" t="s">
        <v>88</v>
      </c>
      <c r="J5" s="622" t="s">
        <v>27</v>
      </c>
      <c r="K5" s="629"/>
      <c r="L5" s="629"/>
      <c r="M5" s="629"/>
      <c r="N5" s="629"/>
      <c r="O5" s="629"/>
      <c r="P5" s="629"/>
      <c r="Q5" s="629"/>
      <c r="R5" s="629"/>
    </row>
    <row r="6" spans="2:18" s="666" customFormat="1" ht="13.2">
      <c r="B6" s="618" t="str">
        <f>"FT-TRA"&amp;C6</f>
        <v>FT-TRAWLK</v>
      </c>
      <c r="C6" s="621" t="str">
        <f>Primary!D23</f>
        <v>WLK</v>
      </c>
      <c r="D6" s="618" t="str">
        <f>Commodities!B6</f>
        <v>TRAWLK</v>
      </c>
      <c r="E6" s="666">
        <v>1</v>
      </c>
      <c r="F6" s="666">
        <v>50</v>
      </c>
      <c r="G6" s="666">
        <v>0.01</v>
      </c>
      <c r="J6" s="618" t="s">
        <v>932</v>
      </c>
      <c r="K6" s="668"/>
      <c r="L6" s="668" t="str">
        <f t="shared" ref="L6:L17" si="0">B6</f>
        <v>FT-TRAWLK</v>
      </c>
      <c r="M6" s="669" t="str">
        <f>"TRA "&amp;Commodities!C6</f>
        <v>TRA Walking</v>
      </c>
      <c r="N6" s="668" t="s">
        <v>88</v>
      </c>
      <c r="O6" s="668" t="s">
        <v>940</v>
      </c>
      <c r="P6" s="668"/>
      <c r="Q6" s="668"/>
      <c r="R6" s="668"/>
    </row>
    <row r="7" spans="2:18" s="666" customFormat="1" ht="13.2">
      <c r="B7" s="618" t="str">
        <f t="shared" ref="B7:B13" si="1">"FT-TRA"&amp;C7</f>
        <v>FT-TRACYC</v>
      </c>
      <c r="C7" s="621" t="str">
        <f>Primary!D24</f>
        <v>CYC</v>
      </c>
      <c r="D7" s="618" t="str">
        <f>Commodities!B7</f>
        <v>TRACYC</v>
      </c>
      <c r="E7" s="666">
        <v>1</v>
      </c>
      <c r="F7" s="666">
        <v>50</v>
      </c>
      <c r="G7" s="666">
        <v>0.01</v>
      </c>
      <c r="J7" s="618"/>
      <c r="K7" s="668"/>
      <c r="L7" s="668" t="str">
        <f t="shared" si="0"/>
        <v>FT-TRACYC</v>
      </c>
      <c r="M7" s="669" t="str">
        <f>"TRA "&amp;Commodities!C7</f>
        <v>TRA Cycling</v>
      </c>
      <c r="N7" s="668" t="s">
        <v>88</v>
      </c>
      <c r="O7" s="668" t="s">
        <v>940</v>
      </c>
      <c r="P7" s="668"/>
      <c r="Q7" s="668"/>
      <c r="R7" s="668"/>
    </row>
    <row r="8" spans="2:18" s="666" customFormat="1" ht="13.2">
      <c r="B8" s="618" t="str">
        <f>"FT-TRA"&amp;RIGHT(C8,3)</f>
        <v>FT-TRAGSL</v>
      </c>
      <c r="C8" s="621" t="str">
        <f>Primary!D25</f>
        <v>OILGSL</v>
      </c>
      <c r="D8" s="618" t="str">
        <f>Commodities!B8</f>
        <v>TRAGSL</v>
      </c>
      <c r="E8" s="666">
        <v>1</v>
      </c>
      <c r="F8" s="666">
        <v>50</v>
      </c>
      <c r="G8" s="666">
        <v>0.01</v>
      </c>
      <c r="J8" s="618"/>
      <c r="K8" s="668"/>
      <c r="L8" s="668" t="str">
        <f t="shared" si="0"/>
        <v>FT-TRAGSL</v>
      </c>
      <c r="M8" s="669" t="str">
        <f>"TRA "&amp;Commodities!C8</f>
        <v>TRA Gasoline</v>
      </c>
      <c r="N8" s="668" t="s">
        <v>88</v>
      </c>
      <c r="O8" s="668" t="s">
        <v>940</v>
      </c>
      <c r="P8" s="668"/>
      <c r="Q8" s="668"/>
      <c r="R8" s="668"/>
    </row>
    <row r="9" spans="2:18" s="666" customFormat="1" ht="13.2">
      <c r="B9" s="618" t="str">
        <f>"FT-TRA"&amp;RIGHT(C9,3)</f>
        <v>FT-TRADST</v>
      </c>
      <c r="C9" s="621" t="str">
        <f>Primary!D26</f>
        <v>OILDST</v>
      </c>
      <c r="D9" s="618" t="str">
        <f>Commodities!B9</f>
        <v>TRADST</v>
      </c>
      <c r="E9" s="666">
        <v>1</v>
      </c>
      <c r="F9" s="666">
        <v>50</v>
      </c>
      <c r="G9" s="666">
        <v>0.01</v>
      </c>
      <c r="J9" s="618"/>
      <c r="L9" s="668" t="str">
        <f t="shared" si="0"/>
        <v>FT-TRADST</v>
      </c>
      <c r="M9" s="669" t="str">
        <f>"TRA "&amp;Commodities!C9</f>
        <v>TRA Diesel</v>
      </c>
      <c r="N9" s="668" t="s">
        <v>88</v>
      </c>
      <c r="O9" s="668" t="s">
        <v>940</v>
      </c>
    </row>
    <row r="10" spans="2:18" s="666" customFormat="1" ht="13.2">
      <c r="B10" s="618" t="str">
        <f t="shared" si="1"/>
        <v>FT-TRABIOETH</v>
      </c>
      <c r="C10" s="621" t="str">
        <f>Primary!D27</f>
        <v>BIOETH</v>
      </c>
      <c r="D10" s="618" t="str">
        <f>Commodities!B10</f>
        <v>TRAETH</v>
      </c>
      <c r="E10" s="666">
        <v>1</v>
      </c>
      <c r="F10" s="666">
        <v>50</v>
      </c>
      <c r="G10" s="666">
        <v>0.01</v>
      </c>
      <c r="J10" s="618"/>
      <c r="L10" s="668" t="str">
        <f t="shared" si="0"/>
        <v>FT-TRABIOETH</v>
      </c>
      <c r="M10" s="669" t="str">
        <f>"TRA "&amp;Commodities!C10</f>
        <v>TRA BioEthanol</v>
      </c>
      <c r="N10" s="668" t="s">
        <v>88</v>
      </c>
      <c r="O10" s="668" t="s">
        <v>940</v>
      </c>
    </row>
    <row r="11" spans="2:18" s="666" customFormat="1" ht="13.2">
      <c r="B11" s="618" t="str">
        <f t="shared" si="1"/>
        <v>FT-TRABIODST</v>
      </c>
      <c r="C11" s="621" t="str">
        <f>Primary!D28</f>
        <v>BIODST</v>
      </c>
      <c r="D11" s="618" t="str">
        <f>Commodities!B11</f>
        <v>TRABDL</v>
      </c>
      <c r="E11" s="666">
        <v>1</v>
      </c>
      <c r="F11" s="666">
        <v>50</v>
      </c>
      <c r="G11" s="666">
        <v>0.01</v>
      </c>
      <c r="J11" s="618"/>
      <c r="L11" s="668" t="str">
        <f t="shared" si="0"/>
        <v>FT-TRABIODST</v>
      </c>
      <c r="M11" s="669" t="str">
        <f>"TRA "&amp;Commodities!C11</f>
        <v>TRA BioDiesel</v>
      </c>
      <c r="N11" s="668" t="s">
        <v>88</v>
      </c>
      <c r="O11" s="668" t="s">
        <v>940</v>
      </c>
    </row>
    <row r="12" spans="2:18" s="666" customFormat="1" ht="13.2">
      <c r="B12" s="618" t="str">
        <f t="shared" si="1"/>
        <v>FT-TRACNG</v>
      </c>
      <c r="C12" s="621" t="str">
        <f>Primary!D29</f>
        <v>CNG</v>
      </c>
      <c r="D12" s="618" t="str">
        <f>Commodities!B12</f>
        <v>TRACNG</v>
      </c>
      <c r="E12" s="666">
        <v>1</v>
      </c>
      <c r="F12" s="666">
        <v>50</v>
      </c>
      <c r="G12" s="666">
        <v>0.01</v>
      </c>
      <c r="J12" s="618"/>
      <c r="L12" s="668" t="str">
        <f t="shared" si="0"/>
        <v>FT-TRACNG</v>
      </c>
      <c r="M12" s="669" t="str">
        <f>"TRA "&amp;Commodities!C12</f>
        <v>TRA CNG</v>
      </c>
      <c r="N12" s="668" t="s">
        <v>88</v>
      </c>
      <c r="O12" s="668" t="s">
        <v>940</v>
      </c>
    </row>
    <row r="13" spans="2:18" s="666" customFormat="1" ht="13.2">
      <c r="B13" s="618" t="str">
        <f t="shared" si="1"/>
        <v>FT-TRABNG</v>
      </c>
      <c r="C13" s="621" t="str">
        <f>Primary!D30</f>
        <v>BNG</v>
      </c>
      <c r="D13" s="618" t="str">
        <f>Commodities!B13</f>
        <v>TRABNG</v>
      </c>
      <c r="E13" s="666">
        <v>1</v>
      </c>
      <c r="F13" s="666">
        <v>50</v>
      </c>
      <c r="G13" s="666">
        <v>0.01</v>
      </c>
      <c r="J13" s="618"/>
      <c r="L13" s="668" t="str">
        <f t="shared" si="0"/>
        <v>FT-TRABNG</v>
      </c>
      <c r="M13" s="669" t="str">
        <f>"TRA "&amp;Commodities!C13</f>
        <v>TRA BioCNG</v>
      </c>
      <c r="N13" s="668" t="s">
        <v>88</v>
      </c>
      <c r="O13" s="668" t="s">
        <v>940</v>
      </c>
    </row>
    <row r="14" spans="2:18" s="666" customFormat="1" ht="13.2">
      <c r="B14" s="618" t="str">
        <f>"FT-TRA"&amp;LEFT(C14,3)</f>
        <v>FT-TRAELC</v>
      </c>
      <c r="C14" s="666" t="str">
        <f>Primary!D34</f>
        <v>ELCC</v>
      </c>
      <c r="D14" s="666" t="str">
        <f>Commodities!B14</f>
        <v>TRAELC</v>
      </c>
      <c r="E14" s="667">
        <v>1</v>
      </c>
      <c r="F14" s="666">
        <v>50</v>
      </c>
      <c r="G14" s="666">
        <v>0.01</v>
      </c>
      <c r="L14" s="668" t="str">
        <f t="shared" si="0"/>
        <v>FT-TRAELC</v>
      </c>
      <c r="M14" s="669" t="str">
        <f>"TRA "&amp;Commodities!C14</f>
        <v>TRA Electricity for BEVs and PHEVs and Rail</v>
      </c>
      <c r="N14" s="668" t="s">
        <v>88</v>
      </c>
      <c r="O14" s="668" t="s">
        <v>940</v>
      </c>
      <c r="P14" s="668" t="s">
        <v>90</v>
      </c>
    </row>
    <row r="15" spans="2:18" s="666" customFormat="1" ht="13.2">
      <c r="B15" s="618" t="str">
        <f>"FT-TRA"&amp;RIGHT(C15,3)</f>
        <v>FT-TRALNG</v>
      </c>
      <c r="C15" s="621" t="str">
        <f>Primary!D31</f>
        <v>GASLNG</v>
      </c>
      <c r="D15" s="618" t="str">
        <f>Commodities!B15</f>
        <v>TRALNG</v>
      </c>
      <c r="E15" s="666">
        <v>1</v>
      </c>
      <c r="F15" s="666">
        <v>50</v>
      </c>
      <c r="G15" s="666">
        <v>0.01</v>
      </c>
      <c r="J15" s="618"/>
      <c r="L15" s="668" t="str">
        <f t="shared" si="0"/>
        <v>FT-TRALNG</v>
      </c>
      <c r="M15" s="669" t="str">
        <f>"TRA "&amp;Commodities!C15</f>
        <v>TRA LNG</v>
      </c>
      <c r="N15" s="668" t="s">
        <v>88</v>
      </c>
      <c r="O15" s="668" t="s">
        <v>940</v>
      </c>
    </row>
    <row r="16" spans="2:18" s="666" customFormat="1" ht="13.2">
      <c r="B16" s="618" t="str">
        <f>"FT-TRA"&amp;C16</f>
        <v>FT-TRAH2</v>
      </c>
      <c r="C16" s="621" t="str">
        <f>Primary!D32</f>
        <v>H2</v>
      </c>
      <c r="D16" s="618" t="str">
        <f>Commodities!B16</f>
        <v>TRAH2</v>
      </c>
      <c r="E16" s="666">
        <v>1</v>
      </c>
      <c r="F16" s="666">
        <v>50</v>
      </c>
      <c r="G16" s="666">
        <v>0.01</v>
      </c>
      <c r="J16" s="618"/>
      <c r="L16" s="668" t="str">
        <f t="shared" si="0"/>
        <v>FT-TRAH2</v>
      </c>
      <c r="M16" s="669" t="str">
        <f>"TRA "&amp;Commodities!C16</f>
        <v>TRA Hydrogen</v>
      </c>
      <c r="N16" s="668" t="s">
        <v>88</v>
      </c>
      <c r="O16" s="668" t="s">
        <v>940</v>
      </c>
    </row>
    <row r="17" spans="1:18" s="666" customFormat="1" ht="13.2">
      <c r="B17" s="651" t="str">
        <f>"FT-TRA"&amp;RIGHT(C17,3)</f>
        <v>FT-TRAKER</v>
      </c>
      <c r="C17" s="652" t="str">
        <f>Primary!D33</f>
        <v>OILKER</v>
      </c>
      <c r="D17" s="651" t="str">
        <f>Commodities!B17</f>
        <v>TRAKER</v>
      </c>
      <c r="E17" s="670">
        <v>1</v>
      </c>
      <c r="F17" s="670">
        <v>50</v>
      </c>
      <c r="G17" s="670">
        <v>0.01</v>
      </c>
      <c r="H17" s="670"/>
      <c r="J17" s="651"/>
      <c r="K17" s="670"/>
      <c r="L17" s="671" t="str">
        <f t="shared" si="0"/>
        <v>FT-TRAKER</v>
      </c>
      <c r="M17" s="806" t="str">
        <f>"TRA "&amp;Commodities!C17</f>
        <v>TRA Kerosene</v>
      </c>
      <c r="N17" s="671" t="s">
        <v>88</v>
      </c>
      <c r="O17" s="671" t="s">
        <v>940</v>
      </c>
      <c r="P17" s="670"/>
      <c r="Q17" s="670"/>
      <c r="R17" s="670"/>
    </row>
    <row r="18" spans="1:18" s="666" customFormat="1" ht="13.2">
      <c r="A18" s="621"/>
    </row>
    <row r="19" spans="1:18" s="666" customFormat="1" ht="13.2"/>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P105"/>
  <sheetViews>
    <sheetView zoomScale="70" zoomScaleNormal="70" workbookViewId="0">
      <selection activeCell="A4" sqref="A4:B4"/>
    </sheetView>
  </sheetViews>
  <sheetFormatPr defaultRowHeight="14.4"/>
  <cols>
    <col min="1" max="1" width="16.33203125" customWidth="1"/>
    <col min="2" max="2" width="12" bestFit="1" customWidth="1"/>
    <col min="3" max="3" width="51.88671875" bestFit="1" customWidth="1"/>
    <col min="4" max="5" width="8.88671875" customWidth="1"/>
    <col min="6" max="6" width="10.6640625" customWidth="1"/>
    <col min="7" max="7" width="11" customWidth="1"/>
    <col min="8" max="8" width="10.44140625" customWidth="1"/>
    <col min="11" max="11" width="26" bestFit="1" customWidth="1"/>
    <col min="12" max="12" width="60.33203125" bestFit="1" customWidth="1"/>
  </cols>
  <sheetData>
    <row r="1" spans="1:13" ht="21">
      <c r="A1" s="23" t="s">
        <v>93</v>
      </c>
      <c r="B1" s="22"/>
    </row>
    <row r="2" spans="1:13">
      <c r="K2" s="448"/>
      <c r="L2" s="448"/>
    </row>
    <row r="3" spans="1:13">
      <c r="A3" s="426" t="s">
        <v>59</v>
      </c>
      <c r="B3" s="56"/>
      <c r="C3" s="56"/>
      <c r="D3" s="40"/>
      <c r="E3" s="56"/>
      <c r="F3" s="56"/>
      <c r="G3" s="56"/>
      <c r="H3" s="56"/>
      <c r="K3" s="448"/>
      <c r="L3" s="448"/>
    </row>
    <row r="4" spans="1:13" ht="21">
      <c r="A4" s="427" t="s">
        <v>61</v>
      </c>
      <c r="B4" s="427" t="s">
        <v>62</v>
      </c>
      <c r="C4" s="427" t="s">
        <v>63</v>
      </c>
      <c r="D4" s="427" t="s">
        <v>64</v>
      </c>
      <c r="E4" s="427" t="s">
        <v>65</v>
      </c>
      <c r="F4" s="427" t="s">
        <v>66</v>
      </c>
      <c r="G4" s="427" t="s">
        <v>67</v>
      </c>
      <c r="H4" s="427" t="s">
        <v>68</v>
      </c>
      <c r="K4" s="774" t="s">
        <v>632</v>
      </c>
      <c r="L4" s="774"/>
    </row>
    <row r="5" spans="1:13" ht="29.4" thickBot="1">
      <c r="A5" s="473" t="s">
        <v>470</v>
      </c>
      <c r="B5" s="473" t="s">
        <v>471</v>
      </c>
      <c r="C5" s="473" t="s">
        <v>472</v>
      </c>
      <c r="D5" s="473" t="s">
        <v>64</v>
      </c>
      <c r="E5" s="473" t="s">
        <v>473</v>
      </c>
      <c r="F5" s="473" t="s">
        <v>474</v>
      </c>
      <c r="G5" s="473" t="s">
        <v>475</v>
      </c>
      <c r="H5" s="473" t="s">
        <v>476</v>
      </c>
      <c r="K5" s="41" t="s">
        <v>497</v>
      </c>
      <c r="L5" s="27" t="s">
        <v>108</v>
      </c>
    </row>
    <row r="6" spans="1:13">
      <c r="A6" s="56" t="s">
        <v>85</v>
      </c>
      <c r="B6" s="56" t="s">
        <v>485</v>
      </c>
      <c r="C6" s="56" t="s">
        <v>486</v>
      </c>
      <c r="D6" s="56" t="s">
        <v>88</v>
      </c>
      <c r="E6" s="56"/>
      <c r="F6" s="56"/>
      <c r="G6" s="56"/>
      <c r="H6" s="56"/>
      <c r="K6" s="427" t="s">
        <v>21</v>
      </c>
      <c r="L6" s="519"/>
    </row>
    <row r="7" spans="1:13" s="24" customFormat="1">
      <c r="A7" s="56"/>
      <c r="B7" s="56" t="s">
        <v>483</v>
      </c>
      <c r="C7" s="56" t="s">
        <v>484</v>
      </c>
      <c r="D7" s="56" t="s">
        <v>88</v>
      </c>
      <c r="E7" s="56"/>
      <c r="F7" s="56"/>
      <c r="G7" s="56"/>
      <c r="H7" s="56"/>
      <c r="K7" s="455" t="s">
        <v>709</v>
      </c>
      <c r="L7" s="455"/>
      <c r="M7"/>
    </row>
    <row r="8" spans="1:13" s="24" customFormat="1">
      <c r="A8"/>
      <c r="B8" s="56" t="s">
        <v>83</v>
      </c>
      <c r="C8" s="26" t="s">
        <v>20</v>
      </c>
      <c r="D8" s="56" t="s">
        <v>88</v>
      </c>
      <c r="E8" s="56"/>
      <c r="F8" s="56"/>
      <c r="G8" s="56"/>
      <c r="H8" s="56"/>
      <c r="K8" s="459" t="s">
        <v>710</v>
      </c>
      <c r="L8" s="459" t="s">
        <v>486</v>
      </c>
      <c r="M8"/>
    </row>
    <row r="9" spans="1:13" s="93" customFormat="1">
      <c r="A9" s="56"/>
      <c r="B9" s="56" t="s">
        <v>86</v>
      </c>
      <c r="C9" s="26" t="s">
        <v>19</v>
      </c>
      <c r="D9" s="56" t="s">
        <v>88</v>
      </c>
      <c r="E9" s="56"/>
      <c r="F9" s="56"/>
      <c r="G9" s="56"/>
      <c r="H9" s="56"/>
      <c r="K9" s="459" t="s">
        <v>711</v>
      </c>
      <c r="L9" s="459" t="s">
        <v>484</v>
      </c>
    </row>
    <row r="10" spans="1:13">
      <c r="A10" s="56"/>
      <c r="B10" s="56" t="s">
        <v>215</v>
      </c>
      <c r="C10" s="26" t="s">
        <v>477</v>
      </c>
      <c r="D10" s="56" t="s">
        <v>88</v>
      </c>
      <c r="E10" s="56"/>
      <c r="F10" s="56"/>
      <c r="G10" s="56"/>
      <c r="H10" s="56"/>
      <c r="K10" s="455" t="s">
        <v>566</v>
      </c>
      <c r="L10" s="455"/>
    </row>
    <row r="11" spans="1:13" s="24" customFormat="1">
      <c r="A11" s="56"/>
      <c r="B11" s="56" t="s">
        <v>216</v>
      </c>
      <c r="C11" s="26" t="s">
        <v>478</v>
      </c>
      <c r="D11" s="56" t="s">
        <v>88</v>
      </c>
      <c r="E11" s="56"/>
      <c r="F11" s="56"/>
      <c r="G11" s="56"/>
      <c r="H11" s="56"/>
      <c r="K11" s="28" t="s">
        <v>565</v>
      </c>
      <c r="L11" s="28" t="s">
        <v>564</v>
      </c>
    </row>
    <row r="12" spans="1:13" s="42" customFormat="1">
      <c r="A12" s="56"/>
      <c r="B12" s="56" t="s">
        <v>479</v>
      </c>
      <c r="C12" s="26" t="s">
        <v>480</v>
      </c>
      <c r="D12" s="56" t="s">
        <v>88</v>
      </c>
      <c r="E12" s="56"/>
      <c r="F12" s="56" t="s">
        <v>337</v>
      </c>
      <c r="G12" s="56"/>
      <c r="H12" s="56"/>
      <c r="K12" s="455" t="s">
        <v>322</v>
      </c>
      <c r="L12" s="455"/>
    </row>
    <row r="13" spans="1:13" s="93" customFormat="1">
      <c r="A13" s="56"/>
      <c r="B13" s="56" t="s">
        <v>481</v>
      </c>
      <c r="C13" s="26" t="s">
        <v>482</v>
      </c>
      <c r="D13" s="56" t="s">
        <v>88</v>
      </c>
      <c r="E13" s="56"/>
      <c r="F13" s="56" t="s">
        <v>337</v>
      </c>
      <c r="G13" s="56"/>
      <c r="H13" s="56"/>
      <c r="K13" s="28" t="s">
        <v>545</v>
      </c>
      <c r="L13" s="28" t="s">
        <v>555</v>
      </c>
    </row>
    <row r="14" spans="1:13" s="42" customFormat="1">
      <c r="A14" s="638"/>
      <c r="B14" s="638" t="s">
        <v>87</v>
      </c>
      <c r="C14" s="639" t="s">
        <v>634</v>
      </c>
      <c r="D14" s="638" t="s">
        <v>88</v>
      </c>
      <c r="E14" s="56"/>
      <c r="F14" s="56" t="s">
        <v>90</v>
      </c>
      <c r="G14" s="638"/>
      <c r="H14" s="638" t="s">
        <v>89</v>
      </c>
      <c r="K14" s="28" t="s">
        <v>548</v>
      </c>
      <c r="L14" s="28" t="s">
        <v>556</v>
      </c>
    </row>
    <row r="15" spans="1:13" s="42" customFormat="1">
      <c r="B15" s="56" t="s">
        <v>922</v>
      </c>
      <c r="C15" s="26" t="s">
        <v>923</v>
      </c>
      <c r="D15" s="638" t="s">
        <v>88</v>
      </c>
      <c r="E15" s="56"/>
      <c r="F15" s="56"/>
      <c r="K15" s="28" t="s">
        <v>549</v>
      </c>
      <c r="L15" s="28" t="s">
        <v>557</v>
      </c>
    </row>
    <row r="16" spans="1:13" s="24" customFormat="1">
      <c r="B16" s="56" t="s">
        <v>924</v>
      </c>
      <c r="C16" s="26" t="s">
        <v>925</v>
      </c>
      <c r="D16" s="638" t="s">
        <v>88</v>
      </c>
      <c r="E16" s="56"/>
      <c r="F16" s="56"/>
      <c r="K16" s="28" t="s">
        <v>550</v>
      </c>
      <c r="L16" s="28" t="s">
        <v>558</v>
      </c>
    </row>
    <row r="17" spans="1:12" s="24" customFormat="1">
      <c r="A17" s="718"/>
      <c r="B17" s="718" t="s">
        <v>94</v>
      </c>
      <c r="C17" s="718" t="s">
        <v>487</v>
      </c>
      <c r="D17" s="718" t="s">
        <v>88</v>
      </c>
      <c r="E17" s="718"/>
      <c r="F17" s="718"/>
      <c r="G17" s="718"/>
      <c r="H17" s="718"/>
      <c r="K17" s="28" t="s">
        <v>546</v>
      </c>
      <c r="L17" s="28" t="s">
        <v>559</v>
      </c>
    </row>
    <row r="18" spans="1:12" s="24" customFormat="1">
      <c r="A18" s="718"/>
      <c r="B18" s="718" t="s">
        <v>1068</v>
      </c>
      <c r="C18" s="718" t="s">
        <v>1071</v>
      </c>
      <c r="D18" s="750" t="s">
        <v>88</v>
      </c>
      <c r="E18" s="718"/>
      <c r="F18" s="718"/>
      <c r="G18" s="718"/>
      <c r="H18" s="718"/>
      <c r="I18" s="56"/>
      <c r="K18" s="28" t="s">
        <v>673</v>
      </c>
      <c r="L18" s="28" t="s">
        <v>674</v>
      </c>
    </row>
    <row r="19" spans="1:12" s="93" customFormat="1">
      <c r="B19" s="718" t="s">
        <v>1069</v>
      </c>
      <c r="C19" s="718" t="s">
        <v>1072</v>
      </c>
      <c r="D19" s="750" t="s">
        <v>88</v>
      </c>
      <c r="I19" s="56"/>
      <c r="K19" s="28" t="s">
        <v>547</v>
      </c>
      <c r="L19" s="28" t="s">
        <v>560</v>
      </c>
    </row>
    <row r="20" spans="1:12" s="93" customFormat="1">
      <c r="A20" s="1"/>
      <c r="B20" s="1" t="s">
        <v>1070</v>
      </c>
      <c r="C20" s="1" t="s">
        <v>1073</v>
      </c>
      <c r="D20" s="1" t="s">
        <v>88</v>
      </c>
      <c r="E20" s="1"/>
      <c r="F20" s="1"/>
      <c r="G20" s="1"/>
      <c r="H20" s="1"/>
      <c r="I20" s="56"/>
      <c r="K20" s="28" t="s">
        <v>561</v>
      </c>
      <c r="L20" s="28" t="s">
        <v>562</v>
      </c>
    </row>
    <row r="21" spans="1:12" s="93" customFormat="1">
      <c r="A21" s="458"/>
      <c r="B21" s="458" t="s">
        <v>1085</v>
      </c>
      <c r="C21" s="458" t="s">
        <v>1086</v>
      </c>
      <c r="D21" s="458" t="s">
        <v>88</v>
      </c>
      <c r="E21" s="458"/>
      <c r="F21" s="458"/>
      <c r="G21" s="458"/>
      <c r="H21" s="458"/>
      <c r="I21" s="56"/>
      <c r="K21" s="28" t="s">
        <v>551</v>
      </c>
      <c r="L21" s="28" t="s">
        <v>563</v>
      </c>
    </row>
    <row r="22" spans="1:12">
      <c r="A22" s="56" t="s">
        <v>91</v>
      </c>
      <c r="B22" s="56" t="s">
        <v>1033</v>
      </c>
      <c r="C22" s="26" t="s">
        <v>1038</v>
      </c>
      <c r="D22" s="394" t="s">
        <v>937</v>
      </c>
      <c r="E22" s="56"/>
      <c r="F22" s="56"/>
      <c r="G22" s="56"/>
      <c r="H22" s="56"/>
      <c r="K22" s="455" t="s">
        <v>618</v>
      </c>
      <c r="L22" s="455"/>
    </row>
    <row r="23" spans="1:12" s="42" customFormat="1">
      <c r="A23" s="56"/>
      <c r="B23" s="56" t="s">
        <v>1034</v>
      </c>
      <c r="C23" s="26" t="s">
        <v>1036</v>
      </c>
      <c r="D23" s="394" t="s">
        <v>937</v>
      </c>
      <c r="E23" s="56"/>
      <c r="F23" s="56"/>
      <c r="G23" s="56"/>
      <c r="H23" s="56"/>
      <c r="K23" s="459" t="s">
        <v>552</v>
      </c>
      <c r="L23" s="28" t="s">
        <v>621</v>
      </c>
    </row>
    <row r="24" spans="1:12">
      <c r="A24" s="56"/>
      <c r="B24" s="56" t="s">
        <v>1035</v>
      </c>
      <c r="C24" s="26" t="s">
        <v>1037</v>
      </c>
      <c r="D24" s="459" t="s">
        <v>937</v>
      </c>
      <c r="E24" s="56"/>
      <c r="F24" s="56"/>
      <c r="G24" s="56"/>
      <c r="H24" s="56"/>
      <c r="K24" s="459" t="s">
        <v>553</v>
      </c>
      <c r="L24" s="28" t="s">
        <v>622</v>
      </c>
    </row>
    <row r="25" spans="1:12" s="24" customFormat="1">
      <c r="A25" s="394"/>
      <c r="B25" s="56" t="s">
        <v>757</v>
      </c>
      <c r="C25" s="56" t="s">
        <v>914</v>
      </c>
      <c r="D25" s="459" t="s">
        <v>1050</v>
      </c>
      <c r="E25" s="56"/>
      <c r="F25" s="56"/>
      <c r="G25" s="56"/>
      <c r="H25" s="56"/>
      <c r="K25" s="459" t="s">
        <v>554</v>
      </c>
      <c r="L25" s="28" t="s">
        <v>623</v>
      </c>
    </row>
    <row r="26" spans="1:12" s="24" customFormat="1">
      <c r="A26" s="394"/>
      <c r="B26" s="56" t="s">
        <v>167</v>
      </c>
      <c r="C26" s="56" t="s">
        <v>913</v>
      </c>
      <c r="D26" s="718" t="s">
        <v>1050</v>
      </c>
      <c r="E26" s="56"/>
      <c r="F26" s="56"/>
      <c r="G26" s="56"/>
      <c r="H26" s="56"/>
      <c r="K26" s="455" t="s">
        <v>619</v>
      </c>
      <c r="L26" s="455"/>
    </row>
    <row r="27" spans="1:12" s="24" customFormat="1">
      <c r="A27" s="394"/>
      <c r="B27" s="56" t="s">
        <v>799</v>
      </c>
      <c r="C27" s="56" t="s">
        <v>912</v>
      </c>
      <c r="D27" s="394" t="s">
        <v>88</v>
      </c>
      <c r="E27" s="56"/>
      <c r="F27" s="56"/>
      <c r="G27" s="56"/>
      <c r="H27" s="56"/>
      <c r="K27" s="459" t="s">
        <v>620</v>
      </c>
      <c r="L27" s="28" t="s">
        <v>625</v>
      </c>
    </row>
    <row r="28" spans="1:12" s="24" customFormat="1">
      <c r="A28" s="459"/>
      <c r="B28" s="459" t="s">
        <v>213</v>
      </c>
      <c r="C28" s="459" t="s">
        <v>911</v>
      </c>
      <c r="D28" s="459" t="s">
        <v>88</v>
      </c>
      <c r="E28" s="56"/>
      <c r="F28" s="56"/>
      <c r="G28" s="56"/>
      <c r="H28" s="56"/>
      <c r="K28" s="455" t="s">
        <v>24</v>
      </c>
      <c r="L28" s="455"/>
    </row>
    <row r="29" spans="1:12" s="24" customFormat="1">
      <c r="A29" s="394"/>
      <c r="B29" s="394" t="s">
        <v>214</v>
      </c>
      <c r="C29" s="394" t="s">
        <v>910</v>
      </c>
      <c r="D29" s="394" t="s">
        <v>88</v>
      </c>
      <c r="E29" s="56"/>
      <c r="F29" s="56"/>
      <c r="G29" s="56"/>
      <c r="H29" s="56"/>
      <c r="K29" s="459" t="s">
        <v>626</v>
      </c>
      <c r="L29" s="28" t="s">
        <v>629</v>
      </c>
    </row>
    <row r="30" spans="1:12" s="24" customFormat="1">
      <c r="A30" s="394"/>
      <c r="B30" s="394" t="s">
        <v>817</v>
      </c>
      <c r="C30" s="394" t="s">
        <v>909</v>
      </c>
      <c r="D30" s="394" t="s">
        <v>88</v>
      </c>
      <c r="E30" s="56"/>
      <c r="F30" s="56"/>
      <c r="G30" s="56"/>
      <c r="H30" s="56"/>
      <c r="J30" s="442"/>
      <c r="K30" s="459" t="s">
        <v>627</v>
      </c>
      <c r="L30" s="28" t="s">
        <v>628</v>
      </c>
    </row>
    <row r="31" spans="1:12" s="24" customFormat="1">
      <c r="A31" s="393"/>
      <c r="B31" s="393" t="s">
        <v>818</v>
      </c>
      <c r="C31" s="393" t="s">
        <v>908</v>
      </c>
      <c r="D31" s="393" t="s">
        <v>88</v>
      </c>
      <c r="E31" s="428"/>
      <c r="F31" s="428"/>
      <c r="G31" s="428"/>
      <c r="H31" s="428"/>
      <c r="J31" s="442"/>
      <c r="K31" s="459" t="s">
        <v>630</v>
      </c>
      <c r="L31" s="28" t="s">
        <v>631</v>
      </c>
    </row>
    <row r="32" spans="1:12" s="24" customFormat="1">
      <c r="A32" s="394" t="s">
        <v>102</v>
      </c>
      <c r="B32" s="29" t="s">
        <v>97</v>
      </c>
      <c r="C32" s="56" t="s">
        <v>229</v>
      </c>
      <c r="D32" s="394" t="s">
        <v>106</v>
      </c>
      <c r="E32" s="56"/>
      <c r="F32" s="56"/>
      <c r="G32" s="56"/>
      <c r="H32" s="56"/>
      <c r="J32" s="442"/>
      <c r="K32" s="427" t="s">
        <v>715</v>
      </c>
      <c r="L32" s="519"/>
    </row>
    <row r="33" spans="1:14" s="24" customFormat="1">
      <c r="A33" s="394"/>
      <c r="B33" s="29" t="s">
        <v>98</v>
      </c>
      <c r="C33" s="56" t="s">
        <v>103</v>
      </c>
      <c r="D33" s="394" t="s">
        <v>106</v>
      </c>
      <c r="E33" s="56"/>
      <c r="F33" s="56"/>
      <c r="G33" s="56"/>
      <c r="H33" s="56"/>
      <c r="J33" s="442"/>
      <c r="K33" s="455" t="s">
        <v>758</v>
      </c>
      <c r="L33" s="455"/>
    </row>
    <row r="34" spans="1:14" s="24" customFormat="1">
      <c r="A34" s="394"/>
      <c r="B34" s="29" t="s">
        <v>99</v>
      </c>
      <c r="C34" s="56" t="s">
        <v>104</v>
      </c>
      <c r="D34" s="394" t="s">
        <v>106</v>
      </c>
      <c r="E34" s="56"/>
      <c r="F34" s="56"/>
      <c r="G34" s="56"/>
      <c r="H34" s="56"/>
      <c r="J34" s="442"/>
      <c r="K34" s="459" t="s">
        <v>781</v>
      </c>
      <c r="L34" s="28" t="s">
        <v>783</v>
      </c>
    </row>
    <row r="35" spans="1:14">
      <c r="A35" s="394"/>
      <c r="B35" s="29" t="s">
        <v>100</v>
      </c>
      <c r="C35" s="56" t="s">
        <v>105</v>
      </c>
      <c r="D35" s="394" t="s">
        <v>106</v>
      </c>
      <c r="E35" s="56"/>
      <c r="F35" s="56"/>
      <c r="G35" s="56"/>
      <c r="H35" s="56"/>
      <c r="J35" s="442"/>
      <c r="K35" t="s">
        <v>782</v>
      </c>
      <c r="L35" s="28" t="s">
        <v>784</v>
      </c>
    </row>
    <row r="36" spans="1:14" s="24" customFormat="1">
      <c r="A36" s="394"/>
      <c r="B36" s="56" t="s">
        <v>110</v>
      </c>
      <c r="C36" s="56" t="s">
        <v>218</v>
      </c>
      <c r="D36" s="394" t="s">
        <v>106</v>
      </c>
      <c r="E36" s="56"/>
      <c r="F36" s="56"/>
      <c r="G36" s="56"/>
      <c r="H36" s="56"/>
      <c r="J36" s="442"/>
      <c r="K36" s="459" t="s">
        <v>768</v>
      </c>
      <c r="L36" s="28" t="s">
        <v>769</v>
      </c>
    </row>
    <row r="37" spans="1:14" s="24" customFormat="1" ht="15" thickBot="1">
      <c r="A37" s="429"/>
      <c r="B37" s="430" t="s">
        <v>111</v>
      </c>
      <c r="C37" s="430" t="s">
        <v>219</v>
      </c>
      <c r="D37" s="429" t="s">
        <v>106</v>
      </c>
      <c r="E37" s="430"/>
      <c r="F37" s="430"/>
      <c r="G37" s="430"/>
      <c r="H37" s="430"/>
      <c r="J37" s="442"/>
      <c r="K37" s="427" t="s">
        <v>805</v>
      </c>
      <c r="L37" s="519"/>
    </row>
    <row r="38" spans="1:14">
      <c r="A38" s="1"/>
      <c r="B38" s="638"/>
      <c r="C38" s="638"/>
      <c r="D38" s="1"/>
      <c r="E38" s="638"/>
      <c r="F38" s="638"/>
      <c r="G38" s="638"/>
      <c r="H38" s="638"/>
      <c r="K38" s="459" t="s">
        <v>800</v>
      </c>
      <c r="L38" s="28" t="s">
        <v>801</v>
      </c>
    </row>
    <row r="39" spans="1:14">
      <c r="A39" s="574" t="s">
        <v>807</v>
      </c>
      <c r="G39" s="56"/>
      <c r="H39" s="56"/>
      <c r="K39" s="459" t="s">
        <v>803</v>
      </c>
      <c r="L39" s="28" t="s">
        <v>796</v>
      </c>
    </row>
    <row r="40" spans="1:14">
      <c r="A40" s="574" t="s">
        <v>808</v>
      </c>
      <c r="G40" s="459"/>
      <c r="H40" s="459"/>
      <c r="K40" s="459" t="s">
        <v>804</v>
      </c>
      <c r="L40" s="28" t="s">
        <v>802</v>
      </c>
    </row>
    <row r="41" spans="1:14">
      <c r="A41" s="574" t="s">
        <v>806</v>
      </c>
      <c r="G41" s="459"/>
      <c r="H41" s="459"/>
      <c r="K41" s="427" t="s">
        <v>95</v>
      </c>
      <c r="L41" s="519"/>
    </row>
    <row r="42" spans="1:14">
      <c r="A42" s="574" t="s">
        <v>809</v>
      </c>
      <c r="G42" s="459"/>
      <c r="H42" s="459"/>
      <c r="K42" s="459" t="s">
        <v>812</v>
      </c>
      <c r="L42" s="28" t="s">
        <v>814</v>
      </c>
    </row>
    <row r="43" spans="1:14">
      <c r="K43" s="458" t="s">
        <v>813</v>
      </c>
      <c r="L43" s="129" t="s">
        <v>815</v>
      </c>
    </row>
    <row r="44" spans="1:14">
      <c r="M44" s="459"/>
      <c r="N44" s="459"/>
    </row>
    <row r="45" spans="1:14" s="459" customFormat="1"/>
    <row r="46" spans="1:14">
      <c r="M46" s="459"/>
      <c r="N46" s="459"/>
    </row>
    <row r="47" spans="1:14" s="42" customFormat="1">
      <c r="M47" s="459"/>
      <c r="N47" s="459"/>
    </row>
    <row r="48" spans="1:14">
      <c r="I48" s="459"/>
      <c r="M48" s="459"/>
      <c r="N48" s="459"/>
    </row>
    <row r="49" spans="1:16">
      <c r="I49" s="459"/>
      <c r="M49" s="459"/>
      <c r="N49" s="459"/>
    </row>
    <row r="50" spans="1:16" s="459" customFormat="1"/>
    <row r="51" spans="1:16" s="459" customFormat="1"/>
    <row r="52" spans="1:16" s="459" customFormat="1"/>
    <row r="53" spans="1:16" s="459" customFormat="1"/>
    <row r="54" spans="1:16" s="459" customFormat="1"/>
    <row r="55" spans="1:16" s="459" customFormat="1"/>
    <row r="56" spans="1:16" s="459" customFormat="1"/>
    <row r="57" spans="1:16" s="459" customFormat="1"/>
    <row r="58" spans="1:16" s="459" customFormat="1">
      <c r="A58"/>
      <c r="B58"/>
      <c r="C58"/>
      <c r="D58"/>
      <c r="E58"/>
      <c r="F58"/>
    </row>
    <row r="59" spans="1:16" s="459" customFormat="1">
      <c r="A59"/>
      <c r="B59"/>
      <c r="C59"/>
      <c r="D59"/>
      <c r="E59"/>
      <c r="F59"/>
    </row>
    <row r="60" spans="1:16" s="459" customFormat="1">
      <c r="A60"/>
      <c r="B60"/>
      <c r="C60"/>
      <c r="D60"/>
      <c r="E60"/>
      <c r="F60"/>
      <c r="G60"/>
      <c r="H60"/>
    </row>
    <row r="61" spans="1:16">
      <c r="A61" s="459"/>
      <c r="B61" s="459"/>
      <c r="C61" s="459"/>
      <c r="D61" s="459"/>
      <c r="E61" s="459"/>
      <c r="F61" s="459"/>
      <c r="I61" s="56"/>
      <c r="J61" s="394"/>
      <c r="K61" s="459"/>
      <c r="L61" s="459"/>
      <c r="M61" s="459"/>
      <c r="N61" s="459"/>
      <c r="O61" s="459"/>
      <c r="P61" s="459"/>
    </row>
    <row r="62" spans="1:16">
      <c r="A62" s="459"/>
      <c r="B62" s="459"/>
      <c r="C62" s="459"/>
      <c r="D62" s="459"/>
      <c r="E62" s="459"/>
      <c r="F62" s="459"/>
      <c r="J62" s="394"/>
      <c r="K62" s="459"/>
      <c r="L62" s="459"/>
      <c r="M62" s="459"/>
      <c r="N62" s="459"/>
      <c r="O62" s="459"/>
      <c r="P62" s="459"/>
    </row>
    <row r="63" spans="1:16">
      <c r="G63" s="459"/>
      <c r="H63" s="459"/>
      <c r="J63" s="394"/>
      <c r="N63" s="394"/>
      <c r="O63" s="394"/>
    </row>
    <row r="64" spans="1:16" s="459" customFormat="1">
      <c r="A64"/>
      <c r="B64"/>
      <c r="C64"/>
      <c r="D64"/>
      <c r="E64"/>
      <c r="F64"/>
      <c r="I64" s="56"/>
    </row>
    <row r="65" spans="1:15" s="459" customFormat="1">
      <c r="A65"/>
      <c r="B65"/>
      <c r="C65"/>
      <c r="D65"/>
      <c r="E65"/>
      <c r="F65"/>
      <c r="G65"/>
      <c r="H65"/>
      <c r="I65" s="56"/>
    </row>
    <row r="66" spans="1:15">
      <c r="J66" s="394"/>
      <c r="N66" s="394"/>
      <c r="O66" s="394"/>
    </row>
    <row r="67" spans="1:15">
      <c r="J67" s="394"/>
      <c r="N67" s="394"/>
      <c r="O67" s="394"/>
    </row>
    <row r="68" spans="1:15">
      <c r="J68" s="394"/>
      <c r="N68" s="394"/>
      <c r="O68" s="394"/>
    </row>
    <row r="69" spans="1:15">
      <c r="J69" s="394"/>
      <c r="M69" s="394"/>
      <c r="N69" s="394"/>
      <c r="O69" s="394"/>
    </row>
    <row r="70" spans="1:15">
      <c r="A70" s="394"/>
      <c r="B70" s="394"/>
      <c r="C70" s="394"/>
      <c r="D70" s="394"/>
      <c r="E70" s="394"/>
      <c r="F70" s="394"/>
      <c r="J70" s="394"/>
      <c r="M70" s="394"/>
      <c r="N70" s="394"/>
      <c r="O70" s="394"/>
    </row>
    <row r="71" spans="1:15">
      <c r="J71" s="394"/>
      <c r="M71" s="394"/>
      <c r="N71" s="394"/>
      <c r="O71" s="394"/>
    </row>
    <row r="72" spans="1:15">
      <c r="G72" s="394"/>
      <c r="H72" s="394"/>
      <c r="J72" s="394"/>
      <c r="M72" s="394"/>
      <c r="N72" s="394"/>
      <c r="O72" s="394"/>
    </row>
    <row r="73" spans="1:15" s="394" customFormat="1">
      <c r="A73"/>
      <c r="B73"/>
      <c r="C73"/>
      <c r="D73"/>
      <c r="E73"/>
      <c r="F73"/>
      <c r="G73"/>
      <c r="H73"/>
    </row>
    <row r="74" spans="1:15">
      <c r="J74" s="394"/>
      <c r="M74" s="394"/>
      <c r="N74" s="394"/>
      <c r="O74" s="394"/>
    </row>
    <row r="75" spans="1:15">
      <c r="J75" s="394"/>
      <c r="M75" s="394"/>
      <c r="N75" s="394"/>
      <c r="O75" s="394"/>
    </row>
    <row r="76" spans="1:15">
      <c r="J76" s="394"/>
      <c r="N76" s="394"/>
      <c r="O76" s="394"/>
    </row>
    <row r="77" spans="1:15">
      <c r="J77" s="394"/>
      <c r="M77" s="394"/>
      <c r="N77" s="394"/>
      <c r="O77" s="394"/>
    </row>
    <row r="78" spans="1:15">
      <c r="J78" s="394"/>
      <c r="N78" s="394"/>
      <c r="O78" s="394"/>
    </row>
    <row r="79" spans="1:15">
      <c r="J79" s="394"/>
    </row>
    <row r="80" spans="1:15">
      <c r="J80" s="394"/>
    </row>
    <row r="81" spans="1:10">
      <c r="J81" s="394"/>
    </row>
    <row r="82" spans="1:10">
      <c r="J82" s="394"/>
    </row>
    <row r="83" spans="1:10">
      <c r="J83" s="394"/>
    </row>
    <row r="84" spans="1:10">
      <c r="J84" s="394"/>
    </row>
    <row r="85" spans="1:10">
      <c r="J85" s="394"/>
    </row>
    <row r="86" spans="1:10">
      <c r="J86" s="394"/>
    </row>
    <row r="87" spans="1:10">
      <c r="J87" s="394"/>
    </row>
    <row r="88" spans="1:10">
      <c r="J88" s="394"/>
    </row>
    <row r="89" spans="1:10">
      <c r="J89" s="394"/>
    </row>
    <row r="90" spans="1:10">
      <c r="J90" s="394"/>
    </row>
    <row r="91" spans="1:10">
      <c r="J91" s="394"/>
    </row>
    <row r="92" spans="1:10">
      <c r="J92" s="394"/>
    </row>
    <row r="93" spans="1:10">
      <c r="A93" s="459"/>
      <c r="B93" s="459"/>
      <c r="C93" s="459"/>
      <c r="D93" s="459"/>
      <c r="E93" s="459"/>
      <c r="F93" s="459"/>
      <c r="J93" s="56"/>
    </row>
    <row r="94" spans="1:10">
      <c r="J94" s="56"/>
    </row>
    <row r="95" spans="1:10">
      <c r="G95" s="459"/>
      <c r="H95" s="459"/>
      <c r="J95" s="56"/>
    </row>
    <row r="96" spans="1:10" s="459" customFormat="1">
      <c r="A96"/>
      <c r="B96"/>
      <c r="C96"/>
      <c r="D96"/>
      <c r="E96"/>
      <c r="F96"/>
      <c r="G96"/>
      <c r="H96"/>
      <c r="J96" s="56"/>
    </row>
    <row r="97" spans="10:10">
      <c r="J97" s="56"/>
    </row>
    <row r="98" spans="10:10">
      <c r="J98" s="56"/>
    </row>
    <row r="99" spans="10:10">
      <c r="J99" s="56"/>
    </row>
    <row r="100" spans="10:10">
      <c r="J100" s="56"/>
    </row>
    <row r="101" spans="10:10">
      <c r="J101" s="56"/>
    </row>
    <row r="102" spans="10:10">
      <c r="J102" s="56"/>
    </row>
    <row r="103" spans="10:10">
      <c r="J103" s="56"/>
    </row>
    <row r="104" spans="10:10">
      <c r="J104" s="56"/>
    </row>
    <row r="105" spans="10:10">
      <c r="J105" s="56"/>
    </row>
  </sheetData>
  <mergeCells count="1">
    <mergeCell ref="K4:L4"/>
  </mergeCells>
  <phoneticPr fontId="37"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02586-A331-427E-A8C4-7DBC5A714787}">
  <dimension ref="A3:AP54"/>
  <sheetViews>
    <sheetView tabSelected="1" topLeftCell="J1" zoomScaleNormal="100" workbookViewId="0">
      <selection activeCell="P21" sqref="P21"/>
    </sheetView>
  </sheetViews>
  <sheetFormatPr defaultRowHeight="14.4"/>
  <cols>
    <col min="1" max="1" width="14.21875" style="718" customWidth="1"/>
    <col min="2" max="2" width="18.109375" customWidth="1"/>
    <col min="3" max="3" width="12" customWidth="1"/>
    <col min="5" max="5" width="11.21875" customWidth="1"/>
    <col min="7" max="7" width="12" bestFit="1" customWidth="1"/>
    <col min="8" max="11" width="15.88671875" customWidth="1"/>
    <col min="12" max="12" width="11.88671875" style="718" customWidth="1"/>
    <col min="14" max="15" width="12.88671875" customWidth="1"/>
    <col min="16" max="16" width="33.77734375" customWidth="1"/>
  </cols>
  <sheetData>
    <row r="3" spans="3:20">
      <c r="C3" s="56"/>
      <c r="D3" s="56"/>
      <c r="E3" s="56"/>
      <c r="F3" s="733" t="s">
        <v>76</v>
      </c>
      <c r="G3" s="56"/>
      <c r="H3" s="56"/>
      <c r="I3" s="56"/>
      <c r="J3" s="56"/>
      <c r="K3" s="56"/>
      <c r="L3" s="56"/>
      <c r="N3" s="733" t="s">
        <v>60</v>
      </c>
      <c r="O3" s="40"/>
      <c r="P3" s="40"/>
      <c r="Q3" s="40"/>
      <c r="R3" s="40"/>
      <c r="S3" s="40"/>
    </row>
    <row r="4" spans="3:20" ht="15" thickBot="1">
      <c r="C4" s="41" t="s">
        <v>70</v>
      </c>
      <c r="D4" s="41" t="s">
        <v>77</v>
      </c>
      <c r="E4" s="41" t="s">
        <v>78</v>
      </c>
      <c r="F4" s="734" t="s">
        <v>65</v>
      </c>
      <c r="G4" s="734" t="s">
        <v>933</v>
      </c>
      <c r="H4" s="734" t="s">
        <v>1087</v>
      </c>
      <c r="I4" s="734" t="s">
        <v>1088</v>
      </c>
      <c r="J4" s="734" t="s">
        <v>1089</v>
      </c>
      <c r="K4" s="734" t="s">
        <v>1090</v>
      </c>
      <c r="L4" s="734" t="s">
        <v>1091</v>
      </c>
      <c r="M4" s="56"/>
      <c r="N4" s="41" t="s">
        <v>69</v>
      </c>
      <c r="O4" s="41" t="s">
        <v>70</v>
      </c>
      <c r="P4" s="41" t="s">
        <v>71</v>
      </c>
      <c r="Q4" s="41" t="s">
        <v>72</v>
      </c>
      <c r="R4" s="41" t="s">
        <v>73</v>
      </c>
      <c r="S4" s="41" t="s">
        <v>74</v>
      </c>
      <c r="T4" s="41" t="s">
        <v>75</v>
      </c>
    </row>
    <row r="5" spans="3:20">
      <c r="C5" s="56" t="str">
        <f>O5</f>
        <v>TRAGSL_BLD</v>
      </c>
      <c r="D5" s="56" t="str">
        <f>Commodities!B8</f>
        <v>TRAGSL</v>
      </c>
      <c r="E5" s="56"/>
      <c r="F5" s="56" t="s">
        <v>1092</v>
      </c>
      <c r="G5" s="56">
        <v>1</v>
      </c>
      <c r="H5" s="735">
        <f>1-J51</f>
        <v>0.9548414346182118</v>
      </c>
      <c r="I5" s="735">
        <f>1-L51</f>
        <v>0.95</v>
      </c>
      <c r="J5" s="735">
        <f>1-V51</f>
        <v>0.9</v>
      </c>
      <c r="K5" s="735">
        <f>1-AF51</f>
        <v>0.9</v>
      </c>
      <c r="L5" s="735">
        <f>1-AP51</f>
        <v>0.9</v>
      </c>
      <c r="M5" s="56"/>
      <c r="N5" s="56" t="s">
        <v>932</v>
      </c>
      <c r="O5" s="56" t="s">
        <v>1064</v>
      </c>
      <c r="P5" s="56" t="s">
        <v>1080</v>
      </c>
      <c r="Q5" s="718" t="s">
        <v>88</v>
      </c>
      <c r="R5" s="718" t="s">
        <v>940</v>
      </c>
      <c r="S5" s="56"/>
      <c r="T5" s="56"/>
    </row>
    <row r="6" spans="3:20">
      <c r="C6" s="56"/>
      <c r="D6" s="56" t="str">
        <f>Commodities!B10</f>
        <v>TRAETH</v>
      </c>
      <c r="E6" s="56"/>
      <c r="F6" s="56" t="s">
        <v>1092</v>
      </c>
      <c r="G6" s="56"/>
      <c r="H6" s="770">
        <f>1-H5</f>
        <v>4.5158565381788196E-2</v>
      </c>
      <c r="I6" s="770">
        <f t="shared" ref="I6:L6" si="0">1-I5</f>
        <v>5.0000000000000044E-2</v>
      </c>
      <c r="J6" s="770">
        <f t="shared" si="0"/>
        <v>9.9999999999999978E-2</v>
      </c>
      <c r="K6" s="770">
        <f t="shared" si="0"/>
        <v>9.9999999999999978E-2</v>
      </c>
      <c r="L6" s="770">
        <f t="shared" si="0"/>
        <v>9.9999999999999978E-2</v>
      </c>
      <c r="M6" s="56"/>
      <c r="N6" s="56"/>
      <c r="O6" s="718" t="s">
        <v>1065</v>
      </c>
      <c r="P6" s="56" t="s">
        <v>1081</v>
      </c>
      <c r="Q6" s="718" t="s">
        <v>88</v>
      </c>
      <c r="R6" s="718" t="s">
        <v>940</v>
      </c>
      <c r="S6" s="56"/>
      <c r="T6" s="56"/>
    </row>
    <row r="7" spans="3:20">
      <c r="C7" s="56"/>
      <c r="D7" s="56"/>
      <c r="E7" s="56" t="str">
        <f>Commodities!B18</f>
        <v>TRAGSLE</v>
      </c>
      <c r="F7" s="428"/>
      <c r="G7" s="56"/>
      <c r="H7" s="56"/>
      <c r="I7" s="56"/>
      <c r="J7" s="56"/>
      <c r="K7" s="56"/>
      <c r="L7" s="56"/>
      <c r="M7" s="56"/>
      <c r="N7" s="638"/>
      <c r="O7" s="638" t="s">
        <v>1066</v>
      </c>
      <c r="P7" s="638" t="s">
        <v>1067</v>
      </c>
      <c r="Q7" s="1" t="s">
        <v>88</v>
      </c>
      <c r="R7" s="1" t="s">
        <v>940</v>
      </c>
      <c r="S7" s="638"/>
      <c r="T7" s="638"/>
    </row>
    <row r="8" spans="3:20">
      <c r="C8" s="736" t="str">
        <f>O6</f>
        <v>TRADST_BLD</v>
      </c>
      <c r="D8" s="736" t="str">
        <f>Commodities!B9</f>
        <v>TRADST</v>
      </c>
      <c r="E8" s="736"/>
      <c r="F8" s="56" t="s">
        <v>1092</v>
      </c>
      <c r="G8" s="736">
        <v>1</v>
      </c>
      <c r="H8" s="737">
        <f>1-J52</f>
        <v>0.95912212653292017</v>
      </c>
      <c r="I8" s="737">
        <f>1-L52</f>
        <v>0.94884746867213698</v>
      </c>
      <c r="J8" s="737">
        <f>1-V52</f>
        <v>0.9</v>
      </c>
      <c r="K8" s="737">
        <f>1-AG52</f>
        <v>0.9</v>
      </c>
      <c r="L8" s="737">
        <f>1-AP52</f>
        <v>0.9</v>
      </c>
      <c r="M8" s="56"/>
      <c r="N8" s="428"/>
      <c r="O8" s="428" t="s">
        <v>1083</v>
      </c>
      <c r="P8" s="428" t="s">
        <v>1084</v>
      </c>
      <c r="Q8" s="458" t="s">
        <v>88</v>
      </c>
      <c r="R8" s="458" t="s">
        <v>940</v>
      </c>
      <c r="S8" s="428"/>
      <c r="T8" s="428"/>
    </row>
    <row r="9" spans="3:20">
      <c r="C9" s="56"/>
      <c r="D9" s="56" t="str">
        <f>Commodities!B11</f>
        <v>TRABDL</v>
      </c>
      <c r="E9" s="56"/>
      <c r="F9" s="56" t="s">
        <v>1092</v>
      </c>
      <c r="G9" s="56"/>
      <c r="H9" s="770">
        <f>1-H8</f>
        <v>4.0877873467079828E-2</v>
      </c>
      <c r="I9" s="770">
        <f t="shared" ref="I9" si="1">1-I8</f>
        <v>5.1152531327863016E-2</v>
      </c>
      <c r="J9" s="770">
        <f t="shared" ref="J9" si="2">1-J8</f>
        <v>9.9999999999999978E-2</v>
      </c>
      <c r="K9" s="770">
        <f t="shared" ref="K9" si="3">1-K8</f>
        <v>9.9999999999999978E-2</v>
      </c>
      <c r="L9" s="770">
        <f t="shared" ref="L9" si="4">1-L8</f>
        <v>9.9999999999999978E-2</v>
      </c>
      <c r="M9" s="56"/>
      <c r="N9" s="56"/>
      <c r="O9" s="56"/>
      <c r="P9" s="56"/>
      <c r="Q9" s="56"/>
      <c r="R9" s="56"/>
      <c r="S9" s="56"/>
      <c r="T9" s="56"/>
    </row>
    <row r="10" spans="3:20">
      <c r="C10" s="428"/>
      <c r="D10" s="428"/>
      <c r="E10" s="428" t="str">
        <f>Commodities!B19</f>
        <v>TRADSTB</v>
      </c>
      <c r="F10" s="428"/>
      <c r="G10" s="428"/>
      <c r="H10" s="428"/>
      <c r="I10" s="428"/>
      <c r="J10" s="428"/>
      <c r="K10" s="428"/>
      <c r="L10" s="428"/>
      <c r="M10" s="56"/>
      <c r="N10" s="56"/>
      <c r="O10" s="56"/>
      <c r="P10" s="56"/>
      <c r="Q10" s="56"/>
      <c r="R10" s="56"/>
      <c r="S10" s="56"/>
      <c r="T10" s="56"/>
    </row>
    <row r="11" spans="3:20">
      <c r="C11" s="736" t="str">
        <f>$O$7</f>
        <v>TRAE85_BLD</v>
      </c>
      <c r="D11" s="736" t="str">
        <f>Commodities!B8</f>
        <v>TRAGSL</v>
      </c>
      <c r="E11" s="736"/>
      <c r="F11" s="56" t="s">
        <v>1092</v>
      </c>
      <c r="G11" s="736">
        <v>1</v>
      </c>
      <c r="H11" s="738">
        <v>0.15</v>
      </c>
      <c r="I11" s="738">
        <v>0.15</v>
      </c>
      <c r="J11" s="738">
        <v>0.15</v>
      </c>
      <c r="K11" s="738">
        <v>0.15</v>
      </c>
      <c r="L11" s="738">
        <v>0.15</v>
      </c>
      <c r="M11" s="56"/>
      <c r="N11" s="56"/>
      <c r="O11" s="56"/>
      <c r="P11" s="56"/>
      <c r="Q11" s="56"/>
      <c r="R11" s="56"/>
      <c r="S11" s="56"/>
      <c r="T11" s="56"/>
    </row>
    <row r="12" spans="3:20" ht="21">
      <c r="C12" s="56"/>
      <c r="D12" s="56" t="str">
        <f>Commodities!B10</f>
        <v>TRAETH</v>
      </c>
      <c r="E12" s="56"/>
      <c r="F12" s="56" t="s">
        <v>1092</v>
      </c>
      <c r="G12" s="56"/>
      <c r="H12" s="770">
        <f>1-H11</f>
        <v>0.85</v>
      </c>
      <c r="I12" s="770">
        <f t="shared" ref="I12" si="5">1-I11</f>
        <v>0.85</v>
      </c>
      <c r="J12" s="770">
        <f t="shared" ref="J12" si="6">1-J11</f>
        <v>0.85</v>
      </c>
      <c r="K12" s="770">
        <f t="shared" ref="K12" si="7">1-K11</f>
        <v>0.85</v>
      </c>
      <c r="L12" s="770">
        <f t="shared" ref="L12" si="8">1-L11</f>
        <v>0.85</v>
      </c>
      <c r="M12" s="56"/>
      <c r="N12" s="718"/>
      <c r="O12" s="718"/>
      <c r="P12" s="23" t="s">
        <v>76</v>
      </c>
      <c r="Q12" s="718"/>
      <c r="R12" s="56"/>
      <c r="S12" s="56"/>
      <c r="T12" s="56"/>
    </row>
    <row r="13" spans="3:20">
      <c r="C13" s="428"/>
      <c r="D13" s="428"/>
      <c r="E13" s="428" t="str">
        <f>Commodities!B20</f>
        <v>TRAE85</v>
      </c>
      <c r="F13" s="428"/>
      <c r="G13" s="428"/>
      <c r="H13" s="428"/>
      <c r="I13" s="428"/>
      <c r="J13" s="428"/>
      <c r="K13" s="428"/>
      <c r="L13" s="428"/>
      <c r="M13" s="56"/>
      <c r="N13" s="427" t="s">
        <v>70</v>
      </c>
      <c r="O13" s="427" t="s">
        <v>77</v>
      </c>
      <c r="P13" s="427" t="s">
        <v>65</v>
      </c>
      <c r="Q13" s="427" t="s">
        <v>1055</v>
      </c>
      <c r="R13" s="56"/>
      <c r="S13" s="56"/>
      <c r="T13" s="56"/>
    </row>
    <row r="14" spans="3:20">
      <c r="C14" s="736" t="str">
        <f>$O$8</f>
        <v>TRABCNG_BLD</v>
      </c>
      <c r="D14" s="736" t="str">
        <f>Commodities!B12</f>
        <v>TRACNG</v>
      </c>
      <c r="E14" s="736"/>
      <c r="F14" s="56" t="s">
        <v>1092</v>
      </c>
      <c r="G14" s="736">
        <v>1</v>
      </c>
      <c r="H14" s="738">
        <v>0.5</v>
      </c>
      <c r="I14" s="738">
        <v>0.5</v>
      </c>
      <c r="J14" s="738">
        <v>0.5</v>
      </c>
      <c r="K14" s="738">
        <v>0.5</v>
      </c>
      <c r="L14" s="738">
        <v>0.5</v>
      </c>
      <c r="M14" s="56"/>
      <c r="N14" s="718" t="str">
        <f>C5</f>
        <v>TRAGSL_BLD</v>
      </c>
      <c r="O14" s="718" t="str">
        <f>D6</f>
        <v>TRAETH</v>
      </c>
      <c r="P14" s="718" t="s">
        <v>1092</v>
      </c>
      <c r="Q14" s="718">
        <v>5</v>
      </c>
      <c r="R14" s="56"/>
      <c r="S14" s="56"/>
      <c r="T14" s="56"/>
    </row>
    <row r="15" spans="3:20">
      <c r="C15" s="56"/>
      <c r="D15" s="56" t="str">
        <f>Commodities!B13</f>
        <v>TRABNG</v>
      </c>
      <c r="E15" s="56"/>
      <c r="F15" s="56" t="s">
        <v>1092</v>
      </c>
      <c r="G15" s="56"/>
      <c r="H15" s="770">
        <f>1-H14</f>
        <v>0.5</v>
      </c>
      <c r="I15" s="770">
        <f t="shared" ref="I15" si="9">1-I14</f>
        <v>0.5</v>
      </c>
      <c r="J15" s="770">
        <f t="shared" ref="J15" si="10">1-J14</f>
        <v>0.5</v>
      </c>
      <c r="K15" s="770">
        <f t="shared" ref="K15" si="11">1-K14</f>
        <v>0.5</v>
      </c>
      <c r="L15" s="770">
        <f t="shared" ref="L15" si="12">1-L14</f>
        <v>0.5</v>
      </c>
      <c r="M15" s="718"/>
      <c r="N15" s="718" t="str">
        <f>C8</f>
        <v>TRADST_BLD</v>
      </c>
      <c r="O15" s="718" t="str">
        <f>D9</f>
        <v>TRABDL</v>
      </c>
      <c r="P15" s="718" t="s">
        <v>1092</v>
      </c>
      <c r="Q15" s="718">
        <v>5</v>
      </c>
    </row>
    <row r="16" spans="3:20">
      <c r="C16" s="428"/>
      <c r="D16" s="428"/>
      <c r="E16" s="428" t="str">
        <f>Commodities!B21</f>
        <v>TRABCNG</v>
      </c>
      <c r="F16" s="428"/>
      <c r="G16" s="428"/>
      <c r="H16" s="428"/>
      <c r="I16" s="428"/>
      <c r="J16" s="428"/>
      <c r="K16" s="428"/>
      <c r="L16" s="428"/>
      <c r="M16" s="718"/>
      <c r="N16" s="718" t="str">
        <f>C11</f>
        <v>TRAE85_BLD</v>
      </c>
      <c r="O16" s="718" t="str">
        <f>D12</f>
        <v>TRAETH</v>
      </c>
      <c r="P16" s="718" t="s">
        <v>1092</v>
      </c>
      <c r="Q16" s="718">
        <v>5</v>
      </c>
    </row>
    <row r="17" spans="1:17">
      <c r="L17"/>
      <c r="M17" s="718"/>
      <c r="N17" s="458" t="str">
        <f>C14</f>
        <v>TRABCNG_BLD</v>
      </c>
      <c r="O17" s="458" t="str">
        <f>D15</f>
        <v>TRABNG</v>
      </c>
      <c r="P17" s="458" t="s">
        <v>1092</v>
      </c>
      <c r="Q17" s="458">
        <v>5</v>
      </c>
    </row>
    <row r="18" spans="1:17">
      <c r="N18" s="718"/>
      <c r="O18" s="718"/>
      <c r="P18" s="718"/>
      <c r="Q18" s="718"/>
    </row>
    <row r="19" spans="1:17">
      <c r="A19" s="739" t="s">
        <v>488</v>
      </c>
      <c r="B19" s="740"/>
      <c r="N19" s="718"/>
      <c r="O19" s="718"/>
      <c r="P19" s="718"/>
      <c r="Q19" s="718"/>
    </row>
    <row r="20" spans="1:17">
      <c r="A20" s="741" t="s">
        <v>489</v>
      </c>
      <c r="B20" s="742" t="s">
        <v>490</v>
      </c>
    </row>
    <row r="21" spans="1:17">
      <c r="A21" s="743" t="s">
        <v>20</v>
      </c>
      <c r="B21" s="744">
        <v>1041376950</v>
      </c>
    </row>
    <row r="22" spans="1:17">
      <c r="A22" s="745" t="s">
        <v>491</v>
      </c>
      <c r="B22" s="744">
        <v>53868503</v>
      </c>
    </row>
    <row r="23" spans="1:17">
      <c r="A23" s="745" t="s">
        <v>19</v>
      </c>
      <c r="B23" s="746">
        <v>3392228806</v>
      </c>
    </row>
    <row r="24" spans="1:17">
      <c r="A24" s="745" t="s">
        <v>492</v>
      </c>
      <c r="B24" s="746">
        <v>162101602</v>
      </c>
    </row>
    <row r="25" spans="1:17">
      <c r="A25" s="747" t="s">
        <v>493</v>
      </c>
      <c r="B25" s="748"/>
    </row>
    <row r="26" spans="1:17">
      <c r="A26" s="748"/>
      <c r="B26" s="748"/>
    </row>
    <row r="27" spans="1:17">
      <c r="A27" s="748"/>
      <c r="B27" s="748"/>
    </row>
    <row r="28" spans="1:17">
      <c r="A28" s="739" t="s">
        <v>494</v>
      </c>
      <c r="B28" s="740"/>
    </row>
    <row r="29" spans="1:17">
      <c r="A29" s="741" t="s">
        <v>489</v>
      </c>
      <c r="B29" s="742" t="s">
        <v>494</v>
      </c>
    </row>
    <row r="30" spans="1:17">
      <c r="A30" s="743" t="s">
        <v>20</v>
      </c>
      <c r="B30" s="744">
        <v>35</v>
      </c>
    </row>
    <row r="31" spans="1:17">
      <c r="A31" s="745" t="s">
        <v>491</v>
      </c>
      <c r="B31" s="744">
        <v>32</v>
      </c>
    </row>
    <row r="32" spans="1:17">
      <c r="A32" s="745" t="s">
        <v>19</v>
      </c>
      <c r="B32" s="746">
        <v>37</v>
      </c>
    </row>
    <row r="33" spans="1:42">
      <c r="A33" s="745" t="s">
        <v>492</v>
      </c>
      <c r="B33" s="746">
        <v>33</v>
      </c>
    </row>
    <row r="34" spans="1:42">
      <c r="A34" s="748"/>
      <c r="B34" s="748"/>
    </row>
    <row r="35" spans="1:42">
      <c r="A35" s="748"/>
      <c r="B35" s="748"/>
    </row>
    <row r="36" spans="1:42">
      <c r="A36" s="739" t="s">
        <v>495</v>
      </c>
      <c r="B36" s="740"/>
    </row>
    <row r="37" spans="1:42">
      <c r="A37" s="741" t="s">
        <v>489</v>
      </c>
      <c r="B37" s="742" t="s">
        <v>496</v>
      </c>
    </row>
    <row r="38" spans="1:42">
      <c r="A38" s="743" t="s">
        <v>20</v>
      </c>
      <c r="B38" s="749">
        <f>(B21*B30)/((B21*B30)+(B22*B31))</f>
        <v>0.9548414346182118</v>
      </c>
    </row>
    <row r="39" spans="1:42">
      <c r="A39" s="745" t="s">
        <v>491</v>
      </c>
      <c r="B39" s="749">
        <f>(B22*B31)/((B21*B30)+(B22*B31))</f>
        <v>4.5158565381788147E-2</v>
      </c>
    </row>
    <row r="40" spans="1:42">
      <c r="A40" s="745" t="s">
        <v>19</v>
      </c>
      <c r="B40" s="749">
        <f>(B23*B32)/((B23*B32)+(B24*B33))</f>
        <v>0.95912212653292017</v>
      </c>
    </row>
    <row r="41" spans="1:42">
      <c r="A41" s="745" t="s">
        <v>492</v>
      </c>
      <c r="B41" s="749">
        <f>(B24*B33)/((B23*B32)+(B24*B33))</f>
        <v>4.087787346707978E-2</v>
      </c>
    </row>
    <row r="45" spans="1:42" ht="15" thickBot="1">
      <c r="A45" s="718" t="s">
        <v>1079</v>
      </c>
    </row>
    <row r="46" spans="1:42">
      <c r="A46" s="755" t="s">
        <v>1074</v>
      </c>
      <c r="B46" s="756">
        <v>2010</v>
      </c>
      <c r="C46" s="756">
        <v>2011</v>
      </c>
      <c r="D46" s="756">
        <v>2012</v>
      </c>
      <c r="E46" s="756">
        <v>2013</v>
      </c>
      <c r="F46" s="756">
        <v>2014</v>
      </c>
      <c r="G46" s="756">
        <v>2015</v>
      </c>
      <c r="H46" s="756">
        <v>2016</v>
      </c>
      <c r="I46" s="756">
        <v>2017</v>
      </c>
      <c r="J46" s="756">
        <v>2018</v>
      </c>
      <c r="K46" s="756">
        <v>2019</v>
      </c>
      <c r="L46" s="756">
        <v>2020</v>
      </c>
      <c r="M46" s="756">
        <v>2021</v>
      </c>
      <c r="N46" s="756">
        <v>2022</v>
      </c>
      <c r="O46" s="756">
        <v>2023</v>
      </c>
      <c r="P46" s="756">
        <v>2024</v>
      </c>
      <c r="Q46" s="756">
        <v>2025</v>
      </c>
      <c r="R46" s="756">
        <v>2026</v>
      </c>
      <c r="S46" s="756">
        <v>2027</v>
      </c>
      <c r="T46" s="756">
        <v>2028</v>
      </c>
      <c r="U46" s="756">
        <v>2029</v>
      </c>
      <c r="V46" s="756">
        <v>2030</v>
      </c>
      <c r="W46" s="756">
        <v>2031</v>
      </c>
      <c r="X46" s="756">
        <v>2032</v>
      </c>
      <c r="Y46" s="756">
        <v>2033</v>
      </c>
      <c r="Z46" s="756">
        <v>2034</v>
      </c>
      <c r="AA46" s="756">
        <v>2035</v>
      </c>
      <c r="AB46" s="756">
        <v>2036</v>
      </c>
      <c r="AC46" s="756">
        <v>2037</v>
      </c>
      <c r="AD46" s="756">
        <v>2038</v>
      </c>
      <c r="AE46" s="756">
        <v>2039</v>
      </c>
      <c r="AF46" s="756">
        <v>2040</v>
      </c>
      <c r="AG46" s="756">
        <v>2041</v>
      </c>
      <c r="AH46" s="756">
        <v>2042</v>
      </c>
      <c r="AI46" s="756">
        <v>2043</v>
      </c>
      <c r="AJ46" s="756">
        <v>2044</v>
      </c>
      <c r="AK46" s="756">
        <v>2045</v>
      </c>
      <c r="AL46" s="756">
        <v>2046</v>
      </c>
      <c r="AM46" s="756">
        <v>2047</v>
      </c>
      <c r="AN46" s="756">
        <v>2048</v>
      </c>
      <c r="AO46" s="756">
        <v>2049</v>
      </c>
      <c r="AP46" s="760">
        <v>2050</v>
      </c>
    </row>
    <row r="47" spans="1:42">
      <c r="A47" s="751" t="s">
        <v>18</v>
      </c>
      <c r="B47" s="761">
        <v>1919438353</v>
      </c>
      <c r="C47" s="761">
        <v>1770757195</v>
      </c>
      <c r="D47" s="761">
        <v>1624514247</v>
      </c>
      <c r="E47" s="761">
        <v>1517484617</v>
      </c>
      <c r="F47" s="762">
        <v>1437055035</v>
      </c>
      <c r="G47" s="762">
        <v>1362450472</v>
      </c>
      <c r="H47" s="762">
        <v>1272730975</v>
      </c>
      <c r="I47" s="762">
        <v>1146348261</v>
      </c>
      <c r="J47" s="762">
        <v>1041376950</v>
      </c>
      <c r="K47" s="762">
        <v>989982198</v>
      </c>
      <c r="L47" s="763" t="s">
        <v>17</v>
      </c>
      <c r="M47" s="763" t="s">
        <v>17</v>
      </c>
      <c r="N47" s="763" t="s">
        <v>17</v>
      </c>
      <c r="O47" s="763" t="s">
        <v>17</v>
      </c>
      <c r="P47" s="763" t="s">
        <v>17</v>
      </c>
      <c r="Q47" s="763" t="s">
        <v>17</v>
      </c>
      <c r="R47" s="763" t="s">
        <v>17</v>
      </c>
      <c r="S47" s="763" t="s">
        <v>17</v>
      </c>
      <c r="T47" s="763" t="s">
        <v>17</v>
      </c>
      <c r="U47" s="763" t="s">
        <v>17</v>
      </c>
      <c r="V47" s="763" t="s">
        <v>17</v>
      </c>
      <c r="W47" s="763" t="s">
        <v>17</v>
      </c>
      <c r="X47" s="763" t="s">
        <v>17</v>
      </c>
      <c r="Y47" s="763" t="s">
        <v>17</v>
      </c>
      <c r="Z47" s="763" t="s">
        <v>17</v>
      </c>
      <c r="AA47" s="763" t="s">
        <v>17</v>
      </c>
      <c r="AB47" s="763" t="s">
        <v>17</v>
      </c>
      <c r="AC47" s="763" t="s">
        <v>17</v>
      </c>
      <c r="AD47" s="763" t="s">
        <v>17</v>
      </c>
      <c r="AE47" s="763" t="s">
        <v>17</v>
      </c>
      <c r="AF47" s="763" t="s">
        <v>17</v>
      </c>
      <c r="AG47" s="763" t="s">
        <v>17</v>
      </c>
      <c r="AH47" s="763" t="s">
        <v>17</v>
      </c>
      <c r="AI47" s="763" t="s">
        <v>17</v>
      </c>
      <c r="AJ47" s="763" t="s">
        <v>17</v>
      </c>
      <c r="AK47" s="763" t="s">
        <v>17</v>
      </c>
      <c r="AL47" s="763" t="s">
        <v>17</v>
      </c>
      <c r="AM47" s="763" t="s">
        <v>17</v>
      </c>
      <c r="AN47" s="763" t="s">
        <v>17</v>
      </c>
      <c r="AO47" s="763" t="s">
        <v>17</v>
      </c>
      <c r="AP47" s="752" t="s">
        <v>17</v>
      </c>
    </row>
    <row r="48" spans="1:42">
      <c r="A48" s="751" t="s">
        <v>1075</v>
      </c>
      <c r="B48" s="761">
        <v>32285257</v>
      </c>
      <c r="C48" s="761">
        <v>57428620</v>
      </c>
      <c r="D48" s="761">
        <v>55648948</v>
      </c>
      <c r="E48" s="761">
        <v>56388985</v>
      </c>
      <c r="F48" s="762">
        <v>52569970</v>
      </c>
      <c r="G48" s="762">
        <v>58834520</v>
      </c>
      <c r="H48" s="762">
        <v>63084385</v>
      </c>
      <c r="I48" s="762">
        <v>58476031</v>
      </c>
      <c r="J48" s="762">
        <v>53868503</v>
      </c>
      <c r="K48" s="762">
        <v>51730645</v>
      </c>
      <c r="L48" s="763"/>
      <c r="M48" s="763"/>
      <c r="N48" s="763"/>
      <c r="O48" s="763"/>
      <c r="P48" s="763"/>
      <c r="Q48" s="763"/>
      <c r="R48" s="763"/>
      <c r="S48" s="763"/>
      <c r="T48" s="763"/>
      <c r="U48" s="763"/>
      <c r="V48" s="763"/>
      <c r="W48" s="763"/>
      <c r="X48" s="763"/>
      <c r="Y48" s="763"/>
      <c r="Z48" s="763"/>
      <c r="AA48" s="763"/>
      <c r="AB48" s="763"/>
      <c r="AC48" s="763"/>
      <c r="AD48" s="763"/>
      <c r="AE48" s="763"/>
      <c r="AF48" s="763"/>
      <c r="AG48" s="763"/>
      <c r="AH48" s="763"/>
      <c r="AI48" s="763"/>
      <c r="AJ48" s="763"/>
      <c r="AK48" s="763"/>
      <c r="AL48" s="763"/>
      <c r="AM48" s="763"/>
      <c r="AN48" s="763"/>
      <c r="AO48" s="763"/>
      <c r="AP48" s="752"/>
    </row>
    <row r="49" spans="1:42">
      <c r="A49" s="751" t="s">
        <v>19</v>
      </c>
      <c r="B49" s="761">
        <v>2487370477</v>
      </c>
      <c r="C49" s="761">
        <v>2454495889</v>
      </c>
      <c r="D49" s="761">
        <v>2441127259</v>
      </c>
      <c r="E49" s="761">
        <v>2548493422</v>
      </c>
      <c r="F49" s="762">
        <v>2706015956</v>
      </c>
      <c r="G49" s="762">
        <v>2952899074</v>
      </c>
      <c r="H49" s="762">
        <v>3187676279</v>
      </c>
      <c r="I49" s="762">
        <v>3242587996</v>
      </c>
      <c r="J49" s="762">
        <v>3392228806</v>
      </c>
      <c r="K49" s="762">
        <v>3419565001</v>
      </c>
      <c r="L49" s="763" t="s">
        <v>17</v>
      </c>
      <c r="M49" s="763" t="s">
        <v>17</v>
      </c>
      <c r="N49" s="763" t="s">
        <v>17</v>
      </c>
      <c r="O49" s="763" t="s">
        <v>17</v>
      </c>
      <c r="P49" s="763" t="s">
        <v>17</v>
      </c>
      <c r="Q49" s="763" t="s">
        <v>17</v>
      </c>
      <c r="R49" s="763" t="s">
        <v>17</v>
      </c>
      <c r="S49" s="763" t="s">
        <v>17</v>
      </c>
      <c r="T49" s="763" t="s">
        <v>17</v>
      </c>
      <c r="U49" s="763" t="s">
        <v>17</v>
      </c>
      <c r="V49" s="763" t="s">
        <v>17</v>
      </c>
      <c r="W49" s="763" t="s">
        <v>17</v>
      </c>
      <c r="X49" s="763" t="s">
        <v>17</v>
      </c>
      <c r="Y49" s="763" t="s">
        <v>17</v>
      </c>
      <c r="Z49" s="763" t="s">
        <v>17</v>
      </c>
      <c r="AA49" s="763" t="s">
        <v>17</v>
      </c>
      <c r="AB49" s="763" t="s">
        <v>17</v>
      </c>
      <c r="AC49" s="763" t="s">
        <v>17</v>
      </c>
      <c r="AD49" s="763" t="s">
        <v>17</v>
      </c>
      <c r="AE49" s="763" t="s">
        <v>17</v>
      </c>
      <c r="AF49" s="763" t="s">
        <v>17</v>
      </c>
      <c r="AG49" s="763" t="s">
        <v>17</v>
      </c>
      <c r="AH49" s="763" t="s">
        <v>17</v>
      </c>
      <c r="AI49" s="763" t="s">
        <v>17</v>
      </c>
      <c r="AJ49" s="763" t="s">
        <v>17</v>
      </c>
      <c r="AK49" s="763" t="s">
        <v>17</v>
      </c>
      <c r="AL49" s="763" t="s">
        <v>17</v>
      </c>
      <c r="AM49" s="763" t="s">
        <v>17</v>
      </c>
      <c r="AN49" s="763" t="s">
        <v>17</v>
      </c>
      <c r="AO49" s="763" t="s">
        <v>17</v>
      </c>
      <c r="AP49" s="752" t="s">
        <v>17</v>
      </c>
    </row>
    <row r="50" spans="1:42">
      <c r="A50" s="751" t="s">
        <v>1076</v>
      </c>
      <c r="B50" s="761">
        <v>64523884</v>
      </c>
      <c r="C50" s="761">
        <v>86912448</v>
      </c>
      <c r="D50" s="761">
        <v>70292126</v>
      </c>
      <c r="E50" s="761">
        <v>93969733</v>
      </c>
      <c r="F50" s="762">
        <v>114350795</v>
      </c>
      <c r="G50" s="762">
        <v>124868316</v>
      </c>
      <c r="H50" s="762">
        <v>109734839</v>
      </c>
      <c r="I50" s="762">
        <v>167296383</v>
      </c>
      <c r="J50" s="762">
        <v>162101602</v>
      </c>
      <c r="K50" s="762">
        <v>206694716</v>
      </c>
      <c r="L50" s="763" t="s">
        <v>17</v>
      </c>
      <c r="M50" s="763" t="s">
        <v>17</v>
      </c>
      <c r="N50" s="763" t="s">
        <v>17</v>
      </c>
      <c r="O50" s="763" t="s">
        <v>17</v>
      </c>
      <c r="P50" s="763" t="s">
        <v>17</v>
      </c>
      <c r="Q50" s="763" t="s">
        <v>17</v>
      </c>
      <c r="R50" s="763" t="s">
        <v>17</v>
      </c>
      <c r="S50" s="763" t="s">
        <v>17</v>
      </c>
      <c r="T50" s="763" t="s">
        <v>17</v>
      </c>
      <c r="U50" s="763" t="s">
        <v>17</v>
      </c>
      <c r="V50" s="763" t="s">
        <v>17</v>
      </c>
      <c r="W50" s="763" t="s">
        <v>17</v>
      </c>
      <c r="X50" s="763" t="s">
        <v>17</v>
      </c>
      <c r="Y50" s="763" t="s">
        <v>17</v>
      </c>
      <c r="Z50" s="763" t="s">
        <v>17</v>
      </c>
      <c r="AA50" s="763" t="s">
        <v>17</v>
      </c>
      <c r="AB50" s="763" t="s">
        <v>17</v>
      </c>
      <c r="AC50" s="763" t="s">
        <v>17</v>
      </c>
      <c r="AD50" s="763" t="s">
        <v>17</v>
      </c>
      <c r="AE50" s="763" t="s">
        <v>17</v>
      </c>
      <c r="AF50" s="763" t="s">
        <v>17</v>
      </c>
      <c r="AG50" s="763" t="s">
        <v>17</v>
      </c>
      <c r="AH50" s="763" t="s">
        <v>17</v>
      </c>
      <c r="AI50" s="763" t="s">
        <v>17</v>
      </c>
      <c r="AJ50" s="763" t="s">
        <v>17</v>
      </c>
      <c r="AK50" s="763" t="s">
        <v>17</v>
      </c>
      <c r="AL50" s="763" t="s">
        <v>17</v>
      </c>
      <c r="AM50" s="763" t="s">
        <v>17</v>
      </c>
      <c r="AN50" s="763" t="s">
        <v>17</v>
      </c>
      <c r="AO50" s="763" t="s">
        <v>17</v>
      </c>
      <c r="AP50" s="752" t="s">
        <v>17</v>
      </c>
    </row>
    <row r="51" spans="1:42">
      <c r="A51" s="751" t="s">
        <v>1077</v>
      </c>
      <c r="B51" s="34">
        <f>(B48*$B$31)/((B47*$B$30)+(B48*$B$31))</f>
        <v>1.5145516204215181E-2</v>
      </c>
      <c r="C51" s="34">
        <f>(C48*$B$31)/((C47*$B$30)+(C48*$B$31))</f>
        <v>2.8797905972103247E-2</v>
      </c>
      <c r="D51" s="34">
        <f t="shared" ref="D51:J51" si="13">(D48*$B$31)/((D47*$B$30)+(D48*$B$31))</f>
        <v>3.0368414760730378E-2</v>
      </c>
      <c r="E51" s="34">
        <f t="shared" si="13"/>
        <v>3.2858075556639568E-2</v>
      </c>
      <c r="F51" s="34">
        <f t="shared" si="13"/>
        <v>3.2363717874721816E-2</v>
      </c>
      <c r="G51" s="34">
        <f t="shared" si="13"/>
        <v>3.7981898491944534E-2</v>
      </c>
      <c r="H51" s="34">
        <f t="shared" si="13"/>
        <v>4.3352976300632597E-2</v>
      </c>
      <c r="I51" s="34">
        <f t="shared" si="13"/>
        <v>4.4560145308969144E-2</v>
      </c>
      <c r="J51" s="34">
        <f t="shared" si="13"/>
        <v>4.5158565381788147E-2</v>
      </c>
      <c r="K51" s="34">
        <f>(K48*$B$31)/((K47*$B$30)+(K48*$B$31))</f>
        <v>4.5596796420089687E-2</v>
      </c>
      <c r="L51" s="757">
        <v>0.05</v>
      </c>
      <c r="M51" s="34">
        <f>L51+(($V$51-$L$51)/10)</f>
        <v>5.5E-2</v>
      </c>
      <c r="N51" s="34">
        <f t="shared" ref="N51:U51" si="14">M51+(($V$51-$L$51)/10)</f>
        <v>0.06</v>
      </c>
      <c r="O51" s="34">
        <f t="shared" si="14"/>
        <v>6.5000000000000002E-2</v>
      </c>
      <c r="P51" s="34">
        <f t="shared" si="14"/>
        <v>7.0000000000000007E-2</v>
      </c>
      <c r="Q51" s="34">
        <f t="shared" si="14"/>
        <v>7.5000000000000011E-2</v>
      </c>
      <c r="R51" s="34">
        <f t="shared" si="14"/>
        <v>8.0000000000000016E-2</v>
      </c>
      <c r="S51" s="34">
        <f t="shared" si="14"/>
        <v>8.500000000000002E-2</v>
      </c>
      <c r="T51" s="34">
        <f t="shared" si="14"/>
        <v>9.0000000000000024E-2</v>
      </c>
      <c r="U51" s="34">
        <f t="shared" si="14"/>
        <v>9.5000000000000029E-2</v>
      </c>
      <c r="V51" s="404">
        <v>0.1</v>
      </c>
      <c r="W51" s="34">
        <f>V51</f>
        <v>0.1</v>
      </c>
      <c r="X51" s="34">
        <f t="shared" ref="X51:AI51" si="15">W51</f>
        <v>0.1</v>
      </c>
      <c r="Y51" s="34">
        <f t="shared" si="15"/>
        <v>0.1</v>
      </c>
      <c r="Z51" s="34">
        <f t="shared" si="15"/>
        <v>0.1</v>
      </c>
      <c r="AA51" s="34">
        <f t="shared" si="15"/>
        <v>0.1</v>
      </c>
      <c r="AB51" s="34">
        <f t="shared" si="15"/>
        <v>0.1</v>
      </c>
      <c r="AC51" s="34">
        <f t="shared" si="15"/>
        <v>0.1</v>
      </c>
      <c r="AD51" s="34">
        <f t="shared" si="15"/>
        <v>0.1</v>
      </c>
      <c r="AE51" s="34">
        <f t="shared" si="15"/>
        <v>0.1</v>
      </c>
      <c r="AF51" s="34">
        <f t="shared" si="15"/>
        <v>0.1</v>
      </c>
      <c r="AG51" s="34">
        <f t="shared" si="15"/>
        <v>0.1</v>
      </c>
      <c r="AH51" s="34">
        <f t="shared" si="15"/>
        <v>0.1</v>
      </c>
      <c r="AI51" s="34">
        <f t="shared" si="15"/>
        <v>0.1</v>
      </c>
      <c r="AJ51" s="34">
        <f>AI51</f>
        <v>0.1</v>
      </c>
      <c r="AK51" s="34">
        <f t="shared" ref="AK51:AO51" si="16">AJ51</f>
        <v>0.1</v>
      </c>
      <c r="AL51" s="34">
        <f t="shared" si="16"/>
        <v>0.1</v>
      </c>
      <c r="AM51" s="34">
        <f t="shared" si="16"/>
        <v>0.1</v>
      </c>
      <c r="AN51" s="34">
        <f t="shared" si="16"/>
        <v>0.1</v>
      </c>
      <c r="AO51" s="34">
        <f t="shared" si="16"/>
        <v>0.1</v>
      </c>
      <c r="AP51" s="758">
        <f>AO51</f>
        <v>0.1</v>
      </c>
    </row>
    <row r="52" spans="1:42" ht="15" thickBot="1">
      <c r="A52" s="753" t="s">
        <v>1078</v>
      </c>
      <c r="B52" s="754">
        <f>(B50*$B$33)/((B49*$B$32)+(B50*$B$33))</f>
        <v>2.2613031440494664E-2</v>
      </c>
      <c r="C52" s="754">
        <f>(C50*$B$33)/((C49*$B$32)+(C50*$B$33))</f>
        <v>3.0614584580015675E-2</v>
      </c>
      <c r="D52" s="754">
        <f t="shared" ref="D52:K52" si="17">(D50*$B$33)/((D49*$B$32)+(D50*$B$33))</f>
        <v>2.5038929047601442E-2</v>
      </c>
      <c r="E52" s="754">
        <f t="shared" si="17"/>
        <v>3.1839344737629331E-2</v>
      </c>
      <c r="F52" s="754">
        <f t="shared" si="17"/>
        <v>3.6320649339008006E-2</v>
      </c>
      <c r="G52" s="754">
        <f t="shared" si="17"/>
        <v>3.6344417166647852E-2</v>
      </c>
      <c r="H52" s="754">
        <f t="shared" si="17"/>
        <v>2.9788521237398415E-2</v>
      </c>
      <c r="I52" s="754">
        <f t="shared" si="17"/>
        <v>4.3991498039437318E-2</v>
      </c>
      <c r="J52" s="754">
        <f t="shared" si="17"/>
        <v>4.087787346707978E-2</v>
      </c>
      <c r="K52" s="754">
        <f t="shared" si="17"/>
        <v>5.1152531327863002E-2</v>
      </c>
      <c r="L52" s="754">
        <f>K52</f>
        <v>5.1152531327863002E-2</v>
      </c>
      <c r="M52" s="754">
        <f>L52+(($V$52-$L$52)/10)</f>
        <v>5.6037278195076701E-2</v>
      </c>
      <c r="N52" s="754">
        <f t="shared" ref="N52:U52" si="18">M52+(($V$52-$L$52)/10)</f>
        <v>6.09220250622904E-2</v>
      </c>
      <c r="O52" s="754">
        <f t="shared" si="18"/>
        <v>6.5806771929504099E-2</v>
      </c>
      <c r="P52" s="754">
        <f t="shared" si="18"/>
        <v>7.0691518796717798E-2</v>
      </c>
      <c r="Q52" s="754">
        <f t="shared" si="18"/>
        <v>7.5576265663931497E-2</v>
      </c>
      <c r="R52" s="754">
        <f t="shared" si="18"/>
        <v>8.0461012531145196E-2</v>
      </c>
      <c r="S52" s="754">
        <f t="shared" si="18"/>
        <v>8.5345759398358895E-2</v>
      </c>
      <c r="T52" s="754">
        <f t="shared" si="18"/>
        <v>9.0230506265572594E-2</v>
      </c>
      <c r="U52" s="754">
        <f t="shared" si="18"/>
        <v>9.5115253132786293E-2</v>
      </c>
      <c r="V52" s="764">
        <v>0.1</v>
      </c>
      <c r="W52" s="754">
        <f t="shared" ref="W52:AP52" si="19">V52</f>
        <v>0.1</v>
      </c>
      <c r="X52" s="754">
        <f t="shared" si="19"/>
        <v>0.1</v>
      </c>
      <c r="Y52" s="754">
        <f t="shared" si="19"/>
        <v>0.1</v>
      </c>
      <c r="Z52" s="754">
        <f t="shared" si="19"/>
        <v>0.1</v>
      </c>
      <c r="AA52" s="754">
        <f t="shared" si="19"/>
        <v>0.1</v>
      </c>
      <c r="AB52" s="754">
        <f t="shared" si="19"/>
        <v>0.1</v>
      </c>
      <c r="AC52" s="754">
        <f t="shared" si="19"/>
        <v>0.1</v>
      </c>
      <c r="AD52" s="754">
        <f t="shared" si="19"/>
        <v>0.1</v>
      </c>
      <c r="AE52" s="754">
        <f t="shared" si="19"/>
        <v>0.1</v>
      </c>
      <c r="AF52" s="754">
        <f t="shared" si="19"/>
        <v>0.1</v>
      </c>
      <c r="AG52" s="754">
        <f t="shared" si="19"/>
        <v>0.1</v>
      </c>
      <c r="AH52" s="754">
        <f t="shared" si="19"/>
        <v>0.1</v>
      </c>
      <c r="AI52" s="754">
        <f t="shared" si="19"/>
        <v>0.1</v>
      </c>
      <c r="AJ52" s="754">
        <f t="shared" si="19"/>
        <v>0.1</v>
      </c>
      <c r="AK52" s="754">
        <f t="shared" si="19"/>
        <v>0.1</v>
      </c>
      <c r="AL52" s="754">
        <f t="shared" si="19"/>
        <v>0.1</v>
      </c>
      <c r="AM52" s="754">
        <f t="shared" si="19"/>
        <v>0.1</v>
      </c>
      <c r="AN52" s="754">
        <f t="shared" si="19"/>
        <v>0.1</v>
      </c>
      <c r="AO52" s="754">
        <f t="shared" si="19"/>
        <v>0.1</v>
      </c>
      <c r="AP52" s="759">
        <f t="shared" si="19"/>
        <v>0.1</v>
      </c>
    </row>
    <row r="53" spans="1:42">
      <c r="A53" s="747" t="s">
        <v>493</v>
      </c>
    </row>
    <row r="54" spans="1:42">
      <c r="K54" s="357"/>
    </row>
  </sheetData>
  <phoneticPr fontId="37"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A1:AW298"/>
  <sheetViews>
    <sheetView topLeftCell="S126" zoomScale="85" zoomScaleNormal="85" workbookViewId="0">
      <selection activeCell="AH134" sqref="AH134:AK140"/>
    </sheetView>
  </sheetViews>
  <sheetFormatPr defaultRowHeight="14.4"/>
  <cols>
    <col min="1" max="1" width="24.5546875" customWidth="1"/>
    <col min="2" max="2" width="22.44140625" bestFit="1" customWidth="1"/>
    <col min="3" max="3" width="55.88671875" customWidth="1"/>
    <col min="4" max="4" width="32" customWidth="1"/>
    <col min="5" max="5" width="12.88671875" customWidth="1"/>
    <col min="6" max="6" width="10.6640625" customWidth="1"/>
    <col min="7" max="29" width="9.33203125" customWidth="1"/>
    <col min="32" max="32" width="8.6640625" customWidth="1"/>
    <col min="33" max="33" width="18.88671875" bestFit="1" customWidth="1"/>
    <col min="34" max="34" width="9.44140625" bestFit="1" customWidth="1"/>
    <col min="35" max="35" width="10.6640625" bestFit="1" customWidth="1"/>
    <col min="36" max="36" width="12" bestFit="1" customWidth="1"/>
    <col min="37" max="37" width="24.6640625" bestFit="1" customWidth="1"/>
  </cols>
  <sheetData>
    <row r="1" spans="1:31">
      <c r="A1" s="1"/>
      <c r="B1" s="1"/>
      <c r="C1" s="37"/>
      <c r="D1" s="37"/>
      <c r="E1" s="37"/>
      <c r="F1" s="37"/>
      <c r="G1" s="37"/>
      <c r="H1" s="37"/>
      <c r="I1" s="37"/>
      <c r="J1" s="37"/>
      <c r="K1" s="37"/>
      <c r="L1" s="37"/>
      <c r="M1" s="37"/>
      <c r="N1" s="37"/>
      <c r="O1" s="37"/>
      <c r="P1" s="37"/>
      <c r="Q1" s="37"/>
      <c r="R1" s="37"/>
      <c r="S1" s="37"/>
      <c r="T1" s="37"/>
      <c r="U1" s="37"/>
      <c r="V1" s="37"/>
      <c r="W1" s="37"/>
      <c r="X1" s="37"/>
      <c r="Y1" s="37"/>
      <c r="Z1" s="37"/>
      <c r="AA1" s="37"/>
      <c r="AB1" s="37"/>
      <c r="AC1" s="37"/>
      <c r="AD1" s="448"/>
      <c r="AE1" s="448"/>
    </row>
    <row r="2" spans="1:31">
      <c r="A2" s="25" t="s">
        <v>60</v>
      </c>
      <c r="B2" s="630"/>
      <c r="C2" s="630"/>
      <c r="D2" s="630"/>
      <c r="E2" s="630"/>
      <c r="F2" s="630"/>
      <c r="G2" s="630"/>
      <c r="H2" s="630"/>
      <c r="I2" s="37"/>
      <c r="J2" s="37"/>
      <c r="K2" s="37"/>
      <c r="L2" s="37"/>
      <c r="M2" s="37"/>
      <c r="N2" s="37"/>
      <c r="O2" s="37"/>
      <c r="P2" s="37"/>
      <c r="Q2" s="37"/>
      <c r="R2" s="37"/>
      <c r="S2" s="37"/>
      <c r="T2" s="37"/>
      <c r="U2" s="37"/>
      <c r="V2" s="37"/>
      <c r="W2" s="37"/>
      <c r="X2" s="37"/>
      <c r="Y2" s="37"/>
      <c r="Z2" s="37"/>
      <c r="AA2" s="37"/>
      <c r="AB2" s="37"/>
      <c r="AC2" s="37"/>
      <c r="AD2" s="448"/>
      <c r="AE2" s="448"/>
    </row>
    <row r="3" spans="1:31">
      <c r="A3" s="631" t="s">
        <v>69</v>
      </c>
      <c r="B3" s="632" t="s">
        <v>70</v>
      </c>
      <c r="C3" s="632" t="s">
        <v>71</v>
      </c>
      <c r="D3" s="632" t="s">
        <v>72</v>
      </c>
      <c r="E3" s="632" t="s">
        <v>73</v>
      </c>
      <c r="F3" s="632" t="s">
        <v>74</v>
      </c>
      <c r="G3" s="632" t="s">
        <v>75</v>
      </c>
      <c r="H3" s="632" t="s">
        <v>0</v>
      </c>
      <c r="I3" s="37"/>
      <c r="J3" s="37"/>
      <c r="K3" s="37"/>
      <c r="L3" s="37"/>
      <c r="M3" s="37"/>
      <c r="N3" s="37"/>
      <c r="O3" s="37"/>
      <c r="P3" s="37"/>
      <c r="Q3" s="37"/>
      <c r="R3" s="37"/>
      <c r="S3" s="37"/>
      <c r="T3" s="37"/>
      <c r="U3" s="37"/>
      <c r="V3" s="37"/>
      <c r="W3" s="37"/>
      <c r="X3" s="37"/>
      <c r="Y3" s="37"/>
      <c r="Z3" s="37"/>
      <c r="AA3" s="37"/>
      <c r="AB3" s="37"/>
      <c r="AC3" s="37"/>
      <c r="AD3" s="448"/>
      <c r="AE3" s="448"/>
    </row>
    <row r="4" spans="1:31" s="459" customFormat="1">
      <c r="A4" s="633" t="s">
        <v>713</v>
      </c>
      <c r="B4" s="634"/>
      <c r="C4" s="634"/>
      <c r="D4" s="634"/>
      <c r="E4" s="634"/>
      <c r="F4" s="634"/>
      <c r="G4" s="634"/>
      <c r="H4" s="634"/>
      <c r="I4" s="37"/>
      <c r="J4" s="37"/>
      <c r="K4" s="37"/>
      <c r="L4" s="37"/>
      <c r="M4" s="37"/>
      <c r="N4" s="37"/>
      <c r="O4" s="37"/>
      <c r="P4" s="37"/>
      <c r="Q4" s="37"/>
      <c r="R4" s="37"/>
      <c r="S4" s="37"/>
      <c r="T4" s="37"/>
      <c r="U4" s="37"/>
      <c r="V4" s="37"/>
      <c r="W4" s="37"/>
      <c r="X4" s="37"/>
      <c r="Y4" s="37"/>
      <c r="Z4" s="37"/>
      <c r="AA4" s="37"/>
      <c r="AB4" s="37"/>
      <c r="AC4" s="37"/>
    </row>
    <row r="5" spans="1:31" s="459" customFormat="1">
      <c r="A5" s="635" t="s">
        <v>712</v>
      </c>
      <c r="B5" s="635"/>
      <c r="C5" s="635"/>
      <c r="D5" s="635"/>
      <c r="E5" s="635"/>
      <c r="F5" s="635"/>
      <c r="G5" s="635"/>
      <c r="H5" s="635"/>
      <c r="I5" s="37"/>
      <c r="J5" s="37"/>
      <c r="K5" s="37"/>
      <c r="L5" s="37"/>
      <c r="M5" s="37"/>
      <c r="N5" s="37"/>
      <c r="O5" s="37"/>
      <c r="P5" s="37"/>
      <c r="Q5" s="37"/>
      <c r="R5" s="37"/>
      <c r="S5" s="37"/>
      <c r="T5" s="37"/>
      <c r="U5" s="37"/>
      <c r="V5" s="37"/>
      <c r="W5" s="37"/>
      <c r="X5" s="37"/>
      <c r="Y5" s="37"/>
      <c r="Z5" s="37"/>
      <c r="AA5" s="37"/>
      <c r="AB5" s="37"/>
      <c r="AC5" s="37"/>
    </row>
    <row r="6" spans="1:31" s="459" customFormat="1">
      <c r="A6" s="636" t="s">
        <v>915</v>
      </c>
      <c r="B6" s="630" t="str">
        <f>Commodities!K8</f>
        <v>TWLK_WLK</v>
      </c>
      <c r="C6" s="630" t="str">
        <f>Commodities!L8</f>
        <v>Walking</v>
      </c>
      <c r="D6" s="636" t="s">
        <v>937</v>
      </c>
      <c r="E6" s="636" t="s">
        <v>938</v>
      </c>
      <c r="F6" s="630"/>
      <c r="G6" s="636" t="s">
        <v>916</v>
      </c>
      <c r="H6" s="630"/>
      <c r="I6" s="37"/>
      <c r="J6" s="37"/>
      <c r="K6" s="37"/>
      <c r="L6" s="37"/>
      <c r="M6" s="37"/>
      <c r="N6" s="37"/>
      <c r="O6" s="37"/>
      <c r="P6" s="37"/>
      <c r="Q6" s="37"/>
      <c r="R6" s="37"/>
      <c r="S6" s="37"/>
      <c r="T6" s="37"/>
      <c r="U6" s="37"/>
      <c r="V6" s="37"/>
      <c r="W6" s="37"/>
      <c r="X6" s="37"/>
      <c r="Y6" s="37"/>
      <c r="Z6" s="37"/>
      <c r="AA6" s="37"/>
      <c r="AB6" s="37"/>
      <c r="AC6" s="37"/>
    </row>
    <row r="7" spans="1:31" s="459" customFormat="1">
      <c r="A7" s="630"/>
      <c r="B7" s="630" t="str">
        <f>Commodities!K9</f>
        <v>TCYC_CYC</v>
      </c>
      <c r="C7" s="630" t="str">
        <f>Commodities!L9</f>
        <v>Cycling</v>
      </c>
      <c r="D7" s="636" t="s">
        <v>937</v>
      </c>
      <c r="E7" s="636" t="s">
        <v>938</v>
      </c>
      <c r="F7" s="630"/>
      <c r="G7" s="636" t="s">
        <v>916</v>
      </c>
      <c r="H7" s="630"/>
      <c r="I7" s="127"/>
      <c r="J7" s="37"/>
      <c r="K7" s="37"/>
      <c r="L7" s="37"/>
      <c r="M7" s="37"/>
      <c r="N7" s="37"/>
      <c r="O7" s="37"/>
      <c r="P7" s="37"/>
      <c r="Q7" s="37"/>
      <c r="R7" s="37"/>
      <c r="S7" s="37"/>
      <c r="T7" s="37"/>
      <c r="U7" s="37"/>
      <c r="V7" s="37"/>
      <c r="W7" s="37"/>
      <c r="X7" s="37"/>
      <c r="Y7" s="37"/>
      <c r="Z7" s="37"/>
      <c r="AA7" s="37"/>
      <c r="AB7" s="37"/>
      <c r="AC7" s="37"/>
    </row>
    <row r="8" spans="1:31">
      <c r="A8" s="635" t="s">
        <v>567</v>
      </c>
      <c r="B8" s="635"/>
      <c r="C8" s="635"/>
      <c r="D8" s="635"/>
      <c r="E8" s="635"/>
      <c r="F8" s="635"/>
      <c r="G8" s="635"/>
      <c r="H8" s="635"/>
      <c r="I8" s="127"/>
      <c r="J8" s="37"/>
      <c r="K8" s="37"/>
      <c r="L8" s="37"/>
      <c r="M8" s="37"/>
      <c r="N8" s="37"/>
      <c r="O8" s="37"/>
      <c r="P8" s="37"/>
      <c r="Q8" s="37"/>
      <c r="R8" s="37"/>
      <c r="S8" s="37"/>
      <c r="T8" s="37"/>
      <c r="U8" s="37"/>
      <c r="V8" s="37"/>
      <c r="W8" s="37"/>
      <c r="X8" s="37"/>
      <c r="Y8" s="37"/>
      <c r="Z8" s="37"/>
      <c r="AA8" s="37"/>
      <c r="AB8" s="37"/>
      <c r="AC8" s="37"/>
      <c r="AD8" s="448"/>
      <c r="AE8" s="448"/>
    </row>
    <row r="9" spans="1:31">
      <c r="A9" s="26"/>
      <c r="B9" s="630" t="str">
        <f>Commodities!K11</f>
        <v>TMOT_GSL_00</v>
      </c>
      <c r="C9" s="630" t="str">
        <f>Commodities!L11</f>
        <v>Existing Motorcycle - Gasoline Engine</v>
      </c>
      <c r="D9" s="636" t="s">
        <v>937</v>
      </c>
      <c r="E9" s="636" t="s">
        <v>938</v>
      </c>
      <c r="F9" s="630"/>
      <c r="G9" s="636" t="s">
        <v>916</v>
      </c>
      <c r="H9" s="630"/>
      <c r="I9" s="37"/>
      <c r="J9" s="37"/>
      <c r="K9" s="37"/>
      <c r="L9" s="37"/>
      <c r="M9" s="37"/>
      <c r="N9" s="37"/>
      <c r="O9" s="37"/>
      <c r="P9" s="37"/>
      <c r="Q9" s="37"/>
      <c r="R9" s="37"/>
      <c r="S9" s="37"/>
      <c r="T9" s="37"/>
      <c r="U9" s="37"/>
      <c r="V9" s="37"/>
      <c r="W9" s="37"/>
      <c r="X9" s="37"/>
      <c r="Y9" s="37"/>
      <c r="Z9" s="37"/>
      <c r="AA9" s="37"/>
      <c r="AB9" s="37"/>
      <c r="AC9" s="37"/>
      <c r="AD9" s="448"/>
      <c r="AE9" s="448"/>
    </row>
    <row r="10" spans="1:31">
      <c r="A10" s="635" t="s">
        <v>568</v>
      </c>
      <c r="B10" s="635"/>
      <c r="C10" s="635"/>
      <c r="D10" s="637"/>
      <c r="E10" s="635"/>
      <c r="F10" s="635"/>
      <c r="G10" s="635"/>
      <c r="H10" s="635"/>
      <c r="I10" s="37"/>
      <c r="J10" s="37"/>
      <c r="K10" s="37"/>
      <c r="L10" s="37"/>
      <c r="M10" s="37"/>
      <c r="N10" s="37"/>
      <c r="O10" s="37"/>
      <c r="P10" s="37"/>
      <c r="Q10" s="37"/>
      <c r="R10" s="37"/>
      <c r="S10" s="37"/>
      <c r="T10" s="37"/>
      <c r="U10" s="37"/>
      <c r="V10" s="37"/>
      <c r="W10" s="37"/>
      <c r="X10" s="37"/>
      <c r="Y10" s="37"/>
      <c r="Z10" s="37"/>
      <c r="AA10" s="37"/>
      <c r="AB10" s="37"/>
      <c r="AC10" s="37"/>
      <c r="AD10" s="448"/>
      <c r="AE10" s="448"/>
    </row>
    <row r="11" spans="1:31">
      <c r="A11" s="630"/>
      <c r="B11" s="630" t="str">
        <f>Commodities!K13</f>
        <v>TCAR_ICE_GSL_00</v>
      </c>
      <c r="C11" s="630" t="str">
        <f>Commodities!L13</f>
        <v>Existing Private Car - Gasoline ICEs</v>
      </c>
      <c r="D11" s="636" t="s">
        <v>937</v>
      </c>
      <c r="E11" s="636" t="s">
        <v>938</v>
      </c>
      <c r="F11" s="630"/>
      <c r="G11" s="636" t="s">
        <v>916</v>
      </c>
      <c r="H11" s="630"/>
      <c r="I11" s="37"/>
      <c r="J11" s="37"/>
      <c r="K11" s="37"/>
      <c r="L11" s="37"/>
      <c r="M11" s="37"/>
      <c r="N11" s="37"/>
      <c r="O11" s="37"/>
      <c r="P11" s="37"/>
      <c r="Q11" s="37"/>
      <c r="R11" s="37"/>
      <c r="S11" s="37"/>
      <c r="T11" s="37"/>
      <c r="U11" s="37"/>
      <c r="V11" s="37"/>
      <c r="W11" s="37"/>
      <c r="X11" s="37"/>
      <c r="Y11" s="37"/>
      <c r="Z11" s="37"/>
      <c r="AA11" s="37"/>
      <c r="AB11" s="37"/>
      <c r="AC11" s="37"/>
      <c r="AD11" s="448"/>
      <c r="AE11" s="448"/>
    </row>
    <row r="12" spans="1:31">
      <c r="A12" s="630"/>
      <c r="B12" s="630" t="str">
        <f>Commodities!K14</f>
        <v>TCAR_ICE_DST_00</v>
      </c>
      <c r="C12" s="630" t="str">
        <f>Commodities!L14</f>
        <v>Existing Private Car - Diesel ICEs</v>
      </c>
      <c r="D12" s="636" t="s">
        <v>937</v>
      </c>
      <c r="E12" s="636" t="s">
        <v>938</v>
      </c>
      <c r="F12" s="630"/>
      <c r="G12" s="636" t="s">
        <v>916</v>
      </c>
      <c r="H12" s="630"/>
      <c r="I12" s="37"/>
      <c r="J12" s="37"/>
      <c r="K12" s="37"/>
      <c r="L12" s="37"/>
      <c r="M12" s="37"/>
      <c r="N12" s="37"/>
      <c r="O12" s="37"/>
      <c r="P12" s="37"/>
      <c r="Q12" s="37"/>
      <c r="R12" s="37"/>
      <c r="S12" s="37"/>
      <c r="T12" s="37"/>
      <c r="U12" s="37"/>
      <c r="V12" s="37"/>
      <c r="W12" s="37"/>
      <c r="X12" s="37"/>
      <c r="Y12" s="37"/>
      <c r="Z12" s="37"/>
      <c r="AA12" s="37"/>
      <c r="AB12" s="37"/>
      <c r="AC12" s="37"/>
      <c r="AD12" s="448"/>
      <c r="AE12" s="448"/>
    </row>
    <row r="13" spans="1:31">
      <c r="A13" s="630"/>
      <c r="B13" s="630" t="str">
        <f>Commodities!K15</f>
        <v>TCAR_ICE_DF_00</v>
      </c>
      <c r="C13" s="630" t="str">
        <f>Commodities!L15</f>
        <v>Existing Private Car - Dual fuel ICEs</v>
      </c>
      <c r="D13" s="636" t="s">
        <v>937</v>
      </c>
      <c r="E13" s="636" t="s">
        <v>938</v>
      </c>
      <c r="F13" s="630"/>
      <c r="G13" s="636" t="s">
        <v>916</v>
      </c>
      <c r="H13" s="630"/>
      <c r="I13" s="37"/>
      <c r="J13" s="37"/>
      <c r="K13" s="37"/>
      <c r="L13" s="37"/>
      <c r="M13" s="37"/>
      <c r="N13" s="37"/>
      <c r="O13" s="37"/>
      <c r="P13" s="37"/>
      <c r="Q13" s="37"/>
      <c r="R13" s="37"/>
      <c r="S13" s="37"/>
      <c r="T13" s="37"/>
      <c r="U13" s="37"/>
      <c r="V13" s="37"/>
      <c r="W13" s="37"/>
      <c r="X13" s="37"/>
      <c r="Y13" s="37"/>
      <c r="Z13" s="37"/>
      <c r="AA13" s="37"/>
      <c r="AB13" s="37"/>
      <c r="AC13" s="37"/>
      <c r="AD13" s="448"/>
      <c r="AE13" s="448"/>
    </row>
    <row r="14" spans="1:31">
      <c r="A14" s="630"/>
      <c r="B14" s="630" t="str">
        <f>Commodities!K16</f>
        <v>TCAR_ICE_E85_00</v>
      </c>
      <c r="C14" s="630" t="str">
        <f>Commodities!L16</f>
        <v>Existing Private Car - Flex fuel ICEs</v>
      </c>
      <c r="D14" s="636" t="s">
        <v>937</v>
      </c>
      <c r="E14" s="636" t="s">
        <v>938</v>
      </c>
      <c r="F14" s="630"/>
      <c r="G14" s="636" t="s">
        <v>916</v>
      </c>
      <c r="H14" s="630"/>
      <c r="I14" s="37"/>
      <c r="J14" s="37"/>
      <c r="K14" s="37"/>
      <c r="L14" s="37"/>
      <c r="M14" s="37"/>
      <c r="N14" s="37"/>
      <c r="O14" s="37"/>
      <c r="P14" s="37"/>
      <c r="Q14" s="37"/>
      <c r="R14" s="37"/>
      <c r="S14" s="37"/>
      <c r="T14" s="37"/>
      <c r="U14" s="37"/>
      <c r="V14" s="37"/>
      <c r="W14" s="37"/>
      <c r="X14" s="37"/>
      <c r="Y14" s="37"/>
      <c r="Z14" s="37"/>
      <c r="AA14" s="37"/>
      <c r="AB14" s="37"/>
      <c r="AC14" s="37"/>
      <c r="AD14" s="448"/>
      <c r="AE14" s="448"/>
    </row>
    <row r="15" spans="1:31">
      <c r="A15" s="630"/>
      <c r="B15" s="630" t="str">
        <f>Commodities!K17</f>
        <v>TCAR_HEV_GSL_00</v>
      </c>
      <c r="C15" s="630" t="str">
        <f>Commodities!L17</f>
        <v>Existing Private Car - Gasoline HEV</v>
      </c>
      <c r="D15" s="636" t="s">
        <v>937</v>
      </c>
      <c r="E15" s="636" t="s">
        <v>938</v>
      </c>
      <c r="F15" s="630"/>
      <c r="G15" s="636" t="s">
        <v>916</v>
      </c>
      <c r="H15" s="630"/>
      <c r="I15" s="37"/>
      <c r="J15" s="37"/>
      <c r="K15" s="37"/>
      <c r="L15" s="37"/>
      <c r="M15" s="37"/>
      <c r="N15" s="37"/>
      <c r="O15" s="37"/>
      <c r="P15" s="37"/>
      <c r="Q15" s="37"/>
      <c r="R15" s="37"/>
      <c r="S15" s="37"/>
      <c r="T15" s="37"/>
      <c r="U15" s="37"/>
      <c r="V15" s="37"/>
      <c r="W15" s="37"/>
      <c r="X15" s="37"/>
      <c r="Y15" s="37"/>
      <c r="Z15" s="37"/>
      <c r="AA15" s="37"/>
      <c r="AB15" s="37"/>
      <c r="AC15" s="37"/>
      <c r="AD15" s="448"/>
      <c r="AE15" s="448"/>
    </row>
    <row r="16" spans="1:31" s="459" customFormat="1">
      <c r="A16" s="630"/>
      <c r="B16" s="630" t="str">
        <f>Commodities!K18</f>
        <v>TCAR_HEV_DST_00</v>
      </c>
      <c r="C16" s="630" t="str">
        <f>Commodities!L18</f>
        <v>Existing Private Car - Diesel HEV</v>
      </c>
      <c r="D16" s="636" t="s">
        <v>937</v>
      </c>
      <c r="E16" s="636" t="s">
        <v>938</v>
      </c>
      <c r="F16" s="630"/>
      <c r="G16" s="636" t="s">
        <v>916</v>
      </c>
      <c r="H16" s="630"/>
      <c r="I16" s="37"/>
      <c r="J16" s="37"/>
      <c r="K16" s="37"/>
      <c r="L16" s="37"/>
      <c r="M16" s="37"/>
      <c r="N16" s="37"/>
      <c r="O16" s="37"/>
      <c r="P16" s="37"/>
      <c r="Q16" s="37"/>
      <c r="R16" s="37"/>
      <c r="S16" s="37"/>
      <c r="T16" s="37"/>
      <c r="U16" s="37"/>
      <c r="V16" s="37"/>
      <c r="W16" s="37"/>
      <c r="X16" s="37"/>
      <c r="Y16" s="37"/>
      <c r="Z16" s="37"/>
      <c r="AA16" s="37"/>
      <c r="AB16" s="37"/>
      <c r="AC16" s="37"/>
    </row>
    <row r="17" spans="1:31">
      <c r="A17" s="630"/>
      <c r="B17" s="630" t="str">
        <f>Commodities!K19</f>
        <v>TCAR_PHEV_GSL_00</v>
      </c>
      <c r="C17" s="630" t="str">
        <f>Commodities!L19</f>
        <v>Existing Private Car - Gasoline PHEV</v>
      </c>
      <c r="D17" s="636" t="s">
        <v>937</v>
      </c>
      <c r="E17" s="636" t="s">
        <v>938</v>
      </c>
      <c r="F17" s="630"/>
      <c r="G17" s="636" t="s">
        <v>916</v>
      </c>
      <c r="H17" s="630"/>
      <c r="I17" s="37"/>
      <c r="J17" s="37"/>
      <c r="K17" s="37"/>
      <c r="L17" s="37"/>
      <c r="M17" s="37"/>
      <c r="N17" s="37"/>
      <c r="O17" s="37"/>
      <c r="P17" s="37"/>
      <c r="Q17" s="37"/>
      <c r="R17" s="37"/>
      <c r="S17" s="37"/>
      <c r="T17" s="37"/>
      <c r="U17" s="37"/>
      <c r="V17" s="37"/>
      <c r="W17" s="37"/>
      <c r="X17" s="37"/>
      <c r="Y17" s="37"/>
      <c r="Z17" s="37"/>
      <c r="AA17" s="37"/>
      <c r="AB17" s="37"/>
      <c r="AC17" s="37"/>
      <c r="AD17" s="448"/>
      <c r="AE17" s="448"/>
    </row>
    <row r="18" spans="1:31">
      <c r="A18" s="630"/>
      <c r="B18" s="630" t="str">
        <f>Commodities!K20</f>
        <v>TCAR_PHEV_DST_00</v>
      </c>
      <c r="C18" s="630" t="str">
        <f>Commodities!L20</f>
        <v>Existing Private Car - Diesel  PHEV</v>
      </c>
      <c r="D18" s="636" t="s">
        <v>937</v>
      </c>
      <c r="E18" s="636" t="s">
        <v>938</v>
      </c>
      <c r="F18" s="630"/>
      <c r="G18" s="636" t="s">
        <v>916</v>
      </c>
      <c r="H18" s="630"/>
      <c r="I18" s="37"/>
      <c r="J18" s="37"/>
      <c r="K18" s="37"/>
      <c r="L18" s="37"/>
      <c r="M18" s="37"/>
      <c r="N18" s="37"/>
      <c r="O18" s="37"/>
      <c r="P18" s="37"/>
      <c r="Q18" s="37"/>
      <c r="R18" s="37"/>
      <c r="S18" s="37"/>
      <c r="T18" s="37"/>
      <c r="U18" s="37"/>
      <c r="V18" s="37"/>
      <c r="W18" s="37"/>
      <c r="X18" s="37"/>
      <c r="Y18" s="37"/>
      <c r="Z18" s="37"/>
      <c r="AA18" s="37"/>
      <c r="AB18" s="37"/>
      <c r="AC18" s="37"/>
      <c r="AD18" s="448"/>
      <c r="AE18" s="448"/>
    </row>
    <row r="19" spans="1:31">
      <c r="A19" s="630"/>
      <c r="B19" s="630" t="str">
        <f>Commodities!K21</f>
        <v>TCAR_BEV_00</v>
      </c>
      <c r="C19" s="630" t="str">
        <f>Commodities!L21</f>
        <v>Existing Private Car - BEV</v>
      </c>
      <c r="D19" s="636" t="s">
        <v>937</v>
      </c>
      <c r="E19" s="636" t="s">
        <v>938</v>
      </c>
      <c r="F19" s="630"/>
      <c r="G19" s="636" t="s">
        <v>916</v>
      </c>
      <c r="H19" s="630"/>
      <c r="I19" s="37"/>
      <c r="J19" s="37"/>
      <c r="K19" s="37"/>
      <c r="L19" s="37"/>
      <c r="M19" s="37"/>
      <c r="N19" s="37"/>
      <c r="O19" s="37"/>
      <c r="P19" s="37"/>
      <c r="Q19" s="37"/>
      <c r="R19" s="37"/>
      <c r="S19" s="37"/>
      <c r="T19" s="37"/>
      <c r="U19" s="37"/>
      <c r="V19" s="37"/>
      <c r="W19" s="37"/>
      <c r="X19" s="37"/>
      <c r="Y19" s="37"/>
      <c r="Z19" s="37"/>
      <c r="AA19" s="37"/>
      <c r="AB19" s="37"/>
      <c r="AC19" s="37"/>
      <c r="AD19" s="448"/>
      <c r="AE19" s="448"/>
    </row>
    <row r="20" spans="1:31">
      <c r="A20" s="635" t="s">
        <v>583</v>
      </c>
      <c r="B20" s="635"/>
      <c r="C20" s="635"/>
      <c r="D20" s="637"/>
      <c r="E20" s="635"/>
      <c r="F20" s="635"/>
      <c r="G20" s="635"/>
      <c r="H20" s="635"/>
      <c r="I20" s="37"/>
      <c r="J20" s="37"/>
      <c r="K20" s="37"/>
      <c r="L20" s="37"/>
      <c r="M20" s="37"/>
      <c r="N20" s="37"/>
      <c r="O20" s="37"/>
      <c r="P20" s="37"/>
      <c r="Q20" s="37"/>
      <c r="R20" s="37"/>
      <c r="S20" s="37"/>
      <c r="T20" s="37"/>
      <c r="U20" s="37"/>
      <c r="V20" s="37"/>
      <c r="W20" s="37"/>
      <c r="X20" s="37"/>
      <c r="Y20" s="37"/>
      <c r="Z20" s="37"/>
      <c r="AA20" s="37"/>
      <c r="AB20" s="37"/>
      <c r="AC20" s="37"/>
      <c r="AD20" s="448"/>
      <c r="AE20" s="448"/>
    </row>
    <row r="21" spans="1:31">
      <c r="A21" s="630"/>
      <c r="B21" s="630" t="str">
        <f>Commodities!K23</f>
        <v>TTAXI_ICE_GSL_00</v>
      </c>
      <c r="C21" s="630" t="str">
        <f>Commodities!L23</f>
        <v>Existing Small Public Service Vehicles (Taxis) - Gasoline ICEs</v>
      </c>
      <c r="D21" s="636" t="s">
        <v>937</v>
      </c>
      <c r="E21" s="636" t="s">
        <v>938</v>
      </c>
      <c r="F21" s="630"/>
      <c r="G21" s="636" t="s">
        <v>916</v>
      </c>
      <c r="H21" s="630"/>
      <c r="I21" s="37"/>
      <c r="J21" s="37"/>
      <c r="K21" s="37"/>
      <c r="L21" s="37"/>
      <c r="M21" s="37"/>
      <c r="N21" s="37"/>
      <c r="O21" s="37"/>
      <c r="P21" s="37"/>
      <c r="Q21" s="37"/>
      <c r="R21" s="37"/>
      <c r="S21" s="37"/>
      <c r="T21" s="37"/>
      <c r="U21" s="37"/>
      <c r="V21" s="37"/>
      <c r="W21" s="37"/>
      <c r="X21" s="37"/>
      <c r="Y21" s="37"/>
      <c r="Z21" s="37"/>
      <c r="AA21" s="37"/>
      <c r="AB21" s="37"/>
      <c r="AC21" s="37"/>
      <c r="AD21" s="448"/>
      <c r="AE21" s="448"/>
    </row>
    <row r="22" spans="1:31">
      <c r="A22" s="630"/>
      <c r="B22" s="630" t="str">
        <f>Commodities!K24</f>
        <v>TTAXI_ICE_DST_00</v>
      </c>
      <c r="C22" s="630" t="str">
        <f>Commodities!L24</f>
        <v>Existing Small Public Service Vehicles (Taxis) - Diesel ICEs</v>
      </c>
      <c r="D22" s="636" t="s">
        <v>937</v>
      </c>
      <c r="E22" s="636" t="s">
        <v>938</v>
      </c>
      <c r="F22" s="630"/>
      <c r="G22" s="636" t="s">
        <v>916</v>
      </c>
      <c r="H22" s="630"/>
      <c r="I22" s="37"/>
      <c r="J22" s="37"/>
      <c r="K22" s="37"/>
      <c r="L22" s="37"/>
      <c r="M22" s="37"/>
      <c r="N22" s="37"/>
      <c r="O22" s="37"/>
      <c r="P22" s="37"/>
      <c r="Q22" s="37"/>
      <c r="R22" s="37"/>
      <c r="S22" s="37"/>
      <c r="T22" s="37"/>
      <c r="U22" s="37"/>
      <c r="V22" s="37"/>
      <c r="W22" s="37"/>
      <c r="X22" s="37"/>
      <c r="Y22" s="37"/>
      <c r="Z22" s="37"/>
      <c r="AA22" s="37"/>
      <c r="AB22" s="37"/>
      <c r="AC22" s="37"/>
      <c r="AD22" s="448"/>
      <c r="AE22" s="448"/>
    </row>
    <row r="23" spans="1:31">
      <c r="A23" s="630"/>
      <c r="B23" s="630" t="str">
        <f>Commodities!K25</f>
        <v>TTAXI_HEV_GSL_00</v>
      </c>
      <c r="C23" s="630" t="str">
        <f>Commodities!L25</f>
        <v>Existing Small Public Service Vehicles (Taxis) - Gasoline HEVs</v>
      </c>
      <c r="D23" s="636" t="s">
        <v>937</v>
      </c>
      <c r="E23" s="636" t="s">
        <v>938</v>
      </c>
      <c r="F23" s="630"/>
      <c r="G23" s="636" t="s">
        <v>916</v>
      </c>
      <c r="H23" s="630"/>
      <c r="I23" s="37"/>
      <c r="J23" s="37"/>
      <c r="K23" s="37"/>
      <c r="L23" s="37"/>
      <c r="M23" s="37"/>
      <c r="N23" s="37"/>
      <c r="O23" s="37"/>
      <c r="P23" s="37"/>
      <c r="Q23" s="37"/>
      <c r="R23" s="37"/>
      <c r="S23" s="37"/>
      <c r="T23" s="37"/>
      <c r="U23" s="37"/>
      <c r="V23" s="37"/>
      <c r="W23" s="37"/>
      <c r="X23" s="37"/>
      <c r="Y23" s="37"/>
      <c r="Z23" s="37"/>
      <c r="AA23" s="37"/>
      <c r="AB23" s="37"/>
      <c r="AC23" s="37"/>
      <c r="AD23" s="448"/>
      <c r="AE23" s="448"/>
    </row>
    <row r="24" spans="1:31">
      <c r="A24" s="635" t="s">
        <v>633</v>
      </c>
      <c r="B24" s="635"/>
      <c r="C24" s="635"/>
      <c r="D24" s="637"/>
      <c r="E24" s="635"/>
      <c r="F24" s="635"/>
      <c r="G24" s="635"/>
      <c r="H24" s="635"/>
      <c r="I24" s="37"/>
      <c r="J24" s="37"/>
      <c r="K24" s="37"/>
      <c r="L24" s="37"/>
      <c r="M24" s="37"/>
      <c r="N24" s="37"/>
      <c r="O24" s="37"/>
      <c r="P24" s="37"/>
      <c r="Q24" s="37"/>
      <c r="R24" s="37"/>
      <c r="S24" s="37"/>
      <c r="T24" s="37"/>
      <c r="U24" s="37"/>
      <c r="V24" s="37"/>
      <c r="W24" s="37"/>
      <c r="X24" s="37"/>
      <c r="Y24" s="37"/>
      <c r="Z24" s="37"/>
      <c r="AA24" s="37"/>
      <c r="AB24" s="37"/>
      <c r="AC24" s="37"/>
      <c r="AD24" s="448"/>
      <c r="AE24" s="448"/>
    </row>
    <row r="25" spans="1:31">
      <c r="A25" s="630"/>
      <c r="B25" s="630" t="str">
        <f>Commodities!K27</f>
        <v>TBUS_ICE_DST_00</v>
      </c>
      <c r="C25" s="630" t="str">
        <f>Commodities!L27</f>
        <v>Existing Large Public Service Vehicles - Urban and rural bus</v>
      </c>
      <c r="D25" s="636" t="s">
        <v>937</v>
      </c>
      <c r="E25" s="636" t="s">
        <v>938</v>
      </c>
      <c r="F25" s="630"/>
      <c r="G25" s="636" t="s">
        <v>916</v>
      </c>
      <c r="H25" s="630"/>
      <c r="I25" s="37"/>
      <c r="J25" s="37"/>
      <c r="K25" s="37"/>
      <c r="L25" s="37"/>
      <c r="M25" s="37"/>
      <c r="N25" s="37"/>
      <c r="O25" s="37"/>
      <c r="P25" s="37"/>
      <c r="Q25" s="37"/>
      <c r="R25" s="37"/>
      <c r="S25" s="37"/>
      <c r="T25" s="37"/>
      <c r="U25" s="37"/>
      <c r="V25" s="37"/>
      <c r="W25" s="37"/>
      <c r="X25" s="37"/>
      <c r="Y25" s="37"/>
      <c r="Z25" s="37"/>
      <c r="AA25" s="37"/>
      <c r="AB25" s="37"/>
      <c r="AC25" s="37"/>
      <c r="AD25" s="448"/>
      <c r="AE25" s="448"/>
    </row>
    <row r="26" spans="1:31">
      <c r="A26" s="635" t="s">
        <v>115</v>
      </c>
      <c r="B26" s="635"/>
      <c r="C26" s="635"/>
      <c r="D26" s="637"/>
      <c r="E26" s="635"/>
      <c r="F26" s="635"/>
      <c r="G26" s="635"/>
      <c r="H26" s="635"/>
      <c r="I26" s="37"/>
      <c r="J26" s="37"/>
      <c r="K26" s="37"/>
      <c r="L26" s="37"/>
      <c r="M26" s="37"/>
      <c r="N26" s="37"/>
      <c r="O26" s="37"/>
      <c r="P26" s="37"/>
      <c r="Q26" s="37"/>
      <c r="R26" s="37"/>
      <c r="S26" s="37"/>
      <c r="T26" s="37"/>
      <c r="U26" s="37"/>
      <c r="V26" s="37"/>
      <c r="W26" s="37"/>
      <c r="X26" s="37"/>
      <c r="Y26" s="37"/>
      <c r="Z26" s="37"/>
      <c r="AA26" s="37"/>
      <c r="AB26" s="37"/>
      <c r="AC26" s="37"/>
      <c r="AD26" s="448"/>
      <c r="AE26" s="448"/>
    </row>
    <row r="27" spans="1:31">
      <c r="A27" s="630"/>
      <c r="B27" s="630" t="str">
        <f>Commodities!K29</f>
        <v>TLRAIL_ELC_00</v>
      </c>
      <c r="C27" s="630" t="str">
        <f>Commodities!L29</f>
        <v>Existing Light Rail_Electric</v>
      </c>
      <c r="D27" s="636" t="s">
        <v>937</v>
      </c>
      <c r="E27" s="636" t="s">
        <v>938</v>
      </c>
      <c r="F27" s="630"/>
      <c r="G27" s="636" t="s">
        <v>916</v>
      </c>
      <c r="H27" s="630"/>
      <c r="I27" s="127"/>
      <c r="J27" s="127"/>
      <c r="K27" s="37"/>
      <c r="L27" s="37"/>
      <c r="M27" s="37"/>
      <c r="N27" s="37"/>
      <c r="O27" s="37"/>
      <c r="P27" s="37"/>
      <c r="Q27" s="37"/>
      <c r="R27" s="37"/>
      <c r="S27" s="37"/>
      <c r="T27" s="37"/>
      <c r="U27" s="37"/>
      <c r="V27" s="37"/>
      <c r="W27" s="37"/>
      <c r="X27" s="37"/>
      <c r="Y27" s="37"/>
      <c r="Z27" s="37"/>
      <c r="AA27" s="37"/>
      <c r="AB27" s="37"/>
      <c r="AC27" s="37"/>
      <c r="AD27" s="448"/>
      <c r="AE27" s="448"/>
    </row>
    <row r="28" spans="1:31">
      <c r="A28" s="630"/>
      <c r="B28" s="630" t="str">
        <f>Commodities!K30</f>
        <v>THRAIL_ELC_00</v>
      </c>
      <c r="C28" s="630" t="str">
        <f>Commodities!L30</f>
        <v>Existing Heavy Rail_Electric</v>
      </c>
      <c r="D28" s="636" t="s">
        <v>937</v>
      </c>
      <c r="E28" s="636" t="s">
        <v>938</v>
      </c>
      <c r="F28" s="630"/>
      <c r="G28" s="636" t="s">
        <v>916</v>
      </c>
      <c r="H28" s="630"/>
      <c r="I28" s="127"/>
      <c r="J28" s="127"/>
      <c r="K28" s="37"/>
      <c r="L28" s="37"/>
      <c r="M28" s="37"/>
      <c r="N28" s="37"/>
      <c r="O28" s="37"/>
      <c r="P28" s="37"/>
      <c r="Q28" s="37"/>
      <c r="R28" s="37"/>
      <c r="S28" s="37"/>
      <c r="T28" s="37"/>
      <c r="U28" s="37"/>
      <c r="V28" s="37"/>
      <c r="W28" s="37"/>
      <c r="X28" s="37"/>
      <c r="Y28" s="37"/>
      <c r="Z28" s="37"/>
      <c r="AA28" s="37"/>
      <c r="AB28" s="37"/>
      <c r="AC28" s="37"/>
      <c r="AD28" s="448"/>
      <c r="AE28" s="448"/>
    </row>
    <row r="29" spans="1:31">
      <c r="A29" s="630"/>
      <c r="B29" s="630" t="str">
        <f>Commodities!K31</f>
        <v>THRAIL_DST_00</v>
      </c>
      <c r="C29" s="630" t="str">
        <f>Commodities!L31</f>
        <v>Existing Heavy Rail_Diesel</v>
      </c>
      <c r="D29" s="636" t="s">
        <v>937</v>
      </c>
      <c r="E29" s="636" t="s">
        <v>938</v>
      </c>
      <c r="F29" s="630"/>
      <c r="G29" s="636" t="s">
        <v>916</v>
      </c>
      <c r="H29" s="630"/>
      <c r="I29" s="127"/>
      <c r="J29" s="127"/>
      <c r="K29" s="448"/>
      <c r="L29" s="448"/>
      <c r="M29" s="448"/>
      <c r="N29" s="448"/>
      <c r="O29" s="448"/>
      <c r="P29" s="448"/>
      <c r="Q29" s="448"/>
      <c r="R29" s="448"/>
      <c r="S29" s="448"/>
      <c r="T29" s="448"/>
      <c r="U29" s="448"/>
      <c r="V29" s="448"/>
      <c r="W29" s="448"/>
      <c r="X29" s="448"/>
      <c r="Y29" s="448"/>
      <c r="Z29" s="448"/>
      <c r="AA29" s="448"/>
      <c r="AB29" s="448"/>
      <c r="AC29" s="448"/>
      <c r="AD29" s="448"/>
      <c r="AE29" s="448"/>
    </row>
    <row r="30" spans="1:31" s="459" customFormat="1">
      <c r="A30" s="633" t="s">
        <v>714</v>
      </c>
      <c r="B30" s="634"/>
      <c r="C30" s="634"/>
      <c r="D30" s="634"/>
      <c r="E30" s="634"/>
      <c r="F30" s="634"/>
      <c r="G30" s="634"/>
      <c r="H30" s="634"/>
      <c r="I30" s="127"/>
      <c r="J30" s="127"/>
    </row>
    <row r="31" spans="1:31" s="459" customFormat="1">
      <c r="A31" s="635" t="s">
        <v>921</v>
      </c>
      <c r="B31" s="635"/>
      <c r="C31" s="635"/>
      <c r="D31" s="637"/>
      <c r="E31" s="635"/>
      <c r="F31" s="635"/>
      <c r="G31" s="635"/>
      <c r="H31" s="635"/>
      <c r="I31" s="127"/>
      <c r="J31" s="127"/>
      <c r="K31" s="127"/>
    </row>
    <row r="32" spans="1:31" s="459" customFormat="1">
      <c r="A32" s="630"/>
      <c r="B32" s="630" t="str">
        <f>Commodities!K34</f>
        <v>TFGV_GSL_00</v>
      </c>
      <c r="C32" s="630" t="str">
        <f>Commodities!L34</f>
        <v>Existing goods vehicles for freight_Gasoline engine</v>
      </c>
      <c r="D32" s="636" t="s">
        <v>1050</v>
      </c>
      <c r="E32" s="636" t="s">
        <v>938</v>
      </c>
      <c r="F32" s="630"/>
      <c r="G32" s="636" t="s">
        <v>916</v>
      </c>
      <c r="H32" s="630"/>
      <c r="I32" s="127"/>
      <c r="J32" s="127"/>
      <c r="K32" s="127"/>
    </row>
    <row r="33" spans="1:31" s="459" customFormat="1">
      <c r="A33" s="630"/>
      <c r="B33" s="630" t="str">
        <f>Commodities!K35</f>
        <v>TFGV_DST_00</v>
      </c>
      <c r="C33" s="630" t="str">
        <f>Commodities!L35</f>
        <v>Existing goods vehicles for freight_Diesel engine</v>
      </c>
      <c r="D33" s="636" t="s">
        <v>1050</v>
      </c>
      <c r="E33" s="636" t="s">
        <v>938</v>
      </c>
      <c r="F33" s="630"/>
      <c r="G33" s="636" t="s">
        <v>916</v>
      </c>
      <c r="H33" s="630"/>
      <c r="I33" s="127"/>
      <c r="J33" s="127"/>
      <c r="K33" s="127"/>
    </row>
    <row r="34" spans="1:31" s="459" customFormat="1">
      <c r="A34" s="630"/>
      <c r="B34" s="630" t="str">
        <f>Commodities!K36</f>
        <v>TFRAIL_DST_00</v>
      </c>
      <c r="C34" s="630" t="str">
        <f>Commodities!L36</f>
        <v>Existing heavy train for freight_Diesel engine</v>
      </c>
      <c r="D34" s="636" t="s">
        <v>1050</v>
      </c>
      <c r="E34" s="636" t="s">
        <v>64</v>
      </c>
      <c r="F34" s="630"/>
      <c r="G34" s="636" t="s">
        <v>916</v>
      </c>
      <c r="H34" s="630"/>
      <c r="I34" s="127"/>
      <c r="J34" s="127"/>
      <c r="K34" s="127"/>
    </row>
    <row r="35" spans="1:31" s="459" customFormat="1">
      <c r="A35" s="633" t="s">
        <v>810</v>
      </c>
      <c r="B35" s="634"/>
      <c r="C35" s="634"/>
      <c r="D35" s="672"/>
      <c r="E35" s="634"/>
      <c r="F35" s="634"/>
      <c r="G35" s="634"/>
      <c r="H35" s="634"/>
      <c r="I35" s="127"/>
      <c r="J35" s="127"/>
      <c r="K35" s="127"/>
    </row>
    <row r="36" spans="1:31" s="459" customFormat="1">
      <c r="A36" s="630"/>
      <c r="B36" s="630" t="str">
        <f>Commodities!K38</f>
        <v>TTUR_00</v>
      </c>
      <c r="C36" s="630" t="str">
        <f>Commodities!L38</f>
        <v>Existing turism vehicles</v>
      </c>
      <c r="D36" s="636" t="s">
        <v>88</v>
      </c>
      <c r="E36" s="28" t="s">
        <v>940</v>
      </c>
      <c r="F36" s="630"/>
      <c r="G36" s="636" t="s">
        <v>916</v>
      </c>
      <c r="H36" s="630"/>
      <c r="I36" s="127"/>
      <c r="J36" s="127"/>
      <c r="K36" s="127"/>
    </row>
    <row r="37" spans="1:31" s="459" customFormat="1">
      <c r="A37" s="630"/>
      <c r="B37" s="630" t="str">
        <f>Commodities!K39</f>
        <v>TNAV_00</v>
      </c>
      <c r="C37" s="630" t="str">
        <f>Commodities!L39</f>
        <v>Existing navigation vehicles</v>
      </c>
      <c r="D37" s="636" t="s">
        <v>88</v>
      </c>
      <c r="E37" s="28" t="s">
        <v>940</v>
      </c>
      <c r="F37" s="630"/>
      <c r="G37" s="636" t="s">
        <v>916</v>
      </c>
      <c r="H37" s="630"/>
      <c r="I37" s="127"/>
      <c r="J37" s="127"/>
      <c r="K37" s="127"/>
    </row>
    <row r="38" spans="1:31" s="459" customFormat="1">
      <c r="A38" s="630"/>
      <c r="B38" s="630" t="str">
        <f>Commodities!K40</f>
        <v>TOTH_00</v>
      </c>
      <c r="C38" s="630" t="str">
        <f>Commodities!L40</f>
        <v>Existing unspecigied vehicles</v>
      </c>
      <c r="D38" s="636" t="s">
        <v>88</v>
      </c>
      <c r="E38" s="28" t="s">
        <v>940</v>
      </c>
      <c r="F38" s="630"/>
      <c r="G38" s="636" t="s">
        <v>916</v>
      </c>
      <c r="H38" s="630"/>
      <c r="I38" s="127"/>
      <c r="J38" s="127"/>
      <c r="K38" s="127"/>
    </row>
    <row r="39" spans="1:31" s="459" customFormat="1">
      <c r="A39" s="633" t="s">
        <v>816</v>
      </c>
      <c r="B39" s="634"/>
      <c r="C39" s="634"/>
      <c r="D39" s="634"/>
      <c r="E39" s="634"/>
      <c r="F39" s="634"/>
      <c r="G39" s="634"/>
      <c r="H39" s="634"/>
      <c r="I39" s="127"/>
      <c r="J39" s="127"/>
      <c r="K39" s="649"/>
    </row>
    <row r="40" spans="1:31" s="459" customFormat="1">
      <c r="A40" s="26"/>
      <c r="B40" s="26" t="str">
        <f>Commodities!K42</f>
        <v>TAVI_DOM_00</v>
      </c>
      <c r="C40" s="26" t="str">
        <f>Commodities!L42</f>
        <v>Existing aviation for domestic flights</v>
      </c>
      <c r="D40" s="636" t="s">
        <v>88</v>
      </c>
      <c r="E40" s="28" t="s">
        <v>940</v>
      </c>
      <c r="F40" s="26"/>
      <c r="G40" s="636" t="s">
        <v>916</v>
      </c>
      <c r="H40" s="26"/>
      <c r="I40" s="127"/>
      <c r="J40" s="127"/>
      <c r="K40" s="127"/>
    </row>
    <row r="41" spans="1:31" s="459" customFormat="1">
      <c r="A41" s="640"/>
      <c r="B41" s="640" t="str">
        <f>Commodities!K43</f>
        <v>TAVI_INT_00</v>
      </c>
      <c r="C41" s="640" t="str">
        <f>Commodities!L43</f>
        <v>Existing aviation for international flights</v>
      </c>
      <c r="D41" s="642" t="s">
        <v>88</v>
      </c>
      <c r="E41" s="129" t="s">
        <v>940</v>
      </c>
      <c r="F41" s="640"/>
      <c r="G41" s="642" t="s">
        <v>916</v>
      </c>
      <c r="H41" s="640"/>
      <c r="I41" s="127"/>
      <c r="J41" s="127"/>
      <c r="K41" s="127"/>
    </row>
    <row r="42" spans="1:31" s="459" customFormat="1">
      <c r="I42" s="127"/>
      <c r="J42" s="127"/>
      <c r="K42" s="127"/>
    </row>
    <row r="43" spans="1:31" s="459" customFormat="1">
      <c r="A43" s="127"/>
      <c r="B43" s="127"/>
      <c r="C43" s="127"/>
      <c r="D43" s="28"/>
      <c r="E43" s="28"/>
      <c r="F43" s="127"/>
      <c r="G43" s="127"/>
      <c r="H43" s="587"/>
      <c r="I43" s="127"/>
      <c r="J43" s="127"/>
    </row>
    <row r="44" spans="1:31">
      <c r="A44" s="127"/>
      <c r="B44" s="127"/>
      <c r="C44" s="127"/>
      <c r="D44" s="127"/>
      <c r="E44" s="127"/>
      <c r="F44" s="127"/>
      <c r="G44" s="127"/>
      <c r="H44" s="127"/>
      <c r="I44" s="127"/>
      <c r="J44" s="127"/>
      <c r="K44" s="448"/>
      <c r="L44" s="448"/>
      <c r="M44" s="448"/>
      <c r="N44" s="448"/>
      <c r="O44" s="448"/>
      <c r="P44" s="448"/>
      <c r="Q44" s="448"/>
      <c r="R44" s="448"/>
      <c r="S44" s="448"/>
      <c r="T44" s="448"/>
      <c r="U44" s="448"/>
      <c r="V44" s="448"/>
      <c r="W44" s="448"/>
      <c r="X44" s="448"/>
      <c r="Y44" s="448"/>
      <c r="Z44" s="448"/>
      <c r="AA44" s="448"/>
      <c r="AB44" s="448"/>
      <c r="AC44" s="448"/>
      <c r="AD44" s="448"/>
      <c r="AE44" s="448"/>
    </row>
    <row r="45" spans="1:31">
      <c r="A45" s="398"/>
      <c r="B45" s="448"/>
      <c r="C45" s="448"/>
      <c r="D45" s="448"/>
      <c r="E45" s="448"/>
      <c r="F45" s="448"/>
      <c r="G45" s="448"/>
      <c r="H45" s="448"/>
      <c r="I45" s="448"/>
      <c r="J45" s="448"/>
      <c r="K45" s="448"/>
      <c r="L45" s="448"/>
      <c r="M45" s="448"/>
      <c r="N45" s="448"/>
      <c r="O45" s="448"/>
      <c r="P45" s="448"/>
      <c r="Q45" s="448"/>
      <c r="R45" s="448"/>
      <c r="S45" s="448"/>
      <c r="T45" s="448"/>
      <c r="U45" s="448"/>
      <c r="V45" s="448"/>
      <c r="W45" s="448"/>
      <c r="X45" s="448"/>
      <c r="Y45" s="448"/>
      <c r="Z45" s="448"/>
      <c r="AA45" s="448"/>
      <c r="AB45" s="448"/>
      <c r="AC45" s="448"/>
      <c r="AD45" s="448"/>
      <c r="AE45" s="448"/>
    </row>
    <row r="46" spans="1:31">
      <c r="A46" s="398"/>
      <c r="B46" s="448"/>
      <c r="C46" s="448"/>
      <c r="D46" s="448"/>
      <c r="E46" s="448"/>
      <c r="F46" s="448"/>
      <c r="G46" s="448"/>
      <c r="H46" s="448"/>
      <c r="I46" s="448"/>
      <c r="J46" s="448"/>
      <c r="K46" s="448"/>
      <c r="L46" s="448"/>
      <c r="M46" s="448"/>
      <c r="N46" s="448"/>
      <c r="O46" s="448"/>
      <c r="P46" s="448"/>
      <c r="Q46" s="448"/>
      <c r="R46" s="448"/>
      <c r="S46" s="448"/>
      <c r="T46" s="448"/>
      <c r="U46" s="448"/>
      <c r="V46" s="448"/>
      <c r="W46" s="448"/>
      <c r="X46" s="448"/>
      <c r="Y46" s="448"/>
      <c r="Z46" s="448"/>
      <c r="AA46" s="448"/>
      <c r="AB46" s="448"/>
      <c r="AC46" s="448"/>
      <c r="AD46" s="448"/>
      <c r="AE46" s="448"/>
    </row>
    <row r="47" spans="1:31">
      <c r="A47" s="448"/>
      <c r="C47" s="448"/>
      <c r="D47" s="453" t="s">
        <v>1052</v>
      </c>
      <c r="E47" s="448"/>
      <c r="F47" s="448"/>
      <c r="G47" s="448"/>
      <c r="H47" s="448"/>
      <c r="I47" s="448"/>
      <c r="J47" s="448"/>
      <c r="K47" s="448"/>
      <c r="L47" s="448"/>
      <c r="M47" s="448"/>
      <c r="N47" s="448"/>
      <c r="O47" s="448"/>
      <c r="P47" s="448"/>
      <c r="Q47" s="448"/>
      <c r="R47" s="448"/>
      <c r="S47" s="448"/>
      <c r="T47" s="448"/>
      <c r="U47" s="448"/>
      <c r="V47" s="448"/>
      <c r="W47" s="448"/>
      <c r="X47" s="448"/>
      <c r="Y47" s="448"/>
      <c r="Z47" s="448"/>
      <c r="AA47" s="448"/>
      <c r="AB47" s="448"/>
      <c r="AC47" s="448"/>
      <c r="AD47" s="448"/>
      <c r="AE47" s="448"/>
    </row>
    <row r="48" spans="1:31" ht="15" thickBot="1">
      <c r="A48" s="41" t="s">
        <v>70</v>
      </c>
      <c r="B48" s="41" t="s">
        <v>96</v>
      </c>
      <c r="C48" s="41" t="s">
        <v>77</v>
      </c>
      <c r="D48" s="41" t="s">
        <v>78</v>
      </c>
      <c r="E48" s="41" t="str">
        <f>Regions!C3</f>
        <v>IE</v>
      </c>
      <c r="F48" s="41" t="str">
        <f>Regions!E3</f>
        <v>IE-CW</v>
      </c>
      <c r="G48" s="41" t="str">
        <f>Regions!F3</f>
        <v>IE-D</v>
      </c>
      <c r="H48" s="41" t="str">
        <f>Regions!G3</f>
        <v>IE-KE</v>
      </c>
      <c r="I48" s="41" t="str">
        <f>Regions!H3</f>
        <v>IE-KK</v>
      </c>
      <c r="J48" s="41" t="str">
        <f>Regions!I3</f>
        <v>IE-LS</v>
      </c>
      <c r="K48" s="41" t="str">
        <f>Regions!J3</f>
        <v>IE-LD</v>
      </c>
      <c r="L48" s="41" t="str">
        <f>Regions!K3</f>
        <v>IE-LH</v>
      </c>
      <c r="M48" s="41" t="str">
        <f>Regions!L3</f>
        <v>IE-MH</v>
      </c>
      <c r="N48" s="41" t="str">
        <f>Regions!M3</f>
        <v>IE-OY</v>
      </c>
      <c r="O48" s="41" t="str">
        <f>Regions!N3</f>
        <v>IE-WH</v>
      </c>
      <c r="P48" s="41" t="str">
        <f>Regions!O3</f>
        <v>IE-WX</v>
      </c>
      <c r="Q48" s="41" t="str">
        <f>Regions!P3</f>
        <v>IE-WW</v>
      </c>
      <c r="R48" s="41" t="str">
        <f>Regions!Q3</f>
        <v>IE-CE</v>
      </c>
      <c r="S48" s="41" t="str">
        <f>Regions!R3</f>
        <v>IE-CO</v>
      </c>
      <c r="T48" s="41" t="str">
        <f>Regions!S3</f>
        <v>IE-KY</v>
      </c>
      <c r="U48" s="41" t="str">
        <f>Regions!T3</f>
        <v>IE-LK</v>
      </c>
      <c r="V48" s="41" t="str">
        <f>Regions!U3</f>
        <v>IE-TA</v>
      </c>
      <c r="W48" s="41" t="str">
        <f>Regions!V3</f>
        <v>IE-WD</v>
      </c>
      <c r="X48" s="41" t="str">
        <f>Regions!W3</f>
        <v>IE-G</v>
      </c>
      <c r="Y48" s="41" t="str">
        <f>Regions!X3</f>
        <v>IE-LM</v>
      </c>
      <c r="Z48" s="41" t="str">
        <f>Regions!Y3</f>
        <v>IE-MO</v>
      </c>
      <c r="AA48" s="41" t="str">
        <f>Regions!Z3</f>
        <v>IE-RN</v>
      </c>
      <c r="AB48" s="41" t="str">
        <f>Regions!AA3</f>
        <v>IE-SO</v>
      </c>
      <c r="AC48" s="41" t="str">
        <f>Regions!AB3</f>
        <v>IE-CN</v>
      </c>
      <c r="AD48" s="41" t="str">
        <f>Regions!AC3</f>
        <v>IE-DL</v>
      </c>
      <c r="AE48" s="41" t="str">
        <f>Regions!AD3</f>
        <v>IE-MN</v>
      </c>
    </row>
    <row r="49" spans="1:49" s="459" customFormat="1" ht="15.6">
      <c r="A49" s="455" t="s">
        <v>567</v>
      </c>
      <c r="B49" s="455"/>
      <c r="C49" s="454"/>
      <c r="D49" s="454"/>
      <c r="E49" s="454"/>
      <c r="F49" s="454"/>
      <c r="G49" s="454"/>
      <c r="H49" s="454"/>
      <c r="I49" s="454"/>
      <c r="J49" s="454"/>
      <c r="K49" s="454"/>
      <c r="L49" s="454"/>
      <c r="M49" s="454"/>
      <c r="N49" s="454"/>
      <c r="O49" s="454"/>
      <c r="P49" s="454"/>
      <c r="Q49" s="454"/>
      <c r="R49" s="454"/>
      <c r="S49" s="454"/>
      <c r="T49" s="454"/>
      <c r="U49" s="454"/>
      <c r="V49" s="454"/>
      <c r="W49" s="454"/>
      <c r="X49" s="454"/>
      <c r="Y49" s="454"/>
      <c r="Z49" s="454"/>
      <c r="AA49" s="454"/>
      <c r="AB49" s="454"/>
      <c r="AC49" s="454"/>
      <c r="AD49" s="454"/>
      <c r="AE49" s="454"/>
    </row>
    <row r="50" spans="1:49" s="459" customFormat="1">
      <c r="A50" s="448" t="str">
        <f>Commodities!K11</f>
        <v>TMOT_GSL_00</v>
      </c>
      <c r="B50" s="28" t="s">
        <v>938</v>
      </c>
      <c r="C50" s="459" t="str">
        <f>Commodities!B18</f>
        <v>TRAGSLE</v>
      </c>
      <c r="D50" s="448" t="str">
        <f>Commodities!B22&amp;","&amp;Commodities!B23</f>
        <v>TRAPS,TRAPM</v>
      </c>
      <c r="E50" s="398">
        <f>SUM(F50:AE50)</f>
        <v>39.851999999999997</v>
      </c>
      <c r="F50" s="398">
        <f>D159/1000</f>
        <v>0.56299999999999994</v>
      </c>
      <c r="G50" s="398">
        <f t="shared" ref="G50:AE50" si="0">E159/1000</f>
        <v>12.616</v>
      </c>
      <c r="H50" s="398">
        <f t="shared" si="0"/>
        <v>2.1680000000000001</v>
      </c>
      <c r="I50" s="398">
        <f t="shared" si="0"/>
        <v>0.872</v>
      </c>
      <c r="J50" s="398">
        <f t="shared" si="0"/>
        <v>0.51300000000000001</v>
      </c>
      <c r="K50" s="398">
        <f t="shared" si="0"/>
        <v>0.21299999999999999</v>
      </c>
      <c r="L50" s="398">
        <f t="shared" si="0"/>
        <v>0.85499999999999998</v>
      </c>
      <c r="M50" s="398">
        <f t="shared" si="0"/>
        <v>1.6839999999999999</v>
      </c>
      <c r="N50" s="398">
        <f t="shared" si="0"/>
        <v>0.66900000000000004</v>
      </c>
      <c r="O50" s="398">
        <f t="shared" si="0"/>
        <v>0.60399999999999998</v>
      </c>
      <c r="P50" s="398">
        <f t="shared" si="0"/>
        <v>1.506</v>
      </c>
      <c r="Q50" s="398">
        <f t="shared" si="0"/>
        <v>1.554</v>
      </c>
      <c r="R50" s="398">
        <f t="shared" si="0"/>
        <v>0.92400000000000004</v>
      </c>
      <c r="S50" s="398">
        <f t="shared" si="0"/>
        <v>5.452</v>
      </c>
      <c r="T50" s="398">
        <f t="shared" si="0"/>
        <v>1.0620000000000001</v>
      </c>
      <c r="U50" s="398">
        <f t="shared" si="0"/>
        <v>1.4890000000000001</v>
      </c>
      <c r="V50" s="398">
        <f t="shared" si="0"/>
        <v>1.4119999999999999</v>
      </c>
      <c r="W50" s="398">
        <f t="shared" si="0"/>
        <v>1.2929999999999999</v>
      </c>
      <c r="X50" s="398">
        <f t="shared" si="0"/>
        <v>1.458</v>
      </c>
      <c r="Y50" s="398">
        <f t="shared" si="0"/>
        <v>0.16</v>
      </c>
      <c r="Z50" s="398">
        <f t="shared" si="0"/>
        <v>0.60499999999999998</v>
      </c>
      <c r="AA50" s="398">
        <f t="shared" si="0"/>
        <v>0.29499999999999998</v>
      </c>
      <c r="AB50" s="398">
        <f t="shared" si="0"/>
        <v>0.4</v>
      </c>
      <c r="AC50" s="398">
        <f t="shared" si="0"/>
        <v>0.44800000000000001</v>
      </c>
      <c r="AD50" s="398">
        <f t="shared" si="0"/>
        <v>0.73599999999999999</v>
      </c>
      <c r="AE50" s="398">
        <f t="shared" si="0"/>
        <v>0.30099999999999999</v>
      </c>
    </row>
    <row r="51" spans="1:49" s="459" customFormat="1" ht="15.6">
      <c r="A51" s="455" t="s">
        <v>568</v>
      </c>
      <c r="B51" s="455"/>
      <c r="C51" s="454"/>
      <c r="D51" s="454"/>
      <c r="E51" s="454"/>
      <c r="F51" s="454"/>
      <c r="G51" s="454"/>
      <c r="H51" s="454"/>
      <c r="I51" s="454"/>
      <c r="J51" s="454"/>
      <c r="K51" s="454"/>
      <c r="L51" s="454"/>
      <c r="M51" s="454"/>
      <c r="N51" s="454"/>
      <c r="O51" s="454"/>
      <c r="P51" s="454"/>
      <c r="Q51" s="454"/>
      <c r="R51" s="454"/>
      <c r="S51" s="454"/>
      <c r="T51" s="454"/>
      <c r="U51" s="454"/>
      <c r="V51" s="454"/>
      <c r="W51" s="454"/>
      <c r="X51" s="454"/>
      <c r="Y51" s="454"/>
      <c r="Z51" s="454"/>
      <c r="AA51" s="454"/>
      <c r="AB51" s="454"/>
      <c r="AC51" s="454"/>
      <c r="AD51" s="454"/>
      <c r="AE51" s="454"/>
      <c r="AF51" s="451"/>
    </row>
    <row r="52" spans="1:49">
      <c r="A52" s="448" t="str">
        <f>Commodities!K13</f>
        <v>TCAR_ICE_GSL_00</v>
      </c>
      <c r="B52" s="28" t="s">
        <v>938</v>
      </c>
      <c r="C52" s="718" t="str">
        <f>Commodities!B18</f>
        <v>TRAGSLE</v>
      </c>
      <c r="D52" s="448" t="str">
        <f>Commodities!B22&amp;","&amp;Commodities!B23&amp;","&amp;Commodities!B24</f>
        <v>TRAPS,TRAPM,TRAPL</v>
      </c>
      <c r="E52" s="9">
        <f>SUM(F52:AE52)</f>
        <v>946.86</v>
      </c>
      <c r="F52" s="660">
        <f t="shared" ref="F52:F60" si="1">D160/1000</f>
        <v>10.795999999999999</v>
      </c>
      <c r="G52" s="660">
        <f t="shared" ref="G52:G60" si="2">E160/1000</f>
        <v>299.40800000000002</v>
      </c>
      <c r="H52" s="660">
        <f t="shared" ref="H52:AE52" si="3">F160/1000</f>
        <v>44.521000000000001</v>
      </c>
      <c r="I52" s="660">
        <f t="shared" si="3"/>
        <v>17.346</v>
      </c>
      <c r="J52" s="660">
        <f t="shared" si="3"/>
        <v>12.391</v>
      </c>
      <c r="K52" s="660">
        <f t="shared" si="3"/>
        <v>5.8040000000000003</v>
      </c>
      <c r="L52" s="660">
        <f t="shared" si="3"/>
        <v>20.722000000000001</v>
      </c>
      <c r="M52" s="660">
        <f t="shared" si="3"/>
        <v>34.216000000000001</v>
      </c>
      <c r="N52" s="660">
        <f t="shared" si="3"/>
        <v>12.252000000000001</v>
      </c>
      <c r="O52" s="660">
        <f t="shared" si="3"/>
        <v>14.417</v>
      </c>
      <c r="P52" s="660">
        <f t="shared" si="3"/>
        <v>29.236000000000001</v>
      </c>
      <c r="Q52" s="660">
        <f t="shared" si="3"/>
        <v>32.847000000000001</v>
      </c>
      <c r="R52" s="660">
        <f t="shared" si="3"/>
        <v>24.056999999999999</v>
      </c>
      <c r="S52" s="660">
        <f t="shared" si="3"/>
        <v>121.22799999999999</v>
      </c>
      <c r="T52" s="660">
        <f t="shared" si="3"/>
        <v>31.727</v>
      </c>
      <c r="U52" s="660">
        <f t="shared" si="3"/>
        <v>40.146000000000001</v>
      </c>
      <c r="V52" s="660">
        <f t="shared" si="3"/>
        <v>30.853999999999999</v>
      </c>
      <c r="W52" s="660">
        <f t="shared" si="3"/>
        <v>27.158999999999999</v>
      </c>
      <c r="X52" s="660">
        <f t="shared" si="3"/>
        <v>45.82</v>
      </c>
      <c r="Y52" s="660">
        <f t="shared" si="3"/>
        <v>4.9610000000000003</v>
      </c>
      <c r="Z52" s="660">
        <f t="shared" si="3"/>
        <v>22.404</v>
      </c>
      <c r="AA52" s="660">
        <f t="shared" si="3"/>
        <v>11.971</v>
      </c>
      <c r="AB52" s="660">
        <f t="shared" si="3"/>
        <v>11.760999999999999</v>
      </c>
      <c r="AC52" s="660">
        <f t="shared" si="3"/>
        <v>10.568</v>
      </c>
      <c r="AD52" s="660">
        <f t="shared" si="3"/>
        <v>22.398</v>
      </c>
      <c r="AE52" s="660">
        <f t="shared" si="3"/>
        <v>7.85</v>
      </c>
      <c r="AG52" s="448"/>
      <c r="AH52" s="448"/>
      <c r="AI52" s="448"/>
      <c r="AJ52" s="448"/>
      <c r="AK52" s="448"/>
      <c r="AL52" s="448"/>
      <c r="AM52" s="448"/>
      <c r="AN52" s="448"/>
      <c r="AO52" s="448"/>
      <c r="AP52" s="448"/>
      <c r="AQ52" s="448"/>
      <c r="AR52" s="448"/>
      <c r="AS52" s="448"/>
      <c r="AT52" s="448"/>
      <c r="AU52" s="448"/>
      <c r="AV52" s="448"/>
      <c r="AW52" s="448"/>
    </row>
    <row r="53" spans="1:49">
      <c r="A53" s="448" t="str">
        <f>Commodities!K14</f>
        <v>TCAR_ICE_DST_00</v>
      </c>
      <c r="B53" s="28" t="s">
        <v>938</v>
      </c>
      <c r="C53" s="459" t="str">
        <f>Commodities!B19</f>
        <v>TRADSTB</v>
      </c>
      <c r="D53" s="459" t="str">
        <f>Commodities!B22&amp;","&amp;Commodities!B23&amp;","&amp;Commodities!B24</f>
        <v>TRAPS,TRAPM,TRAPL</v>
      </c>
      <c r="E53" s="9">
        <f t="shared" ref="E53:E64" si="4">SUM(F53:AE53)</f>
        <v>1129.4039999999998</v>
      </c>
      <c r="F53" s="660">
        <f t="shared" si="1"/>
        <v>17.385000000000002</v>
      </c>
      <c r="G53" s="660">
        <f t="shared" si="2"/>
        <v>225.70599999999999</v>
      </c>
      <c r="H53" s="660">
        <f t="shared" ref="H53:AE53" si="5">F161/1000</f>
        <v>56.834000000000003</v>
      </c>
      <c r="I53" s="660">
        <f t="shared" si="5"/>
        <v>26.673999999999999</v>
      </c>
      <c r="J53" s="660">
        <f t="shared" si="5"/>
        <v>22.058</v>
      </c>
      <c r="K53" s="660">
        <f t="shared" si="5"/>
        <v>11.27</v>
      </c>
      <c r="L53" s="660">
        <f t="shared" si="5"/>
        <v>29.946999999999999</v>
      </c>
      <c r="M53" s="660">
        <f t="shared" si="5"/>
        <v>52.423999999999999</v>
      </c>
      <c r="N53" s="660">
        <f t="shared" si="5"/>
        <v>21.785</v>
      </c>
      <c r="O53" s="660">
        <f t="shared" si="5"/>
        <v>26.113</v>
      </c>
      <c r="P53" s="660">
        <f t="shared" si="5"/>
        <v>44.970999999999997</v>
      </c>
      <c r="Q53" s="660">
        <f t="shared" si="5"/>
        <v>34.195</v>
      </c>
      <c r="R53" s="660">
        <f t="shared" si="5"/>
        <v>32.584000000000003</v>
      </c>
      <c r="S53" s="660">
        <f t="shared" si="5"/>
        <v>132.29499999999999</v>
      </c>
      <c r="T53" s="660">
        <f t="shared" si="5"/>
        <v>39.247</v>
      </c>
      <c r="U53" s="660">
        <f t="shared" si="5"/>
        <v>47.853000000000002</v>
      </c>
      <c r="V53" s="660">
        <f t="shared" si="5"/>
        <v>47.713999999999999</v>
      </c>
      <c r="W53" s="660">
        <f t="shared" si="5"/>
        <v>29.673999999999999</v>
      </c>
      <c r="X53" s="660">
        <f t="shared" si="5"/>
        <v>66.337000000000003</v>
      </c>
      <c r="Y53" s="660">
        <f t="shared" si="5"/>
        <v>9.4540000000000006</v>
      </c>
      <c r="Z53" s="660">
        <f t="shared" si="5"/>
        <v>37.994</v>
      </c>
      <c r="AA53" s="660">
        <f t="shared" si="5"/>
        <v>20.248000000000001</v>
      </c>
      <c r="AB53" s="660">
        <f t="shared" si="5"/>
        <v>16.992999999999999</v>
      </c>
      <c r="AC53" s="660">
        <f t="shared" si="5"/>
        <v>20.89</v>
      </c>
      <c r="AD53" s="660">
        <f t="shared" si="5"/>
        <v>41.125</v>
      </c>
      <c r="AE53" s="660">
        <f t="shared" si="5"/>
        <v>17.634</v>
      </c>
      <c r="AG53" s="448"/>
      <c r="AH53" s="448"/>
      <c r="AI53" s="448"/>
      <c r="AJ53" s="448"/>
      <c r="AK53" s="448"/>
      <c r="AL53" s="448"/>
      <c r="AM53" s="448"/>
      <c r="AN53" s="448"/>
      <c r="AO53" s="448"/>
      <c r="AP53" s="448"/>
      <c r="AQ53" s="448"/>
      <c r="AR53" s="448"/>
      <c r="AS53" s="448"/>
      <c r="AT53" s="448"/>
      <c r="AU53" s="448"/>
      <c r="AV53" s="448"/>
      <c r="AW53" s="448"/>
    </row>
    <row r="54" spans="1:49">
      <c r="A54" s="448" t="str">
        <f>Commodities!K15</f>
        <v>TCAR_ICE_DF_00</v>
      </c>
      <c r="B54" s="28" t="s">
        <v>938</v>
      </c>
      <c r="C54" s="459" t="str">
        <f>Commodities!B8&amp;","&amp;Commodities!B12</f>
        <v>TRAGSL,TRACNG</v>
      </c>
      <c r="D54" s="459" t="str">
        <f>Commodities!B22&amp;","&amp;Commodities!B23&amp;","&amp;Commodities!B24</f>
        <v>TRAPS,TRAPM,TRAPL</v>
      </c>
      <c r="E54" s="9">
        <f t="shared" si="4"/>
        <v>6.7000000000000018E-2</v>
      </c>
      <c r="F54" s="660">
        <f t="shared" si="1"/>
        <v>0</v>
      </c>
      <c r="G54" s="660">
        <f t="shared" si="2"/>
        <v>2.8000000000000001E-2</v>
      </c>
      <c r="H54" s="660">
        <f t="shared" ref="H54:AE54" si="6">F162/1000</f>
        <v>1E-3</v>
      </c>
      <c r="I54" s="660">
        <f t="shared" si="6"/>
        <v>1E-3</v>
      </c>
      <c r="J54" s="660">
        <f t="shared" si="6"/>
        <v>0</v>
      </c>
      <c r="K54" s="660">
        <f t="shared" si="6"/>
        <v>2E-3</v>
      </c>
      <c r="L54" s="660">
        <f t="shared" si="6"/>
        <v>1E-3</v>
      </c>
      <c r="M54" s="660">
        <f t="shared" si="6"/>
        <v>2E-3</v>
      </c>
      <c r="N54" s="660">
        <f t="shared" si="6"/>
        <v>3.0000000000000001E-3</v>
      </c>
      <c r="O54" s="660">
        <f t="shared" si="6"/>
        <v>1E-3</v>
      </c>
      <c r="P54" s="660">
        <f t="shared" si="6"/>
        <v>3.0000000000000001E-3</v>
      </c>
      <c r="Q54" s="660">
        <f t="shared" si="6"/>
        <v>5.0000000000000001E-3</v>
      </c>
      <c r="R54" s="660">
        <f t="shared" si="6"/>
        <v>1E-3</v>
      </c>
      <c r="S54" s="660">
        <f t="shared" si="6"/>
        <v>5.0000000000000001E-3</v>
      </c>
      <c r="T54" s="660">
        <f t="shared" si="6"/>
        <v>3.0000000000000001E-3</v>
      </c>
      <c r="U54" s="660">
        <f t="shared" si="6"/>
        <v>2E-3</v>
      </c>
      <c r="V54" s="660">
        <f t="shared" si="6"/>
        <v>0</v>
      </c>
      <c r="W54" s="660">
        <f t="shared" si="6"/>
        <v>0</v>
      </c>
      <c r="X54" s="660">
        <f t="shared" si="6"/>
        <v>7.0000000000000001E-3</v>
      </c>
      <c r="Y54" s="660">
        <f t="shared" si="6"/>
        <v>0</v>
      </c>
      <c r="Z54" s="660">
        <f t="shared" si="6"/>
        <v>0</v>
      </c>
      <c r="AA54" s="660">
        <f t="shared" si="6"/>
        <v>0</v>
      </c>
      <c r="AB54" s="660">
        <f t="shared" si="6"/>
        <v>0</v>
      </c>
      <c r="AC54" s="660">
        <f t="shared" si="6"/>
        <v>0</v>
      </c>
      <c r="AD54" s="660">
        <f t="shared" si="6"/>
        <v>2E-3</v>
      </c>
      <c r="AE54" s="660">
        <f t="shared" si="6"/>
        <v>0</v>
      </c>
      <c r="AG54" s="448"/>
      <c r="AH54" s="448"/>
      <c r="AI54" s="448"/>
      <c r="AJ54" s="448"/>
      <c r="AK54" s="448"/>
      <c r="AL54" s="448"/>
      <c r="AM54" s="448"/>
      <c r="AN54" s="448"/>
      <c r="AO54" s="448"/>
      <c r="AP54" s="448"/>
      <c r="AQ54" s="448"/>
      <c r="AR54" s="448"/>
      <c r="AS54" s="448"/>
      <c r="AT54" s="448"/>
      <c r="AU54" s="448"/>
      <c r="AV54" s="448"/>
      <c r="AW54" s="448"/>
    </row>
    <row r="55" spans="1:49">
      <c r="A55" s="448" t="str">
        <f>Commodities!K16</f>
        <v>TCAR_ICE_E85_00</v>
      </c>
      <c r="B55" s="28" t="s">
        <v>938</v>
      </c>
      <c r="C55" s="448" t="str">
        <f>Commodities!B20</f>
        <v>TRAE85</v>
      </c>
      <c r="D55" s="459" t="str">
        <f>Commodities!B22&amp;","&amp;Commodities!B23&amp;","&amp;Commodities!B24</f>
        <v>TRAPS,TRAPM,TRAPL</v>
      </c>
      <c r="E55" s="9">
        <f t="shared" si="4"/>
        <v>8.5289999999999999</v>
      </c>
      <c r="F55" s="660">
        <f t="shared" si="1"/>
        <v>9.8000000000000004E-2</v>
      </c>
      <c r="G55" s="660">
        <f t="shared" si="2"/>
        <v>0.26500000000000001</v>
      </c>
      <c r="H55" s="660">
        <f t="shared" ref="H55:AE55" si="7">F163/1000</f>
        <v>0.28100000000000003</v>
      </c>
      <c r="I55" s="660">
        <f t="shared" si="7"/>
        <v>0.57399999999999995</v>
      </c>
      <c r="J55" s="660">
        <f t="shared" si="7"/>
        <v>0.124</v>
      </c>
      <c r="K55" s="660">
        <f t="shared" si="7"/>
        <v>0.316</v>
      </c>
      <c r="L55" s="660">
        <f t="shared" si="7"/>
        <v>4.1000000000000002E-2</v>
      </c>
      <c r="M55" s="660">
        <f t="shared" si="7"/>
        <v>8.3000000000000004E-2</v>
      </c>
      <c r="N55" s="660">
        <f t="shared" si="7"/>
        <v>5.2999999999999999E-2</v>
      </c>
      <c r="O55" s="660">
        <f t="shared" si="7"/>
        <v>0.26</v>
      </c>
      <c r="P55" s="660">
        <f t="shared" si="7"/>
        <v>0.17699999999999999</v>
      </c>
      <c r="Q55" s="660">
        <f t="shared" si="7"/>
        <v>0.315</v>
      </c>
      <c r="R55" s="660">
        <f t="shared" si="7"/>
        <v>0.20499999999999999</v>
      </c>
      <c r="S55" s="660">
        <f t="shared" si="7"/>
        <v>1.1619999999999999</v>
      </c>
      <c r="T55" s="660">
        <f t="shared" si="7"/>
        <v>0.35</v>
      </c>
      <c r="U55" s="660">
        <f t="shared" si="7"/>
        <v>3.3000000000000002E-2</v>
      </c>
      <c r="V55" s="660">
        <f t="shared" si="7"/>
        <v>7.4999999999999997E-2</v>
      </c>
      <c r="W55" s="660">
        <f t="shared" si="7"/>
        <v>0.22900000000000001</v>
      </c>
      <c r="X55" s="660">
        <f t="shared" si="7"/>
        <v>2.6259999999999999</v>
      </c>
      <c r="Y55" s="660">
        <f t="shared" si="7"/>
        <v>0.107</v>
      </c>
      <c r="Z55" s="660">
        <f t="shared" si="7"/>
        <v>0.247</v>
      </c>
      <c r="AA55" s="660">
        <f t="shared" si="7"/>
        <v>8.5000000000000006E-2</v>
      </c>
      <c r="AB55" s="660">
        <f t="shared" si="7"/>
        <v>7.4999999999999997E-2</v>
      </c>
      <c r="AC55" s="660">
        <f t="shared" si="7"/>
        <v>9.0999999999999998E-2</v>
      </c>
      <c r="AD55" s="660">
        <f t="shared" si="7"/>
        <v>0.185</v>
      </c>
      <c r="AE55" s="660">
        <f t="shared" si="7"/>
        <v>0.47199999999999998</v>
      </c>
      <c r="AG55" s="448"/>
      <c r="AH55" s="448"/>
      <c r="AI55" s="448"/>
      <c r="AJ55" s="448"/>
      <c r="AK55" s="448"/>
      <c r="AL55" s="448"/>
      <c r="AM55" s="448"/>
      <c r="AN55" s="448"/>
      <c r="AO55" s="448"/>
      <c r="AP55" s="448"/>
      <c r="AQ55" s="448"/>
      <c r="AR55" s="448"/>
      <c r="AS55" s="448"/>
      <c r="AT55" s="448"/>
      <c r="AU55" s="448"/>
      <c r="AV55" s="448"/>
      <c r="AW55" s="448"/>
    </row>
    <row r="56" spans="1:49">
      <c r="A56" s="448" t="str">
        <f>Commodities!K17</f>
        <v>TCAR_HEV_GSL_00</v>
      </c>
      <c r="B56" s="28" t="s">
        <v>938</v>
      </c>
      <c r="C56" s="718" t="str">
        <f>Commodities!B18</f>
        <v>TRAGSLE</v>
      </c>
      <c r="D56" s="459" t="str">
        <f>Commodities!B22&amp;","&amp;Commodities!B23&amp;","&amp;Commodities!B24</f>
        <v>TRAPS,TRAPM,TRAPL</v>
      </c>
      <c r="E56" s="9">
        <f t="shared" si="4"/>
        <v>29.799999999999997</v>
      </c>
      <c r="F56" s="660">
        <f t="shared" si="1"/>
        <v>0.20499999999999999</v>
      </c>
      <c r="G56" s="660">
        <f t="shared" si="2"/>
        <v>1.109</v>
      </c>
      <c r="H56" s="660">
        <f t="shared" ref="H56:AE56" si="8">F164/1000</f>
        <v>0.57199999999999995</v>
      </c>
      <c r="I56" s="660">
        <f t="shared" si="8"/>
        <v>1.4279999999999999</v>
      </c>
      <c r="J56" s="660">
        <f t="shared" si="8"/>
        <v>0.36499999999999999</v>
      </c>
      <c r="K56" s="660">
        <f t="shared" si="8"/>
        <v>0.80500000000000005</v>
      </c>
      <c r="L56" s="660">
        <f t="shared" si="8"/>
        <v>0.159</v>
      </c>
      <c r="M56" s="660">
        <f t="shared" si="8"/>
        <v>0.45700000000000002</v>
      </c>
      <c r="N56" s="660">
        <f t="shared" si="8"/>
        <v>0.161</v>
      </c>
      <c r="O56" s="660">
        <f t="shared" si="8"/>
        <v>0.41799999999999998</v>
      </c>
      <c r="P56" s="660">
        <f t="shared" si="8"/>
        <v>0.48799999999999999</v>
      </c>
      <c r="Q56" s="660">
        <f t="shared" si="8"/>
        <v>0.61599999999999999</v>
      </c>
      <c r="R56" s="660">
        <f t="shared" si="8"/>
        <v>0.49199999999999999</v>
      </c>
      <c r="S56" s="660">
        <f t="shared" si="8"/>
        <v>2.9289999999999998</v>
      </c>
      <c r="T56" s="660">
        <f t="shared" si="8"/>
        <v>1.663</v>
      </c>
      <c r="U56" s="660">
        <f t="shared" si="8"/>
        <v>0.09</v>
      </c>
      <c r="V56" s="660">
        <f t="shared" si="8"/>
        <v>0.27300000000000002</v>
      </c>
      <c r="W56" s="660">
        <f t="shared" si="8"/>
        <v>0.56499999999999995</v>
      </c>
      <c r="X56" s="660">
        <f t="shared" si="8"/>
        <v>13.569000000000001</v>
      </c>
      <c r="Y56" s="660">
        <f t="shared" si="8"/>
        <v>0.307</v>
      </c>
      <c r="Z56" s="660">
        <f t="shared" si="8"/>
        <v>0.58299999999999996</v>
      </c>
      <c r="AA56" s="660">
        <f t="shared" si="8"/>
        <v>0.34699999999999998</v>
      </c>
      <c r="AB56" s="660">
        <f t="shared" si="8"/>
        <v>0.26500000000000001</v>
      </c>
      <c r="AC56" s="660">
        <f t="shared" si="8"/>
        <v>0.25600000000000001</v>
      </c>
      <c r="AD56" s="660">
        <f t="shared" si="8"/>
        <v>0.57299999999999995</v>
      </c>
      <c r="AE56" s="660">
        <f t="shared" si="8"/>
        <v>1.105</v>
      </c>
      <c r="AG56" s="448"/>
      <c r="AH56" s="448"/>
      <c r="AI56" s="448"/>
      <c r="AJ56" s="448"/>
      <c r="AK56" s="448"/>
      <c r="AL56" s="448"/>
      <c r="AM56" s="448"/>
      <c r="AN56" s="448"/>
      <c r="AO56" s="448"/>
      <c r="AP56" s="448"/>
      <c r="AQ56" s="448"/>
      <c r="AR56" s="448"/>
      <c r="AS56" s="448"/>
      <c r="AT56" s="448"/>
      <c r="AU56" s="448"/>
      <c r="AV56" s="448"/>
      <c r="AW56" s="448"/>
    </row>
    <row r="57" spans="1:49">
      <c r="A57" s="459" t="str">
        <f>Commodities!K18</f>
        <v>TCAR_HEV_DST_00</v>
      </c>
      <c r="B57" s="28" t="s">
        <v>938</v>
      </c>
      <c r="C57" s="718" t="str">
        <f>Commodities!B19</f>
        <v>TRADSTB</v>
      </c>
      <c r="D57" s="459" t="str">
        <f>Commodities!B22&amp;","&amp;Commodities!B23&amp;","&amp;Commodities!B24</f>
        <v>TRAPS,TRAPM,TRAPL</v>
      </c>
      <c r="E57" s="9">
        <f t="shared" si="4"/>
        <v>0.77300000000000024</v>
      </c>
      <c r="F57" s="660">
        <f t="shared" si="1"/>
        <v>1.4E-2</v>
      </c>
      <c r="G57" s="660">
        <f t="shared" si="2"/>
        <v>3.3000000000000002E-2</v>
      </c>
      <c r="H57" s="660">
        <f t="shared" ref="H57:AE57" si="9">F165/1000</f>
        <v>1.9E-2</v>
      </c>
      <c r="I57" s="660">
        <f t="shared" si="9"/>
        <v>4.2999999999999997E-2</v>
      </c>
      <c r="J57" s="660">
        <f t="shared" si="9"/>
        <v>1.6E-2</v>
      </c>
      <c r="K57" s="660">
        <f t="shared" si="9"/>
        <v>2.4E-2</v>
      </c>
      <c r="L57" s="660">
        <f t="shared" si="9"/>
        <v>8.0000000000000002E-3</v>
      </c>
      <c r="M57" s="660">
        <f t="shared" si="9"/>
        <v>1.2999999999999999E-2</v>
      </c>
      <c r="N57" s="660">
        <f t="shared" si="9"/>
        <v>0.01</v>
      </c>
      <c r="O57" s="660">
        <f t="shared" si="9"/>
        <v>2.3E-2</v>
      </c>
      <c r="P57" s="660">
        <f t="shared" si="9"/>
        <v>1.6E-2</v>
      </c>
      <c r="Q57" s="660">
        <f t="shared" si="9"/>
        <v>1.7000000000000001E-2</v>
      </c>
      <c r="R57" s="660">
        <f t="shared" si="9"/>
        <v>1.2999999999999999E-2</v>
      </c>
      <c r="S57" s="660">
        <f t="shared" si="9"/>
        <v>7.0999999999999994E-2</v>
      </c>
      <c r="T57" s="660">
        <f t="shared" si="9"/>
        <v>3.2000000000000001E-2</v>
      </c>
      <c r="U57" s="660">
        <f t="shared" si="9"/>
        <v>2E-3</v>
      </c>
      <c r="V57" s="660">
        <f t="shared" si="9"/>
        <v>4.0000000000000001E-3</v>
      </c>
      <c r="W57" s="660">
        <f t="shared" si="9"/>
        <v>1.2999999999999999E-2</v>
      </c>
      <c r="X57" s="660">
        <f t="shared" si="9"/>
        <v>0.28699999999999998</v>
      </c>
      <c r="Y57" s="660">
        <f t="shared" si="9"/>
        <v>1.6E-2</v>
      </c>
      <c r="Z57" s="660">
        <f t="shared" si="9"/>
        <v>1.7000000000000001E-2</v>
      </c>
      <c r="AA57" s="660">
        <f t="shared" si="9"/>
        <v>1.0999999999999999E-2</v>
      </c>
      <c r="AB57" s="660">
        <f t="shared" si="9"/>
        <v>5.0000000000000001E-3</v>
      </c>
      <c r="AC57" s="660">
        <f t="shared" si="9"/>
        <v>1.6E-2</v>
      </c>
      <c r="AD57" s="660">
        <f t="shared" si="9"/>
        <v>1.2E-2</v>
      </c>
      <c r="AE57" s="660">
        <f t="shared" si="9"/>
        <v>3.7999999999999999E-2</v>
      </c>
      <c r="AF57" s="451"/>
      <c r="AG57" s="448"/>
      <c r="AH57" s="448"/>
      <c r="AI57" s="448"/>
      <c r="AJ57" s="448"/>
      <c r="AK57" s="448"/>
      <c r="AL57" s="448"/>
      <c r="AM57" s="448"/>
      <c r="AN57" s="448"/>
      <c r="AO57" s="448"/>
      <c r="AP57" s="448"/>
      <c r="AQ57" s="448"/>
      <c r="AR57" s="448"/>
      <c r="AS57" s="448"/>
      <c r="AT57" s="448"/>
      <c r="AU57" s="448"/>
      <c r="AV57" s="448"/>
      <c r="AW57" s="448"/>
    </row>
    <row r="58" spans="1:49">
      <c r="A58" s="448" t="str">
        <f>Commodities!K19</f>
        <v>TCAR_PHEV_GSL_00</v>
      </c>
      <c r="B58" s="28" t="s">
        <v>938</v>
      </c>
      <c r="C58" s="448" t="str">
        <f>Commodities!B8&amp;","&amp;Commodities!B14</f>
        <v>TRAGSL,TRAELC</v>
      </c>
      <c r="D58" s="459" t="str">
        <f>Commodities!B22&amp;","&amp;Commodities!B23&amp;","&amp;Commodities!B24</f>
        <v>TRAPS,TRAPM,TRAPL</v>
      </c>
      <c r="E58" s="9">
        <f t="shared" si="4"/>
        <v>2.7589999999999999</v>
      </c>
      <c r="F58" s="660">
        <f t="shared" si="1"/>
        <v>1.4999999999999999E-2</v>
      </c>
      <c r="G58" s="660">
        <f t="shared" si="2"/>
        <v>0.109</v>
      </c>
      <c r="H58" s="660">
        <f t="shared" ref="H58:AE58" si="10">F166/1000</f>
        <v>3.3000000000000002E-2</v>
      </c>
      <c r="I58" s="660">
        <f t="shared" si="10"/>
        <v>0.15</v>
      </c>
      <c r="J58" s="660">
        <f t="shared" si="10"/>
        <v>2.4E-2</v>
      </c>
      <c r="K58" s="660">
        <f t="shared" si="10"/>
        <v>5.3999999999999999E-2</v>
      </c>
      <c r="L58" s="660">
        <f t="shared" si="10"/>
        <v>1.7999999999999999E-2</v>
      </c>
      <c r="M58" s="660">
        <f t="shared" si="10"/>
        <v>2.3E-2</v>
      </c>
      <c r="N58" s="660">
        <f t="shared" si="10"/>
        <v>0.01</v>
      </c>
      <c r="O58" s="660">
        <f t="shared" si="10"/>
        <v>3.2000000000000001E-2</v>
      </c>
      <c r="P58" s="660">
        <f t="shared" si="10"/>
        <v>3.5000000000000003E-2</v>
      </c>
      <c r="Q58" s="660">
        <f t="shared" si="10"/>
        <v>4.2000000000000003E-2</v>
      </c>
      <c r="R58" s="660">
        <f t="shared" si="10"/>
        <v>3.6999999999999998E-2</v>
      </c>
      <c r="S58" s="660">
        <f t="shared" si="10"/>
        <v>0.26200000000000001</v>
      </c>
      <c r="T58" s="660">
        <f t="shared" si="10"/>
        <v>0.152</v>
      </c>
      <c r="U58" s="660">
        <f t="shared" si="10"/>
        <v>3.0000000000000001E-3</v>
      </c>
      <c r="V58" s="660">
        <f t="shared" si="10"/>
        <v>2.3E-2</v>
      </c>
      <c r="W58" s="660">
        <f t="shared" si="10"/>
        <v>0.04</v>
      </c>
      <c r="X58" s="660">
        <f t="shared" si="10"/>
        <v>1.43</v>
      </c>
      <c r="Y58" s="660">
        <f t="shared" si="10"/>
        <v>1.7000000000000001E-2</v>
      </c>
      <c r="Z58" s="660">
        <f t="shared" si="10"/>
        <v>4.7E-2</v>
      </c>
      <c r="AA58" s="660">
        <f t="shared" si="10"/>
        <v>1.7999999999999999E-2</v>
      </c>
      <c r="AB58" s="660">
        <f t="shared" si="10"/>
        <v>1.6E-2</v>
      </c>
      <c r="AC58" s="660">
        <f t="shared" si="10"/>
        <v>2.4E-2</v>
      </c>
      <c r="AD58" s="660">
        <f t="shared" si="10"/>
        <v>3.6999999999999998E-2</v>
      </c>
      <c r="AE58" s="660">
        <f t="shared" si="10"/>
        <v>0.108</v>
      </c>
      <c r="AF58" s="451"/>
      <c r="AG58" s="448"/>
      <c r="AH58" s="448"/>
      <c r="AI58" s="448"/>
      <c r="AJ58" s="448"/>
      <c r="AK58" s="448"/>
      <c r="AL58" s="448"/>
      <c r="AM58" s="448"/>
      <c r="AN58" s="448"/>
      <c r="AO58" s="448"/>
      <c r="AP58" s="448"/>
      <c r="AQ58" s="448"/>
      <c r="AR58" s="448"/>
      <c r="AS58" s="448"/>
      <c r="AT58" s="448"/>
      <c r="AU58" s="448"/>
      <c r="AV58" s="448"/>
      <c r="AW58" s="448"/>
    </row>
    <row r="59" spans="1:49">
      <c r="A59" s="448" t="str">
        <f>Commodities!K20</f>
        <v>TCAR_PHEV_DST_00</v>
      </c>
      <c r="B59" s="28" t="s">
        <v>938</v>
      </c>
      <c r="C59" s="448" t="str">
        <f>Commodities!B9&amp;","&amp;Commodities!B14</f>
        <v>TRADST,TRAELC</v>
      </c>
      <c r="D59" s="459" t="str">
        <f>Commodities!B22&amp;","&amp;Commodities!B23&amp;","&amp;Commodities!B24</f>
        <v>TRAPS,TRAPM,TRAPL</v>
      </c>
      <c r="E59" s="9">
        <f t="shared" si="4"/>
        <v>2.5000000000000008E-2</v>
      </c>
      <c r="F59" s="660">
        <f t="shared" si="1"/>
        <v>0</v>
      </c>
      <c r="G59" s="660">
        <f t="shared" si="2"/>
        <v>1.0999999999999999E-2</v>
      </c>
      <c r="H59" s="660">
        <f t="shared" ref="H59:AE59" si="11">F167/1000</f>
        <v>2E-3</v>
      </c>
      <c r="I59" s="660">
        <f t="shared" si="11"/>
        <v>0</v>
      </c>
      <c r="J59" s="660">
        <f t="shared" si="11"/>
        <v>0</v>
      </c>
      <c r="K59" s="660">
        <f t="shared" si="11"/>
        <v>1E-3</v>
      </c>
      <c r="L59" s="660">
        <f t="shared" si="11"/>
        <v>0</v>
      </c>
      <c r="M59" s="660">
        <f t="shared" si="11"/>
        <v>1E-3</v>
      </c>
      <c r="N59" s="660">
        <f t="shared" si="11"/>
        <v>0</v>
      </c>
      <c r="O59" s="660">
        <f t="shared" si="11"/>
        <v>0</v>
      </c>
      <c r="P59" s="660">
        <f t="shared" si="11"/>
        <v>1E-3</v>
      </c>
      <c r="Q59" s="660">
        <f t="shared" si="11"/>
        <v>1E-3</v>
      </c>
      <c r="R59" s="660">
        <f t="shared" si="11"/>
        <v>2E-3</v>
      </c>
      <c r="S59" s="660">
        <f t="shared" si="11"/>
        <v>2E-3</v>
      </c>
      <c r="T59" s="660">
        <f t="shared" si="11"/>
        <v>0</v>
      </c>
      <c r="U59" s="660">
        <f t="shared" si="11"/>
        <v>0</v>
      </c>
      <c r="V59" s="660">
        <f t="shared" si="11"/>
        <v>1E-3</v>
      </c>
      <c r="W59" s="660">
        <f t="shared" si="11"/>
        <v>0</v>
      </c>
      <c r="X59" s="660">
        <f t="shared" si="11"/>
        <v>0</v>
      </c>
      <c r="Y59" s="660">
        <f t="shared" si="11"/>
        <v>0</v>
      </c>
      <c r="Z59" s="660">
        <f t="shared" si="11"/>
        <v>0</v>
      </c>
      <c r="AA59" s="660">
        <f t="shared" si="11"/>
        <v>0</v>
      </c>
      <c r="AB59" s="660">
        <f t="shared" si="11"/>
        <v>1E-3</v>
      </c>
      <c r="AC59" s="660">
        <f t="shared" si="11"/>
        <v>0</v>
      </c>
      <c r="AD59" s="660">
        <f t="shared" si="11"/>
        <v>1E-3</v>
      </c>
      <c r="AE59" s="660">
        <f t="shared" si="11"/>
        <v>1E-3</v>
      </c>
      <c r="AF59" s="451"/>
      <c r="AG59" s="448"/>
      <c r="AH59" s="448"/>
      <c r="AI59" s="448"/>
      <c r="AJ59" s="448"/>
      <c r="AK59" s="448"/>
      <c r="AL59" s="448"/>
      <c r="AM59" s="448"/>
      <c r="AN59" s="448"/>
      <c r="AO59" s="448"/>
      <c r="AP59" s="448"/>
      <c r="AQ59" s="448"/>
      <c r="AR59" s="448"/>
      <c r="AS59" s="448"/>
      <c r="AT59" s="448"/>
      <c r="AU59" s="448"/>
      <c r="AV59" s="448"/>
      <c r="AW59" s="448"/>
    </row>
    <row r="60" spans="1:49" s="459" customFormat="1">
      <c r="A60" s="448" t="str">
        <f>Commodities!K21</f>
        <v>TCAR_BEV_00</v>
      </c>
      <c r="B60" s="28" t="s">
        <v>938</v>
      </c>
      <c r="C60" s="448" t="str">
        <f>Commodities!B14</f>
        <v>TRAELC</v>
      </c>
      <c r="D60" s="459" t="str">
        <f>Commodities!B22&amp;","&amp;Commodities!B23&amp;","&amp;Commodities!B24</f>
        <v>TRAPS,TRAPM,TRAPL</v>
      </c>
      <c r="E60" s="9">
        <f t="shared" si="4"/>
        <v>4.53</v>
      </c>
      <c r="F60" s="660">
        <f t="shared" si="1"/>
        <v>4.5999999999999999E-2</v>
      </c>
      <c r="G60" s="660">
        <f t="shared" si="2"/>
        <v>1.6759999999999999</v>
      </c>
      <c r="H60" s="660">
        <f t="shared" ref="H60:AE60" si="12">F168/1000</f>
        <v>0.29199999999999998</v>
      </c>
      <c r="I60" s="660">
        <f t="shared" si="12"/>
        <v>5.3999999999999999E-2</v>
      </c>
      <c r="J60" s="660">
        <f t="shared" si="12"/>
        <v>5.6000000000000001E-2</v>
      </c>
      <c r="K60" s="660">
        <f t="shared" si="12"/>
        <v>2.4E-2</v>
      </c>
      <c r="L60" s="660">
        <f t="shared" si="12"/>
        <v>0.10299999999999999</v>
      </c>
      <c r="M60" s="660">
        <f t="shared" si="12"/>
        <v>0.23899999999999999</v>
      </c>
      <c r="N60" s="660">
        <f t="shared" si="12"/>
        <v>2.9000000000000001E-2</v>
      </c>
      <c r="O60" s="660">
        <f t="shared" si="12"/>
        <v>9.8000000000000004E-2</v>
      </c>
      <c r="P60" s="660">
        <f t="shared" si="12"/>
        <v>0.14099999999999999</v>
      </c>
      <c r="Q60" s="660">
        <f t="shared" si="12"/>
        <v>0.25700000000000001</v>
      </c>
      <c r="R60" s="660">
        <f t="shared" si="12"/>
        <v>0.107</v>
      </c>
      <c r="S60" s="660">
        <f t="shared" si="12"/>
        <v>0.51400000000000001</v>
      </c>
      <c r="T60" s="660">
        <f t="shared" si="12"/>
        <v>9.8000000000000004E-2</v>
      </c>
      <c r="U60" s="660">
        <f t="shared" si="12"/>
        <v>0.123</v>
      </c>
      <c r="V60" s="660">
        <f t="shared" si="12"/>
        <v>9.4E-2</v>
      </c>
      <c r="W60" s="660">
        <f t="shared" si="12"/>
        <v>0.1</v>
      </c>
      <c r="X60" s="660">
        <f t="shared" si="12"/>
        <v>0.22800000000000001</v>
      </c>
      <c r="Y60" s="660">
        <f t="shared" si="12"/>
        <v>1.7000000000000001E-2</v>
      </c>
      <c r="Z60" s="660">
        <f t="shared" si="12"/>
        <v>5.8000000000000003E-2</v>
      </c>
      <c r="AA60" s="660">
        <f t="shared" si="12"/>
        <v>0.03</v>
      </c>
      <c r="AB60" s="660">
        <f t="shared" si="12"/>
        <v>2.9000000000000001E-2</v>
      </c>
      <c r="AC60" s="660">
        <f t="shared" si="12"/>
        <v>3.5000000000000003E-2</v>
      </c>
      <c r="AD60" s="660">
        <f t="shared" si="12"/>
        <v>5.0999999999999997E-2</v>
      </c>
      <c r="AE60" s="660">
        <f t="shared" si="12"/>
        <v>3.1E-2</v>
      </c>
      <c r="AF60" s="451"/>
    </row>
    <row r="61" spans="1:49" ht="15.6">
      <c r="A61" s="455" t="s">
        <v>583</v>
      </c>
      <c r="B61" s="455"/>
      <c r="C61" s="454"/>
      <c r="D61" s="454"/>
      <c r="E61" s="454"/>
      <c r="F61" s="454"/>
      <c r="G61" s="454"/>
      <c r="H61" s="454"/>
      <c r="I61" s="454"/>
      <c r="J61" s="454"/>
      <c r="K61" s="454"/>
      <c r="L61" s="454"/>
      <c r="M61" s="454"/>
      <c r="N61" s="454"/>
      <c r="O61" s="454"/>
      <c r="P61" s="454"/>
      <c r="Q61" s="454"/>
      <c r="R61" s="454"/>
      <c r="S61" s="454"/>
      <c r="T61" s="454"/>
      <c r="U61" s="454"/>
      <c r="V61" s="454"/>
      <c r="W61" s="454"/>
      <c r="X61" s="454"/>
      <c r="Y61" s="454"/>
      <c r="Z61" s="454"/>
      <c r="AA61" s="454"/>
      <c r="AB61" s="454"/>
      <c r="AC61" s="454"/>
      <c r="AD61" s="454"/>
      <c r="AE61" s="454"/>
      <c r="AF61" s="451"/>
      <c r="AG61" s="448"/>
      <c r="AH61" s="448"/>
      <c r="AI61" s="448"/>
      <c r="AJ61" s="448"/>
      <c r="AK61" s="448"/>
      <c r="AL61" s="448"/>
      <c r="AM61" s="448"/>
      <c r="AN61" s="448"/>
      <c r="AO61" s="448"/>
      <c r="AP61" s="448"/>
      <c r="AQ61" s="448"/>
      <c r="AR61" s="448"/>
      <c r="AS61" s="448"/>
      <c r="AT61" s="448"/>
      <c r="AU61" s="448"/>
      <c r="AV61" s="448"/>
      <c r="AW61" s="448"/>
    </row>
    <row r="62" spans="1:49">
      <c r="A62" s="448" t="str">
        <f>Commodities!K23</f>
        <v>TTAXI_ICE_GSL_00</v>
      </c>
      <c r="B62" s="28" t="s">
        <v>938</v>
      </c>
      <c r="C62" s="718" t="str">
        <f>Commodities!B18</f>
        <v>TRAGSLE</v>
      </c>
      <c r="D62" s="459" t="str">
        <f>Commodities!B22&amp;","&amp;Commodities!B23&amp;","&amp;Commodities!B24</f>
        <v>TRAPS,TRAPM,TRAPL</v>
      </c>
      <c r="E62" s="9">
        <f t="shared" si="4"/>
        <v>2.5000000000000004</v>
      </c>
      <c r="F62" s="660">
        <f>D169/1000</f>
        <v>0.01</v>
      </c>
      <c r="G62" s="660">
        <f t="shared" ref="G62:AE62" si="13">E169/1000</f>
        <v>1.579</v>
      </c>
      <c r="H62" s="660">
        <f t="shared" si="13"/>
        <v>7.0999999999999994E-2</v>
      </c>
      <c r="I62" s="660">
        <f t="shared" si="13"/>
        <v>0.01</v>
      </c>
      <c r="J62" s="660">
        <f t="shared" si="13"/>
        <v>1.2E-2</v>
      </c>
      <c r="K62" s="660">
        <f t="shared" si="13"/>
        <v>4.0000000000000001E-3</v>
      </c>
      <c r="L62" s="660">
        <f t="shared" si="13"/>
        <v>4.8000000000000001E-2</v>
      </c>
      <c r="M62" s="660">
        <f t="shared" si="13"/>
        <v>9.5000000000000001E-2</v>
      </c>
      <c r="N62" s="660">
        <f t="shared" si="13"/>
        <v>1.4E-2</v>
      </c>
      <c r="O62" s="660">
        <f t="shared" si="13"/>
        <v>1.4E-2</v>
      </c>
      <c r="P62" s="660">
        <f t="shared" si="13"/>
        <v>1.7000000000000001E-2</v>
      </c>
      <c r="Q62" s="660">
        <f t="shared" si="13"/>
        <v>3.1E-2</v>
      </c>
      <c r="R62" s="660">
        <f t="shared" si="13"/>
        <v>4.3999999999999997E-2</v>
      </c>
      <c r="S62" s="660">
        <f t="shared" si="13"/>
        <v>0.16400000000000001</v>
      </c>
      <c r="T62" s="660">
        <f t="shared" si="13"/>
        <v>2.8000000000000001E-2</v>
      </c>
      <c r="U62" s="660">
        <f t="shared" si="13"/>
        <v>0.125</v>
      </c>
      <c r="V62" s="660">
        <f t="shared" si="13"/>
        <v>1.2E-2</v>
      </c>
      <c r="W62" s="660">
        <f t="shared" si="13"/>
        <v>4.3999999999999997E-2</v>
      </c>
      <c r="X62" s="660">
        <f t="shared" si="13"/>
        <v>0.115</v>
      </c>
      <c r="Y62" s="660">
        <f t="shared" si="13"/>
        <v>0</v>
      </c>
      <c r="Z62" s="660">
        <f t="shared" si="13"/>
        <v>0.02</v>
      </c>
      <c r="AA62" s="660">
        <f t="shared" si="13"/>
        <v>3.0000000000000001E-3</v>
      </c>
      <c r="AB62" s="660">
        <f t="shared" si="13"/>
        <v>1.2E-2</v>
      </c>
      <c r="AC62" s="660">
        <f t="shared" si="13"/>
        <v>7.0000000000000001E-3</v>
      </c>
      <c r="AD62" s="660">
        <f t="shared" si="13"/>
        <v>1.7000000000000001E-2</v>
      </c>
      <c r="AE62" s="660">
        <f t="shared" si="13"/>
        <v>4.0000000000000001E-3</v>
      </c>
      <c r="AF62" s="451"/>
      <c r="AG62" s="448"/>
      <c r="AH62" s="448"/>
      <c r="AI62" s="448"/>
      <c r="AJ62" s="448"/>
      <c r="AK62" s="448"/>
      <c r="AL62" s="448"/>
      <c r="AM62" s="448"/>
      <c r="AN62" s="448"/>
      <c r="AO62" s="448"/>
      <c r="AP62" s="448"/>
      <c r="AQ62" s="448"/>
      <c r="AR62" s="448"/>
      <c r="AS62" s="448"/>
      <c r="AT62" s="448"/>
      <c r="AU62" s="448"/>
      <c r="AV62" s="448"/>
      <c r="AW62" s="448"/>
    </row>
    <row r="63" spans="1:49">
      <c r="A63" s="448" t="str">
        <f>Commodities!K24</f>
        <v>TTAXI_ICE_DST_00</v>
      </c>
      <c r="B63" s="28" t="s">
        <v>938</v>
      </c>
      <c r="C63" s="718" t="str">
        <f>Commodities!B19</f>
        <v>TRADSTB</v>
      </c>
      <c r="D63" s="459" t="str">
        <f>Commodities!B22&amp;","&amp;Commodities!B23&amp;","&amp;Commodities!B24</f>
        <v>TRAPS,TRAPM,TRAPL</v>
      </c>
      <c r="E63" s="9">
        <f t="shared" si="4"/>
        <v>17.463000000000001</v>
      </c>
      <c r="F63" s="660">
        <f>D170/1000</f>
        <v>0.14699999999999999</v>
      </c>
      <c r="G63" s="660">
        <f t="shared" ref="G63:AE63" si="14">E170/1000</f>
        <v>8.5139999999999993</v>
      </c>
      <c r="H63" s="660">
        <f t="shared" si="14"/>
        <v>0.71499999999999997</v>
      </c>
      <c r="I63" s="660">
        <f t="shared" si="14"/>
        <v>0.20399999999999999</v>
      </c>
      <c r="J63" s="660">
        <f t="shared" si="14"/>
        <v>0.2</v>
      </c>
      <c r="K63" s="660">
        <f t="shared" si="14"/>
        <v>8.3000000000000004E-2</v>
      </c>
      <c r="L63" s="660">
        <f t="shared" si="14"/>
        <v>0.50800000000000001</v>
      </c>
      <c r="M63" s="660">
        <f t="shared" si="14"/>
        <v>0.83199999999999996</v>
      </c>
      <c r="N63" s="660">
        <f t="shared" si="14"/>
        <v>0.15</v>
      </c>
      <c r="O63" s="660">
        <f t="shared" si="14"/>
        <v>0.25900000000000001</v>
      </c>
      <c r="P63" s="660">
        <f t="shared" si="14"/>
        <v>0.25</v>
      </c>
      <c r="Q63" s="660">
        <f t="shared" si="14"/>
        <v>0.315</v>
      </c>
      <c r="R63" s="660">
        <f t="shared" si="14"/>
        <v>0.30099999999999999</v>
      </c>
      <c r="S63" s="660">
        <f t="shared" si="14"/>
        <v>1.538</v>
      </c>
      <c r="T63" s="660">
        <f t="shared" si="14"/>
        <v>0.436</v>
      </c>
      <c r="U63" s="660">
        <f t="shared" si="14"/>
        <v>0.48699999999999999</v>
      </c>
      <c r="V63" s="660">
        <f t="shared" si="14"/>
        <v>0.24099999999999999</v>
      </c>
      <c r="W63" s="660">
        <f t="shared" si="14"/>
        <v>0.26200000000000001</v>
      </c>
      <c r="X63" s="660">
        <f t="shared" si="14"/>
        <v>0.82199999999999995</v>
      </c>
      <c r="Y63" s="660">
        <f t="shared" si="14"/>
        <v>6.5000000000000002E-2</v>
      </c>
      <c r="Z63" s="660">
        <f t="shared" si="14"/>
        <v>0.27</v>
      </c>
      <c r="AA63" s="660">
        <f t="shared" si="14"/>
        <v>0.129</v>
      </c>
      <c r="AB63" s="660">
        <f t="shared" si="14"/>
        <v>0.155</v>
      </c>
      <c r="AC63" s="660">
        <f t="shared" si="14"/>
        <v>0.157</v>
      </c>
      <c r="AD63" s="660">
        <f t="shared" si="14"/>
        <v>0.34799999999999998</v>
      </c>
      <c r="AE63" s="660">
        <f t="shared" si="14"/>
        <v>7.4999999999999997E-2</v>
      </c>
      <c r="AF63" s="451"/>
      <c r="AG63" s="448"/>
      <c r="AH63" s="448"/>
      <c r="AI63" s="448"/>
      <c r="AJ63" s="448"/>
      <c r="AK63" s="448"/>
      <c r="AL63" s="448"/>
      <c r="AM63" s="448"/>
      <c r="AN63" s="448"/>
      <c r="AO63" s="448"/>
      <c r="AP63" s="448"/>
      <c r="AQ63" s="448"/>
      <c r="AR63" s="448"/>
      <c r="AS63" s="448"/>
      <c r="AT63" s="448"/>
      <c r="AU63" s="448"/>
      <c r="AV63" s="448"/>
      <c r="AW63" s="448"/>
    </row>
    <row r="64" spans="1:49">
      <c r="A64" s="448" t="str">
        <f>Commodities!K25</f>
        <v>TTAXI_HEV_GSL_00</v>
      </c>
      <c r="B64" s="28" t="s">
        <v>938</v>
      </c>
      <c r="C64" s="718" t="str">
        <f>Commodities!B18</f>
        <v>TRAGSLE</v>
      </c>
      <c r="D64" s="459" t="str">
        <f>Commodities!B22&amp;","&amp;Commodities!B23&amp;","&amp;Commodities!B24</f>
        <v>TRAPS,TRAPM,TRAPL</v>
      </c>
      <c r="E64" s="9">
        <f t="shared" si="4"/>
        <v>1.3499999999999988</v>
      </c>
      <c r="F64" s="660">
        <f>D171/1000</f>
        <v>4.0000000000000001E-3</v>
      </c>
      <c r="G64" s="660">
        <f t="shared" ref="G64:AE64" si="15">E171/1000</f>
        <v>1.0549999999999999</v>
      </c>
      <c r="H64" s="660">
        <f t="shared" si="15"/>
        <v>3.6999999999999998E-2</v>
      </c>
      <c r="I64" s="660">
        <f t="shared" si="15"/>
        <v>1E-3</v>
      </c>
      <c r="J64" s="660">
        <f t="shared" si="15"/>
        <v>1.6E-2</v>
      </c>
      <c r="K64" s="660">
        <f t="shared" si="15"/>
        <v>0</v>
      </c>
      <c r="L64" s="660">
        <f t="shared" si="15"/>
        <v>2.5000000000000001E-2</v>
      </c>
      <c r="M64" s="660">
        <f t="shared" si="15"/>
        <v>5.0999999999999997E-2</v>
      </c>
      <c r="N64" s="660">
        <f t="shared" si="15"/>
        <v>3.0000000000000001E-3</v>
      </c>
      <c r="O64" s="660">
        <f t="shared" si="15"/>
        <v>6.0000000000000001E-3</v>
      </c>
      <c r="P64" s="660">
        <f t="shared" si="15"/>
        <v>3.0000000000000001E-3</v>
      </c>
      <c r="Q64" s="660">
        <f t="shared" si="15"/>
        <v>1.2999999999999999E-2</v>
      </c>
      <c r="R64" s="660">
        <f t="shared" si="15"/>
        <v>7.0000000000000001E-3</v>
      </c>
      <c r="S64" s="660">
        <f t="shared" si="15"/>
        <v>4.9000000000000002E-2</v>
      </c>
      <c r="T64" s="660">
        <f t="shared" si="15"/>
        <v>4.0000000000000001E-3</v>
      </c>
      <c r="U64" s="660">
        <f t="shared" si="15"/>
        <v>4.2000000000000003E-2</v>
      </c>
      <c r="V64" s="660">
        <f t="shared" si="15"/>
        <v>3.0000000000000001E-3</v>
      </c>
      <c r="W64" s="660">
        <f t="shared" si="15"/>
        <v>1E-3</v>
      </c>
      <c r="X64" s="660">
        <f t="shared" si="15"/>
        <v>2.4E-2</v>
      </c>
      <c r="Y64" s="660">
        <f t="shared" si="15"/>
        <v>0</v>
      </c>
      <c r="Z64" s="660">
        <f t="shared" si="15"/>
        <v>2E-3</v>
      </c>
      <c r="AA64" s="660">
        <f t="shared" si="15"/>
        <v>0</v>
      </c>
      <c r="AB64" s="660">
        <f t="shared" si="15"/>
        <v>2E-3</v>
      </c>
      <c r="AC64" s="660">
        <f t="shared" si="15"/>
        <v>1E-3</v>
      </c>
      <c r="AD64" s="660">
        <f t="shared" si="15"/>
        <v>1E-3</v>
      </c>
      <c r="AE64" s="660">
        <f t="shared" si="15"/>
        <v>0</v>
      </c>
      <c r="AF64" s="451"/>
      <c r="AG64" s="448"/>
      <c r="AH64" s="448"/>
      <c r="AI64" s="448"/>
      <c r="AJ64" s="448"/>
      <c r="AK64" s="448"/>
      <c r="AL64" s="448"/>
      <c r="AM64" s="448"/>
      <c r="AN64" s="448"/>
      <c r="AO64" s="448"/>
      <c r="AP64" s="448"/>
      <c r="AQ64" s="448"/>
      <c r="AR64" s="448"/>
      <c r="AS64" s="448"/>
      <c r="AT64" s="448"/>
      <c r="AU64" s="448"/>
      <c r="AV64" s="448"/>
      <c r="AW64" s="448"/>
    </row>
    <row r="65" spans="1:49" ht="15.6">
      <c r="A65" s="455" t="s">
        <v>633</v>
      </c>
      <c r="B65" s="455"/>
      <c r="C65" s="454"/>
      <c r="D65" s="454"/>
      <c r="E65" s="454"/>
      <c r="F65" s="454"/>
      <c r="G65" s="454"/>
      <c r="H65" s="454"/>
      <c r="I65" s="454"/>
      <c r="J65" s="454"/>
      <c r="K65" s="454"/>
      <c r="L65" s="454"/>
      <c r="M65" s="454"/>
      <c r="N65" s="454"/>
      <c r="O65" s="454"/>
      <c r="P65" s="454"/>
      <c r="Q65" s="454"/>
      <c r="R65" s="454"/>
      <c r="S65" s="454"/>
      <c r="T65" s="454"/>
      <c r="U65" s="454"/>
      <c r="V65" s="454"/>
      <c r="W65" s="454"/>
      <c r="X65" s="454"/>
      <c r="Y65" s="454"/>
      <c r="Z65" s="454"/>
      <c r="AA65" s="454"/>
      <c r="AB65" s="454"/>
      <c r="AC65" s="454"/>
      <c r="AD65" s="454"/>
      <c r="AE65" s="454"/>
      <c r="AF65" s="451"/>
      <c r="AG65" s="448"/>
      <c r="AH65" s="448"/>
      <c r="AI65" s="448"/>
      <c r="AJ65" s="448"/>
      <c r="AK65" s="448"/>
      <c r="AL65" s="448"/>
      <c r="AM65" s="448"/>
      <c r="AN65" s="448"/>
      <c r="AO65" s="448"/>
      <c r="AP65" s="448"/>
      <c r="AQ65" s="448"/>
      <c r="AR65" s="448"/>
      <c r="AS65" s="448"/>
      <c r="AT65" s="448"/>
      <c r="AU65" s="448"/>
      <c r="AV65" s="448"/>
      <c r="AW65" s="448"/>
    </row>
    <row r="66" spans="1:49">
      <c r="A66" s="448" t="str">
        <f>Commodities!K27</f>
        <v>TBUS_ICE_DST_00</v>
      </c>
      <c r="B66" s="28" t="s">
        <v>938</v>
      </c>
      <c r="C66" s="718" t="str">
        <f>Commodities!B19</f>
        <v>TRADSTB</v>
      </c>
      <c r="D66" s="459" t="str">
        <f>Commodities!B22&amp;","&amp;Commodities!B23&amp;","&amp;Commodities!B24</f>
        <v>TRAPS,TRAPM,TRAPL</v>
      </c>
      <c r="E66" s="9">
        <f>SUM(F66:AE66)</f>
        <v>10.695000000000004</v>
      </c>
      <c r="F66" s="660">
        <f>D172/1000</f>
        <v>0.14899999999999999</v>
      </c>
      <c r="G66" s="660">
        <f t="shared" ref="G66:AE66" si="16">E172/1000</f>
        <v>3.0659999999999998</v>
      </c>
      <c r="H66" s="660">
        <f t="shared" si="16"/>
        <v>0.501</v>
      </c>
      <c r="I66" s="660">
        <f t="shared" si="16"/>
        <v>0.29499999999999998</v>
      </c>
      <c r="J66" s="660">
        <f t="shared" si="16"/>
        <v>0.19800000000000001</v>
      </c>
      <c r="K66" s="660">
        <f t="shared" si="16"/>
        <v>0.105</v>
      </c>
      <c r="L66" s="660">
        <f t="shared" si="16"/>
        <v>0.23</v>
      </c>
      <c r="M66" s="660">
        <f t="shared" si="16"/>
        <v>0.376</v>
      </c>
      <c r="N66" s="660">
        <f t="shared" si="16"/>
        <v>0.21099999999999999</v>
      </c>
      <c r="O66" s="660">
        <f t="shared" si="16"/>
        <v>0.16</v>
      </c>
      <c r="P66" s="660">
        <f t="shared" si="16"/>
        <v>0.28899999999999998</v>
      </c>
      <c r="Q66" s="660">
        <f t="shared" si="16"/>
        <v>0.251</v>
      </c>
      <c r="R66" s="660">
        <f t="shared" si="16"/>
        <v>0.23799999999999999</v>
      </c>
      <c r="S66" s="660">
        <f t="shared" si="16"/>
        <v>0.89700000000000002</v>
      </c>
      <c r="T66" s="660">
        <f t="shared" si="16"/>
        <v>0.52400000000000002</v>
      </c>
      <c r="U66" s="660">
        <f t="shared" si="16"/>
        <v>0.314</v>
      </c>
      <c r="V66" s="660">
        <f t="shared" si="16"/>
        <v>0.39100000000000001</v>
      </c>
      <c r="W66" s="660">
        <f t="shared" si="16"/>
        <v>0.17899999999999999</v>
      </c>
      <c r="X66" s="660">
        <f t="shared" si="16"/>
        <v>0.59599999999999997</v>
      </c>
      <c r="Y66" s="660">
        <f t="shared" si="16"/>
        <v>9.9000000000000005E-2</v>
      </c>
      <c r="Z66" s="660">
        <f t="shared" si="16"/>
        <v>0.34100000000000003</v>
      </c>
      <c r="AA66" s="660">
        <f t="shared" si="16"/>
        <v>0.126</v>
      </c>
      <c r="AB66" s="660">
        <f t="shared" si="16"/>
        <v>0.11899999999999999</v>
      </c>
      <c r="AC66" s="660">
        <f t="shared" si="16"/>
        <v>0.19400000000000001</v>
      </c>
      <c r="AD66" s="660">
        <f t="shared" si="16"/>
        <v>0.625</v>
      </c>
      <c r="AE66" s="660">
        <f t="shared" si="16"/>
        <v>0.221</v>
      </c>
      <c r="AF66" s="451"/>
      <c r="AG66" s="448"/>
      <c r="AH66" s="448"/>
      <c r="AI66" s="448"/>
      <c r="AJ66" s="448"/>
      <c r="AK66" s="448"/>
      <c r="AL66" s="448"/>
      <c r="AM66" s="448"/>
      <c r="AN66" s="448"/>
      <c r="AO66" s="448"/>
      <c r="AP66" s="448"/>
      <c r="AQ66" s="448"/>
      <c r="AR66" s="448"/>
      <c r="AS66" s="448"/>
      <c r="AT66" s="448"/>
      <c r="AU66" s="448"/>
      <c r="AV66" s="448"/>
      <c r="AW66" s="448"/>
    </row>
    <row r="67" spans="1:49" ht="15.6">
      <c r="A67" s="455" t="s">
        <v>115</v>
      </c>
      <c r="B67" s="455"/>
      <c r="C67" s="454"/>
      <c r="D67" s="454"/>
      <c r="E67" s="454"/>
      <c r="F67" s="454"/>
      <c r="G67" s="454"/>
      <c r="H67" s="454"/>
      <c r="I67" s="454"/>
      <c r="J67" s="454"/>
      <c r="K67" s="454"/>
      <c r="L67" s="454"/>
      <c r="M67" s="454"/>
      <c r="N67" s="454"/>
      <c r="O67" s="454"/>
      <c r="P67" s="454"/>
      <c r="Q67" s="454"/>
      <c r="R67" s="454"/>
      <c r="S67" s="454"/>
      <c r="T67" s="454"/>
      <c r="U67" s="454"/>
      <c r="V67" s="454"/>
      <c r="W67" s="454"/>
      <c r="X67" s="454"/>
      <c r="Y67" s="454"/>
      <c r="Z67" s="454"/>
      <c r="AA67" s="454"/>
      <c r="AB67" s="454"/>
      <c r="AC67" s="454"/>
      <c r="AD67" s="454"/>
      <c r="AE67" s="454"/>
      <c r="AF67" s="451"/>
      <c r="AG67" s="448"/>
      <c r="AH67" s="448"/>
      <c r="AI67" s="448"/>
      <c r="AJ67" s="448"/>
      <c r="AK67" s="448"/>
      <c r="AL67" s="448"/>
      <c r="AM67" s="448"/>
      <c r="AN67" s="448"/>
      <c r="AO67" s="448"/>
      <c r="AP67" s="448"/>
      <c r="AQ67" s="448"/>
      <c r="AR67" s="448"/>
      <c r="AS67" s="448"/>
      <c r="AT67" s="448"/>
      <c r="AU67" s="448"/>
      <c r="AV67" s="448"/>
      <c r="AW67" s="448"/>
    </row>
    <row r="68" spans="1:49">
      <c r="A68" s="459" t="str">
        <f>Commodities!K29</f>
        <v>TLRAIL_ELC_00</v>
      </c>
      <c r="B68" s="28" t="s">
        <v>938</v>
      </c>
      <c r="C68" s="459" t="str">
        <f>Commodities!B14</f>
        <v>TRAELC</v>
      </c>
      <c r="D68" s="459" t="str">
        <f>Commodities!B22&amp;","&amp;Commodities!B23</f>
        <v>TRAPS,TRAPM</v>
      </c>
      <c r="E68" s="517">
        <f t="shared" ref="E68:E72" si="17">SUM(F68:AE68)</f>
        <v>7.2999999999999995E-2</v>
      </c>
      <c r="F68" s="648">
        <f>D173/1000</f>
        <v>0</v>
      </c>
      <c r="G68" s="648">
        <f t="shared" ref="G68:AE68" si="18">E173/1000</f>
        <v>7.2999999999999995E-2</v>
      </c>
      <c r="H68" s="648">
        <f t="shared" si="18"/>
        <v>0</v>
      </c>
      <c r="I68" s="648">
        <f t="shared" si="18"/>
        <v>0</v>
      </c>
      <c r="J68" s="648">
        <f t="shared" si="18"/>
        <v>0</v>
      </c>
      <c r="K68" s="648">
        <f t="shared" si="18"/>
        <v>0</v>
      </c>
      <c r="L68" s="648">
        <f t="shared" si="18"/>
        <v>0</v>
      </c>
      <c r="M68" s="648">
        <f t="shared" si="18"/>
        <v>0</v>
      </c>
      <c r="N68" s="648">
        <f t="shared" si="18"/>
        <v>0</v>
      </c>
      <c r="O68" s="648">
        <f t="shared" si="18"/>
        <v>0</v>
      </c>
      <c r="P68" s="648">
        <f t="shared" si="18"/>
        <v>0</v>
      </c>
      <c r="Q68" s="648">
        <f t="shared" si="18"/>
        <v>0</v>
      </c>
      <c r="R68" s="648">
        <f t="shared" si="18"/>
        <v>0</v>
      </c>
      <c r="S68" s="648">
        <f t="shared" si="18"/>
        <v>0</v>
      </c>
      <c r="T68" s="648">
        <f t="shared" si="18"/>
        <v>0</v>
      </c>
      <c r="U68" s="648">
        <f t="shared" si="18"/>
        <v>0</v>
      </c>
      <c r="V68" s="648">
        <f t="shared" si="18"/>
        <v>0</v>
      </c>
      <c r="W68" s="648">
        <f t="shared" si="18"/>
        <v>0</v>
      </c>
      <c r="X68" s="648">
        <f t="shared" si="18"/>
        <v>0</v>
      </c>
      <c r="Y68" s="648">
        <f t="shared" si="18"/>
        <v>0</v>
      </c>
      <c r="Z68" s="648">
        <f t="shared" si="18"/>
        <v>0</v>
      </c>
      <c r="AA68" s="648">
        <f t="shared" si="18"/>
        <v>0</v>
      </c>
      <c r="AB68" s="648">
        <f t="shared" si="18"/>
        <v>0</v>
      </c>
      <c r="AC68" s="648">
        <f t="shared" si="18"/>
        <v>0</v>
      </c>
      <c r="AD68" s="648">
        <f t="shared" si="18"/>
        <v>0</v>
      </c>
      <c r="AE68" s="648">
        <f t="shared" si="18"/>
        <v>0</v>
      </c>
      <c r="AF68" s="451"/>
      <c r="AG68" s="448"/>
      <c r="AH68" s="448"/>
      <c r="AI68" s="448"/>
      <c r="AJ68" s="448"/>
      <c r="AK68" s="448"/>
      <c r="AL68" s="448"/>
      <c r="AM68" s="448"/>
      <c r="AN68" s="448"/>
      <c r="AO68" s="448"/>
      <c r="AP68" s="448"/>
      <c r="AQ68" s="448"/>
      <c r="AR68" s="448"/>
      <c r="AS68" s="448"/>
      <c r="AT68" s="448"/>
      <c r="AU68" s="448"/>
      <c r="AV68" s="448"/>
      <c r="AW68" s="448"/>
    </row>
    <row r="69" spans="1:49">
      <c r="A69" s="459" t="str">
        <f>Commodities!K30</f>
        <v>THRAIL_ELC_00</v>
      </c>
      <c r="B69" s="28" t="s">
        <v>938</v>
      </c>
      <c r="C69" s="459" t="str">
        <f>Commodities!B14</f>
        <v>TRAELC</v>
      </c>
      <c r="D69" s="459" t="str">
        <f>Commodities!B24</f>
        <v>TRAPL</v>
      </c>
      <c r="E69" s="517">
        <f t="shared" si="17"/>
        <v>5.1999999999999998E-2</v>
      </c>
      <c r="F69" s="5">
        <f>D174/1000</f>
        <v>0</v>
      </c>
      <c r="G69" s="5">
        <f t="shared" ref="G69:AE69" si="19">E174/1000</f>
        <v>5.1999999999999998E-2</v>
      </c>
      <c r="H69" s="5">
        <f t="shared" si="19"/>
        <v>0</v>
      </c>
      <c r="I69" s="5">
        <f t="shared" si="19"/>
        <v>0</v>
      </c>
      <c r="J69" s="5">
        <f t="shared" si="19"/>
        <v>0</v>
      </c>
      <c r="K69" s="5">
        <f t="shared" si="19"/>
        <v>0</v>
      </c>
      <c r="L69" s="5">
        <f t="shared" si="19"/>
        <v>0</v>
      </c>
      <c r="M69" s="5">
        <f t="shared" si="19"/>
        <v>0</v>
      </c>
      <c r="N69" s="5">
        <f t="shared" si="19"/>
        <v>0</v>
      </c>
      <c r="O69" s="5">
        <f t="shared" si="19"/>
        <v>0</v>
      </c>
      <c r="P69" s="5">
        <f t="shared" si="19"/>
        <v>0</v>
      </c>
      <c r="Q69" s="5">
        <f t="shared" si="19"/>
        <v>0</v>
      </c>
      <c r="R69" s="5">
        <f t="shared" si="19"/>
        <v>0</v>
      </c>
      <c r="S69" s="5">
        <f t="shared" si="19"/>
        <v>0</v>
      </c>
      <c r="T69" s="5">
        <f t="shared" si="19"/>
        <v>0</v>
      </c>
      <c r="U69" s="5">
        <f t="shared" si="19"/>
        <v>0</v>
      </c>
      <c r="V69" s="5">
        <f t="shared" si="19"/>
        <v>0</v>
      </c>
      <c r="W69" s="5">
        <f t="shared" si="19"/>
        <v>0</v>
      </c>
      <c r="X69" s="5">
        <f t="shared" si="19"/>
        <v>0</v>
      </c>
      <c r="Y69" s="5">
        <f t="shared" si="19"/>
        <v>0</v>
      </c>
      <c r="Z69" s="5">
        <f t="shared" si="19"/>
        <v>0</v>
      </c>
      <c r="AA69" s="5">
        <f t="shared" si="19"/>
        <v>0</v>
      </c>
      <c r="AB69" s="5">
        <f t="shared" si="19"/>
        <v>0</v>
      </c>
      <c r="AC69" s="5">
        <f t="shared" si="19"/>
        <v>0</v>
      </c>
      <c r="AD69" s="5">
        <f t="shared" si="19"/>
        <v>0</v>
      </c>
      <c r="AE69" s="5">
        <f t="shared" si="19"/>
        <v>0</v>
      </c>
      <c r="AF69" s="451"/>
      <c r="AG69" s="448"/>
      <c r="AH69" s="448"/>
      <c r="AI69" s="448"/>
      <c r="AJ69" s="448"/>
      <c r="AK69" s="448"/>
      <c r="AL69" s="448"/>
      <c r="AM69" s="448"/>
      <c r="AN69" s="448"/>
      <c r="AO69" s="448"/>
      <c r="AP69" s="448"/>
      <c r="AQ69" s="448"/>
      <c r="AR69" s="448"/>
      <c r="AS69" s="448"/>
      <c r="AT69" s="448"/>
      <c r="AU69" s="448"/>
      <c r="AV69" s="448"/>
      <c r="AW69" s="448"/>
    </row>
    <row r="70" spans="1:49">
      <c r="A70" s="28" t="str">
        <f>Commodities!K31</f>
        <v>THRAIL_DST_00</v>
      </c>
      <c r="B70" s="28" t="s">
        <v>938</v>
      </c>
      <c r="C70" s="28" t="str">
        <f>Commodities!B19</f>
        <v>TRADSTB</v>
      </c>
      <c r="D70" s="459" t="str">
        <f>Commodities!B24</f>
        <v>TRAPL</v>
      </c>
      <c r="E70" s="673">
        <f t="shared" si="17"/>
        <v>0.14399999999999996</v>
      </c>
      <c r="F70" s="660">
        <f>D175/1000</f>
        <v>1.7216380556777638E-3</v>
      </c>
      <c r="G70" s="660">
        <f t="shared" ref="G70:AE70" si="20">E175/1000</f>
        <v>4.0744476376377785E-2</v>
      </c>
      <c r="H70" s="660">
        <f t="shared" si="20"/>
        <v>6.7285771436191438E-3</v>
      </c>
      <c r="I70" s="660">
        <f t="shared" si="20"/>
        <v>3.0008007366861492E-3</v>
      </c>
      <c r="J70" s="660">
        <f t="shared" si="20"/>
        <v>2.5612586665098632E-3</v>
      </c>
      <c r="K70" s="660">
        <f t="shared" si="20"/>
        <v>1.236009840682169E-3</v>
      </c>
      <c r="L70" s="660">
        <f t="shared" si="20"/>
        <v>3.8974847039972759E-3</v>
      </c>
      <c r="M70" s="660">
        <f t="shared" si="20"/>
        <v>5.8981798098014073E-3</v>
      </c>
      <c r="N70" s="660">
        <f t="shared" si="20"/>
        <v>2.357560325628717E-3</v>
      </c>
      <c r="O70" s="660">
        <f t="shared" si="20"/>
        <v>2.6844272149672429E-3</v>
      </c>
      <c r="P70" s="660">
        <f t="shared" si="20"/>
        <v>4.5276310857195624E-3</v>
      </c>
      <c r="Q70" s="660">
        <f t="shared" si="20"/>
        <v>4.3069679631824896E-3</v>
      </c>
      <c r="R70" s="660">
        <f t="shared" si="20"/>
        <v>3.5930560820182822E-3</v>
      </c>
      <c r="S70" s="660">
        <f t="shared" si="20"/>
        <v>1.6416465397486056E-2</v>
      </c>
      <c r="T70" s="660">
        <f t="shared" si="20"/>
        <v>4.4666969769197543E-3</v>
      </c>
      <c r="U70" s="660">
        <f t="shared" si="20"/>
        <v>5.8937949731880214E-3</v>
      </c>
      <c r="V70" s="660">
        <f t="shared" si="20"/>
        <v>4.8249230081071149E-3</v>
      </c>
      <c r="W70" s="660">
        <f t="shared" si="20"/>
        <v>3.5131915751496498E-3</v>
      </c>
      <c r="X70" s="660">
        <f t="shared" si="20"/>
        <v>7.8037390812213227E-3</v>
      </c>
      <c r="Y70" s="660">
        <f t="shared" si="20"/>
        <v>9.6901865130573773E-4</v>
      </c>
      <c r="Z70" s="660">
        <f t="shared" si="20"/>
        <v>3.9465646338146896E-3</v>
      </c>
      <c r="AA70" s="660">
        <f t="shared" si="20"/>
        <v>1.9518268577542609E-3</v>
      </c>
      <c r="AB70" s="660">
        <f t="shared" si="20"/>
        <v>1.9817949479878144E-3</v>
      </c>
      <c r="AC70" s="660">
        <f t="shared" si="20"/>
        <v>2.3035814749053137E-3</v>
      </c>
      <c r="AD70" s="660">
        <f t="shared" si="20"/>
        <v>4.8140062769524089E-3</v>
      </c>
      <c r="AE70" s="660">
        <f t="shared" si="20"/>
        <v>1.8563281403399705E-3</v>
      </c>
      <c r="AF70" s="451"/>
      <c r="AG70" s="448"/>
      <c r="AH70" s="448"/>
      <c r="AI70" s="448"/>
      <c r="AJ70" s="448"/>
      <c r="AK70" s="448"/>
      <c r="AL70" s="448"/>
      <c r="AM70" s="448"/>
      <c r="AN70" s="448"/>
      <c r="AO70" s="448"/>
      <c r="AP70" s="448"/>
      <c r="AQ70" s="448"/>
      <c r="AR70" s="448"/>
      <c r="AS70" s="448"/>
      <c r="AT70" s="448"/>
      <c r="AU70" s="448"/>
      <c r="AV70" s="448"/>
      <c r="AW70" s="448"/>
    </row>
    <row r="71" spans="1:49" ht="15.6">
      <c r="A71" s="455" t="s">
        <v>762</v>
      </c>
      <c r="B71" s="455"/>
      <c r="C71" s="454"/>
      <c r="D71" s="454"/>
      <c r="E71" s="454"/>
      <c r="F71" s="454"/>
      <c r="G71" s="454"/>
      <c r="H71" s="454"/>
      <c r="I71" s="454"/>
      <c r="J71" s="454"/>
      <c r="K71" s="454"/>
      <c r="L71" s="454"/>
      <c r="M71" s="454"/>
      <c r="N71" s="454"/>
      <c r="O71" s="454"/>
      <c r="P71" s="454"/>
      <c r="Q71" s="454"/>
      <c r="R71" s="454"/>
      <c r="S71" s="454"/>
      <c r="T71" s="454"/>
      <c r="U71" s="454"/>
      <c r="V71" s="454"/>
      <c r="W71" s="454"/>
      <c r="X71" s="454"/>
      <c r="Y71" s="454"/>
      <c r="Z71" s="454"/>
      <c r="AA71" s="454"/>
      <c r="AB71" s="454"/>
      <c r="AC71" s="454"/>
      <c r="AD71" s="454"/>
      <c r="AE71" s="454"/>
      <c r="AF71" s="451"/>
      <c r="AG71" s="448"/>
      <c r="AH71" s="448"/>
      <c r="AI71" s="448"/>
      <c r="AJ71" s="448"/>
      <c r="AK71" s="448"/>
      <c r="AL71" s="448"/>
      <c r="AM71" s="448"/>
      <c r="AN71" s="448"/>
      <c r="AO71" s="448"/>
      <c r="AP71" s="448"/>
      <c r="AQ71" s="448"/>
      <c r="AR71" s="448"/>
      <c r="AS71" s="448"/>
      <c r="AT71" s="448"/>
      <c r="AU71" s="448"/>
      <c r="AV71" s="448"/>
      <c r="AW71" s="448"/>
    </row>
    <row r="72" spans="1:49">
      <c r="A72" s="459" t="str">
        <f>Commodities!K34</f>
        <v>TFGV_GSL_00</v>
      </c>
      <c r="B72" s="28" t="s">
        <v>64</v>
      </c>
      <c r="C72" s="718" t="str">
        <f>Commodities!B18</f>
        <v>TRAGSLE</v>
      </c>
      <c r="D72" s="459" t="str">
        <f>Commodities!B25</f>
        <v>TFGV</v>
      </c>
      <c r="E72" s="9">
        <f t="shared" si="17"/>
        <v>0.89000000000000035</v>
      </c>
      <c r="F72" s="517">
        <f>D176/1000</f>
        <v>0.01</v>
      </c>
      <c r="G72" s="517">
        <f t="shared" ref="G72:AE72" si="21">E176/1000</f>
        <v>0.27800000000000002</v>
      </c>
      <c r="H72" s="517">
        <f t="shared" si="21"/>
        <v>4.9000000000000002E-2</v>
      </c>
      <c r="I72" s="517">
        <f t="shared" si="21"/>
        <v>1.4999999999999999E-2</v>
      </c>
      <c r="J72" s="517">
        <f t="shared" si="21"/>
        <v>2.1000000000000001E-2</v>
      </c>
      <c r="K72" s="517">
        <f t="shared" si="21"/>
        <v>8.0000000000000002E-3</v>
      </c>
      <c r="L72" s="517">
        <f t="shared" si="21"/>
        <v>1.4999999999999999E-2</v>
      </c>
      <c r="M72" s="517">
        <f t="shared" si="21"/>
        <v>2.1000000000000001E-2</v>
      </c>
      <c r="N72" s="517">
        <f t="shared" si="21"/>
        <v>0.01</v>
      </c>
      <c r="O72" s="517">
        <f t="shared" si="21"/>
        <v>1.4E-2</v>
      </c>
      <c r="P72" s="517">
        <f t="shared" si="21"/>
        <v>2.8000000000000001E-2</v>
      </c>
      <c r="Q72" s="517">
        <f t="shared" si="21"/>
        <v>4.5999999999999999E-2</v>
      </c>
      <c r="R72" s="517">
        <f t="shared" si="21"/>
        <v>1.6E-2</v>
      </c>
      <c r="S72" s="517">
        <f t="shared" si="21"/>
        <v>0.13100000000000001</v>
      </c>
      <c r="T72" s="517">
        <f t="shared" si="21"/>
        <v>2.1000000000000001E-2</v>
      </c>
      <c r="U72" s="517">
        <f t="shared" si="21"/>
        <v>1.4E-2</v>
      </c>
      <c r="V72" s="517">
        <f t="shared" si="21"/>
        <v>2.7E-2</v>
      </c>
      <c r="W72" s="517">
        <f t="shared" si="21"/>
        <v>0.03</v>
      </c>
      <c r="X72" s="517">
        <f t="shared" si="21"/>
        <v>4.3999999999999997E-2</v>
      </c>
      <c r="Y72" s="517">
        <f t="shared" si="21"/>
        <v>2E-3</v>
      </c>
      <c r="Z72" s="517">
        <f t="shared" si="21"/>
        <v>1.9E-2</v>
      </c>
      <c r="AA72" s="517">
        <f t="shared" si="21"/>
        <v>1.4E-2</v>
      </c>
      <c r="AB72" s="517">
        <f t="shared" si="21"/>
        <v>8.9999999999999993E-3</v>
      </c>
      <c r="AC72" s="517">
        <f t="shared" si="21"/>
        <v>7.0000000000000001E-3</v>
      </c>
      <c r="AD72" s="517">
        <f t="shared" si="21"/>
        <v>2.9000000000000001E-2</v>
      </c>
      <c r="AE72" s="517">
        <f t="shared" si="21"/>
        <v>1.2E-2</v>
      </c>
      <c r="AF72" s="451"/>
      <c r="AG72" s="448"/>
      <c r="AH72" s="448"/>
      <c r="AI72" s="448"/>
      <c r="AJ72" s="448"/>
      <c r="AK72" s="448"/>
      <c r="AL72" s="448"/>
      <c r="AM72" s="448"/>
      <c r="AN72" s="448"/>
      <c r="AO72" s="448"/>
      <c r="AP72" s="448"/>
      <c r="AQ72" s="448"/>
      <c r="AR72" s="448"/>
      <c r="AS72" s="448"/>
      <c r="AT72" s="448"/>
      <c r="AU72" s="448"/>
      <c r="AV72" s="448"/>
      <c r="AW72" s="448"/>
    </row>
    <row r="73" spans="1:49">
      <c r="A73" s="459" t="str">
        <f>Commodities!K35</f>
        <v>TFGV_DST_00</v>
      </c>
      <c r="B73" s="28" t="s">
        <v>64</v>
      </c>
      <c r="C73" s="718" t="str">
        <f>Commodities!B19</f>
        <v>TRADSTB</v>
      </c>
      <c r="D73" s="459" t="str">
        <f>Commodities!B25</f>
        <v>TFGV</v>
      </c>
      <c r="E73" s="9">
        <f>SUM(F73:AE73)</f>
        <v>353.57099999999997</v>
      </c>
      <c r="F73" s="517">
        <f>D177/1000</f>
        <v>5.7990000000000004</v>
      </c>
      <c r="G73" s="517">
        <f t="shared" ref="G73:AE73" si="22">E177/1000</f>
        <v>74.245000000000005</v>
      </c>
      <c r="H73" s="517">
        <f t="shared" si="22"/>
        <v>16.042000000000002</v>
      </c>
      <c r="I73" s="517">
        <f t="shared" si="22"/>
        <v>8.2059999999999995</v>
      </c>
      <c r="J73" s="517">
        <f t="shared" si="22"/>
        <v>6.0140000000000002</v>
      </c>
      <c r="K73" s="517">
        <f t="shared" si="22"/>
        <v>3.931</v>
      </c>
      <c r="L73" s="517">
        <f t="shared" si="22"/>
        <v>8.1280000000000001</v>
      </c>
      <c r="M73" s="517">
        <f t="shared" si="22"/>
        <v>14.762</v>
      </c>
      <c r="N73" s="517">
        <f t="shared" si="22"/>
        <v>6.5149999999999997</v>
      </c>
      <c r="O73" s="517">
        <f t="shared" si="22"/>
        <v>8.0960000000000001</v>
      </c>
      <c r="P73" s="517">
        <f t="shared" si="22"/>
        <v>13.961</v>
      </c>
      <c r="Q73" s="517">
        <f t="shared" si="22"/>
        <v>9.39</v>
      </c>
      <c r="R73" s="517">
        <f t="shared" si="22"/>
        <v>9.42</v>
      </c>
      <c r="S73" s="517">
        <f t="shared" si="22"/>
        <v>41.390999999999998</v>
      </c>
      <c r="T73" s="517">
        <f t="shared" si="22"/>
        <v>11.898999999999999</v>
      </c>
      <c r="U73" s="517">
        <f t="shared" si="22"/>
        <v>13.635</v>
      </c>
      <c r="V73" s="517">
        <f t="shared" si="22"/>
        <v>13.935</v>
      </c>
      <c r="W73" s="517">
        <f t="shared" si="22"/>
        <v>8.1319999999999997</v>
      </c>
      <c r="X73" s="517">
        <f t="shared" si="22"/>
        <v>20.314</v>
      </c>
      <c r="Y73" s="517">
        <f t="shared" si="22"/>
        <v>3.4009999999999998</v>
      </c>
      <c r="Z73" s="517">
        <f t="shared" si="22"/>
        <v>13.343</v>
      </c>
      <c r="AA73" s="517">
        <f t="shared" si="22"/>
        <v>6.3689999999999998</v>
      </c>
      <c r="AB73" s="517">
        <f t="shared" si="22"/>
        <v>6.0369999999999999</v>
      </c>
      <c r="AC73" s="517">
        <f t="shared" si="22"/>
        <v>8.0429999999999993</v>
      </c>
      <c r="AD73" s="517">
        <f t="shared" si="22"/>
        <v>14.606</v>
      </c>
      <c r="AE73" s="517">
        <f t="shared" si="22"/>
        <v>7.9569999999999999</v>
      </c>
      <c r="AF73" s="451"/>
      <c r="AG73" s="448"/>
      <c r="AH73" s="448"/>
      <c r="AI73" s="448"/>
      <c r="AJ73" s="448"/>
      <c r="AK73" s="448"/>
      <c r="AL73" s="448"/>
      <c r="AM73" s="448"/>
      <c r="AN73" s="448"/>
      <c r="AO73" s="448"/>
      <c r="AP73" s="448"/>
      <c r="AQ73" s="448"/>
      <c r="AR73" s="448"/>
      <c r="AS73" s="448"/>
      <c r="AT73" s="448"/>
      <c r="AU73" s="448"/>
      <c r="AV73" s="448"/>
      <c r="AW73" s="448"/>
    </row>
    <row r="74" spans="1:49" s="459" customFormat="1">
      <c r="A74" s="459" t="str">
        <f>Commodities!K36</f>
        <v>TFRAIL_DST_00</v>
      </c>
      <c r="B74" s="459" t="s">
        <v>64</v>
      </c>
      <c r="C74" s="718" t="str">
        <f>Commodities!B19</f>
        <v>TRADSTB</v>
      </c>
      <c r="D74" s="459" t="str">
        <f>Commodities!B26</f>
        <v>TFRAIL</v>
      </c>
      <c r="E74" s="517">
        <f>C178/1000</f>
        <v>1.4E-2</v>
      </c>
      <c r="F74" s="517">
        <f>D178/1000</f>
        <v>0</v>
      </c>
      <c r="G74" s="517">
        <f t="shared" ref="G74:AE74" si="23">E178/1000</f>
        <v>1.4E-2</v>
      </c>
      <c r="H74" s="517">
        <f t="shared" si="23"/>
        <v>0</v>
      </c>
      <c r="I74" s="517">
        <f t="shared" si="23"/>
        <v>0</v>
      </c>
      <c r="J74" s="517">
        <f t="shared" si="23"/>
        <v>0</v>
      </c>
      <c r="K74" s="517">
        <f t="shared" si="23"/>
        <v>0</v>
      </c>
      <c r="L74" s="517">
        <f t="shared" si="23"/>
        <v>0</v>
      </c>
      <c r="M74" s="517">
        <f t="shared" si="23"/>
        <v>1.4E-2</v>
      </c>
      <c r="N74" s="517">
        <f t="shared" si="23"/>
        <v>0</v>
      </c>
      <c r="O74" s="517">
        <f t="shared" si="23"/>
        <v>0</v>
      </c>
      <c r="P74" s="517">
        <f t="shared" si="23"/>
        <v>0</v>
      </c>
      <c r="Q74" s="517">
        <f t="shared" si="23"/>
        <v>0</v>
      </c>
      <c r="R74" s="517">
        <f t="shared" si="23"/>
        <v>0</v>
      </c>
      <c r="S74" s="517">
        <f t="shared" si="23"/>
        <v>0</v>
      </c>
      <c r="T74" s="517">
        <f t="shared" si="23"/>
        <v>0</v>
      </c>
      <c r="U74" s="517">
        <f t="shared" si="23"/>
        <v>0</v>
      </c>
      <c r="V74" s="517">
        <f t="shared" si="23"/>
        <v>0</v>
      </c>
      <c r="W74" s="517">
        <f t="shared" si="23"/>
        <v>1.4E-2</v>
      </c>
      <c r="X74" s="517">
        <f t="shared" si="23"/>
        <v>0</v>
      </c>
      <c r="Y74" s="517">
        <f t="shared" si="23"/>
        <v>0</v>
      </c>
      <c r="Z74" s="517">
        <f t="shared" si="23"/>
        <v>1.4E-2</v>
      </c>
      <c r="AA74" s="517">
        <f t="shared" si="23"/>
        <v>0</v>
      </c>
      <c r="AB74" s="517">
        <f t="shared" si="23"/>
        <v>0</v>
      </c>
      <c r="AC74" s="517">
        <f t="shared" si="23"/>
        <v>0</v>
      </c>
      <c r="AD74" s="517">
        <f t="shared" si="23"/>
        <v>0</v>
      </c>
      <c r="AE74" s="517">
        <f t="shared" si="23"/>
        <v>0</v>
      </c>
      <c r="AF74" s="451"/>
    </row>
    <row r="75" spans="1:49" s="459" customFormat="1" ht="15.6">
      <c r="A75" s="455" t="s">
        <v>810</v>
      </c>
      <c r="B75" s="455"/>
      <c r="C75" s="454"/>
      <c r="D75" s="454"/>
      <c r="E75" s="454"/>
      <c r="F75" s="454"/>
      <c r="G75" s="454"/>
      <c r="H75" s="454"/>
      <c r="I75" s="454"/>
      <c r="J75" s="454"/>
      <c r="K75" s="454"/>
      <c r="L75" s="454"/>
      <c r="M75" s="454"/>
      <c r="N75" s="454"/>
      <c r="O75" s="454"/>
      <c r="P75" s="454"/>
      <c r="Q75" s="454"/>
      <c r="R75" s="454"/>
      <c r="S75" s="454"/>
      <c r="T75" s="454"/>
      <c r="U75" s="454"/>
      <c r="V75" s="454"/>
      <c r="W75" s="454"/>
      <c r="X75" s="454"/>
      <c r="Y75" s="454"/>
      <c r="Z75" s="454"/>
      <c r="AA75" s="454"/>
      <c r="AB75" s="454"/>
      <c r="AC75" s="454"/>
      <c r="AD75" s="454"/>
      <c r="AE75" s="454"/>
      <c r="AF75" s="451"/>
    </row>
    <row r="76" spans="1:49" s="459" customFormat="1">
      <c r="A76" s="459" t="str">
        <f>Commodities!K38</f>
        <v>TTUR_00</v>
      </c>
      <c r="B76" s="28" t="s">
        <v>940</v>
      </c>
      <c r="C76" s="718" t="str">
        <f>Commodities!B19</f>
        <v>TRADSTB</v>
      </c>
      <c r="D76" s="459" t="str">
        <f>Commodities!B27</f>
        <v>TTURS</v>
      </c>
      <c r="E76" s="657"/>
      <c r="F76" s="657"/>
      <c r="G76" s="657"/>
      <c r="H76" s="657"/>
      <c r="I76" s="657"/>
      <c r="J76" s="657"/>
      <c r="K76" s="657"/>
      <c r="L76" s="657"/>
      <c r="M76" s="657"/>
      <c r="N76" s="657"/>
      <c r="O76" s="657"/>
      <c r="P76" s="657"/>
      <c r="Q76" s="657"/>
      <c r="R76" s="657"/>
      <c r="S76" s="657"/>
      <c r="T76" s="657"/>
      <c r="U76" s="657"/>
      <c r="V76" s="657"/>
      <c r="W76" s="657"/>
      <c r="X76" s="657"/>
      <c r="Y76" s="657"/>
      <c r="Z76" s="657"/>
      <c r="AA76" s="657"/>
      <c r="AB76" s="657"/>
      <c r="AC76" s="657"/>
      <c r="AD76" s="657"/>
      <c r="AE76" s="657"/>
      <c r="AF76" s="451"/>
    </row>
    <row r="77" spans="1:49" s="459" customFormat="1">
      <c r="A77" s="459" t="str">
        <f>Commodities!K39</f>
        <v>TNAV_00</v>
      </c>
      <c r="B77" s="28" t="s">
        <v>940</v>
      </c>
      <c r="C77" s="718" t="str">
        <f>Commodities!B19</f>
        <v>TRADSTB</v>
      </c>
      <c r="D77" s="459" t="str">
        <f>Commodities!B28</f>
        <v>TNAV</v>
      </c>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c r="AD77" s="461"/>
      <c r="AE77" s="461"/>
      <c r="AF77" s="451"/>
    </row>
    <row r="78" spans="1:49" s="459" customFormat="1">
      <c r="A78" s="459" t="str">
        <f>Commodities!K40</f>
        <v>TOTH_00</v>
      </c>
      <c r="B78" s="28" t="s">
        <v>940</v>
      </c>
      <c r="C78" s="459" t="str">
        <f>Commodities!B18&amp;","&amp;Commodities!B19&amp;","&amp;Commodities!B12</f>
        <v>TRAGSLE,TRADSTB,TRACNG</v>
      </c>
      <c r="D78" s="459" t="str">
        <f>Commodities!B29</f>
        <v>TOTH</v>
      </c>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c r="AD78" s="461"/>
      <c r="AE78" s="461"/>
      <c r="AF78" s="451"/>
    </row>
    <row r="79" spans="1:49" s="459" customFormat="1" ht="15.6">
      <c r="A79" s="711" t="s">
        <v>816</v>
      </c>
      <c r="B79" s="711"/>
      <c r="C79" s="712"/>
      <c r="D79" s="712"/>
      <c r="E79" s="712"/>
      <c r="F79" s="712"/>
      <c r="G79" s="712"/>
      <c r="H79" s="712"/>
      <c r="I79" s="712"/>
      <c r="J79" s="712"/>
      <c r="K79" s="712"/>
      <c r="L79" s="712"/>
      <c r="M79" s="712"/>
      <c r="N79" s="712"/>
      <c r="O79" s="712"/>
      <c r="P79" s="712"/>
      <c r="Q79" s="712"/>
      <c r="R79" s="712"/>
      <c r="S79" s="712"/>
      <c r="T79" s="712"/>
      <c r="U79" s="712"/>
      <c r="V79" s="712"/>
      <c r="W79" s="712"/>
      <c r="X79" s="712"/>
      <c r="Y79" s="712"/>
      <c r="Z79" s="712"/>
      <c r="AA79" s="712"/>
      <c r="AB79" s="712"/>
      <c r="AC79" s="712"/>
      <c r="AD79" s="712"/>
      <c r="AE79" s="712"/>
      <c r="AF79" s="451"/>
    </row>
    <row r="80" spans="1:49" s="459" customFormat="1">
      <c r="A80" s="1" t="str">
        <f>Commodities!K42</f>
        <v>TAVI_DOM_00</v>
      </c>
      <c r="B80" s="713" t="s">
        <v>940</v>
      </c>
      <c r="C80" s="1" t="str">
        <f>Commodities!B17</f>
        <v>TRAKER</v>
      </c>
      <c r="D80" s="1" t="str">
        <f>Commodities!B30</f>
        <v>TAVIDOM</v>
      </c>
      <c r="E80" s="714"/>
      <c r="F80" s="714"/>
      <c r="G80" s="714"/>
      <c r="H80" s="714"/>
      <c r="I80" s="714"/>
      <c r="J80" s="714"/>
      <c r="K80" s="714"/>
      <c r="L80" s="714"/>
      <c r="M80" s="714"/>
      <c r="N80" s="714"/>
      <c r="O80" s="714"/>
      <c r="P80" s="714"/>
      <c r="Q80" s="714"/>
      <c r="R80" s="714"/>
      <c r="S80" s="714"/>
      <c r="T80" s="714"/>
      <c r="U80" s="714"/>
      <c r="V80" s="714"/>
      <c r="W80" s="714"/>
      <c r="X80" s="714"/>
      <c r="Y80" s="714"/>
      <c r="Z80" s="714"/>
      <c r="AA80" s="714"/>
      <c r="AB80" s="714"/>
      <c r="AC80" s="714"/>
      <c r="AD80" s="714"/>
      <c r="AE80" s="714"/>
      <c r="AF80" s="451"/>
    </row>
    <row r="81" spans="1:32" s="459" customFormat="1">
      <c r="A81" s="458" t="str">
        <f>Commodities!K43</f>
        <v>TAVI_INT_00</v>
      </c>
      <c r="B81" s="129" t="s">
        <v>940</v>
      </c>
      <c r="C81" s="458" t="str">
        <f>Commodities!B17</f>
        <v>TRAKER</v>
      </c>
      <c r="D81" s="458" t="str">
        <f>Commodities!B31</f>
        <v>TAVIINT</v>
      </c>
      <c r="E81" s="645"/>
      <c r="F81" s="645"/>
      <c r="G81" s="645"/>
      <c r="H81" s="645"/>
      <c r="I81" s="645"/>
      <c r="J81" s="645"/>
      <c r="K81" s="645"/>
      <c r="L81" s="645"/>
      <c r="M81" s="645"/>
      <c r="N81" s="645"/>
      <c r="O81" s="645"/>
      <c r="P81" s="645"/>
      <c r="Q81" s="645"/>
      <c r="R81" s="645"/>
      <c r="S81" s="645"/>
      <c r="T81" s="645"/>
      <c r="U81" s="645"/>
      <c r="V81" s="645"/>
      <c r="W81" s="645"/>
      <c r="X81" s="645"/>
      <c r="Y81" s="645"/>
      <c r="Z81" s="645"/>
      <c r="AA81" s="645"/>
      <c r="AB81" s="645"/>
      <c r="AC81" s="645"/>
      <c r="AD81" s="645"/>
      <c r="AE81" s="645"/>
      <c r="AF81" s="451"/>
    </row>
    <row r="82" spans="1:32" s="459" customFormat="1">
      <c r="B82" s="28"/>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c r="AD82" s="461"/>
      <c r="AE82" s="461"/>
      <c r="AF82" s="451"/>
    </row>
    <row r="83" spans="1:32" s="459" customFormat="1">
      <c r="B83" s="28"/>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c r="AD83" s="461"/>
      <c r="AE83" s="461"/>
      <c r="AF83" s="451"/>
    </row>
    <row r="84" spans="1:32" s="459" customFormat="1">
      <c r="B84" s="28"/>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c r="AD84" s="461"/>
      <c r="AE84" s="461"/>
      <c r="AF84" s="451"/>
    </row>
    <row r="85" spans="1:32" s="459" customFormat="1">
      <c r="B85"/>
      <c r="D85" s="676" t="s">
        <v>950</v>
      </c>
      <c r="AD85"/>
      <c r="AE85"/>
      <c r="AF85" s="451"/>
    </row>
    <row r="86" spans="1:32" s="459" customFormat="1" ht="15" thickBot="1">
      <c r="A86" s="41" t="str">
        <f>A48</f>
        <v>TechName</v>
      </c>
      <c r="B86" s="41" t="str">
        <f>B48</f>
        <v>*Unit</v>
      </c>
      <c r="C86" s="41" t="str">
        <f>C48</f>
        <v>Comm-IN</v>
      </c>
      <c r="D86" s="41" t="str">
        <f>D48</f>
        <v>Comm-OUT</v>
      </c>
      <c r="E86" s="41" t="str">
        <f>Regions!C3</f>
        <v>IE</v>
      </c>
      <c r="F86" s="41" t="str">
        <f>Regions!E3</f>
        <v>IE-CW</v>
      </c>
      <c r="G86" s="41" t="str">
        <f>Regions!F3</f>
        <v>IE-D</v>
      </c>
      <c r="H86" s="41" t="str">
        <f>Regions!G3</f>
        <v>IE-KE</v>
      </c>
      <c r="I86" s="41" t="str">
        <f>Regions!H3</f>
        <v>IE-KK</v>
      </c>
      <c r="J86" s="41" t="str">
        <f>Regions!I3</f>
        <v>IE-LS</v>
      </c>
      <c r="K86" s="41" t="str">
        <f>Regions!J3</f>
        <v>IE-LD</v>
      </c>
      <c r="L86" s="41" t="str">
        <f>Regions!K3</f>
        <v>IE-LH</v>
      </c>
      <c r="M86" s="41" t="str">
        <f>Regions!L3</f>
        <v>IE-MH</v>
      </c>
      <c r="N86" s="41" t="str">
        <f>Regions!M3</f>
        <v>IE-OY</v>
      </c>
      <c r="O86" s="41" t="str">
        <f>Regions!N3</f>
        <v>IE-WH</v>
      </c>
      <c r="P86" s="41" t="str">
        <f>Regions!O3</f>
        <v>IE-WX</v>
      </c>
      <c r="Q86" s="41" t="str">
        <f>Regions!P3</f>
        <v>IE-WW</v>
      </c>
      <c r="R86" s="41" t="str">
        <f>Regions!Q3</f>
        <v>IE-CE</v>
      </c>
      <c r="S86" s="41" t="str">
        <f>Regions!R3</f>
        <v>IE-CO</v>
      </c>
      <c r="T86" s="41" t="str">
        <f>Regions!S3</f>
        <v>IE-KY</v>
      </c>
      <c r="U86" s="41" t="str">
        <f>Regions!T3</f>
        <v>IE-LK</v>
      </c>
      <c r="V86" s="41" t="str">
        <f>Regions!U3</f>
        <v>IE-TA</v>
      </c>
      <c r="W86" s="41" t="str">
        <f>Regions!V3</f>
        <v>IE-WD</v>
      </c>
      <c r="X86" s="41" t="str">
        <f>Regions!W3</f>
        <v>IE-G</v>
      </c>
      <c r="Y86" s="41" t="str">
        <f>Regions!X3</f>
        <v>IE-LM</v>
      </c>
      <c r="Z86" s="41" t="str">
        <f>Regions!Y3</f>
        <v>IE-MO</v>
      </c>
      <c r="AA86" s="41" t="str">
        <f>Regions!Z3</f>
        <v>IE-RN</v>
      </c>
      <c r="AB86" s="41" t="str">
        <f>Regions!AA3</f>
        <v>IE-SO</v>
      </c>
      <c r="AC86" s="41" t="str">
        <f>Regions!AB3</f>
        <v>IE-CN</v>
      </c>
      <c r="AD86" s="41" t="str">
        <f>Regions!AC3</f>
        <v>IE-DL</v>
      </c>
      <c r="AE86" s="41" t="str">
        <f>Regions!AD3</f>
        <v>IE-MN</v>
      </c>
      <c r="AF86" s="451"/>
    </row>
    <row r="87" spans="1:32" s="459" customFormat="1" ht="15.6">
      <c r="A87" s="454" t="s">
        <v>712</v>
      </c>
      <c r="B87" s="455"/>
      <c r="C87" s="454"/>
      <c r="D87" s="454"/>
      <c r="E87" s="454"/>
      <c r="F87" s="454"/>
      <c r="G87" s="454"/>
      <c r="H87" s="454"/>
      <c r="I87" s="454"/>
      <c r="J87" s="454"/>
      <c r="K87" s="454"/>
      <c r="L87" s="454"/>
      <c r="M87" s="454"/>
      <c r="N87" s="454"/>
      <c r="O87" s="454"/>
      <c r="P87" s="454"/>
      <c r="Q87" s="454"/>
      <c r="R87" s="454"/>
      <c r="S87" s="454"/>
      <c r="T87" s="454"/>
      <c r="U87" s="454"/>
      <c r="V87" s="454"/>
      <c r="W87" s="454"/>
      <c r="X87" s="454"/>
      <c r="Y87" s="454"/>
      <c r="Z87" s="454"/>
      <c r="AA87" s="454"/>
      <c r="AB87" s="454"/>
      <c r="AC87" s="454"/>
      <c r="AD87" s="454"/>
      <c r="AE87" s="454"/>
      <c r="AF87" s="451"/>
    </row>
    <row r="88" spans="1:32" s="459" customFormat="1">
      <c r="A88" s="127" t="str">
        <f>Commodities!K8</f>
        <v>TWLK_WLK</v>
      </c>
      <c r="B88" s="28" t="s">
        <v>938</v>
      </c>
      <c r="C88" s="127" t="str">
        <f>Commodities!B6</f>
        <v>TRAWLK</v>
      </c>
      <c r="D88" s="127" t="str">
        <f>Commodities!B22</f>
        <v>TRAPS</v>
      </c>
      <c r="E88" s="726">
        <v>4700</v>
      </c>
      <c r="F88" s="726">
        <f>$E$88*Demands!C180</f>
        <v>56.192353206149228</v>
      </c>
      <c r="G88" s="726">
        <f>$E$88*Demands!D180</f>
        <v>1329.8544372845527</v>
      </c>
      <c r="H88" s="726">
        <f>$E$88*Demands!E180</f>
        <v>219.6132817709026</v>
      </c>
      <c r="I88" s="726">
        <f>$E$88*Demands!F180</f>
        <v>97.94280182239514</v>
      </c>
      <c r="J88" s="726">
        <f>$E$88*Demands!G180</f>
        <v>83.596637031919158</v>
      </c>
      <c r="K88" s="726">
        <f>$E$88*Demands!H180</f>
        <v>40.341987855598568</v>
      </c>
      <c r="L88" s="726">
        <f>$E$88*Demands!I180</f>
        <v>127.20957019991108</v>
      </c>
      <c r="M88" s="726">
        <f>$E$88*Demands!J180</f>
        <v>192.51003545879593</v>
      </c>
      <c r="N88" s="726">
        <f>$E$88*Demands!K180</f>
        <v>76.948149517048407</v>
      </c>
      <c r="O88" s="726">
        <f>$E$88*Demands!L180</f>
        <v>87.616721599625293</v>
      </c>
      <c r="P88" s="726">
        <f>$E$88*Demands!M180</f>
        <v>147.77684793668016</v>
      </c>
      <c r="Q88" s="726">
        <f>$E$88*Demands!N180</f>
        <v>140.57464879831736</v>
      </c>
      <c r="R88" s="726">
        <f>$E$88*Demands!O180</f>
        <v>117.27335823254116</v>
      </c>
      <c r="S88" s="726">
        <f>$E$88*Demands!P180</f>
        <v>535.81519005683663</v>
      </c>
      <c r="T88" s="726">
        <f>$E$88*Demands!Q180</f>
        <v>145.78802633001976</v>
      </c>
      <c r="U88" s="726">
        <f>$E$88*Demands!R180</f>
        <v>192.36691926377571</v>
      </c>
      <c r="V88" s="726">
        <f>$E$88*Demands!S180</f>
        <v>157.48012595905166</v>
      </c>
      <c r="W88" s="726">
        <f>$E$88*Demands!T180</f>
        <v>114.66666946668995</v>
      </c>
      <c r="X88" s="726">
        <f>$E$88*Demands!U180</f>
        <v>254.70537278986262</v>
      </c>
      <c r="Y88" s="726">
        <f>$E$88*Demands!V180</f>
        <v>31.627692091228937</v>
      </c>
      <c r="Z88" s="726">
        <f>$E$88*Demands!W180</f>
        <v>128.81148457589612</v>
      </c>
      <c r="AA88" s="726">
        <f>$E$88*Demands!X180</f>
        <v>63.705459940590451</v>
      </c>
      <c r="AB88" s="726">
        <f>$E$88*Demands!Y180</f>
        <v>64.683585107935599</v>
      </c>
      <c r="AC88" s="726">
        <f>$E$88*Demands!Z180</f>
        <v>75.186339805937322</v>
      </c>
      <c r="AD88" s="726">
        <f>$E$88*Demands!AA180</f>
        <v>157.12381598386332</v>
      </c>
      <c r="AE88" s="726">
        <f>$E$88*Demands!AB180</f>
        <v>60.588487913874033</v>
      </c>
      <c r="AF88" s="451"/>
    </row>
    <row r="89" spans="1:32" s="459" customFormat="1">
      <c r="A89" s="655" t="str">
        <f>Commodities!K9</f>
        <v>TCYC_CYC</v>
      </c>
      <c r="B89" s="129" t="s">
        <v>938</v>
      </c>
      <c r="C89" s="655" t="str">
        <f>Commodities!B7</f>
        <v>TRACYC</v>
      </c>
      <c r="D89" s="655" t="str">
        <f>Commodities!B22</f>
        <v>TRAPS</v>
      </c>
      <c r="E89" s="727">
        <v>2000</v>
      </c>
      <c r="F89" s="727">
        <f>$E$89*Demands!C180</f>
        <v>23.91163966219116</v>
      </c>
      <c r="G89" s="727">
        <f>$E$89*Demands!D180</f>
        <v>565.89550522746924</v>
      </c>
      <c r="H89" s="727">
        <f>$E$89*Demands!E180</f>
        <v>93.452460328043657</v>
      </c>
      <c r="I89" s="727">
        <f>$E$89*Demands!F180</f>
        <v>41.677788009529849</v>
      </c>
      <c r="J89" s="727">
        <f>$E$89*Demands!G180</f>
        <v>35.573037034859212</v>
      </c>
      <c r="K89" s="727">
        <f>$E$89*Demands!H180</f>
        <v>17.166803342807903</v>
      </c>
      <c r="L89" s="727">
        <f>$E$89*Demands!I180</f>
        <v>54.131731999962163</v>
      </c>
      <c r="M89" s="727">
        <f>$E$89*Demands!J180</f>
        <v>81.919164025019541</v>
      </c>
      <c r="N89" s="727">
        <f>$E$89*Demands!K180</f>
        <v>32.743893411509958</v>
      </c>
      <c r="O89" s="727">
        <f>$E$89*Demands!L180</f>
        <v>37.283711318989482</v>
      </c>
      <c r="P89" s="727">
        <f>$E$89*Demands!M180</f>
        <v>62.883765079438369</v>
      </c>
      <c r="Q89" s="727">
        <f>$E$89*Demands!N180</f>
        <v>59.818999488645687</v>
      </c>
      <c r="R89" s="727">
        <f>$E$89*Demands!O180</f>
        <v>49.903556694698366</v>
      </c>
      <c r="S89" s="727">
        <f>$E$89*Demands!P180</f>
        <v>228.00646385397303</v>
      </c>
      <c r="T89" s="727">
        <f>$E$89*Demands!Q180</f>
        <v>62.037458012774366</v>
      </c>
      <c r="U89" s="727">
        <f>$E$89*Demands!R180</f>
        <v>81.858263516500301</v>
      </c>
      <c r="V89" s="727">
        <f>$E$89*Demands!S180</f>
        <v>67.012819557043258</v>
      </c>
      <c r="W89" s="727">
        <f>$E$89*Demands!T180</f>
        <v>48.794327432634027</v>
      </c>
      <c r="X89" s="727">
        <f>$E$89*Demands!U180</f>
        <v>108.38526501696282</v>
      </c>
      <c r="Y89" s="727">
        <f>$E$89*Demands!V180</f>
        <v>13.458592379246356</v>
      </c>
      <c r="Z89" s="727">
        <f>$E$89*Demands!W180</f>
        <v>54.813397691870691</v>
      </c>
      <c r="AA89" s="727">
        <f>$E$89*Demands!X180</f>
        <v>27.108706357698065</v>
      </c>
      <c r="AB89" s="727">
        <f>$E$89*Demands!Y180</f>
        <v>27.524929833164087</v>
      </c>
      <c r="AC89" s="727">
        <f>$E$89*Demands!Z180</f>
        <v>31.99418715146269</v>
      </c>
      <c r="AD89" s="727">
        <f>$E$89*Demands!AA180</f>
        <v>66.861198291005678</v>
      </c>
      <c r="AE89" s="727">
        <f>$E$89*Demands!AB180</f>
        <v>25.782335282499588</v>
      </c>
      <c r="AF89" s="451"/>
    </row>
    <row r="90" spans="1:32" s="459" customFormat="1">
      <c r="E90" s="660"/>
      <c r="F90" s="660"/>
      <c r="G90" s="660"/>
      <c r="H90" s="660"/>
      <c r="I90" s="660"/>
      <c r="J90" s="660"/>
      <c r="K90" s="660"/>
      <c r="L90" s="660"/>
      <c r="M90" s="660"/>
      <c r="N90" s="660"/>
      <c r="O90" s="660"/>
      <c r="P90" s="660"/>
      <c r="Q90" s="660"/>
      <c r="R90" s="660"/>
      <c r="S90" s="660"/>
      <c r="T90" s="660"/>
      <c r="U90" s="660"/>
      <c r="V90" s="660"/>
      <c r="W90" s="660"/>
      <c r="X90" s="660"/>
      <c r="Y90" s="660"/>
      <c r="Z90" s="660"/>
      <c r="AA90" s="660"/>
      <c r="AB90" s="660"/>
      <c r="AC90" s="660"/>
      <c r="AD90" s="660"/>
      <c r="AF90" s="451"/>
    </row>
    <row r="91" spans="1:32" s="459" customFormat="1">
      <c r="E91" s="660"/>
      <c r="F91" s="660"/>
      <c r="G91" s="660"/>
      <c r="H91" s="660"/>
      <c r="I91" s="660"/>
      <c r="J91" s="660"/>
      <c r="K91" s="660"/>
      <c r="L91" s="660"/>
      <c r="M91" s="660"/>
      <c r="N91" s="660"/>
      <c r="O91" s="660"/>
      <c r="P91" s="660"/>
      <c r="Q91" s="660"/>
      <c r="R91" s="660"/>
      <c r="S91" s="660"/>
      <c r="T91" s="660"/>
      <c r="U91" s="660"/>
      <c r="V91" s="660"/>
      <c r="W91" s="660"/>
      <c r="X91" s="660"/>
      <c r="Y91" s="660"/>
      <c r="Z91" s="660"/>
      <c r="AA91" s="660"/>
      <c r="AB91" s="660"/>
      <c r="AC91" s="660"/>
      <c r="AD91" s="660"/>
      <c r="AF91" s="451"/>
    </row>
    <row r="92" spans="1:32" s="459" customFormat="1">
      <c r="A92" s="453" t="s">
        <v>811</v>
      </c>
      <c r="B92" s="453"/>
      <c r="AF92" s="451"/>
    </row>
    <row r="93" spans="1:32" s="459" customFormat="1" ht="15" thickBot="1">
      <c r="A93" s="41" t="s">
        <v>70</v>
      </c>
      <c r="B93" s="674" t="s">
        <v>172</v>
      </c>
      <c r="E93" s="660"/>
      <c r="F93" s="660"/>
      <c r="G93" s="660"/>
      <c r="H93" s="660"/>
      <c r="I93" s="660"/>
      <c r="J93" s="660"/>
      <c r="K93" s="660"/>
      <c r="L93" s="660"/>
      <c r="M93" s="660"/>
      <c r="N93" s="660"/>
      <c r="O93" s="660"/>
      <c r="P93" s="660"/>
      <c r="Q93" s="660"/>
      <c r="R93" s="660"/>
      <c r="S93" s="660"/>
      <c r="T93" s="660"/>
      <c r="U93" s="660"/>
      <c r="V93" s="660"/>
      <c r="W93" s="660"/>
      <c r="X93" s="660"/>
      <c r="Y93" s="660"/>
      <c r="Z93" s="660"/>
      <c r="AA93" s="660"/>
      <c r="AB93" s="660"/>
      <c r="AC93" s="660"/>
      <c r="AD93" s="660"/>
      <c r="AF93" s="451"/>
    </row>
    <row r="94" spans="1:32" s="459" customFormat="1" ht="15.6">
      <c r="A94" s="455" t="s">
        <v>712</v>
      </c>
      <c r="B94" s="575"/>
      <c r="AF94" s="451"/>
    </row>
    <row r="95" spans="1:32" s="459" customFormat="1">
      <c r="A95" s="127" t="str">
        <f>A88</f>
        <v>TWLK_WLK</v>
      </c>
      <c r="B95" s="675">
        <v>100</v>
      </c>
      <c r="AF95" s="451"/>
    </row>
    <row r="96" spans="1:32" s="459" customFormat="1">
      <c r="A96" s="127" t="str">
        <f>A89</f>
        <v>TCYC_CYC</v>
      </c>
      <c r="B96" s="675">
        <v>100</v>
      </c>
      <c r="AF96" s="451"/>
    </row>
    <row r="97" spans="1:32" s="459" customFormat="1" ht="15.6">
      <c r="A97" s="455" t="str">
        <f t="shared" ref="A97:A122" si="24">A49</f>
        <v>*Two-wheelers</v>
      </c>
      <c r="B97" s="575"/>
      <c r="AF97" s="451"/>
    </row>
    <row r="98" spans="1:32" s="459" customFormat="1">
      <c r="A98" s="127" t="str">
        <f t="shared" si="24"/>
        <v>TMOT_GSL_00</v>
      </c>
      <c r="B98" s="675">
        <v>10</v>
      </c>
      <c r="AF98" s="451"/>
    </row>
    <row r="99" spans="1:32" s="459" customFormat="1" ht="15.6">
      <c r="A99" s="455" t="str">
        <f t="shared" si="24"/>
        <v>*Private cars</v>
      </c>
      <c r="B99" s="575"/>
      <c r="AF99" s="451"/>
    </row>
    <row r="100" spans="1:32" s="459" customFormat="1">
      <c r="A100" s="127" t="str">
        <f t="shared" si="24"/>
        <v>TCAR_ICE_GSL_00</v>
      </c>
      <c r="B100" s="675">
        <v>15</v>
      </c>
      <c r="AF100" s="451"/>
    </row>
    <row r="101" spans="1:32" s="459" customFormat="1">
      <c r="A101" s="127" t="str">
        <f t="shared" si="24"/>
        <v>TCAR_ICE_DST_00</v>
      </c>
      <c r="B101" s="675">
        <v>15</v>
      </c>
      <c r="AF101" s="451"/>
    </row>
    <row r="102" spans="1:32" s="459" customFormat="1">
      <c r="A102" s="127" t="str">
        <f t="shared" si="24"/>
        <v>TCAR_ICE_DF_00</v>
      </c>
      <c r="B102" s="675">
        <v>15</v>
      </c>
      <c r="AF102" s="451"/>
    </row>
    <row r="103" spans="1:32" s="459" customFormat="1">
      <c r="A103" s="127" t="str">
        <f t="shared" si="24"/>
        <v>TCAR_ICE_E85_00</v>
      </c>
      <c r="B103" s="675">
        <v>15</v>
      </c>
      <c r="AF103" s="451"/>
    </row>
    <row r="104" spans="1:32" s="459" customFormat="1">
      <c r="A104" s="127" t="str">
        <f t="shared" si="24"/>
        <v>TCAR_HEV_GSL_00</v>
      </c>
      <c r="B104" s="675">
        <v>15</v>
      </c>
      <c r="AF104" s="451"/>
    </row>
    <row r="105" spans="1:32" s="459" customFormat="1">
      <c r="A105" s="127" t="str">
        <f t="shared" si="24"/>
        <v>TCAR_HEV_DST_00</v>
      </c>
      <c r="B105" s="675">
        <v>15</v>
      </c>
      <c r="AF105" s="451"/>
    </row>
    <row r="106" spans="1:32" s="459" customFormat="1">
      <c r="A106" s="127" t="str">
        <f t="shared" si="24"/>
        <v>TCAR_PHEV_GSL_00</v>
      </c>
      <c r="B106" s="675">
        <v>15</v>
      </c>
      <c r="AF106" s="451"/>
    </row>
    <row r="107" spans="1:32" s="459" customFormat="1">
      <c r="A107" s="127" t="str">
        <f t="shared" si="24"/>
        <v>TCAR_PHEV_DST_00</v>
      </c>
      <c r="B107" s="675">
        <v>15</v>
      </c>
      <c r="AF107" s="451"/>
    </row>
    <row r="108" spans="1:32" s="459" customFormat="1">
      <c r="A108" s="127" t="str">
        <f t="shared" si="24"/>
        <v>TCAR_BEV_00</v>
      </c>
      <c r="B108" s="675">
        <v>15</v>
      </c>
      <c r="AF108" s="451"/>
    </row>
    <row r="109" spans="1:32" s="459" customFormat="1" ht="15.6">
      <c r="A109" s="455" t="str">
        <f t="shared" si="24"/>
        <v>*Small sevice vehicle</v>
      </c>
      <c r="B109" s="575"/>
      <c r="AF109" s="451"/>
    </row>
    <row r="110" spans="1:32" s="459" customFormat="1">
      <c r="A110" s="127" t="str">
        <f t="shared" si="24"/>
        <v>TTAXI_ICE_GSL_00</v>
      </c>
      <c r="B110" s="675">
        <v>10</v>
      </c>
      <c r="AF110" s="451"/>
    </row>
    <row r="111" spans="1:32" s="459" customFormat="1">
      <c r="A111" s="127" t="str">
        <f t="shared" si="24"/>
        <v>TTAXI_ICE_DST_00</v>
      </c>
      <c r="B111" s="675">
        <v>10</v>
      </c>
      <c r="AF111" s="451"/>
    </row>
    <row r="112" spans="1:32" s="459" customFormat="1">
      <c r="A112" s="127" t="str">
        <f t="shared" si="24"/>
        <v>TTAXI_HEV_GSL_00</v>
      </c>
      <c r="B112" s="675">
        <v>10</v>
      </c>
      <c r="AF112" s="451"/>
    </row>
    <row r="113" spans="1:32" s="459" customFormat="1" ht="15.6">
      <c r="A113" s="455" t="str">
        <f t="shared" si="24"/>
        <v>*Large sevice vehicle</v>
      </c>
      <c r="B113" s="641"/>
      <c r="AF113" s="451"/>
    </row>
    <row r="114" spans="1:32" s="459" customFormat="1">
      <c r="A114" s="127" t="str">
        <f t="shared" si="24"/>
        <v>TBUS_ICE_DST_00</v>
      </c>
      <c r="B114" s="491">
        <v>15</v>
      </c>
      <c r="AF114" s="451"/>
    </row>
    <row r="115" spans="1:32" s="459" customFormat="1" ht="15.6">
      <c r="A115" s="455" t="str">
        <f t="shared" si="24"/>
        <v>*Rail</v>
      </c>
      <c r="B115" s="641"/>
      <c r="AF115" s="451"/>
    </row>
    <row r="116" spans="1:32" s="459" customFormat="1">
      <c r="A116" s="127" t="str">
        <f t="shared" si="24"/>
        <v>TLRAIL_ELC_00</v>
      </c>
      <c r="B116" s="491">
        <v>30</v>
      </c>
      <c r="AF116" s="451"/>
    </row>
    <row r="117" spans="1:32" s="459" customFormat="1">
      <c r="A117" s="127" t="str">
        <f t="shared" si="24"/>
        <v>THRAIL_ELC_00</v>
      </c>
      <c r="B117" s="491">
        <v>30</v>
      </c>
      <c r="AF117" s="451"/>
    </row>
    <row r="118" spans="1:32" s="459" customFormat="1">
      <c r="A118" s="127" t="str">
        <f t="shared" si="24"/>
        <v>THRAIL_DST_00</v>
      </c>
      <c r="B118" s="491">
        <v>30</v>
      </c>
      <c r="AF118" s="451"/>
    </row>
    <row r="119" spans="1:32" s="459" customFormat="1" ht="15.6">
      <c r="A119" s="455" t="str">
        <f t="shared" si="24"/>
        <v>*Goods vehicle</v>
      </c>
      <c r="B119" s="641"/>
      <c r="AF119" s="451"/>
    </row>
    <row r="120" spans="1:32" s="459" customFormat="1">
      <c r="A120" s="127" t="str">
        <f t="shared" si="24"/>
        <v>TFGV_GSL_00</v>
      </c>
      <c r="B120" s="491">
        <v>20</v>
      </c>
      <c r="AF120" s="451"/>
    </row>
    <row r="121" spans="1:32" s="459" customFormat="1">
      <c r="A121" s="127" t="str">
        <f t="shared" si="24"/>
        <v>TFGV_DST_00</v>
      </c>
      <c r="B121" s="491">
        <v>20</v>
      </c>
      <c r="AF121" s="451"/>
    </row>
    <row r="122" spans="1:32" s="459" customFormat="1">
      <c r="A122" s="655" t="str">
        <f t="shared" si="24"/>
        <v>TFRAIL_DST_00</v>
      </c>
      <c r="B122" s="656">
        <v>30</v>
      </c>
      <c r="AF122" s="451"/>
    </row>
    <row r="123" spans="1:32" s="459" customFormat="1">
      <c r="AF123" s="451"/>
    </row>
    <row r="124" spans="1:32" s="459" customFormat="1">
      <c r="AF124" s="451"/>
    </row>
    <row r="125" spans="1:32" s="459" customFormat="1">
      <c r="AF125" s="451"/>
    </row>
    <row r="126" spans="1:32" s="459" customFormat="1">
      <c r="AF126" s="451"/>
    </row>
    <row r="127" spans="1:32" s="459" customFormat="1">
      <c r="AF127" s="451"/>
    </row>
    <row r="128" spans="1:32" s="459" customFormat="1">
      <c r="AF128" s="451"/>
    </row>
    <row r="129" spans="1:37" s="459" customFormat="1">
      <c r="AF129" s="451"/>
    </row>
    <row r="130" spans="1:37" s="459" customFormat="1">
      <c r="AF130" s="451"/>
    </row>
    <row r="131" spans="1:37" s="459" customFormat="1">
      <c r="AG131" s="451"/>
    </row>
    <row r="132" spans="1:37" s="459" customFormat="1" ht="21">
      <c r="A132" s="23" t="s">
        <v>498</v>
      </c>
      <c r="AG132" s="451"/>
    </row>
    <row r="133" spans="1:37" s="459" customFormat="1">
      <c r="E133" s="9"/>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G133" s="451"/>
    </row>
    <row r="134" spans="1:37" s="459" customFormat="1" ht="21">
      <c r="C134" s="718"/>
      <c r="D134" s="23" t="s">
        <v>1051</v>
      </c>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G134" s="451"/>
      <c r="AI134" s="718"/>
      <c r="AJ134" s="23" t="s">
        <v>76</v>
      </c>
    </row>
    <row r="135" spans="1:37" s="459" customFormat="1">
      <c r="A135" s="427" t="s">
        <v>70</v>
      </c>
      <c r="B135" s="427" t="s">
        <v>77</v>
      </c>
      <c r="C135" s="427" t="s">
        <v>101</v>
      </c>
      <c r="D135" s="427" t="s">
        <v>65</v>
      </c>
      <c r="E135" s="427" t="str">
        <f>Regions!C3</f>
        <v>IE</v>
      </c>
      <c r="F135" s="427" t="str">
        <f>Regions!E3</f>
        <v>IE-CW</v>
      </c>
      <c r="G135" s="427" t="str">
        <f>Regions!F3</f>
        <v>IE-D</v>
      </c>
      <c r="H135" s="427" t="str">
        <f>Regions!G3</f>
        <v>IE-KE</v>
      </c>
      <c r="I135" s="427" t="str">
        <f>Regions!H3</f>
        <v>IE-KK</v>
      </c>
      <c r="J135" s="427" t="str">
        <f>Regions!I3</f>
        <v>IE-LS</v>
      </c>
      <c r="K135" s="427" t="str">
        <f>Regions!J3</f>
        <v>IE-LD</v>
      </c>
      <c r="L135" s="427" t="str">
        <f>Regions!K3</f>
        <v>IE-LH</v>
      </c>
      <c r="M135" s="427" t="str">
        <f>Regions!L3</f>
        <v>IE-MH</v>
      </c>
      <c r="N135" s="427" t="str">
        <f>Regions!M3</f>
        <v>IE-OY</v>
      </c>
      <c r="O135" s="427" t="str">
        <f>Regions!N3</f>
        <v>IE-WH</v>
      </c>
      <c r="P135" s="427" t="str">
        <f>Regions!O3</f>
        <v>IE-WX</v>
      </c>
      <c r="Q135" s="427" t="str">
        <f>Regions!P3</f>
        <v>IE-WW</v>
      </c>
      <c r="R135" s="427" t="str">
        <f>Regions!Q3</f>
        <v>IE-CE</v>
      </c>
      <c r="S135" s="427" t="str">
        <f>Regions!R3</f>
        <v>IE-CO</v>
      </c>
      <c r="T135" s="427" t="str">
        <f>Regions!S3</f>
        <v>IE-KY</v>
      </c>
      <c r="U135" s="427" t="str">
        <f>Regions!T3</f>
        <v>IE-LK</v>
      </c>
      <c r="V135" s="427" t="str">
        <f>Regions!U3</f>
        <v>IE-TA</v>
      </c>
      <c r="W135" s="427" t="str">
        <f>Regions!V3</f>
        <v>IE-WD</v>
      </c>
      <c r="X135" s="427" t="str">
        <f>Regions!W3</f>
        <v>IE-G</v>
      </c>
      <c r="Y135" s="427" t="str">
        <f>Regions!X3</f>
        <v>IE-LM</v>
      </c>
      <c r="Z135" s="427" t="str">
        <f>Regions!Y3</f>
        <v>IE-MO</v>
      </c>
      <c r="AA135" s="427" t="str">
        <f>Regions!Z3</f>
        <v>IE-RN</v>
      </c>
      <c r="AB135" s="427" t="str">
        <f>Regions!AA3</f>
        <v>IE-SO</v>
      </c>
      <c r="AC135" s="427" t="str">
        <f>Regions!AB3</f>
        <v>IE-CN</v>
      </c>
      <c r="AD135" s="427" t="str">
        <f>Regions!AC3</f>
        <v>IE-DL</v>
      </c>
      <c r="AE135" s="427" t="str">
        <f>Regions!AD3</f>
        <v>IE-MN</v>
      </c>
      <c r="AG135" s="451"/>
      <c r="AH135" s="427" t="s">
        <v>70</v>
      </c>
      <c r="AI135" s="427" t="s">
        <v>77</v>
      </c>
      <c r="AJ135" s="427" t="s">
        <v>65</v>
      </c>
      <c r="AK135" s="427" t="s">
        <v>1055</v>
      </c>
    </row>
    <row r="136" spans="1:37" s="459" customFormat="1">
      <c r="A136" s="471" t="str">
        <f>Commodities!K19</f>
        <v>TCAR_PHEV_GSL_00</v>
      </c>
      <c r="B136" s="471" t="str">
        <f>Commodities!B14</f>
        <v>TRAELC</v>
      </c>
      <c r="C136" s="28" t="s">
        <v>1082</v>
      </c>
      <c r="D136" s="28" t="s">
        <v>1092</v>
      </c>
      <c r="E136" s="472">
        <v>0.4</v>
      </c>
      <c r="F136" s="472">
        <v>0.4</v>
      </c>
      <c r="G136" s="472">
        <v>0.4</v>
      </c>
      <c r="H136" s="472">
        <v>0.4</v>
      </c>
      <c r="I136" s="472">
        <v>0.4</v>
      </c>
      <c r="J136" s="472">
        <v>0.4</v>
      </c>
      <c r="K136" s="472">
        <v>0.4</v>
      </c>
      <c r="L136" s="472">
        <v>0.4</v>
      </c>
      <c r="M136" s="472">
        <v>0.4</v>
      </c>
      <c r="N136" s="472">
        <v>0.4</v>
      </c>
      <c r="O136" s="472">
        <v>0.4</v>
      </c>
      <c r="P136" s="472">
        <v>0.4</v>
      </c>
      <c r="Q136" s="472">
        <v>0.4</v>
      </c>
      <c r="R136" s="472">
        <v>0.4</v>
      </c>
      <c r="S136" s="472">
        <v>0.4</v>
      </c>
      <c r="T136" s="472">
        <v>0.4</v>
      </c>
      <c r="U136" s="472">
        <v>0.4</v>
      </c>
      <c r="V136" s="472">
        <v>0.4</v>
      </c>
      <c r="W136" s="472">
        <v>0.4</v>
      </c>
      <c r="X136" s="472">
        <v>0.4</v>
      </c>
      <c r="Y136" s="472">
        <v>0.4</v>
      </c>
      <c r="Z136" s="472">
        <v>0.4</v>
      </c>
      <c r="AA136" s="472">
        <v>0.4</v>
      </c>
      <c r="AB136" s="472">
        <v>0.4</v>
      </c>
      <c r="AC136" s="472">
        <v>0.4</v>
      </c>
      <c r="AD136" s="472">
        <v>0.4</v>
      </c>
      <c r="AE136" s="472">
        <v>0.4</v>
      </c>
      <c r="AG136" s="451"/>
      <c r="AH136" s="459" t="str">
        <f t="shared" ref="AH136:AI140" si="25">A136</f>
        <v>TCAR_PHEV_GSL_00</v>
      </c>
      <c r="AI136" s="718" t="str">
        <f t="shared" si="25"/>
        <v>TRAELC</v>
      </c>
      <c r="AJ136" s="459" t="s">
        <v>1092</v>
      </c>
      <c r="AK136" s="718">
        <v>5</v>
      </c>
    </row>
    <row r="137" spans="1:37" s="459" customFormat="1">
      <c r="A137" s="471" t="str">
        <f>Commodities!K20</f>
        <v>TCAR_PHEV_DST_00</v>
      </c>
      <c r="B137" s="471" t="str">
        <f>Commodities!B14</f>
        <v>TRAELC</v>
      </c>
      <c r="C137" s="28" t="s">
        <v>1082</v>
      </c>
      <c r="D137" s="28" t="s">
        <v>1092</v>
      </c>
      <c r="E137" s="472">
        <v>0.4</v>
      </c>
      <c r="F137" s="472">
        <v>0.4</v>
      </c>
      <c r="G137" s="472">
        <v>0.4</v>
      </c>
      <c r="H137" s="472">
        <v>0.4</v>
      </c>
      <c r="I137" s="472">
        <v>0.4</v>
      </c>
      <c r="J137" s="472">
        <v>0.4</v>
      </c>
      <c r="K137" s="472">
        <v>0.4</v>
      </c>
      <c r="L137" s="472">
        <v>0.4</v>
      </c>
      <c r="M137" s="472">
        <v>0.4</v>
      </c>
      <c r="N137" s="472">
        <v>0.4</v>
      </c>
      <c r="O137" s="472">
        <v>0.4</v>
      </c>
      <c r="P137" s="472">
        <v>0.4</v>
      </c>
      <c r="Q137" s="472">
        <v>0.4</v>
      </c>
      <c r="R137" s="472">
        <v>0.4</v>
      </c>
      <c r="S137" s="472">
        <v>0.4</v>
      </c>
      <c r="T137" s="472">
        <v>0.4</v>
      </c>
      <c r="U137" s="472">
        <v>0.4</v>
      </c>
      <c r="V137" s="472">
        <v>0.4</v>
      </c>
      <c r="W137" s="472">
        <v>0.4</v>
      </c>
      <c r="X137" s="472">
        <v>0.4</v>
      </c>
      <c r="Y137" s="472">
        <v>0.4</v>
      </c>
      <c r="Z137" s="472">
        <v>0.4</v>
      </c>
      <c r="AA137" s="472">
        <v>0.4</v>
      </c>
      <c r="AB137" s="472">
        <v>0.4</v>
      </c>
      <c r="AC137" s="472">
        <v>0.4</v>
      </c>
      <c r="AD137" s="472">
        <v>0.4</v>
      </c>
      <c r="AE137" s="472">
        <v>0.4</v>
      </c>
      <c r="AG137" s="451"/>
      <c r="AH137" s="718" t="str">
        <f t="shared" si="25"/>
        <v>TCAR_PHEV_DST_00</v>
      </c>
      <c r="AI137" s="718" t="str">
        <f t="shared" si="25"/>
        <v>TRAELC</v>
      </c>
      <c r="AJ137" s="718" t="s">
        <v>1092</v>
      </c>
      <c r="AK137" s="718">
        <v>5</v>
      </c>
    </row>
    <row r="138" spans="1:37" s="459" customFormat="1">
      <c r="A138" s="471" t="str">
        <f>Commodities!K15</f>
        <v>TCAR_ICE_DF_00</v>
      </c>
      <c r="B138" s="471" t="str">
        <f>Commodities!B12</f>
        <v>TRACNG</v>
      </c>
      <c r="C138" s="28" t="s">
        <v>1082</v>
      </c>
      <c r="D138" s="28" t="s">
        <v>1092</v>
      </c>
      <c r="E138" s="472">
        <v>0.5</v>
      </c>
      <c r="F138" s="472">
        <v>0.5</v>
      </c>
      <c r="G138" s="472">
        <v>0.5</v>
      </c>
      <c r="H138" s="472">
        <v>0.5</v>
      </c>
      <c r="I138" s="472">
        <v>0.5</v>
      </c>
      <c r="J138" s="472">
        <v>0.5</v>
      </c>
      <c r="K138" s="472">
        <v>0.5</v>
      </c>
      <c r="L138" s="472">
        <v>0.5</v>
      </c>
      <c r="M138" s="472">
        <v>0.5</v>
      </c>
      <c r="N138" s="472">
        <v>0.5</v>
      </c>
      <c r="O138" s="472">
        <v>0.5</v>
      </c>
      <c r="P138" s="472">
        <v>0.5</v>
      </c>
      <c r="Q138" s="472">
        <v>0.5</v>
      </c>
      <c r="R138" s="472">
        <v>0.5</v>
      </c>
      <c r="S138" s="472">
        <v>0.5</v>
      </c>
      <c r="T138" s="472">
        <v>0.5</v>
      </c>
      <c r="U138" s="472">
        <v>0.5</v>
      </c>
      <c r="V138" s="472">
        <v>0.5</v>
      </c>
      <c r="W138" s="472">
        <v>0.5</v>
      </c>
      <c r="X138" s="472">
        <v>0.5</v>
      </c>
      <c r="Y138" s="472">
        <v>0.5</v>
      </c>
      <c r="Z138" s="472">
        <v>0.5</v>
      </c>
      <c r="AA138" s="472">
        <v>0.5</v>
      </c>
      <c r="AB138" s="472">
        <v>0.5</v>
      </c>
      <c r="AC138" s="472">
        <v>0.5</v>
      </c>
      <c r="AD138" s="472">
        <v>0.5</v>
      </c>
      <c r="AE138" s="472">
        <v>0.5</v>
      </c>
      <c r="AG138" s="451"/>
      <c r="AH138" s="718" t="str">
        <f t="shared" si="25"/>
        <v>TCAR_ICE_DF_00</v>
      </c>
      <c r="AI138" s="718" t="str">
        <f t="shared" si="25"/>
        <v>TRACNG</v>
      </c>
      <c r="AJ138" s="718" t="s">
        <v>1092</v>
      </c>
      <c r="AK138" s="718">
        <v>5</v>
      </c>
    </row>
    <row r="139" spans="1:37" s="459" customFormat="1">
      <c r="A139" s="103" t="str">
        <f>Commodities!K40</f>
        <v>TOTH_00</v>
      </c>
      <c r="B139" s="1" t="str">
        <f>Commodities!B18</f>
        <v>TRAGSLE</v>
      </c>
      <c r="C139" s="28" t="s">
        <v>1082</v>
      </c>
      <c r="D139" s="28" t="s">
        <v>1092</v>
      </c>
      <c r="E139" s="765">
        <f>('EB2018'!O55+(0.5*'EB2018'!AG55))/'EB2018'!AM55</f>
        <v>0.2981728312136081</v>
      </c>
      <c r="F139" s="766">
        <f>E139</f>
        <v>0.2981728312136081</v>
      </c>
      <c r="G139" s="766">
        <f t="shared" ref="G139:AE139" si="26">F139</f>
        <v>0.2981728312136081</v>
      </c>
      <c r="H139" s="766">
        <f t="shared" si="26"/>
        <v>0.2981728312136081</v>
      </c>
      <c r="I139" s="766">
        <f t="shared" si="26"/>
        <v>0.2981728312136081</v>
      </c>
      <c r="J139" s="766">
        <f t="shared" si="26"/>
        <v>0.2981728312136081</v>
      </c>
      <c r="K139" s="766">
        <f t="shared" si="26"/>
        <v>0.2981728312136081</v>
      </c>
      <c r="L139" s="766">
        <f t="shared" si="26"/>
        <v>0.2981728312136081</v>
      </c>
      <c r="M139" s="766">
        <f t="shared" si="26"/>
        <v>0.2981728312136081</v>
      </c>
      <c r="N139" s="766">
        <f t="shared" si="26"/>
        <v>0.2981728312136081</v>
      </c>
      <c r="O139" s="766">
        <f t="shared" si="26"/>
        <v>0.2981728312136081</v>
      </c>
      <c r="P139" s="766">
        <f t="shared" si="26"/>
        <v>0.2981728312136081</v>
      </c>
      <c r="Q139" s="766">
        <f t="shared" si="26"/>
        <v>0.2981728312136081</v>
      </c>
      <c r="R139" s="766">
        <f t="shared" si="26"/>
        <v>0.2981728312136081</v>
      </c>
      <c r="S139" s="766">
        <f t="shared" si="26"/>
        <v>0.2981728312136081</v>
      </c>
      <c r="T139" s="766">
        <f t="shared" si="26"/>
        <v>0.2981728312136081</v>
      </c>
      <c r="U139" s="766">
        <f t="shared" si="26"/>
        <v>0.2981728312136081</v>
      </c>
      <c r="V139" s="766">
        <f t="shared" si="26"/>
        <v>0.2981728312136081</v>
      </c>
      <c r="W139" s="766">
        <f t="shared" si="26"/>
        <v>0.2981728312136081</v>
      </c>
      <c r="X139" s="766">
        <f t="shared" si="26"/>
        <v>0.2981728312136081</v>
      </c>
      <c r="Y139" s="766">
        <f t="shared" si="26"/>
        <v>0.2981728312136081</v>
      </c>
      <c r="Z139" s="766">
        <f t="shared" si="26"/>
        <v>0.2981728312136081</v>
      </c>
      <c r="AA139" s="766">
        <f t="shared" si="26"/>
        <v>0.2981728312136081</v>
      </c>
      <c r="AB139" s="766">
        <f t="shared" si="26"/>
        <v>0.2981728312136081</v>
      </c>
      <c r="AC139" s="766">
        <f t="shared" si="26"/>
        <v>0.2981728312136081</v>
      </c>
      <c r="AD139" s="766">
        <f t="shared" si="26"/>
        <v>0.2981728312136081</v>
      </c>
      <c r="AE139" s="766">
        <f t="shared" si="26"/>
        <v>0.2981728312136081</v>
      </c>
      <c r="AG139" s="451"/>
      <c r="AH139" s="718" t="str">
        <f t="shared" si="25"/>
        <v>TOTH_00</v>
      </c>
      <c r="AI139" s="718" t="str">
        <f t="shared" si="25"/>
        <v>TRAGSLE</v>
      </c>
      <c r="AJ139" s="718" t="s">
        <v>1092</v>
      </c>
      <c r="AK139" s="718">
        <v>5</v>
      </c>
    </row>
    <row r="140" spans="1:37" s="459" customFormat="1">
      <c r="A140" s="768" t="str">
        <f>Commodities!K40</f>
        <v>TOTH_00</v>
      </c>
      <c r="B140" s="458" t="str">
        <f>Commodities!B19</f>
        <v>TRADSTB</v>
      </c>
      <c r="C140" s="129" t="s">
        <v>1082</v>
      </c>
      <c r="D140" s="129" t="s">
        <v>1092</v>
      </c>
      <c r="E140" s="732">
        <f>('EB2018'!T55+(0.5*'EB2018'!AG55))/'EB2018'!AM55</f>
        <v>0.65951840599625633</v>
      </c>
      <c r="F140" s="769">
        <f>E140</f>
        <v>0.65951840599625633</v>
      </c>
      <c r="G140" s="769">
        <f t="shared" ref="G140:AE140" si="27">F140</f>
        <v>0.65951840599625633</v>
      </c>
      <c r="H140" s="769">
        <f t="shared" si="27"/>
        <v>0.65951840599625633</v>
      </c>
      <c r="I140" s="769">
        <f t="shared" si="27"/>
        <v>0.65951840599625633</v>
      </c>
      <c r="J140" s="769">
        <f t="shared" si="27"/>
        <v>0.65951840599625633</v>
      </c>
      <c r="K140" s="769">
        <f t="shared" si="27"/>
        <v>0.65951840599625633</v>
      </c>
      <c r="L140" s="769">
        <f t="shared" si="27"/>
        <v>0.65951840599625633</v>
      </c>
      <c r="M140" s="769">
        <f t="shared" si="27"/>
        <v>0.65951840599625633</v>
      </c>
      <c r="N140" s="769">
        <f t="shared" si="27"/>
        <v>0.65951840599625633</v>
      </c>
      <c r="O140" s="769">
        <f t="shared" si="27"/>
        <v>0.65951840599625633</v>
      </c>
      <c r="P140" s="769">
        <f t="shared" si="27"/>
        <v>0.65951840599625633</v>
      </c>
      <c r="Q140" s="769">
        <f t="shared" si="27"/>
        <v>0.65951840599625633</v>
      </c>
      <c r="R140" s="769">
        <f t="shared" si="27"/>
        <v>0.65951840599625633</v>
      </c>
      <c r="S140" s="769">
        <f t="shared" si="27"/>
        <v>0.65951840599625633</v>
      </c>
      <c r="T140" s="769">
        <f t="shared" si="27"/>
        <v>0.65951840599625633</v>
      </c>
      <c r="U140" s="769">
        <f t="shared" si="27"/>
        <v>0.65951840599625633</v>
      </c>
      <c r="V140" s="769">
        <f t="shared" si="27"/>
        <v>0.65951840599625633</v>
      </c>
      <c r="W140" s="769">
        <f t="shared" si="27"/>
        <v>0.65951840599625633</v>
      </c>
      <c r="X140" s="769">
        <f t="shared" si="27"/>
        <v>0.65951840599625633</v>
      </c>
      <c r="Y140" s="769">
        <f t="shared" si="27"/>
        <v>0.65951840599625633</v>
      </c>
      <c r="Z140" s="769">
        <f t="shared" si="27"/>
        <v>0.65951840599625633</v>
      </c>
      <c r="AA140" s="769">
        <f t="shared" si="27"/>
        <v>0.65951840599625633</v>
      </c>
      <c r="AB140" s="769">
        <f t="shared" si="27"/>
        <v>0.65951840599625633</v>
      </c>
      <c r="AC140" s="769">
        <f t="shared" si="27"/>
        <v>0.65951840599625633</v>
      </c>
      <c r="AD140" s="769">
        <f t="shared" si="27"/>
        <v>0.65951840599625633</v>
      </c>
      <c r="AE140" s="769">
        <f t="shared" si="27"/>
        <v>0.65951840599625633</v>
      </c>
      <c r="AG140" s="451"/>
      <c r="AH140" s="458" t="str">
        <f t="shared" si="25"/>
        <v>TOTH_00</v>
      </c>
      <c r="AI140" s="458" t="str">
        <f t="shared" si="25"/>
        <v>TRADSTB</v>
      </c>
      <c r="AJ140" s="458" t="s">
        <v>1092</v>
      </c>
      <c r="AK140" s="458">
        <v>5</v>
      </c>
    </row>
    <row r="141" spans="1:37" s="459" customFormat="1">
      <c r="A141" s="103"/>
      <c r="B141" s="1"/>
      <c r="C141" s="713"/>
      <c r="E141" s="765"/>
      <c r="F141" s="766"/>
      <c r="G141" s="766"/>
      <c r="H141" s="766"/>
      <c r="I141" s="766"/>
      <c r="J141" s="766"/>
      <c r="K141" s="766"/>
      <c r="L141" s="766"/>
      <c r="M141" s="766"/>
      <c r="N141" s="766"/>
      <c r="O141" s="766"/>
      <c r="P141" s="766"/>
      <c r="Q141" s="766"/>
      <c r="R141" s="766"/>
      <c r="S141" s="766"/>
      <c r="T141" s="766"/>
      <c r="U141" s="766"/>
      <c r="V141" s="766"/>
      <c r="W141" s="766"/>
      <c r="X141" s="766"/>
      <c r="Y141" s="766"/>
      <c r="Z141" s="766"/>
      <c r="AA141" s="766"/>
      <c r="AB141" s="766"/>
      <c r="AC141" s="766"/>
      <c r="AD141" s="766"/>
      <c r="AE141" s="766"/>
      <c r="AG141" s="451"/>
      <c r="AH141" s="718"/>
      <c r="AI141" s="718"/>
      <c r="AJ141" s="718"/>
    </row>
    <row r="142" spans="1:37" s="459" customFormat="1">
      <c r="A142" s="103"/>
      <c r="B142" s="1"/>
      <c r="C142" s="713"/>
      <c r="D142" s="765"/>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c r="AA142" s="766"/>
      <c r="AB142" s="766"/>
      <c r="AC142" s="766"/>
      <c r="AD142" s="766"/>
      <c r="AF142" s="451"/>
      <c r="AG142" s="718"/>
      <c r="AH142" s="718"/>
      <c r="AI142" s="718"/>
      <c r="AJ142" s="718"/>
    </row>
    <row r="143" spans="1:37" s="459" customFormat="1">
      <c r="A143" s="103"/>
      <c r="B143" s="1"/>
      <c r="C143" s="713"/>
      <c r="D143" s="765"/>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c r="AA143" s="766"/>
      <c r="AB143" s="766"/>
      <c r="AC143" s="766"/>
      <c r="AD143" s="766"/>
      <c r="AF143" s="451"/>
      <c r="AG143" s="718"/>
      <c r="AH143" s="718"/>
      <c r="AI143" s="718"/>
      <c r="AJ143" s="718"/>
    </row>
    <row r="144" spans="1:37" s="459" customFormat="1">
      <c r="A144" s="103"/>
      <c r="B144" s="1"/>
      <c r="C144" s="713"/>
      <c r="D144" s="765"/>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c r="AA144" s="766"/>
      <c r="AB144" s="766"/>
      <c r="AC144" s="766"/>
      <c r="AD144" s="766"/>
      <c r="AF144" s="451"/>
      <c r="AG144" s="718"/>
      <c r="AH144" s="718"/>
      <c r="AI144" s="718"/>
      <c r="AJ144" s="718"/>
    </row>
    <row r="145" spans="1:36" s="459" customFormat="1">
      <c r="A145" s="103"/>
      <c r="B145" s="1"/>
      <c r="C145" s="713"/>
      <c r="D145" s="765"/>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c r="AA145" s="766"/>
      <c r="AB145" s="766"/>
      <c r="AC145" s="766"/>
      <c r="AD145" s="766"/>
      <c r="AF145" s="451"/>
      <c r="AG145" s="718"/>
      <c r="AH145" s="718"/>
      <c r="AI145" s="718"/>
      <c r="AJ145" s="718"/>
    </row>
    <row r="146" spans="1:36" s="459" customFormat="1">
      <c r="A146" s="103"/>
      <c r="B146" s="1"/>
      <c r="C146" s="713"/>
      <c r="D146" s="765"/>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c r="AA146" s="766"/>
      <c r="AB146" s="766"/>
      <c r="AC146" s="766"/>
      <c r="AD146" s="766"/>
      <c r="AF146" s="451"/>
      <c r="AG146" s="718"/>
      <c r="AH146" s="718"/>
      <c r="AI146" s="718"/>
      <c r="AJ146" s="718"/>
    </row>
    <row r="147" spans="1:36" s="459" customFormat="1">
      <c r="A147" s="103"/>
      <c r="B147" s="1"/>
      <c r="C147" s="713"/>
      <c r="D147" s="765"/>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c r="AA147" s="766"/>
      <c r="AB147" s="766"/>
      <c r="AC147" s="766"/>
      <c r="AD147" s="766"/>
      <c r="AF147" s="451"/>
      <c r="AG147" s="718"/>
      <c r="AH147" s="718"/>
      <c r="AI147" s="718"/>
      <c r="AJ147" s="718"/>
    </row>
    <row r="148" spans="1:36" s="459" customFormat="1">
      <c r="A148" s="103"/>
      <c r="B148" s="1"/>
      <c r="C148" s="713"/>
      <c r="D148" s="765"/>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c r="AA148" s="766"/>
      <c r="AB148" s="766"/>
      <c r="AC148" s="766"/>
      <c r="AD148" s="766"/>
      <c r="AF148" s="451"/>
      <c r="AG148" s="718"/>
      <c r="AH148" s="718"/>
      <c r="AI148" s="718"/>
      <c r="AJ148" s="718"/>
    </row>
    <row r="149" spans="1:36" s="459" customFormat="1">
      <c r="A149" s="103"/>
      <c r="B149" s="1"/>
      <c r="C149" s="713"/>
      <c r="D149" s="765"/>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c r="AA149" s="766"/>
      <c r="AB149" s="766"/>
      <c r="AC149" s="766"/>
      <c r="AD149" s="766"/>
      <c r="AF149" s="451"/>
      <c r="AG149" s="718"/>
      <c r="AH149" s="718"/>
      <c r="AI149" s="718"/>
      <c r="AJ149" s="718"/>
    </row>
    <row r="150" spans="1:36" s="459" customFormat="1">
      <c r="A150" s="103"/>
      <c r="B150" s="1"/>
      <c r="C150" s="713"/>
      <c r="D150" s="765"/>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c r="AA150" s="766"/>
      <c r="AB150" s="766"/>
      <c r="AC150" s="766"/>
      <c r="AD150" s="766"/>
      <c r="AF150" s="451"/>
      <c r="AG150" s="718"/>
      <c r="AH150" s="718"/>
      <c r="AI150" s="718"/>
      <c r="AJ150" s="718"/>
    </row>
    <row r="151" spans="1:36" s="459" customFormat="1">
      <c r="A151" s="103"/>
      <c r="B151" s="1"/>
      <c r="C151" s="713"/>
      <c r="D151" s="765"/>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c r="AA151" s="766"/>
      <c r="AB151" s="766"/>
      <c r="AC151" s="766"/>
      <c r="AD151" s="766"/>
      <c r="AF151" s="451"/>
      <c r="AG151" s="718"/>
      <c r="AH151" s="718"/>
      <c r="AI151" s="718"/>
      <c r="AJ151" s="718"/>
    </row>
    <row r="152" spans="1:36" s="459" customFormat="1">
      <c r="A152" s="103"/>
      <c r="B152" s="1"/>
      <c r="C152" s="713"/>
      <c r="D152" s="765"/>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c r="AA152" s="766"/>
      <c r="AB152" s="766"/>
      <c r="AC152" s="766"/>
      <c r="AD152" s="766"/>
      <c r="AF152" s="451"/>
      <c r="AG152" s="718"/>
      <c r="AH152" s="718"/>
      <c r="AI152" s="718"/>
      <c r="AJ152" s="718"/>
    </row>
    <row r="153" spans="1:36" s="459" customFormat="1">
      <c r="A153" s="103"/>
      <c r="B153" s="1"/>
      <c r="C153" s="713"/>
      <c r="D153" s="765"/>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c r="AA153" s="766"/>
      <c r="AB153" s="766"/>
      <c r="AC153" s="766"/>
      <c r="AD153" s="766"/>
      <c r="AF153" s="451"/>
      <c r="AG153" s="718"/>
      <c r="AH153" s="718"/>
      <c r="AI153" s="718"/>
      <c r="AJ153" s="718"/>
    </row>
    <row r="154" spans="1:36" s="459" customFormat="1">
      <c r="A154" s="1"/>
      <c r="B154" s="1"/>
      <c r="C154" s="713"/>
      <c r="D154" s="765"/>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c r="AA154" s="767"/>
      <c r="AB154" s="767"/>
      <c r="AC154" s="767"/>
      <c r="AD154" s="767"/>
      <c r="AF154" s="451"/>
      <c r="AG154" s="718"/>
      <c r="AH154" s="718"/>
      <c r="AI154" s="718"/>
      <c r="AJ154" s="718"/>
    </row>
    <row r="155" spans="1:36" s="459" customFormat="1">
      <c r="A155" s="714"/>
      <c r="B155" s="1"/>
      <c r="C155" s="1"/>
      <c r="D155" s="40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c r="AA155" s="402"/>
      <c r="AB155" s="402"/>
      <c r="AC155" s="402"/>
      <c r="AD155" s="402"/>
      <c r="AF155" s="451"/>
      <c r="AG155" s="718"/>
      <c r="AH155" s="718"/>
      <c r="AI155" s="718"/>
      <c r="AJ155" s="718"/>
    </row>
    <row r="156" spans="1:36" s="459" customFormat="1">
      <c r="A156" s="461"/>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c r="AD156" s="9"/>
      <c r="AF156" s="451"/>
    </row>
    <row r="157" spans="1:36" s="459" customFormat="1" ht="15.6">
      <c r="A157" s="401" t="s">
        <v>544</v>
      </c>
      <c r="B157"/>
      <c r="C157" s="398"/>
      <c r="D157" s="398"/>
      <c r="E157" s="398"/>
      <c r="F157" s="398"/>
      <c r="G157" s="398"/>
      <c r="H157" s="398"/>
      <c r="I157" s="398"/>
      <c r="J157" s="398"/>
      <c r="K157" s="398"/>
      <c r="L157" s="9"/>
      <c r="M157" s="9"/>
      <c r="N157" s="9"/>
      <c r="O157" s="9"/>
      <c r="P157" s="9"/>
      <c r="Q157" s="9"/>
      <c r="R157" s="9"/>
      <c r="S157" s="9"/>
      <c r="T157" s="9"/>
      <c r="U157" s="9"/>
      <c r="V157" s="9"/>
      <c r="W157" s="9"/>
      <c r="X157" s="9"/>
      <c r="Y157" s="9"/>
      <c r="Z157" s="9"/>
      <c r="AA157" s="9"/>
      <c r="AB157" s="9"/>
      <c r="AC157" s="9"/>
      <c r="AD157" s="9"/>
      <c r="AE157"/>
      <c r="AF157" s="451"/>
    </row>
    <row r="158" spans="1:36" s="459" customFormat="1">
      <c r="A158" s="132" t="s">
        <v>504</v>
      </c>
      <c r="B158" s="132" t="s">
        <v>543</v>
      </c>
      <c r="C158" s="132" t="str">
        <f>Regions!C3</f>
        <v>IE</v>
      </c>
      <c r="D158" s="132" t="str">
        <f>Regions!E3</f>
        <v>IE-CW</v>
      </c>
      <c r="E158" s="132" t="str">
        <f>Regions!F3</f>
        <v>IE-D</v>
      </c>
      <c r="F158" s="132" t="str">
        <f>Regions!G3</f>
        <v>IE-KE</v>
      </c>
      <c r="G158" s="132" t="str">
        <f>Regions!H3</f>
        <v>IE-KK</v>
      </c>
      <c r="H158" s="132" t="str">
        <f>Regions!I3</f>
        <v>IE-LS</v>
      </c>
      <c r="I158" s="132" t="str">
        <f>Regions!J3</f>
        <v>IE-LD</v>
      </c>
      <c r="J158" s="132" t="str">
        <f>Regions!K3</f>
        <v>IE-LH</v>
      </c>
      <c r="K158" s="132" t="str">
        <f>Regions!L3</f>
        <v>IE-MH</v>
      </c>
      <c r="L158" s="132" t="str">
        <f>Regions!M3</f>
        <v>IE-OY</v>
      </c>
      <c r="M158" s="132" t="str">
        <f>Regions!N3</f>
        <v>IE-WH</v>
      </c>
      <c r="N158" s="132" t="str">
        <f>Regions!O3</f>
        <v>IE-WX</v>
      </c>
      <c r="O158" s="132" t="str">
        <f>Regions!P3</f>
        <v>IE-WW</v>
      </c>
      <c r="P158" s="132" t="str">
        <f>Regions!Q3</f>
        <v>IE-CE</v>
      </c>
      <c r="Q158" s="132" t="str">
        <f>Regions!R3</f>
        <v>IE-CO</v>
      </c>
      <c r="R158" s="132" t="str">
        <f>Regions!S3</f>
        <v>IE-KY</v>
      </c>
      <c r="S158" s="132" t="str">
        <f>Regions!T3</f>
        <v>IE-LK</v>
      </c>
      <c r="T158" s="132" t="str">
        <f>Regions!U3</f>
        <v>IE-TA</v>
      </c>
      <c r="U158" s="132" t="str">
        <f>Regions!V3</f>
        <v>IE-WD</v>
      </c>
      <c r="V158" s="132" t="str">
        <f>Regions!W3</f>
        <v>IE-G</v>
      </c>
      <c r="W158" s="132" t="str">
        <f>Regions!X3</f>
        <v>IE-LM</v>
      </c>
      <c r="X158" s="132" t="str">
        <f>Regions!Y3</f>
        <v>IE-MO</v>
      </c>
      <c r="Y158" s="132" t="str">
        <f>Regions!Z3</f>
        <v>IE-RN</v>
      </c>
      <c r="Z158" s="132" t="str">
        <f>Regions!AA3</f>
        <v>IE-SO</v>
      </c>
      <c r="AA158" s="132" t="str">
        <f>Regions!AB3</f>
        <v>IE-CN</v>
      </c>
      <c r="AB158" s="132" t="str">
        <f>Regions!AC3</f>
        <v>IE-DL</v>
      </c>
      <c r="AC158" s="132" t="str">
        <f>Regions!AD3</f>
        <v>IE-MN</v>
      </c>
      <c r="AD158" s="470" t="s">
        <v>500</v>
      </c>
      <c r="AE158"/>
      <c r="AF158" s="451"/>
    </row>
    <row r="159" spans="1:36" s="459" customFormat="1">
      <c r="A159" s="398" t="s">
        <v>370</v>
      </c>
      <c r="B159" s="443" t="s">
        <v>20</v>
      </c>
      <c r="C159" s="36">
        <f>SUM(D159:AC159)</f>
        <v>39852</v>
      </c>
      <c r="D159" s="36">
        <v>563</v>
      </c>
      <c r="E159" s="36">
        <v>12616</v>
      </c>
      <c r="F159" s="36">
        <v>2168</v>
      </c>
      <c r="G159" s="36">
        <v>872</v>
      </c>
      <c r="H159" s="36">
        <v>513</v>
      </c>
      <c r="I159" s="36">
        <v>213</v>
      </c>
      <c r="J159" s="36">
        <v>855</v>
      </c>
      <c r="K159" s="36">
        <v>1684</v>
      </c>
      <c r="L159" s="36">
        <v>669</v>
      </c>
      <c r="M159" s="36">
        <v>604</v>
      </c>
      <c r="N159" s="36">
        <v>1506</v>
      </c>
      <c r="O159" s="36">
        <v>1554</v>
      </c>
      <c r="P159" s="36">
        <v>924</v>
      </c>
      <c r="Q159" s="36">
        <v>5452</v>
      </c>
      <c r="R159" s="36">
        <v>1062</v>
      </c>
      <c r="S159" s="36">
        <v>1489</v>
      </c>
      <c r="T159" s="36">
        <v>1412</v>
      </c>
      <c r="U159" s="36">
        <v>1293</v>
      </c>
      <c r="V159" s="36">
        <v>1458</v>
      </c>
      <c r="W159" s="36">
        <v>160</v>
      </c>
      <c r="X159" s="36">
        <v>605</v>
      </c>
      <c r="Y159" s="36">
        <v>295</v>
      </c>
      <c r="Z159" s="36">
        <v>400</v>
      </c>
      <c r="AA159" s="36">
        <v>448</v>
      </c>
      <c r="AB159" s="36">
        <v>736</v>
      </c>
      <c r="AC159" s="36">
        <v>301</v>
      </c>
      <c r="AD159" s="443" t="s">
        <v>570</v>
      </c>
      <c r="AE159"/>
      <c r="AF159" s="451"/>
    </row>
    <row r="160" spans="1:36">
      <c r="A160" s="398" t="s">
        <v>369</v>
      </c>
      <c r="B160" s="443" t="s">
        <v>502</v>
      </c>
      <c r="C160" s="36">
        <f>Efficiency!C99</f>
        <v>946860</v>
      </c>
      <c r="D160" s="36">
        <f>Efficiency!D99</f>
        <v>10796</v>
      </c>
      <c r="E160" s="36">
        <f>Efficiency!E99</f>
        <v>299408</v>
      </c>
      <c r="F160" s="36">
        <f>Efficiency!F99</f>
        <v>44521</v>
      </c>
      <c r="G160" s="36">
        <f>Efficiency!G99</f>
        <v>17346</v>
      </c>
      <c r="H160" s="36">
        <f>Efficiency!H99</f>
        <v>12391</v>
      </c>
      <c r="I160" s="36">
        <f>Efficiency!I99</f>
        <v>5804</v>
      </c>
      <c r="J160" s="36">
        <f>Efficiency!J99</f>
        <v>20722</v>
      </c>
      <c r="K160" s="36">
        <f>Efficiency!K99</f>
        <v>34216</v>
      </c>
      <c r="L160" s="36">
        <f>Efficiency!L99</f>
        <v>12252</v>
      </c>
      <c r="M160" s="36">
        <f>Efficiency!M99</f>
        <v>14417</v>
      </c>
      <c r="N160" s="36">
        <f>Efficiency!N99</f>
        <v>29236</v>
      </c>
      <c r="O160" s="36">
        <f>Efficiency!O99</f>
        <v>32847</v>
      </c>
      <c r="P160" s="36">
        <f>Efficiency!P99</f>
        <v>24057</v>
      </c>
      <c r="Q160" s="36">
        <f>Efficiency!Q99</f>
        <v>121228</v>
      </c>
      <c r="R160" s="36">
        <f>Efficiency!R99</f>
        <v>31727</v>
      </c>
      <c r="S160" s="36">
        <f>Efficiency!S99</f>
        <v>40146</v>
      </c>
      <c r="T160" s="36">
        <f>Efficiency!T99</f>
        <v>30854</v>
      </c>
      <c r="U160" s="36">
        <f>Efficiency!U99</f>
        <v>27159</v>
      </c>
      <c r="V160" s="36">
        <f>Efficiency!V99</f>
        <v>45820</v>
      </c>
      <c r="W160" s="36">
        <f>Efficiency!W99</f>
        <v>4961</v>
      </c>
      <c r="X160" s="36">
        <f>Efficiency!X99</f>
        <v>22404</v>
      </c>
      <c r="Y160" s="36">
        <f>Efficiency!Y99</f>
        <v>11971</v>
      </c>
      <c r="Z160" s="36">
        <f>Efficiency!Z99</f>
        <v>11761</v>
      </c>
      <c r="AA160" s="36">
        <f>Efficiency!AA99</f>
        <v>10568</v>
      </c>
      <c r="AB160" s="36">
        <f>Efficiency!AB99</f>
        <v>22398</v>
      </c>
      <c r="AC160" s="36">
        <f>Efficiency!AC99</f>
        <v>7850</v>
      </c>
      <c r="AD160" s="443" t="s">
        <v>501</v>
      </c>
      <c r="AE160" s="398"/>
    </row>
    <row r="161" spans="1:31">
      <c r="A161" s="398"/>
      <c r="B161" s="443" t="s">
        <v>503</v>
      </c>
      <c r="C161" s="36">
        <f>Efficiency!C146</f>
        <v>1129404</v>
      </c>
      <c r="D161" s="36">
        <f>Efficiency!D146</f>
        <v>17385</v>
      </c>
      <c r="E161" s="36">
        <f>Efficiency!E146</f>
        <v>225706</v>
      </c>
      <c r="F161" s="36">
        <f>Efficiency!F146</f>
        <v>56834</v>
      </c>
      <c r="G161" s="36">
        <f>Efficiency!G146</f>
        <v>26674</v>
      </c>
      <c r="H161" s="36">
        <f>Efficiency!H146</f>
        <v>22058</v>
      </c>
      <c r="I161" s="36">
        <f>Efficiency!I146</f>
        <v>11270</v>
      </c>
      <c r="J161" s="36">
        <f>Efficiency!J146</f>
        <v>29947</v>
      </c>
      <c r="K161" s="36">
        <f>Efficiency!K146</f>
        <v>52424</v>
      </c>
      <c r="L161" s="36">
        <f>Efficiency!L146</f>
        <v>21785</v>
      </c>
      <c r="M161" s="36">
        <f>Efficiency!M146</f>
        <v>26113</v>
      </c>
      <c r="N161" s="36">
        <f>Efficiency!N146</f>
        <v>44971</v>
      </c>
      <c r="O161" s="36">
        <f>Efficiency!O146</f>
        <v>34195</v>
      </c>
      <c r="P161" s="36">
        <f>Efficiency!P146</f>
        <v>32584</v>
      </c>
      <c r="Q161" s="36">
        <f>Efficiency!Q146</f>
        <v>132295</v>
      </c>
      <c r="R161" s="36">
        <f>Efficiency!R146</f>
        <v>39247</v>
      </c>
      <c r="S161" s="36">
        <f>Efficiency!S146</f>
        <v>47853</v>
      </c>
      <c r="T161" s="36">
        <f>Efficiency!T146</f>
        <v>47714</v>
      </c>
      <c r="U161" s="36">
        <f>Efficiency!U146</f>
        <v>29674</v>
      </c>
      <c r="V161" s="36">
        <f>Efficiency!V146</f>
        <v>66337</v>
      </c>
      <c r="W161" s="36">
        <f>Efficiency!W146</f>
        <v>9454</v>
      </c>
      <c r="X161" s="36">
        <f>Efficiency!X146</f>
        <v>37994</v>
      </c>
      <c r="Y161" s="36">
        <f>Efficiency!Y146</f>
        <v>20248</v>
      </c>
      <c r="Z161" s="36">
        <f>Efficiency!Z146</f>
        <v>16993</v>
      </c>
      <c r="AA161" s="36">
        <f>Efficiency!AA146</f>
        <v>20890</v>
      </c>
      <c r="AB161" s="36">
        <f>Efficiency!AB146</f>
        <v>41125</v>
      </c>
      <c r="AC161" s="36">
        <f>Efficiency!AC146</f>
        <v>17634</v>
      </c>
      <c r="AD161" s="443" t="s">
        <v>501</v>
      </c>
      <c r="AE161" s="398"/>
    </row>
    <row r="162" spans="1:31">
      <c r="A162" s="398"/>
      <c r="B162" s="443" t="s">
        <v>505</v>
      </c>
      <c r="C162" s="36">
        <f>Efficiency!C193</f>
        <v>67</v>
      </c>
      <c r="D162" s="36">
        <f>Efficiency!D193</f>
        <v>0</v>
      </c>
      <c r="E162" s="36">
        <f>Efficiency!E193</f>
        <v>28</v>
      </c>
      <c r="F162" s="36">
        <f>Efficiency!F193</f>
        <v>1</v>
      </c>
      <c r="G162" s="36">
        <f>Efficiency!G193</f>
        <v>1</v>
      </c>
      <c r="H162" s="36">
        <f>Efficiency!H193</f>
        <v>0</v>
      </c>
      <c r="I162" s="36">
        <f>Efficiency!I193</f>
        <v>2</v>
      </c>
      <c r="J162" s="36">
        <f>Efficiency!J193</f>
        <v>1</v>
      </c>
      <c r="K162" s="36">
        <f>Efficiency!K193</f>
        <v>2</v>
      </c>
      <c r="L162" s="36">
        <f>Efficiency!L193</f>
        <v>3</v>
      </c>
      <c r="M162" s="36">
        <f>Efficiency!M193</f>
        <v>1</v>
      </c>
      <c r="N162" s="36">
        <f>Efficiency!N193</f>
        <v>3</v>
      </c>
      <c r="O162" s="36">
        <f>Efficiency!O193</f>
        <v>5</v>
      </c>
      <c r="P162" s="36">
        <f>Efficiency!P193</f>
        <v>1</v>
      </c>
      <c r="Q162" s="36">
        <f>Efficiency!Q193</f>
        <v>5</v>
      </c>
      <c r="R162" s="36">
        <f>Efficiency!R193</f>
        <v>3</v>
      </c>
      <c r="S162" s="36">
        <f>Efficiency!S193</f>
        <v>2</v>
      </c>
      <c r="T162" s="36">
        <f>Efficiency!T193</f>
        <v>0</v>
      </c>
      <c r="U162" s="36">
        <f>Efficiency!U193</f>
        <v>0</v>
      </c>
      <c r="V162" s="36">
        <f>Efficiency!V193</f>
        <v>7</v>
      </c>
      <c r="W162" s="36">
        <f>Efficiency!W193</f>
        <v>0</v>
      </c>
      <c r="X162" s="36">
        <f>Efficiency!X193</f>
        <v>0</v>
      </c>
      <c r="Y162" s="36">
        <f>Efficiency!Y193</f>
        <v>0</v>
      </c>
      <c r="Z162" s="36">
        <f>Efficiency!Z193</f>
        <v>0</v>
      </c>
      <c r="AA162" s="36">
        <f>Efficiency!AA193</f>
        <v>0</v>
      </c>
      <c r="AB162" s="36">
        <f>Efficiency!AB193</f>
        <v>2</v>
      </c>
      <c r="AC162" s="36">
        <f>Efficiency!AC193</f>
        <v>0</v>
      </c>
      <c r="AD162" s="459" t="s">
        <v>501</v>
      </c>
      <c r="AE162" s="398"/>
    </row>
    <row r="163" spans="1:31">
      <c r="A163" s="398"/>
      <c r="B163" s="443" t="s">
        <v>506</v>
      </c>
      <c r="C163" s="36">
        <f>Efficiency!C242</f>
        <v>8529</v>
      </c>
      <c r="D163" s="36">
        <f>Efficiency!D242</f>
        <v>98</v>
      </c>
      <c r="E163" s="36">
        <f>Efficiency!E242</f>
        <v>265</v>
      </c>
      <c r="F163" s="36">
        <f>Efficiency!F242</f>
        <v>281</v>
      </c>
      <c r="G163" s="36">
        <f>Efficiency!G242</f>
        <v>574</v>
      </c>
      <c r="H163" s="36">
        <f>Efficiency!H242</f>
        <v>124</v>
      </c>
      <c r="I163" s="36">
        <f>Efficiency!I242</f>
        <v>316</v>
      </c>
      <c r="J163" s="36">
        <f>Efficiency!J242</f>
        <v>41</v>
      </c>
      <c r="K163" s="36">
        <f>Efficiency!K242</f>
        <v>83</v>
      </c>
      <c r="L163" s="36">
        <f>Efficiency!L242</f>
        <v>53</v>
      </c>
      <c r="M163" s="36">
        <f>Efficiency!M242</f>
        <v>260</v>
      </c>
      <c r="N163" s="36">
        <f>Efficiency!N242</f>
        <v>177</v>
      </c>
      <c r="O163" s="36">
        <f>Efficiency!O242</f>
        <v>315</v>
      </c>
      <c r="P163" s="36">
        <f>Efficiency!P242</f>
        <v>205</v>
      </c>
      <c r="Q163" s="36">
        <f>Efficiency!Q242</f>
        <v>1162</v>
      </c>
      <c r="R163" s="36">
        <f>Efficiency!R242</f>
        <v>350</v>
      </c>
      <c r="S163" s="36">
        <f>Efficiency!S242</f>
        <v>33</v>
      </c>
      <c r="T163" s="36">
        <f>Efficiency!T242</f>
        <v>75</v>
      </c>
      <c r="U163" s="36">
        <f>Efficiency!U242</f>
        <v>229</v>
      </c>
      <c r="V163" s="36">
        <f>Efficiency!V242</f>
        <v>2626</v>
      </c>
      <c r="W163" s="36">
        <f>Efficiency!W242</f>
        <v>107</v>
      </c>
      <c r="X163" s="36">
        <f>Efficiency!X242</f>
        <v>247</v>
      </c>
      <c r="Y163" s="36">
        <f>Efficiency!Y242</f>
        <v>85</v>
      </c>
      <c r="Z163" s="36">
        <f>Efficiency!Z242</f>
        <v>75</v>
      </c>
      <c r="AA163" s="36">
        <f>Efficiency!AA242</f>
        <v>91</v>
      </c>
      <c r="AB163" s="36">
        <f>Efficiency!AB242</f>
        <v>185</v>
      </c>
      <c r="AC163" s="36">
        <f>Efficiency!AC242</f>
        <v>472</v>
      </c>
      <c r="AD163" s="459" t="s">
        <v>501</v>
      </c>
      <c r="AE163" s="398"/>
    </row>
    <row r="164" spans="1:31">
      <c r="A164" s="398"/>
      <c r="B164" s="443" t="s">
        <v>507</v>
      </c>
      <c r="C164" s="36">
        <f>Efficiency!C290</f>
        <v>29800</v>
      </c>
      <c r="D164" s="36">
        <f>Efficiency!D290</f>
        <v>205</v>
      </c>
      <c r="E164" s="36">
        <f>Efficiency!E290</f>
        <v>1109</v>
      </c>
      <c r="F164" s="36">
        <f>Efficiency!F290</f>
        <v>572</v>
      </c>
      <c r="G164" s="36">
        <f>Efficiency!G290</f>
        <v>1428</v>
      </c>
      <c r="H164" s="36">
        <f>Efficiency!H290</f>
        <v>365</v>
      </c>
      <c r="I164" s="36">
        <f>Efficiency!I290</f>
        <v>805</v>
      </c>
      <c r="J164" s="36">
        <f>Efficiency!J290</f>
        <v>159</v>
      </c>
      <c r="K164" s="36">
        <f>Efficiency!K290</f>
        <v>457</v>
      </c>
      <c r="L164" s="36">
        <f>Efficiency!L290</f>
        <v>161</v>
      </c>
      <c r="M164" s="36">
        <f>Efficiency!M290</f>
        <v>418</v>
      </c>
      <c r="N164" s="36">
        <f>Efficiency!N290</f>
        <v>488</v>
      </c>
      <c r="O164" s="36">
        <f>Efficiency!O290</f>
        <v>616</v>
      </c>
      <c r="P164" s="36">
        <f>Efficiency!P290</f>
        <v>492</v>
      </c>
      <c r="Q164" s="36">
        <f>Efficiency!Q290</f>
        <v>2929</v>
      </c>
      <c r="R164" s="36">
        <f>Efficiency!R290</f>
        <v>1663</v>
      </c>
      <c r="S164" s="36">
        <f>Efficiency!S290</f>
        <v>90</v>
      </c>
      <c r="T164" s="36">
        <f>Efficiency!T290</f>
        <v>273</v>
      </c>
      <c r="U164" s="36">
        <f>Efficiency!U290</f>
        <v>565</v>
      </c>
      <c r="V164" s="36">
        <f>Efficiency!V290</f>
        <v>13569</v>
      </c>
      <c r="W164" s="36">
        <f>Efficiency!W290</f>
        <v>307</v>
      </c>
      <c r="X164" s="36">
        <f>Efficiency!X290</f>
        <v>583</v>
      </c>
      <c r="Y164" s="36">
        <f>Efficiency!Y290</f>
        <v>347</v>
      </c>
      <c r="Z164" s="36">
        <f>Efficiency!Z290</f>
        <v>265</v>
      </c>
      <c r="AA164" s="36">
        <f>Efficiency!AA290</f>
        <v>256</v>
      </c>
      <c r="AB164" s="36">
        <f>Efficiency!AB290</f>
        <v>573</v>
      </c>
      <c r="AC164" s="36">
        <f>Efficiency!AC290</f>
        <v>1105</v>
      </c>
      <c r="AD164" s="459" t="s">
        <v>501</v>
      </c>
      <c r="AE164" s="398"/>
    </row>
    <row r="165" spans="1:31">
      <c r="A165" s="398"/>
      <c r="B165" s="459" t="s">
        <v>675</v>
      </c>
      <c r="C165" s="36">
        <f>Efficiency!C338</f>
        <v>773</v>
      </c>
      <c r="D165" s="36">
        <f>Efficiency!D338</f>
        <v>14</v>
      </c>
      <c r="E165" s="36">
        <f>Efficiency!E338</f>
        <v>33</v>
      </c>
      <c r="F165" s="36">
        <f>Efficiency!F338</f>
        <v>19</v>
      </c>
      <c r="G165" s="36">
        <f>Efficiency!G338</f>
        <v>43</v>
      </c>
      <c r="H165" s="36">
        <f>Efficiency!H338</f>
        <v>16</v>
      </c>
      <c r="I165" s="36">
        <f>Efficiency!I338</f>
        <v>24</v>
      </c>
      <c r="J165" s="36">
        <f>Efficiency!J338</f>
        <v>8</v>
      </c>
      <c r="K165" s="36">
        <f>Efficiency!K338</f>
        <v>13</v>
      </c>
      <c r="L165" s="36">
        <f>Efficiency!L338</f>
        <v>10</v>
      </c>
      <c r="M165" s="36">
        <f>Efficiency!M338</f>
        <v>23</v>
      </c>
      <c r="N165" s="36">
        <f>Efficiency!N338</f>
        <v>16</v>
      </c>
      <c r="O165" s="36">
        <f>Efficiency!O338</f>
        <v>17</v>
      </c>
      <c r="P165" s="36">
        <f>Efficiency!P338</f>
        <v>13</v>
      </c>
      <c r="Q165" s="36">
        <f>Efficiency!Q338</f>
        <v>71</v>
      </c>
      <c r="R165" s="36">
        <f>Efficiency!R338</f>
        <v>32</v>
      </c>
      <c r="S165" s="36">
        <f>Efficiency!S338</f>
        <v>2</v>
      </c>
      <c r="T165" s="36">
        <f>Efficiency!T338</f>
        <v>4</v>
      </c>
      <c r="U165" s="36">
        <f>Efficiency!U338</f>
        <v>13</v>
      </c>
      <c r="V165" s="36">
        <f>Efficiency!V338</f>
        <v>287</v>
      </c>
      <c r="W165" s="36">
        <f>Efficiency!W338</f>
        <v>16</v>
      </c>
      <c r="X165" s="36">
        <f>Efficiency!X338</f>
        <v>17</v>
      </c>
      <c r="Y165" s="36">
        <f>Efficiency!Y338</f>
        <v>11</v>
      </c>
      <c r="Z165" s="36">
        <f>Efficiency!Z338</f>
        <v>5</v>
      </c>
      <c r="AA165" s="36">
        <f>Efficiency!AA338</f>
        <v>16</v>
      </c>
      <c r="AB165" s="36">
        <f>Efficiency!AB338</f>
        <v>12</v>
      </c>
      <c r="AC165" s="36">
        <f>Efficiency!AC338</f>
        <v>38</v>
      </c>
      <c r="AD165" s="459" t="s">
        <v>501</v>
      </c>
      <c r="AE165" s="398"/>
    </row>
    <row r="166" spans="1:31">
      <c r="A166" s="398"/>
      <c r="B166" s="443" t="s">
        <v>508</v>
      </c>
      <c r="C166" s="36">
        <f>Efficiency!C386</f>
        <v>2759</v>
      </c>
      <c r="D166" s="36">
        <f>Efficiency!D386</f>
        <v>15</v>
      </c>
      <c r="E166" s="36">
        <f>Efficiency!E386</f>
        <v>109</v>
      </c>
      <c r="F166" s="36">
        <f>Efficiency!F386</f>
        <v>33</v>
      </c>
      <c r="G166" s="36">
        <f>Efficiency!G386</f>
        <v>150</v>
      </c>
      <c r="H166" s="36">
        <f>Efficiency!H386</f>
        <v>24</v>
      </c>
      <c r="I166" s="36">
        <f>Efficiency!I386</f>
        <v>54</v>
      </c>
      <c r="J166" s="36">
        <f>Efficiency!J386</f>
        <v>18</v>
      </c>
      <c r="K166" s="36">
        <f>Efficiency!K386</f>
        <v>23</v>
      </c>
      <c r="L166" s="36">
        <f>Efficiency!L386</f>
        <v>10</v>
      </c>
      <c r="M166" s="36">
        <f>Efficiency!M386</f>
        <v>32</v>
      </c>
      <c r="N166" s="36">
        <f>Efficiency!N386</f>
        <v>35</v>
      </c>
      <c r="O166" s="36">
        <f>Efficiency!O386</f>
        <v>42</v>
      </c>
      <c r="P166" s="36">
        <f>Efficiency!P386</f>
        <v>37</v>
      </c>
      <c r="Q166" s="36">
        <f>Efficiency!Q386</f>
        <v>262</v>
      </c>
      <c r="R166" s="36">
        <f>Efficiency!R386</f>
        <v>152</v>
      </c>
      <c r="S166" s="36">
        <f>Efficiency!S386</f>
        <v>3</v>
      </c>
      <c r="T166" s="36">
        <f>Efficiency!T386</f>
        <v>23</v>
      </c>
      <c r="U166" s="36">
        <f>Efficiency!U386</f>
        <v>40</v>
      </c>
      <c r="V166" s="36">
        <f>Efficiency!V386</f>
        <v>1430</v>
      </c>
      <c r="W166" s="36">
        <f>Efficiency!W386</f>
        <v>17</v>
      </c>
      <c r="X166" s="36">
        <f>Efficiency!X386</f>
        <v>47</v>
      </c>
      <c r="Y166" s="36">
        <f>Efficiency!Y386</f>
        <v>18</v>
      </c>
      <c r="Z166" s="36">
        <f>Efficiency!Z386</f>
        <v>16</v>
      </c>
      <c r="AA166" s="36">
        <f>Efficiency!AA386</f>
        <v>24</v>
      </c>
      <c r="AB166" s="36">
        <f>Efficiency!AB386</f>
        <v>37</v>
      </c>
      <c r="AC166" s="36">
        <f>Efficiency!AC386</f>
        <v>108</v>
      </c>
      <c r="AD166" s="459" t="s">
        <v>501</v>
      </c>
      <c r="AE166" s="398"/>
    </row>
    <row r="167" spans="1:31">
      <c r="A167" s="398"/>
      <c r="B167" s="443" t="s">
        <v>509</v>
      </c>
      <c r="C167" s="36">
        <f>Efficiency!C434</f>
        <v>25</v>
      </c>
      <c r="D167" s="36">
        <f>Efficiency!D434</f>
        <v>0</v>
      </c>
      <c r="E167" s="36">
        <f>Efficiency!E434</f>
        <v>11</v>
      </c>
      <c r="F167" s="36">
        <f>Efficiency!F434</f>
        <v>2</v>
      </c>
      <c r="G167" s="36">
        <f>Efficiency!G434</f>
        <v>0</v>
      </c>
      <c r="H167" s="36">
        <f>Efficiency!H434</f>
        <v>0</v>
      </c>
      <c r="I167" s="36">
        <f>Efficiency!I434</f>
        <v>1</v>
      </c>
      <c r="J167" s="36">
        <f>Efficiency!J434</f>
        <v>0</v>
      </c>
      <c r="K167" s="36">
        <f>Efficiency!K434</f>
        <v>1</v>
      </c>
      <c r="L167" s="36">
        <f>Efficiency!L434</f>
        <v>0</v>
      </c>
      <c r="M167" s="36">
        <f>Efficiency!M434</f>
        <v>0</v>
      </c>
      <c r="N167" s="36">
        <f>Efficiency!N434</f>
        <v>1</v>
      </c>
      <c r="O167" s="36">
        <f>Efficiency!O434</f>
        <v>1</v>
      </c>
      <c r="P167" s="36">
        <f>Efficiency!P434</f>
        <v>2</v>
      </c>
      <c r="Q167" s="36">
        <f>Efficiency!Q434</f>
        <v>2</v>
      </c>
      <c r="R167" s="36">
        <f>Efficiency!R434</f>
        <v>0</v>
      </c>
      <c r="S167" s="36">
        <f>Efficiency!S434</f>
        <v>0</v>
      </c>
      <c r="T167" s="36">
        <f>Efficiency!T434</f>
        <v>1</v>
      </c>
      <c r="U167" s="36">
        <f>Efficiency!U434</f>
        <v>0</v>
      </c>
      <c r="V167" s="36">
        <f>Efficiency!V434</f>
        <v>0</v>
      </c>
      <c r="W167" s="36">
        <f>Efficiency!W434</f>
        <v>0</v>
      </c>
      <c r="X167" s="36">
        <f>Efficiency!X434</f>
        <v>0</v>
      </c>
      <c r="Y167" s="36">
        <f>Efficiency!Y434</f>
        <v>0</v>
      </c>
      <c r="Z167" s="36">
        <f>Efficiency!Z434</f>
        <v>1</v>
      </c>
      <c r="AA167" s="36">
        <f>Efficiency!AA434</f>
        <v>0</v>
      </c>
      <c r="AB167" s="36">
        <f>Efficiency!AB434</f>
        <v>1</v>
      </c>
      <c r="AC167" s="36">
        <f>Efficiency!AC434</f>
        <v>1</v>
      </c>
      <c r="AD167" s="459" t="s">
        <v>501</v>
      </c>
      <c r="AE167" s="398"/>
    </row>
    <row r="168" spans="1:31" s="459" customFormat="1">
      <c r="A168" s="398"/>
      <c r="B168" s="443" t="s">
        <v>510</v>
      </c>
      <c r="C168" s="36">
        <f>Efficiency!C482</f>
        <v>4530</v>
      </c>
      <c r="D168" s="36">
        <f>Efficiency!D482</f>
        <v>46</v>
      </c>
      <c r="E168" s="36">
        <f>Efficiency!E482</f>
        <v>1676</v>
      </c>
      <c r="F168" s="36">
        <f>Efficiency!F482</f>
        <v>292</v>
      </c>
      <c r="G168" s="36">
        <f>Efficiency!G482</f>
        <v>54</v>
      </c>
      <c r="H168" s="36">
        <f>Efficiency!H482</f>
        <v>56</v>
      </c>
      <c r="I168" s="36">
        <f>Efficiency!I482</f>
        <v>24</v>
      </c>
      <c r="J168" s="36">
        <f>Efficiency!J482</f>
        <v>103</v>
      </c>
      <c r="K168" s="36">
        <f>Efficiency!K482</f>
        <v>239</v>
      </c>
      <c r="L168" s="36">
        <f>Efficiency!L482</f>
        <v>29</v>
      </c>
      <c r="M168" s="36">
        <f>Efficiency!M482</f>
        <v>98</v>
      </c>
      <c r="N168" s="36">
        <f>Efficiency!N482</f>
        <v>141</v>
      </c>
      <c r="O168" s="36">
        <f>Efficiency!O482</f>
        <v>257</v>
      </c>
      <c r="P168" s="36">
        <f>Efficiency!P482</f>
        <v>107</v>
      </c>
      <c r="Q168" s="36">
        <f>Efficiency!Q482</f>
        <v>514</v>
      </c>
      <c r="R168" s="36">
        <f>Efficiency!R482</f>
        <v>98</v>
      </c>
      <c r="S168" s="36">
        <f>Efficiency!S482</f>
        <v>123</v>
      </c>
      <c r="T168" s="36">
        <f>Efficiency!T482</f>
        <v>94</v>
      </c>
      <c r="U168" s="36">
        <f>Efficiency!U482</f>
        <v>100</v>
      </c>
      <c r="V168" s="36">
        <f>Efficiency!V482</f>
        <v>228</v>
      </c>
      <c r="W168" s="36">
        <f>Efficiency!W482</f>
        <v>17</v>
      </c>
      <c r="X168" s="36">
        <f>Efficiency!X482</f>
        <v>58</v>
      </c>
      <c r="Y168" s="36">
        <f>Efficiency!Y482</f>
        <v>30</v>
      </c>
      <c r="Z168" s="36">
        <f>Efficiency!Z482</f>
        <v>29</v>
      </c>
      <c r="AA168" s="36">
        <f>Efficiency!AA482</f>
        <v>35</v>
      </c>
      <c r="AB168" s="36">
        <f>Efficiency!AB482</f>
        <v>51</v>
      </c>
      <c r="AC168" s="36">
        <f>Efficiency!AC482</f>
        <v>31</v>
      </c>
      <c r="AD168" s="459" t="s">
        <v>501</v>
      </c>
      <c r="AE168"/>
    </row>
    <row r="169" spans="1:31">
      <c r="A169" s="443" t="s">
        <v>589</v>
      </c>
      <c r="B169" s="447" t="s">
        <v>502</v>
      </c>
      <c r="C169" s="36">
        <f>Efficiency!C530</f>
        <v>2500</v>
      </c>
      <c r="D169" s="36">
        <f>Efficiency!D530</f>
        <v>10</v>
      </c>
      <c r="E169" s="36">
        <f>Efficiency!E530</f>
        <v>1579</v>
      </c>
      <c r="F169" s="36">
        <f>Efficiency!F530</f>
        <v>71</v>
      </c>
      <c r="G169" s="36">
        <f>Efficiency!G530</f>
        <v>10</v>
      </c>
      <c r="H169" s="36">
        <f>Efficiency!H530</f>
        <v>12</v>
      </c>
      <c r="I169" s="36">
        <f>Efficiency!I530</f>
        <v>4</v>
      </c>
      <c r="J169" s="36">
        <f>Efficiency!J530</f>
        <v>48</v>
      </c>
      <c r="K169" s="36">
        <f>Efficiency!K530</f>
        <v>95</v>
      </c>
      <c r="L169" s="36">
        <f>Efficiency!L530</f>
        <v>14</v>
      </c>
      <c r="M169" s="36">
        <f>Efficiency!M530</f>
        <v>14</v>
      </c>
      <c r="N169" s="36">
        <f>Efficiency!N530</f>
        <v>17</v>
      </c>
      <c r="O169" s="36">
        <f>Efficiency!O530</f>
        <v>31</v>
      </c>
      <c r="P169" s="36">
        <f>Efficiency!P530</f>
        <v>44</v>
      </c>
      <c r="Q169" s="36">
        <f>Efficiency!Q530</f>
        <v>164</v>
      </c>
      <c r="R169" s="36">
        <f>Efficiency!R530</f>
        <v>28</v>
      </c>
      <c r="S169" s="36">
        <f>Efficiency!S530</f>
        <v>125</v>
      </c>
      <c r="T169" s="36">
        <f>Efficiency!T530</f>
        <v>12</v>
      </c>
      <c r="U169" s="36">
        <f>Efficiency!U530</f>
        <v>44</v>
      </c>
      <c r="V169" s="36">
        <f>Efficiency!V530</f>
        <v>115</v>
      </c>
      <c r="W169" s="36">
        <f>Efficiency!W530</f>
        <v>0</v>
      </c>
      <c r="X169" s="36">
        <f>Efficiency!X530</f>
        <v>20</v>
      </c>
      <c r="Y169" s="36">
        <f>Efficiency!Y530</f>
        <v>3</v>
      </c>
      <c r="Z169" s="36">
        <f>Efficiency!Z530</f>
        <v>12</v>
      </c>
      <c r="AA169" s="36">
        <f>Efficiency!AA530</f>
        <v>7</v>
      </c>
      <c r="AB169" s="36">
        <f>Efficiency!AB530</f>
        <v>17</v>
      </c>
      <c r="AC169" s="36">
        <f>Efficiency!AC530</f>
        <v>4</v>
      </c>
      <c r="AD169" s="447" t="s">
        <v>511</v>
      </c>
    </row>
    <row r="170" spans="1:31">
      <c r="A170" s="398"/>
      <c r="B170" s="447" t="s">
        <v>503</v>
      </c>
      <c r="C170" s="36">
        <f>Efficiency!C578</f>
        <v>17463</v>
      </c>
      <c r="D170" s="36">
        <f>Efficiency!D578</f>
        <v>147</v>
      </c>
      <c r="E170" s="36">
        <f>Efficiency!E578</f>
        <v>8514</v>
      </c>
      <c r="F170" s="36">
        <f>Efficiency!F578</f>
        <v>715</v>
      </c>
      <c r="G170" s="36">
        <f>Efficiency!G578</f>
        <v>204</v>
      </c>
      <c r="H170" s="36">
        <f>Efficiency!H578</f>
        <v>200</v>
      </c>
      <c r="I170" s="36">
        <f>Efficiency!I578</f>
        <v>83</v>
      </c>
      <c r="J170" s="36">
        <f>Efficiency!J578</f>
        <v>508</v>
      </c>
      <c r="K170" s="36">
        <f>Efficiency!K578</f>
        <v>832</v>
      </c>
      <c r="L170" s="36">
        <f>Efficiency!L578</f>
        <v>150</v>
      </c>
      <c r="M170" s="36">
        <f>Efficiency!M578</f>
        <v>259</v>
      </c>
      <c r="N170" s="36">
        <f>Efficiency!N578</f>
        <v>250</v>
      </c>
      <c r="O170" s="36">
        <f>Efficiency!O578</f>
        <v>315</v>
      </c>
      <c r="P170" s="36">
        <f>Efficiency!P578</f>
        <v>301</v>
      </c>
      <c r="Q170" s="36">
        <f>Efficiency!Q578</f>
        <v>1538</v>
      </c>
      <c r="R170" s="36">
        <f>Efficiency!R578</f>
        <v>436</v>
      </c>
      <c r="S170" s="36">
        <f>Efficiency!S578</f>
        <v>487</v>
      </c>
      <c r="T170" s="36">
        <f>Efficiency!T578</f>
        <v>241</v>
      </c>
      <c r="U170" s="36">
        <f>Efficiency!U578</f>
        <v>262</v>
      </c>
      <c r="V170" s="36">
        <f>Efficiency!V578</f>
        <v>822</v>
      </c>
      <c r="W170" s="36">
        <f>Efficiency!W578</f>
        <v>65</v>
      </c>
      <c r="X170" s="36">
        <f>Efficiency!X578</f>
        <v>270</v>
      </c>
      <c r="Y170" s="36">
        <f>Efficiency!Y578</f>
        <v>129</v>
      </c>
      <c r="Z170" s="36">
        <f>Efficiency!Z578</f>
        <v>155</v>
      </c>
      <c r="AA170" s="36">
        <f>Efficiency!AA578</f>
        <v>157</v>
      </c>
      <c r="AB170" s="36">
        <f>Efficiency!AB578</f>
        <v>348</v>
      </c>
      <c r="AC170" s="36">
        <f>Efficiency!AC578</f>
        <v>75</v>
      </c>
      <c r="AD170" s="447" t="s">
        <v>511</v>
      </c>
    </row>
    <row r="171" spans="1:31">
      <c r="A171" s="398"/>
      <c r="B171" s="447" t="s">
        <v>507</v>
      </c>
      <c r="C171" s="36">
        <f>Efficiency!C626</f>
        <v>1350</v>
      </c>
      <c r="D171" s="36">
        <f>Efficiency!D626</f>
        <v>4</v>
      </c>
      <c r="E171" s="36">
        <f>Efficiency!E626</f>
        <v>1055</v>
      </c>
      <c r="F171" s="36">
        <f>Efficiency!F626</f>
        <v>37</v>
      </c>
      <c r="G171" s="36">
        <f>Efficiency!G626</f>
        <v>1</v>
      </c>
      <c r="H171" s="36">
        <f>Efficiency!H626</f>
        <v>16</v>
      </c>
      <c r="I171" s="36">
        <f>Efficiency!I626</f>
        <v>0</v>
      </c>
      <c r="J171" s="36">
        <f>Efficiency!J626</f>
        <v>25</v>
      </c>
      <c r="K171" s="36">
        <f>Efficiency!K626</f>
        <v>51</v>
      </c>
      <c r="L171" s="36">
        <f>Efficiency!L626</f>
        <v>3</v>
      </c>
      <c r="M171" s="36">
        <f>Efficiency!M626</f>
        <v>6</v>
      </c>
      <c r="N171" s="36">
        <f>Efficiency!N626</f>
        <v>3</v>
      </c>
      <c r="O171" s="36">
        <f>Efficiency!O626</f>
        <v>13</v>
      </c>
      <c r="P171" s="36">
        <f>Efficiency!P626</f>
        <v>7</v>
      </c>
      <c r="Q171" s="36">
        <f>Efficiency!Q626</f>
        <v>49</v>
      </c>
      <c r="R171" s="36">
        <f>Efficiency!R626</f>
        <v>4</v>
      </c>
      <c r="S171" s="36">
        <f>Efficiency!S626</f>
        <v>42</v>
      </c>
      <c r="T171" s="36">
        <f>Efficiency!T626</f>
        <v>3</v>
      </c>
      <c r="U171" s="36">
        <f>Efficiency!U626</f>
        <v>1</v>
      </c>
      <c r="V171" s="36">
        <f>Efficiency!V626</f>
        <v>24</v>
      </c>
      <c r="W171" s="36">
        <f>Efficiency!W626</f>
        <v>0</v>
      </c>
      <c r="X171" s="36">
        <f>Efficiency!X626</f>
        <v>2</v>
      </c>
      <c r="Y171" s="36">
        <f>Efficiency!Y626</f>
        <v>0</v>
      </c>
      <c r="Z171" s="36">
        <f>Efficiency!Z626</f>
        <v>2</v>
      </c>
      <c r="AA171" s="36">
        <f>Efficiency!AA626</f>
        <v>1</v>
      </c>
      <c r="AB171" s="36">
        <f>Efficiency!AB626</f>
        <v>1</v>
      </c>
      <c r="AC171" s="36">
        <f>Efficiency!AC626</f>
        <v>0</v>
      </c>
      <c r="AD171" s="447" t="s">
        <v>511</v>
      </c>
    </row>
    <row r="172" spans="1:31">
      <c r="A172" s="459" t="s">
        <v>590</v>
      </c>
      <c r="B172" s="447" t="s">
        <v>512</v>
      </c>
      <c r="C172" s="36">
        <v>10695</v>
      </c>
      <c r="D172" s="36">
        <v>149</v>
      </c>
      <c r="E172" s="36">
        <v>3066</v>
      </c>
      <c r="F172" s="36">
        <v>501</v>
      </c>
      <c r="G172" s="36">
        <v>295</v>
      </c>
      <c r="H172" s="36">
        <v>198</v>
      </c>
      <c r="I172" s="36">
        <v>105</v>
      </c>
      <c r="J172" s="36">
        <v>230</v>
      </c>
      <c r="K172" s="36">
        <v>376</v>
      </c>
      <c r="L172" s="36">
        <v>211</v>
      </c>
      <c r="M172" s="36">
        <v>160</v>
      </c>
      <c r="N172" s="36">
        <v>289</v>
      </c>
      <c r="O172" s="36">
        <v>251</v>
      </c>
      <c r="P172" s="36">
        <v>238</v>
      </c>
      <c r="Q172" s="36">
        <v>897</v>
      </c>
      <c r="R172" s="36">
        <v>524</v>
      </c>
      <c r="S172" s="36">
        <v>314</v>
      </c>
      <c r="T172" s="36">
        <v>391</v>
      </c>
      <c r="U172" s="36">
        <v>179</v>
      </c>
      <c r="V172" s="36">
        <v>596</v>
      </c>
      <c r="W172" s="36">
        <v>99</v>
      </c>
      <c r="X172" s="36">
        <v>341</v>
      </c>
      <c r="Y172" s="36">
        <v>126</v>
      </c>
      <c r="Z172" s="36">
        <v>119</v>
      </c>
      <c r="AA172" s="36">
        <v>194</v>
      </c>
      <c r="AB172" s="36">
        <v>625</v>
      </c>
      <c r="AC172" s="36">
        <v>221</v>
      </c>
      <c r="AD172" t="s">
        <v>515</v>
      </c>
    </row>
    <row r="173" spans="1:31">
      <c r="A173" s="459" t="s">
        <v>24</v>
      </c>
      <c r="B173" s="459" t="s">
        <v>635</v>
      </c>
      <c r="C173" s="36">
        <f>SUM(D173:AC173)</f>
        <v>73</v>
      </c>
      <c r="D173" s="648">
        <v>0</v>
      </c>
      <c r="E173" s="469">
        <f>Demands!B163+Demands!C163</f>
        <v>73</v>
      </c>
      <c r="F173" s="648">
        <v>0</v>
      </c>
      <c r="G173" s="648">
        <v>0</v>
      </c>
      <c r="H173" s="648">
        <v>0</v>
      </c>
      <c r="I173" s="648">
        <v>0</v>
      </c>
      <c r="J173" s="648">
        <v>0</v>
      </c>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459" t="s">
        <v>638</v>
      </c>
    </row>
    <row r="174" spans="1:31">
      <c r="A174" s="36"/>
      <c r="B174" s="459" t="s">
        <v>636</v>
      </c>
      <c r="C174" s="36">
        <f>SUM(D261:D264)</f>
        <v>52</v>
      </c>
      <c r="D174" s="648">
        <v>0</v>
      </c>
      <c r="E174" s="469">
        <f>C174</f>
        <v>52</v>
      </c>
      <c r="F174" s="648">
        <v>0</v>
      </c>
      <c r="G174" s="648">
        <v>0</v>
      </c>
      <c r="H174" s="648">
        <v>0</v>
      </c>
      <c r="I174" s="648">
        <v>0</v>
      </c>
      <c r="J174" s="648">
        <v>0</v>
      </c>
      <c r="K174" s="648">
        <v>0</v>
      </c>
      <c r="L174" s="648">
        <v>0</v>
      </c>
      <c r="M174" s="648">
        <v>0</v>
      </c>
      <c r="N174" s="648">
        <v>0</v>
      </c>
      <c r="O174" s="648">
        <v>0</v>
      </c>
      <c r="P174" s="648">
        <v>0</v>
      </c>
      <c r="Q174" s="648">
        <v>0</v>
      </c>
      <c r="R174" s="648">
        <v>0</v>
      </c>
      <c r="S174" s="648">
        <v>0</v>
      </c>
      <c r="T174" s="648">
        <v>0</v>
      </c>
      <c r="U174" s="648">
        <v>0</v>
      </c>
      <c r="V174" s="648">
        <v>0</v>
      </c>
      <c r="W174" s="648">
        <v>0</v>
      </c>
      <c r="X174" s="648">
        <v>0</v>
      </c>
      <c r="Y174" s="648">
        <v>0</v>
      </c>
      <c r="Z174" s="648">
        <v>0</v>
      </c>
      <c r="AA174" s="648">
        <v>0</v>
      </c>
      <c r="AB174" s="648">
        <v>0</v>
      </c>
      <c r="AC174" s="648">
        <v>0</v>
      </c>
      <c r="AD174" s="459" t="s">
        <v>639</v>
      </c>
      <c r="AE174" s="459"/>
    </row>
    <row r="175" spans="1:31">
      <c r="A175" s="36"/>
      <c r="B175" s="459" t="s">
        <v>637</v>
      </c>
      <c r="C175" s="36">
        <f>SUM(D250:D260)</f>
        <v>144</v>
      </c>
      <c r="D175" s="36">
        <f>$C$175*Demands!C180</f>
        <v>1.7216380556777637</v>
      </c>
      <c r="E175" s="36">
        <f>$C$175*Demands!D180</f>
        <v>40.744476376377783</v>
      </c>
      <c r="F175" s="36">
        <f>$C$175*Demands!E180</f>
        <v>6.7285771436191437</v>
      </c>
      <c r="G175" s="36">
        <f>$C$175*Demands!F180</f>
        <v>3.0008007366861493</v>
      </c>
      <c r="H175" s="36">
        <f>$C$175*Demands!G180</f>
        <v>2.5612586665098633</v>
      </c>
      <c r="I175" s="36">
        <f>$C$175*Demands!H180</f>
        <v>1.2360098406821689</v>
      </c>
      <c r="J175" s="36">
        <f>$C$175*Demands!I180</f>
        <v>3.897484703997276</v>
      </c>
      <c r="K175" s="36">
        <f>$C$175*Demands!J180</f>
        <v>5.8981798098014071</v>
      </c>
      <c r="L175" s="36">
        <f>$C$175*Demands!K180</f>
        <v>2.3575603256287172</v>
      </c>
      <c r="M175" s="36">
        <f>$C$175*Demands!L180</f>
        <v>2.684427214967243</v>
      </c>
      <c r="N175" s="36">
        <f>$C$175*Demands!M180</f>
        <v>4.5276310857195625</v>
      </c>
      <c r="O175" s="36">
        <f>$C$175*Demands!N180</f>
        <v>4.3069679631824895</v>
      </c>
      <c r="P175" s="36">
        <f>$C$175*Demands!O180</f>
        <v>3.5930560820182822</v>
      </c>
      <c r="Q175" s="36">
        <f>$C$175*Demands!P180</f>
        <v>16.416465397486057</v>
      </c>
      <c r="R175" s="36">
        <f>$C$175*Demands!Q180</f>
        <v>4.4666969769197546</v>
      </c>
      <c r="S175" s="36">
        <f>$C$175*Demands!R180</f>
        <v>5.8937949731880215</v>
      </c>
      <c r="T175" s="36">
        <f>$C$175*Demands!S180</f>
        <v>4.8249230081071151</v>
      </c>
      <c r="U175" s="36">
        <f>$C$175*Demands!T180</f>
        <v>3.5131915751496496</v>
      </c>
      <c r="V175" s="36">
        <f>$C$175*Demands!U180</f>
        <v>7.8037390812213223</v>
      </c>
      <c r="W175" s="36">
        <f>$C$175*Demands!V180</f>
        <v>0.96901865130573772</v>
      </c>
      <c r="X175" s="36">
        <f>$C$175*Demands!W180</f>
        <v>3.94656463381469</v>
      </c>
      <c r="Y175" s="36">
        <f>$C$175*Demands!X180</f>
        <v>1.9518268577542608</v>
      </c>
      <c r="Z175" s="36">
        <f>$C$175*Demands!Y180</f>
        <v>1.9817949479878143</v>
      </c>
      <c r="AA175" s="36">
        <f>$C$175*Demands!Z180</f>
        <v>2.3035814749053136</v>
      </c>
      <c r="AB175" s="36">
        <f>$C$175*Demands!AA180</f>
        <v>4.8140062769524086</v>
      </c>
      <c r="AC175" s="36">
        <f>$C$175*Demands!AB180</f>
        <v>1.8563281403399705</v>
      </c>
      <c r="AD175" s="459" t="s">
        <v>639</v>
      </c>
      <c r="AE175" s="459"/>
    </row>
    <row r="176" spans="1:31">
      <c r="A176" s="459" t="s">
        <v>716</v>
      </c>
      <c r="B176" s="459" t="s">
        <v>759</v>
      </c>
      <c r="C176" s="36">
        <f>Demands!C401+Demands!C402</f>
        <v>890</v>
      </c>
      <c r="D176" s="36">
        <f>Demands!D401+Demands!D402</f>
        <v>10</v>
      </c>
      <c r="E176" s="36">
        <f>Demands!E401+Demands!E402</f>
        <v>278</v>
      </c>
      <c r="F176" s="36">
        <f>Demands!F401+Demands!F402</f>
        <v>49</v>
      </c>
      <c r="G176" s="36">
        <f>Demands!G401+Demands!G402</f>
        <v>15</v>
      </c>
      <c r="H176" s="36">
        <f>Demands!H401+Demands!H402</f>
        <v>21</v>
      </c>
      <c r="I176" s="36">
        <f>Demands!I401+Demands!I402</f>
        <v>8</v>
      </c>
      <c r="J176" s="36">
        <f>Demands!J401+Demands!J402</f>
        <v>15</v>
      </c>
      <c r="K176" s="36">
        <f>Demands!K401+Demands!K402</f>
        <v>21</v>
      </c>
      <c r="L176" s="36">
        <f>Demands!L401+Demands!L402</f>
        <v>10</v>
      </c>
      <c r="M176" s="36">
        <f>Demands!M401+Demands!M402</f>
        <v>14</v>
      </c>
      <c r="N176" s="36">
        <f>Demands!N401+Demands!N402</f>
        <v>28</v>
      </c>
      <c r="O176" s="36">
        <f>Demands!O401+Demands!O402</f>
        <v>46</v>
      </c>
      <c r="P176" s="36">
        <f>Demands!P401+Demands!P402</f>
        <v>16</v>
      </c>
      <c r="Q176" s="36">
        <f>Demands!Q401+Demands!Q402</f>
        <v>131</v>
      </c>
      <c r="R176" s="36">
        <f>Demands!R401+Demands!R402</f>
        <v>21</v>
      </c>
      <c r="S176" s="36">
        <f>Demands!S401+Demands!S402</f>
        <v>14</v>
      </c>
      <c r="T176" s="36">
        <f>Demands!T401+Demands!T402</f>
        <v>27</v>
      </c>
      <c r="U176" s="36">
        <f>Demands!U401+Demands!U402</f>
        <v>30</v>
      </c>
      <c r="V176" s="36">
        <f>Demands!V401+Demands!V402</f>
        <v>44</v>
      </c>
      <c r="W176" s="36">
        <f>Demands!W401+Demands!W402</f>
        <v>2</v>
      </c>
      <c r="X176" s="36">
        <f>Demands!X401+Demands!X402</f>
        <v>19</v>
      </c>
      <c r="Y176" s="36">
        <f>Demands!Y401+Demands!Y402</f>
        <v>14</v>
      </c>
      <c r="Z176" s="36">
        <f>Demands!Z401+Demands!Z402</f>
        <v>9</v>
      </c>
      <c r="AA176" s="36">
        <f>Demands!AA401+Demands!AA402</f>
        <v>7</v>
      </c>
      <c r="AB176" s="36">
        <f>Demands!AB401+Demands!AB402</f>
        <v>29</v>
      </c>
      <c r="AC176" s="36">
        <f>Demands!AC401+Demands!AC402</f>
        <v>12</v>
      </c>
      <c r="AD176" s="459" t="s">
        <v>624</v>
      </c>
    </row>
    <row r="177" spans="1:49" s="459" customFormat="1">
      <c r="A177"/>
      <c r="B177" s="459" t="s">
        <v>760</v>
      </c>
      <c r="C177" s="36">
        <f>Demands!C400</f>
        <v>353571</v>
      </c>
      <c r="D177" s="36">
        <f>Demands!D400</f>
        <v>5799</v>
      </c>
      <c r="E177" s="36">
        <f>Demands!E400</f>
        <v>74245</v>
      </c>
      <c r="F177" s="36">
        <f>Demands!F400</f>
        <v>16042</v>
      </c>
      <c r="G177" s="36">
        <f>Demands!G400</f>
        <v>8206</v>
      </c>
      <c r="H177" s="36">
        <f>Demands!H400</f>
        <v>6014</v>
      </c>
      <c r="I177" s="36">
        <f>Demands!I400</f>
        <v>3931</v>
      </c>
      <c r="J177" s="36">
        <f>Demands!J400</f>
        <v>8128</v>
      </c>
      <c r="K177" s="36">
        <f>Demands!K400</f>
        <v>14762</v>
      </c>
      <c r="L177" s="36">
        <f>Demands!L400</f>
        <v>6515</v>
      </c>
      <c r="M177" s="36">
        <f>Demands!M400</f>
        <v>8096</v>
      </c>
      <c r="N177" s="36">
        <f>Demands!N400</f>
        <v>13961</v>
      </c>
      <c r="O177" s="36">
        <f>Demands!O400</f>
        <v>9390</v>
      </c>
      <c r="P177" s="36">
        <f>Demands!P400</f>
        <v>9420</v>
      </c>
      <c r="Q177" s="36">
        <f>Demands!Q400</f>
        <v>41391</v>
      </c>
      <c r="R177" s="36">
        <f>Demands!R400</f>
        <v>11899</v>
      </c>
      <c r="S177" s="36">
        <f>Demands!S400</f>
        <v>13635</v>
      </c>
      <c r="T177" s="36">
        <f>Demands!T400</f>
        <v>13935</v>
      </c>
      <c r="U177" s="36">
        <f>Demands!U400</f>
        <v>8132</v>
      </c>
      <c r="V177" s="36">
        <f>Demands!V400</f>
        <v>20314</v>
      </c>
      <c r="W177" s="36">
        <f>Demands!W400</f>
        <v>3401</v>
      </c>
      <c r="X177" s="36">
        <f>Demands!X400</f>
        <v>13343</v>
      </c>
      <c r="Y177" s="36">
        <f>Demands!Y400</f>
        <v>6369</v>
      </c>
      <c r="Z177" s="36">
        <f>Demands!Z400</f>
        <v>6037</v>
      </c>
      <c r="AA177" s="36">
        <f>Demands!AA400</f>
        <v>8043</v>
      </c>
      <c r="AB177" s="36">
        <f>Demands!AB400</f>
        <v>14606</v>
      </c>
      <c r="AC177" s="36">
        <f>Demands!AC400</f>
        <v>7957</v>
      </c>
      <c r="AD177" s="459" t="s">
        <v>624</v>
      </c>
      <c r="AE177"/>
    </row>
    <row r="178" spans="1:49" s="459" customFormat="1">
      <c r="A178" s="458"/>
      <c r="B178" s="458" t="s">
        <v>637</v>
      </c>
      <c r="C178" s="458">
        <f>SUM(E288)</f>
        <v>14</v>
      </c>
      <c r="D178" s="458">
        <v>0</v>
      </c>
      <c r="E178" s="458">
        <f>C178</f>
        <v>14</v>
      </c>
      <c r="F178" s="458">
        <v>0</v>
      </c>
      <c r="G178" s="458">
        <v>0</v>
      </c>
      <c r="H178" s="458">
        <v>0</v>
      </c>
      <c r="I178" s="458">
        <v>0</v>
      </c>
      <c r="J178" s="458">
        <v>0</v>
      </c>
      <c r="K178" s="458">
        <f>C178</f>
        <v>14</v>
      </c>
      <c r="L178" s="458">
        <v>0</v>
      </c>
      <c r="M178" s="458">
        <v>0</v>
      </c>
      <c r="N178" s="458">
        <v>0</v>
      </c>
      <c r="O178" s="458">
        <v>0</v>
      </c>
      <c r="P178" s="458">
        <v>0</v>
      </c>
      <c r="Q178" s="458">
        <v>0</v>
      </c>
      <c r="R178" s="458">
        <v>0</v>
      </c>
      <c r="S178" s="458">
        <v>0</v>
      </c>
      <c r="T178" s="458">
        <v>0</v>
      </c>
      <c r="U178" s="458">
        <f>C178</f>
        <v>14</v>
      </c>
      <c r="V178" s="458">
        <v>0</v>
      </c>
      <c r="W178" s="458">
        <v>0</v>
      </c>
      <c r="X178" s="458">
        <f>C178</f>
        <v>14</v>
      </c>
      <c r="Y178" s="458">
        <v>0</v>
      </c>
      <c r="Z178" s="458">
        <v>0</v>
      </c>
      <c r="AA178" s="458">
        <v>0</v>
      </c>
      <c r="AB178" s="458">
        <v>0</v>
      </c>
      <c r="AC178" s="458">
        <v>0</v>
      </c>
      <c r="AD178"/>
      <c r="AE178"/>
    </row>
    <row r="179" spans="1:49">
      <c r="A179" s="459"/>
      <c r="B179" s="459"/>
      <c r="C179" s="459"/>
      <c r="D179" s="459"/>
      <c r="E179" s="459"/>
      <c r="F179" s="459"/>
      <c r="G179" s="459"/>
      <c r="H179" s="459"/>
      <c r="I179" s="459"/>
      <c r="J179" s="459"/>
      <c r="K179" s="459"/>
      <c r="L179" s="459"/>
      <c r="M179" s="459"/>
      <c r="N179" s="459"/>
      <c r="O179" s="459"/>
      <c r="P179" s="459"/>
      <c r="Q179" s="459"/>
      <c r="R179" s="459"/>
      <c r="S179" s="459"/>
      <c r="T179" s="459"/>
      <c r="U179" s="459"/>
      <c r="V179" s="459"/>
      <c r="W179" s="459"/>
      <c r="X179" s="459"/>
      <c r="Y179" s="459"/>
      <c r="Z179" s="459"/>
      <c r="AA179" s="459"/>
      <c r="AB179" s="459"/>
      <c r="AC179" s="459"/>
      <c r="AD179" s="459"/>
      <c r="AE179" s="459"/>
      <c r="AF179" s="451"/>
      <c r="AG179" s="448"/>
      <c r="AH179" s="448"/>
      <c r="AI179" s="448"/>
      <c r="AJ179" s="448"/>
      <c r="AK179" s="448"/>
      <c r="AL179" s="448"/>
      <c r="AM179" s="448"/>
      <c r="AN179" s="448"/>
      <c r="AO179" s="448"/>
      <c r="AP179" s="448"/>
      <c r="AQ179" s="448"/>
      <c r="AR179" s="448"/>
      <c r="AS179" s="448"/>
      <c r="AT179" s="448"/>
      <c r="AU179" s="448"/>
      <c r="AV179" s="448"/>
      <c r="AW179" s="448"/>
    </row>
    <row r="180" spans="1:49">
      <c r="A180" s="459"/>
      <c r="B180" s="459"/>
      <c r="C180" s="459"/>
      <c r="D180" s="459"/>
      <c r="E180" s="459"/>
      <c r="F180" s="459"/>
      <c r="G180" s="459"/>
      <c r="H180" s="459"/>
      <c r="I180" s="459"/>
      <c r="J180" s="459"/>
      <c r="K180" s="459"/>
      <c r="L180" s="459"/>
      <c r="M180" s="459"/>
      <c r="N180" s="459"/>
      <c r="O180" s="459"/>
      <c r="P180" s="459"/>
      <c r="Q180" s="459"/>
      <c r="R180" s="459"/>
      <c r="S180" s="459"/>
      <c r="T180" s="459"/>
      <c r="U180" s="459"/>
      <c r="V180" s="459"/>
      <c r="W180" s="459"/>
      <c r="X180" s="459"/>
      <c r="Y180" s="459"/>
      <c r="Z180" s="459"/>
      <c r="AA180" s="459"/>
      <c r="AB180" s="459"/>
      <c r="AC180" s="459"/>
      <c r="AD180" s="459"/>
      <c r="AE180" s="459"/>
    </row>
    <row r="182" spans="1:49" s="459" customFormat="1">
      <c r="A182"/>
      <c r="B182"/>
      <c r="C182"/>
      <c r="D182"/>
      <c r="E182"/>
      <c r="F182"/>
      <c r="G182"/>
      <c r="H182"/>
      <c r="I182"/>
      <c r="J182"/>
      <c r="K182"/>
      <c r="L182"/>
      <c r="M182"/>
      <c r="N182"/>
      <c r="O182"/>
      <c r="P182"/>
      <c r="Q182"/>
      <c r="R182"/>
      <c r="S182"/>
      <c r="T182"/>
      <c r="U182"/>
      <c r="V182"/>
      <c r="W182"/>
      <c r="X182"/>
      <c r="Y182"/>
      <c r="Z182"/>
      <c r="AA182"/>
      <c r="AB182"/>
      <c r="AC182"/>
      <c r="AD182"/>
      <c r="AE182"/>
    </row>
    <row r="183" spans="1:49" s="459" customFormat="1">
      <c r="A183" s="431" t="s">
        <v>488</v>
      </c>
      <c r="B183" s="432"/>
      <c r="C183"/>
      <c r="D183"/>
      <c r="E183"/>
      <c r="F183"/>
      <c r="G183"/>
      <c r="H183"/>
      <c r="I183"/>
      <c r="J183"/>
      <c r="K183"/>
      <c r="L183"/>
      <c r="M183"/>
      <c r="N183"/>
      <c r="O183"/>
      <c r="P183"/>
      <c r="Q183"/>
      <c r="R183"/>
      <c r="S183"/>
      <c r="T183"/>
      <c r="U183"/>
      <c r="V183"/>
      <c r="W183"/>
      <c r="X183"/>
      <c r="Y183"/>
      <c r="Z183"/>
      <c r="AA183"/>
      <c r="AB183"/>
      <c r="AC183"/>
      <c r="AD183"/>
      <c r="AE183"/>
    </row>
    <row r="184" spans="1:49">
      <c r="A184" s="433" t="s">
        <v>489</v>
      </c>
      <c r="B184" s="434" t="s">
        <v>490</v>
      </c>
    </row>
    <row r="185" spans="1:49">
      <c r="A185" s="435" t="s">
        <v>20</v>
      </c>
      <c r="B185" s="436">
        <v>1041376950</v>
      </c>
    </row>
    <row r="186" spans="1:49">
      <c r="A186" s="437" t="s">
        <v>491</v>
      </c>
      <c r="B186" s="436">
        <v>53868503</v>
      </c>
    </row>
    <row r="187" spans="1:49">
      <c r="A187" s="437" t="s">
        <v>19</v>
      </c>
      <c r="B187" s="438">
        <v>3392228806</v>
      </c>
    </row>
    <row r="188" spans="1:49">
      <c r="A188" s="437" t="s">
        <v>492</v>
      </c>
      <c r="B188" s="438">
        <v>162101602</v>
      </c>
    </row>
    <row r="189" spans="1:49">
      <c r="A189" s="439" t="s">
        <v>493</v>
      </c>
      <c r="B189" s="394"/>
    </row>
    <row r="190" spans="1:49">
      <c r="A190" s="394"/>
      <c r="B190" s="394"/>
    </row>
    <row r="191" spans="1:49">
      <c r="A191" s="394"/>
      <c r="B191" s="394"/>
    </row>
    <row r="192" spans="1:49">
      <c r="A192" s="431" t="s">
        <v>494</v>
      </c>
      <c r="B192" s="432"/>
    </row>
    <row r="193" spans="1:2">
      <c r="A193" s="433" t="s">
        <v>489</v>
      </c>
      <c r="B193" s="434" t="s">
        <v>494</v>
      </c>
    </row>
    <row r="194" spans="1:2">
      <c r="A194" s="435" t="s">
        <v>20</v>
      </c>
      <c r="B194" s="436">
        <v>35</v>
      </c>
    </row>
    <row r="195" spans="1:2">
      <c r="A195" s="437" t="s">
        <v>491</v>
      </c>
      <c r="B195" s="436">
        <v>32</v>
      </c>
    </row>
    <row r="196" spans="1:2">
      <c r="A196" s="437" t="s">
        <v>19</v>
      </c>
      <c r="B196" s="438">
        <v>37</v>
      </c>
    </row>
    <row r="197" spans="1:2">
      <c r="A197" s="437" t="s">
        <v>492</v>
      </c>
      <c r="B197" s="438">
        <v>33</v>
      </c>
    </row>
    <row r="198" spans="1:2">
      <c r="A198" s="394"/>
      <c r="B198" s="394"/>
    </row>
    <row r="199" spans="1:2">
      <c r="A199" s="394"/>
      <c r="B199" s="394"/>
    </row>
    <row r="200" spans="1:2">
      <c r="A200" s="431" t="s">
        <v>495</v>
      </c>
      <c r="B200" s="432"/>
    </row>
    <row r="201" spans="1:2">
      <c r="A201" s="433" t="s">
        <v>489</v>
      </c>
      <c r="B201" s="434" t="s">
        <v>496</v>
      </c>
    </row>
    <row r="202" spans="1:2">
      <c r="A202" s="435" t="s">
        <v>20</v>
      </c>
      <c r="B202" s="440">
        <f>(B185*B194)/((B185*B194)+(B186*B195))</f>
        <v>0.9548414346182118</v>
      </c>
    </row>
    <row r="203" spans="1:2">
      <c r="A203" s="437" t="s">
        <v>491</v>
      </c>
      <c r="B203" s="440">
        <f>(B186*B195)/((B185*B194)+(B186*B195))</f>
        <v>4.5158565381788147E-2</v>
      </c>
    </row>
    <row r="204" spans="1:2">
      <c r="A204" s="437" t="s">
        <v>19</v>
      </c>
      <c r="B204" s="440">
        <f>(B187*B196)/((B187*B196)+(B188*B197))</f>
        <v>0.95912212653292017</v>
      </c>
    </row>
    <row r="205" spans="1:2">
      <c r="A205" s="437" t="s">
        <v>492</v>
      </c>
      <c r="B205" s="440">
        <f>(B188*B197)/((B187*B196)+(B188*B197))</f>
        <v>4.087787346707978E-2</v>
      </c>
    </row>
    <row r="216" spans="1:12">
      <c r="A216" s="775" t="s">
        <v>513</v>
      </c>
      <c r="B216" s="775"/>
      <c r="C216" s="775"/>
      <c r="D216" s="775"/>
      <c r="E216" s="775"/>
      <c r="F216" s="776"/>
    </row>
    <row r="217" spans="1:12">
      <c r="A217" s="450" t="s">
        <v>29</v>
      </c>
      <c r="B217" s="450">
        <v>170</v>
      </c>
      <c r="C217" s="450">
        <v>180</v>
      </c>
      <c r="D217" s="450">
        <v>148</v>
      </c>
      <c r="E217" s="450">
        <v>144</v>
      </c>
      <c r="F217" s="450">
        <v>146</v>
      </c>
      <c r="G217" s="391" t="s">
        <v>542</v>
      </c>
    </row>
    <row r="218" spans="1:12">
      <c r="A218" s="449" t="s">
        <v>28</v>
      </c>
      <c r="B218" s="449">
        <v>305</v>
      </c>
      <c r="C218" s="449">
        <v>308</v>
      </c>
      <c r="D218" s="449">
        <v>312</v>
      </c>
      <c r="E218" s="449">
        <v>325</v>
      </c>
      <c r="F218" s="449">
        <v>332</v>
      </c>
      <c r="G218" s="448" t="s">
        <v>541</v>
      </c>
    </row>
    <row r="219" spans="1:12">
      <c r="A219" s="775" t="s">
        <v>514</v>
      </c>
      <c r="B219" s="775"/>
      <c r="C219" s="775"/>
      <c r="D219" s="775"/>
      <c r="E219" s="775"/>
      <c r="F219" s="776"/>
      <c r="G219" s="448"/>
    </row>
    <row r="220" spans="1:12">
      <c r="A220" s="459"/>
      <c r="B220" s="459"/>
      <c r="C220" s="459"/>
      <c r="D220" s="459"/>
      <c r="E220" s="459"/>
      <c r="F220" s="459"/>
      <c r="G220" s="459"/>
      <c r="H220" s="459"/>
      <c r="I220" s="459"/>
      <c r="J220" s="459"/>
      <c r="K220" s="459"/>
      <c r="L220" s="459"/>
    </row>
    <row r="221" spans="1:12">
      <c r="A221" s="452" t="s">
        <v>29</v>
      </c>
      <c r="C221" t="s">
        <v>539</v>
      </c>
      <c r="D221" t="s">
        <v>540</v>
      </c>
    </row>
    <row r="222" spans="1:12">
      <c r="A222" s="451" t="s">
        <v>516</v>
      </c>
      <c r="B222" t="s">
        <v>375</v>
      </c>
      <c r="C222">
        <v>14</v>
      </c>
      <c r="D222" s="5">
        <f t="shared" ref="D222:D231" si="28">C222/$C$232</f>
        <v>0.33333333333333331</v>
      </c>
    </row>
    <row r="223" spans="1:12">
      <c r="A223" s="451" t="s">
        <v>517</v>
      </c>
      <c r="B223" t="s">
        <v>538</v>
      </c>
      <c r="C223">
        <v>1</v>
      </c>
      <c r="D223" s="5">
        <f t="shared" si="28"/>
        <v>2.3809523809523808E-2</v>
      </c>
    </row>
    <row r="224" spans="1:12">
      <c r="A224" s="451" t="s">
        <v>518</v>
      </c>
      <c r="B224" s="448" t="s">
        <v>384</v>
      </c>
      <c r="C224">
        <v>5</v>
      </c>
      <c r="D224" s="5">
        <f t="shared" si="28"/>
        <v>0.11904761904761904</v>
      </c>
    </row>
    <row r="225" spans="1:12">
      <c r="A225" s="451" t="s">
        <v>519</v>
      </c>
      <c r="B225" s="448" t="s">
        <v>387</v>
      </c>
      <c r="C225">
        <v>4</v>
      </c>
      <c r="D225" s="5">
        <f t="shared" si="28"/>
        <v>9.5238095238095233E-2</v>
      </c>
    </row>
    <row r="226" spans="1:12">
      <c r="A226" s="451" t="s">
        <v>520</v>
      </c>
      <c r="B226" s="448" t="s">
        <v>388</v>
      </c>
      <c r="C226">
        <v>2</v>
      </c>
      <c r="D226" s="5">
        <f t="shared" si="28"/>
        <v>4.7619047619047616E-2</v>
      </c>
    </row>
    <row r="227" spans="1:12">
      <c r="A227" s="451" t="s">
        <v>521</v>
      </c>
      <c r="B227" s="448" t="s">
        <v>389</v>
      </c>
      <c r="C227">
        <v>5</v>
      </c>
      <c r="D227" s="5">
        <f t="shared" si="28"/>
        <v>0.11904761904761904</v>
      </c>
    </row>
    <row r="228" spans="1:12">
      <c r="A228" s="451" t="s">
        <v>522</v>
      </c>
      <c r="B228" s="448" t="s">
        <v>391</v>
      </c>
      <c r="C228">
        <v>2</v>
      </c>
      <c r="D228" s="5">
        <f t="shared" si="28"/>
        <v>4.7619047619047616E-2</v>
      </c>
    </row>
    <row r="229" spans="1:12">
      <c r="A229" s="451" t="s">
        <v>523</v>
      </c>
      <c r="B229" s="448" t="s">
        <v>392</v>
      </c>
      <c r="C229">
        <v>6</v>
      </c>
      <c r="D229" s="5">
        <f t="shared" si="28"/>
        <v>0.14285714285714285</v>
      </c>
    </row>
    <row r="230" spans="1:12">
      <c r="A230" s="451" t="s">
        <v>524</v>
      </c>
      <c r="B230" s="448" t="s">
        <v>396</v>
      </c>
      <c r="C230">
        <v>1</v>
      </c>
      <c r="D230" s="5">
        <f t="shared" si="28"/>
        <v>2.3809523809523808E-2</v>
      </c>
    </row>
    <row r="231" spans="1:12">
      <c r="A231" s="451" t="s">
        <v>525</v>
      </c>
      <c r="B231" s="448" t="s">
        <v>398</v>
      </c>
      <c r="C231">
        <v>2</v>
      </c>
      <c r="D231" s="5">
        <f t="shared" si="28"/>
        <v>4.7619047619047616E-2</v>
      </c>
    </row>
    <row r="232" spans="1:12">
      <c r="A232" s="451" t="s">
        <v>526</v>
      </c>
      <c r="C232">
        <f>SUM(C222:C231)</f>
        <v>42</v>
      </c>
    </row>
    <row r="233" spans="1:12">
      <c r="A233" s="451" t="s">
        <v>527</v>
      </c>
    </row>
    <row r="234" spans="1:12">
      <c r="A234" s="451" t="s">
        <v>528</v>
      </c>
      <c r="B234" s="459"/>
      <c r="C234" s="459"/>
      <c r="D234" s="459"/>
      <c r="E234" s="459"/>
      <c r="F234" s="459"/>
      <c r="G234" s="459"/>
      <c r="H234" s="459"/>
      <c r="I234" s="459"/>
      <c r="J234" s="459"/>
      <c r="K234" s="459"/>
      <c r="L234" s="459"/>
    </row>
    <row r="235" spans="1:12">
      <c r="A235" s="451" t="s">
        <v>529</v>
      </c>
      <c r="B235" s="459"/>
      <c r="C235" s="459"/>
      <c r="D235" s="459"/>
      <c r="E235" s="459"/>
      <c r="F235" s="459"/>
      <c r="G235" s="459"/>
      <c r="H235" s="459"/>
      <c r="I235" s="459"/>
      <c r="J235" s="459"/>
      <c r="K235" s="459"/>
      <c r="L235" s="459"/>
    </row>
    <row r="236" spans="1:12">
      <c r="A236" s="451" t="s">
        <v>530</v>
      </c>
      <c r="B236" s="459"/>
      <c r="C236" s="459"/>
      <c r="D236" s="459"/>
      <c r="E236" s="459"/>
      <c r="F236" s="459"/>
      <c r="G236" s="459"/>
      <c r="H236" s="459"/>
      <c r="I236" s="459"/>
      <c r="J236" s="459"/>
      <c r="K236" s="459"/>
      <c r="L236" s="459"/>
    </row>
    <row r="237" spans="1:12">
      <c r="A237" s="451" t="s">
        <v>531</v>
      </c>
    </row>
    <row r="238" spans="1:12">
      <c r="A238" s="451" t="s">
        <v>532</v>
      </c>
    </row>
    <row r="239" spans="1:12">
      <c r="A239" s="451" t="s">
        <v>533</v>
      </c>
    </row>
    <row r="240" spans="1:12">
      <c r="A240" s="451" t="s">
        <v>534</v>
      </c>
    </row>
    <row r="241" spans="1:12">
      <c r="A241" s="451" t="s">
        <v>535</v>
      </c>
      <c r="B241" s="448"/>
      <c r="C241" s="448"/>
      <c r="D241" s="448"/>
      <c r="E241" s="448"/>
      <c r="F241" s="448"/>
      <c r="G241" s="448"/>
      <c r="H241" s="448"/>
      <c r="I241" s="448"/>
      <c r="J241" s="448"/>
      <c r="K241" s="448"/>
      <c r="L241" s="448"/>
    </row>
    <row r="242" spans="1:12">
      <c r="A242" s="451" t="s">
        <v>536</v>
      </c>
      <c r="B242" s="459"/>
      <c r="C242" s="459"/>
      <c r="D242" s="459"/>
      <c r="E242" s="459"/>
      <c r="F242" s="459"/>
      <c r="G242" s="459"/>
      <c r="H242" s="459"/>
      <c r="I242" s="459"/>
      <c r="J242" s="459"/>
      <c r="K242" s="459"/>
      <c r="L242" s="459"/>
    </row>
    <row r="243" spans="1:12">
      <c r="A243" s="451" t="s">
        <v>537</v>
      </c>
      <c r="B243" s="459"/>
      <c r="C243" s="459"/>
      <c r="D243" s="459"/>
      <c r="E243" s="459"/>
      <c r="F243" s="459"/>
      <c r="G243" s="459"/>
      <c r="H243" s="459"/>
      <c r="I243" s="459"/>
      <c r="J243" s="459"/>
      <c r="K243" s="459"/>
      <c r="L243" s="459"/>
    </row>
    <row r="248" spans="1:12">
      <c r="A248" t="s">
        <v>785</v>
      </c>
    </row>
    <row r="249" spans="1:12" ht="26.4">
      <c r="A249" s="781" t="s">
        <v>116</v>
      </c>
      <c r="B249" s="782" t="s">
        <v>117</v>
      </c>
      <c r="C249" s="563" t="s">
        <v>118</v>
      </c>
      <c r="D249" s="563" t="s">
        <v>119</v>
      </c>
      <c r="E249" s="563" t="s">
        <v>120</v>
      </c>
      <c r="F249" s="563" t="s">
        <v>121</v>
      </c>
    </row>
    <row r="250" spans="1:12" ht="39.6">
      <c r="A250" s="781"/>
      <c r="B250" s="782"/>
      <c r="C250" s="564" t="s">
        <v>122</v>
      </c>
      <c r="D250" s="564">
        <v>28</v>
      </c>
      <c r="E250" s="564">
        <v>190</v>
      </c>
      <c r="F250" s="564" t="s">
        <v>123</v>
      </c>
    </row>
    <row r="251" spans="1:12" ht="26.4">
      <c r="A251" s="781"/>
      <c r="B251" s="782"/>
      <c r="C251" s="565" t="s">
        <v>124</v>
      </c>
      <c r="D251" s="565">
        <v>25</v>
      </c>
      <c r="E251" s="565">
        <v>262</v>
      </c>
      <c r="F251" s="565" t="s">
        <v>125</v>
      </c>
    </row>
    <row r="252" spans="1:12">
      <c r="A252" s="781"/>
      <c r="B252" s="782"/>
      <c r="C252" s="564" t="s">
        <v>126</v>
      </c>
      <c r="D252" s="564">
        <v>10</v>
      </c>
      <c r="E252" s="564">
        <v>304</v>
      </c>
      <c r="F252" s="564">
        <v>2008</v>
      </c>
    </row>
    <row r="253" spans="1:12" ht="26.4">
      <c r="A253" s="781"/>
      <c r="B253" s="783" t="s">
        <v>127</v>
      </c>
      <c r="C253" s="565" t="s">
        <v>128</v>
      </c>
      <c r="D253" s="565">
        <v>5</v>
      </c>
      <c r="E253" s="565" t="s">
        <v>129</v>
      </c>
      <c r="F253" s="565" t="s">
        <v>130</v>
      </c>
    </row>
    <row r="254" spans="1:12" ht="26.4">
      <c r="A254" s="781"/>
      <c r="B254" s="783"/>
      <c r="C254" s="564" t="s">
        <v>131</v>
      </c>
      <c r="D254" s="564">
        <v>5</v>
      </c>
      <c r="E254" s="564">
        <v>28</v>
      </c>
      <c r="F254" s="564" t="s">
        <v>130</v>
      </c>
    </row>
    <row r="255" spans="1:12" ht="26.4">
      <c r="A255" s="781"/>
      <c r="B255" s="783"/>
      <c r="C255" s="565" t="s">
        <v>132</v>
      </c>
      <c r="D255" s="565">
        <v>5</v>
      </c>
      <c r="E255" s="565">
        <v>44</v>
      </c>
      <c r="F255" s="565" t="s">
        <v>130</v>
      </c>
    </row>
    <row r="256" spans="1:12" ht="26.4">
      <c r="A256" s="781"/>
      <c r="B256" s="783"/>
      <c r="C256" s="564" t="s">
        <v>133</v>
      </c>
      <c r="D256" s="564">
        <v>16</v>
      </c>
      <c r="E256" s="564">
        <v>69</v>
      </c>
      <c r="F256" s="564" t="s">
        <v>130</v>
      </c>
    </row>
    <row r="257" spans="1:6" ht="26.4">
      <c r="A257" s="781"/>
      <c r="B257" s="783"/>
      <c r="C257" s="565" t="s">
        <v>134</v>
      </c>
      <c r="D257" s="565">
        <v>5</v>
      </c>
      <c r="E257" s="565">
        <v>69</v>
      </c>
      <c r="F257" s="565" t="s">
        <v>130</v>
      </c>
    </row>
    <row r="258" spans="1:6" ht="26.4">
      <c r="A258" s="784" t="s">
        <v>135</v>
      </c>
      <c r="B258" s="566" t="s">
        <v>136</v>
      </c>
      <c r="C258" s="564" t="s">
        <v>124</v>
      </c>
      <c r="D258" s="564">
        <v>29</v>
      </c>
      <c r="E258" s="564">
        <v>185</v>
      </c>
      <c r="F258" s="564" t="s">
        <v>139</v>
      </c>
    </row>
    <row r="259" spans="1:6">
      <c r="A259" s="784"/>
      <c r="B259" s="566" t="s">
        <v>137</v>
      </c>
      <c r="C259" s="565" t="s">
        <v>140</v>
      </c>
      <c r="D259" s="565">
        <v>8</v>
      </c>
      <c r="E259" s="565">
        <v>85</v>
      </c>
      <c r="F259" s="565">
        <v>2000</v>
      </c>
    </row>
    <row r="260" spans="1:6">
      <c r="A260" s="784"/>
      <c r="B260" s="566" t="s">
        <v>138</v>
      </c>
      <c r="C260" s="564" t="s">
        <v>140</v>
      </c>
      <c r="D260" s="564">
        <v>8</v>
      </c>
      <c r="E260" s="564">
        <v>130</v>
      </c>
      <c r="F260" s="564">
        <v>1993</v>
      </c>
    </row>
    <row r="261" spans="1:6" ht="26.4">
      <c r="A261" s="784" t="s">
        <v>40</v>
      </c>
      <c r="B261" s="782" t="s">
        <v>141</v>
      </c>
      <c r="C261" s="565" t="s">
        <v>143</v>
      </c>
      <c r="D261" s="565">
        <v>8</v>
      </c>
      <c r="E261" s="565">
        <v>160</v>
      </c>
      <c r="F261" s="565" t="s">
        <v>144</v>
      </c>
    </row>
    <row r="262" spans="1:6">
      <c r="A262" s="784"/>
      <c r="B262" s="782"/>
      <c r="C262" s="564" t="s">
        <v>145</v>
      </c>
      <c r="D262" s="564">
        <v>3</v>
      </c>
      <c r="E262" s="564">
        <v>160</v>
      </c>
      <c r="F262" s="564">
        <v>2001</v>
      </c>
    </row>
    <row r="263" spans="1:6">
      <c r="A263" s="784"/>
      <c r="B263" s="782"/>
      <c r="C263" s="565" t="s">
        <v>146</v>
      </c>
      <c r="D263" s="565">
        <v>4</v>
      </c>
      <c r="E263" s="565">
        <v>160</v>
      </c>
      <c r="F263" s="565">
        <v>2000</v>
      </c>
    </row>
    <row r="264" spans="1:6">
      <c r="A264" s="784"/>
      <c r="B264" s="566" t="s">
        <v>142</v>
      </c>
      <c r="C264" s="564" t="s">
        <v>140</v>
      </c>
      <c r="D264" s="564">
        <v>37</v>
      </c>
      <c r="E264" s="564">
        <v>128</v>
      </c>
      <c r="F264" s="564" t="s">
        <v>147</v>
      </c>
    </row>
    <row r="265" spans="1:6">
      <c r="A265" s="385" t="s">
        <v>170</v>
      </c>
      <c r="B265" s="385" t="s">
        <v>171</v>
      </c>
      <c r="D265" s="459"/>
      <c r="E265" s="459"/>
      <c r="F265" s="459"/>
    </row>
    <row r="266" spans="1:6">
      <c r="A266" s="459" t="s">
        <v>355</v>
      </c>
      <c r="B266" s="459"/>
      <c r="D266" s="459"/>
      <c r="E266" s="459"/>
      <c r="F266" s="459"/>
    </row>
    <row r="267" spans="1:6">
      <c r="A267" s="459" t="s">
        <v>354</v>
      </c>
    </row>
    <row r="271" spans="1:6" ht="22.8">
      <c r="A271" s="780" t="s">
        <v>770</v>
      </c>
      <c r="B271" s="780"/>
      <c r="C271" s="780"/>
      <c r="D271" s="780"/>
    </row>
    <row r="272" spans="1:6" ht="15" thickBot="1">
      <c r="A272" s="778" t="s">
        <v>163</v>
      </c>
      <c r="B272" s="779"/>
      <c r="C272" s="779"/>
      <c r="D272" s="779"/>
      <c r="E272" s="779"/>
      <c r="F272" s="779"/>
    </row>
    <row r="273" spans="1:31" ht="36.6" thickBot="1">
      <c r="A273" s="562" t="s">
        <v>118</v>
      </c>
      <c r="B273" s="562" t="s">
        <v>164</v>
      </c>
      <c r="C273" s="562" t="s">
        <v>165</v>
      </c>
      <c r="D273" s="562" t="s">
        <v>166</v>
      </c>
      <c r="E273" s="562" t="s">
        <v>169</v>
      </c>
      <c r="F273" s="562" t="s">
        <v>168</v>
      </c>
    </row>
    <row r="274" spans="1:31" ht="24" customHeight="1" thickBot="1">
      <c r="A274" s="558" t="s">
        <v>148</v>
      </c>
      <c r="B274" s="558" t="s">
        <v>149</v>
      </c>
      <c r="C274" s="558" t="s">
        <v>150</v>
      </c>
      <c r="D274" s="558" t="s">
        <v>151</v>
      </c>
      <c r="E274" s="559">
        <v>247</v>
      </c>
      <c r="F274" s="559">
        <f>2*6*52*E274</f>
        <v>154128</v>
      </c>
    </row>
    <row r="275" spans="1:31" ht="27" thickBot="1">
      <c r="A275" s="560" t="s">
        <v>152</v>
      </c>
      <c r="B275" s="560" t="s">
        <v>153</v>
      </c>
      <c r="C275" s="560" t="s">
        <v>150</v>
      </c>
      <c r="D275" s="560" t="s">
        <v>154</v>
      </c>
      <c r="E275" s="561">
        <v>317</v>
      </c>
      <c r="F275" s="561">
        <f>2*E275*2*52</f>
        <v>65936</v>
      </c>
    </row>
    <row r="276" spans="1:31" ht="53.4" thickBot="1">
      <c r="A276" s="558" t="s">
        <v>155</v>
      </c>
      <c r="B276" s="558" t="s">
        <v>156</v>
      </c>
      <c r="C276" s="558" t="s">
        <v>157</v>
      </c>
      <c r="D276" s="558" t="s">
        <v>158</v>
      </c>
      <c r="E276" s="559">
        <v>312</v>
      </c>
      <c r="F276" s="559">
        <f>2*E276*3*52</f>
        <v>97344</v>
      </c>
    </row>
    <row r="277" spans="1:31" ht="40.200000000000003" thickBot="1">
      <c r="A277" s="560" t="s">
        <v>159</v>
      </c>
      <c r="B277" s="560" t="s">
        <v>160</v>
      </c>
      <c r="C277" s="560" t="s">
        <v>161</v>
      </c>
      <c r="D277" s="560" t="s">
        <v>162</v>
      </c>
      <c r="E277" s="561">
        <v>64.2</v>
      </c>
      <c r="F277" s="561">
        <f>2*E277*35*52</f>
        <v>233688</v>
      </c>
    </row>
    <row r="278" spans="1:31">
      <c r="A278" t="s">
        <v>771</v>
      </c>
    </row>
    <row r="280" spans="1:31">
      <c r="A280" s="777" t="s">
        <v>776</v>
      </c>
      <c r="B280" s="777"/>
      <c r="C280" s="777" t="s">
        <v>777</v>
      </c>
      <c r="D280" s="777"/>
      <c r="E280" s="459"/>
      <c r="F280" s="459"/>
      <c r="G280" s="459"/>
      <c r="H280" s="459"/>
      <c r="I280" s="459"/>
      <c r="J280" s="459"/>
      <c r="K280" s="459"/>
      <c r="L280" s="459"/>
      <c r="M280" s="459"/>
      <c r="N280" s="459"/>
      <c r="O280" s="459"/>
      <c r="P280" s="459"/>
      <c r="Q280" s="459"/>
      <c r="R280" s="459"/>
      <c r="S280" s="459"/>
      <c r="T280" s="459"/>
      <c r="U280" s="459"/>
      <c r="V280" s="459"/>
      <c r="W280" s="459"/>
      <c r="X280" s="459"/>
      <c r="Y280" s="459"/>
      <c r="Z280" s="459"/>
      <c r="AA280" s="459"/>
      <c r="AB280" s="459"/>
      <c r="AC280" s="459"/>
      <c r="AD280" s="459"/>
      <c r="AE280" s="459"/>
    </row>
    <row r="281" spans="1:31">
      <c r="A281" s="459" t="s">
        <v>22</v>
      </c>
      <c r="B281" s="459" t="s">
        <v>778</v>
      </c>
      <c r="C281" s="459" t="s">
        <v>23</v>
      </c>
      <c r="D281" s="459" t="s">
        <v>778</v>
      </c>
      <c r="E281" s="411" t="s">
        <v>779</v>
      </c>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c r="AD281" s="459"/>
      <c r="AE281" s="459"/>
    </row>
    <row r="282" spans="1:31">
      <c r="A282" t="s">
        <v>772</v>
      </c>
      <c r="B282" t="s">
        <v>394</v>
      </c>
      <c r="C282" s="459" t="s">
        <v>773</v>
      </c>
      <c r="D282" s="459" t="s">
        <v>375</v>
      </c>
      <c r="E282" s="39">
        <v>6</v>
      </c>
    </row>
    <row r="283" spans="1:31" s="459" customFormat="1">
      <c r="A283" s="459" t="s">
        <v>772</v>
      </c>
      <c r="B283" s="459" t="s">
        <v>394</v>
      </c>
      <c r="C283" s="459" t="s">
        <v>774</v>
      </c>
      <c r="D283" s="459" t="s">
        <v>391</v>
      </c>
      <c r="E283">
        <v>2</v>
      </c>
      <c r="F283"/>
      <c r="G283"/>
      <c r="H283"/>
      <c r="I283"/>
      <c r="J283"/>
      <c r="K283"/>
      <c r="L283"/>
      <c r="M283"/>
      <c r="N283"/>
      <c r="O283"/>
      <c r="P283"/>
      <c r="Q283"/>
      <c r="R283"/>
      <c r="S283"/>
      <c r="T283"/>
      <c r="U283"/>
      <c r="V283"/>
      <c r="W283"/>
      <c r="X283"/>
      <c r="Y283"/>
      <c r="Z283"/>
      <c r="AA283"/>
      <c r="AB283"/>
      <c r="AC283"/>
      <c r="AD283"/>
      <c r="AE283"/>
    </row>
    <row r="284" spans="1:31" s="459" customFormat="1">
      <c r="A284" s="459" t="s">
        <v>772</v>
      </c>
      <c r="B284" s="459" t="s">
        <v>394</v>
      </c>
      <c r="C284" s="459" t="s">
        <v>391</v>
      </c>
      <c r="D284" s="459" t="s">
        <v>391</v>
      </c>
      <c r="E284">
        <v>3</v>
      </c>
      <c r="F284"/>
      <c r="G284"/>
      <c r="H284"/>
      <c r="I284"/>
      <c r="J284"/>
      <c r="K284"/>
      <c r="L284"/>
      <c r="M284"/>
      <c r="N284"/>
      <c r="O284"/>
      <c r="P284"/>
      <c r="Q284"/>
      <c r="R284"/>
      <c r="S284"/>
      <c r="T284"/>
      <c r="U284"/>
      <c r="V284"/>
      <c r="W284"/>
      <c r="X284"/>
      <c r="Y284"/>
      <c r="Z284"/>
      <c r="AA284"/>
      <c r="AB284"/>
      <c r="AC284"/>
      <c r="AD284"/>
      <c r="AE284"/>
    </row>
    <row r="285" spans="1:31">
      <c r="A285" t="s">
        <v>775</v>
      </c>
      <c r="B285" t="s">
        <v>381</v>
      </c>
      <c r="C285" s="459" t="s">
        <v>773</v>
      </c>
      <c r="D285" s="459" t="s">
        <v>375</v>
      </c>
      <c r="E285">
        <v>3</v>
      </c>
    </row>
    <row r="287" spans="1:31">
      <c r="A287" s="3" t="s">
        <v>394</v>
      </c>
      <c r="B287" s="3" t="s">
        <v>375</v>
      </c>
      <c r="C287" s="3" t="s">
        <v>391</v>
      </c>
      <c r="D287" s="3" t="s">
        <v>381</v>
      </c>
      <c r="E287" s="3" t="s">
        <v>780</v>
      </c>
    </row>
    <row r="288" spans="1:31">
      <c r="A288" s="3">
        <f>SUM(E282:E284)/2</f>
        <v>5.5</v>
      </c>
      <c r="B288" s="3">
        <f>0.5*(E282+E285)</f>
        <v>4.5</v>
      </c>
      <c r="C288" s="3">
        <f>0.5*(E283+E284)</f>
        <v>2.5</v>
      </c>
      <c r="D288" s="3">
        <f>E285/2</f>
        <v>1.5</v>
      </c>
      <c r="E288" s="3">
        <f>SUM(A288:D288)</f>
        <v>14</v>
      </c>
    </row>
    <row r="289" spans="1:6">
      <c r="A289" s="556">
        <f>A288/$E$288</f>
        <v>0.39285714285714285</v>
      </c>
      <c r="B289" s="556">
        <f t="shared" ref="B289:E289" si="29">B288/$E$288</f>
        <v>0.32142857142857145</v>
      </c>
      <c r="C289" s="556">
        <f t="shared" si="29"/>
        <v>0.17857142857142858</v>
      </c>
      <c r="D289" s="556">
        <f t="shared" si="29"/>
        <v>0.10714285714285714</v>
      </c>
      <c r="E289" s="556">
        <f t="shared" si="29"/>
        <v>1</v>
      </c>
    </row>
    <row r="292" spans="1:6">
      <c r="A292" s="459"/>
      <c r="B292" s="459"/>
      <c r="C292" s="459"/>
      <c r="D292" s="459"/>
      <c r="E292" s="459"/>
      <c r="F292" s="459"/>
    </row>
    <row r="293" spans="1:6">
      <c r="A293" s="459"/>
      <c r="B293" s="459"/>
      <c r="C293" s="459"/>
      <c r="D293" s="459"/>
      <c r="E293" s="459"/>
      <c r="F293" s="459"/>
    </row>
    <row r="294" spans="1:6">
      <c r="A294" s="459"/>
      <c r="B294" s="459"/>
      <c r="C294" s="459"/>
      <c r="D294" s="459"/>
      <c r="E294" s="459"/>
      <c r="F294" s="459"/>
    </row>
    <row r="295" spans="1:6">
      <c r="A295" s="459"/>
      <c r="B295" s="459"/>
      <c r="C295" s="459"/>
      <c r="D295" s="459"/>
      <c r="E295" s="459"/>
      <c r="F295" s="459"/>
    </row>
    <row r="296" spans="1:6">
      <c r="A296" s="459"/>
      <c r="B296" s="459"/>
      <c r="C296" s="459"/>
      <c r="D296" s="459"/>
      <c r="E296" s="459"/>
      <c r="F296" s="459"/>
    </row>
    <row r="297" spans="1:6">
      <c r="A297" s="459"/>
      <c r="B297" s="459"/>
      <c r="C297" s="459"/>
      <c r="D297" s="459"/>
      <c r="E297" s="459"/>
      <c r="F297" s="459"/>
    </row>
    <row r="298" spans="1:6">
      <c r="A298" s="459"/>
      <c r="B298" s="459"/>
      <c r="C298" s="459"/>
      <c r="D298" s="459"/>
      <c r="E298" s="459"/>
      <c r="F298" s="459"/>
    </row>
  </sheetData>
  <mergeCells count="12">
    <mergeCell ref="A216:F216"/>
    <mergeCell ref="A219:F219"/>
    <mergeCell ref="A280:B280"/>
    <mergeCell ref="C280:D280"/>
    <mergeCell ref="A272:F272"/>
    <mergeCell ref="A271:D271"/>
    <mergeCell ref="A249:A257"/>
    <mergeCell ref="B249:B252"/>
    <mergeCell ref="B253:B257"/>
    <mergeCell ref="A258:A260"/>
    <mergeCell ref="A261:A264"/>
    <mergeCell ref="B261:B263"/>
  </mergeCells>
  <phoneticPr fontId="37" type="noConversion"/>
  <hyperlinks>
    <hyperlink ref="A222" r:id="rId1" display="https://expressway.ie/RouteX1" xr:uid="{12FD7378-5DD9-49BF-9595-647F6AB6C3AC}"/>
    <hyperlink ref="A223" r:id="rId2" display="https://expressway.ie/Route2" xr:uid="{69953ACB-AB5D-4AB7-A8BB-55C1C07F9421}"/>
    <hyperlink ref="A224" r:id="rId3" display="https://expressway.ie/RouteX2" xr:uid="{6D92C70C-4DE4-4C0D-B652-B669974C2FE2}"/>
    <hyperlink ref="A225" r:id="rId4" display="https://expressway.ie/Route4" xr:uid="{70A446C3-587A-40A9-AD08-6BF8F0DB2489}"/>
    <hyperlink ref="A226" r:id="rId5" display="https://expressway.ie/RouteX4" xr:uid="{989A6CC7-C259-4290-8B89-070DD6615161}"/>
    <hyperlink ref="A227" r:id="rId6" display="https://expressway.ie/RouteX8" xr:uid="{81CD38C2-EC07-4C32-9631-34680988DA3D}"/>
    <hyperlink ref="A228" r:id="rId7" display="https://expressway.ie/RouteX12" xr:uid="{A7B5B314-43C1-48AE-8D61-4924224DF45A}"/>
    <hyperlink ref="A229" r:id="rId8" display="https://expressway.ie/Route13" xr:uid="{1138545F-6F8E-4BAD-ABEB-0664CBFBC84B}"/>
    <hyperlink ref="A230" r:id="rId9" display="https://expressway.ie/Route14" xr:uid="{CE9C8616-A621-40A6-8E1B-1351A5983FA6}"/>
    <hyperlink ref="A231" r:id="rId10" display="https://expressway.ie/Route20" xr:uid="{6FD82ABA-E079-49E3-8DB4-C4A49CA7BF91}"/>
    <hyperlink ref="A232" r:id="rId11" display="https://expressway.ie/RouteX20" xr:uid="{F7AAED82-07BB-43A4-B5A1-F2731F84724B}"/>
    <hyperlink ref="A233" r:id="rId12" display="https://expressway.ie/Route22" xr:uid="{F8B20953-D9B3-4305-8BA3-E84560BAAAFC}"/>
    <hyperlink ref="A234" r:id="rId13" display="https://expressway.ie/Route23" xr:uid="{7A5A6303-172D-4FB2-9308-4A569BB4ED98}"/>
    <hyperlink ref="A235" r:id="rId14" display="https://expressway.ie/Route30" xr:uid="{3F898CC9-999E-45E7-984C-80976FEC883E}"/>
    <hyperlink ref="A236" r:id="rId15" display="https://expressway.ie/Route32" xr:uid="{8D1C9885-F846-4C07-964E-458ABDF0A1DA}"/>
    <hyperlink ref="A237" r:id="rId16" display="https://expressway.ie/Route40" xr:uid="{731FFF91-D951-4C13-B0B6-4C538F429E45}"/>
    <hyperlink ref="A238" r:id="rId17" display="https://expressway.ie/Route51" xr:uid="{0282CEF0-B4C5-4B3B-8C07-AB8360F2B798}"/>
    <hyperlink ref="A239" r:id="rId18" display="https://expressway.ie/RouteX51" xr:uid="{AEC06AE5-01CD-41E3-859E-018C00539A22}"/>
    <hyperlink ref="A240" r:id="rId19" display="https://expressway.ie/Route52" xr:uid="{42E7FE3B-E31B-43D0-960E-08E896648F4B}"/>
    <hyperlink ref="A241" r:id="rId20" display="https://expressway.ie/Route55" xr:uid="{3C4B86AA-A0BB-4B89-B5E2-01E99E90F012}"/>
    <hyperlink ref="A242" r:id="rId21" display="https://expressway.ie/Route64" xr:uid="{B2DC063D-F23A-414C-89C2-C442E14F340C}"/>
    <hyperlink ref="A243" r:id="rId22" display="https://expressway.ie/Route100X" xr:uid="{5F8E68E9-B459-40CB-AA04-15978C326663}"/>
  </hyperlinks>
  <pageMargins left="0.7" right="0.7" top="0.75" bottom="0.75" header="0.3" footer="0.3"/>
  <pageSetup orientation="portrait" r:id="rId23"/>
  <ignoredErrors>
    <ignoredError sqref="C174:C175" formulaRange="1"/>
  </ignoredErrors>
  <drawing r:id="rId24"/>
  <legacyDrawing r:id="rId2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2:CJ691"/>
  <sheetViews>
    <sheetView zoomScale="55" zoomScaleNormal="55" workbookViewId="0">
      <selection activeCell="C138" sqref="C138"/>
    </sheetView>
  </sheetViews>
  <sheetFormatPr defaultRowHeight="14.4"/>
  <cols>
    <col min="1" max="1" width="28" customWidth="1"/>
    <col min="2" max="2" width="18.88671875" customWidth="1"/>
    <col min="3" max="3" width="17.6640625" customWidth="1"/>
    <col min="4" max="4" width="16.88671875" style="24" customWidth="1"/>
    <col min="5" max="5" width="15.6640625" style="24" customWidth="1"/>
    <col min="6" max="6" width="15.6640625" customWidth="1"/>
    <col min="7" max="27" width="11.88671875" customWidth="1"/>
    <col min="28" max="28" width="11.88671875" style="42" customWidth="1"/>
    <col min="29" max="32" width="11.88671875" customWidth="1"/>
    <col min="33" max="46" width="10.6640625" customWidth="1"/>
    <col min="47" max="47" width="26" customWidth="1"/>
    <col min="48" max="55" width="10.6640625" customWidth="1"/>
    <col min="56" max="56" width="12" customWidth="1"/>
    <col min="57" max="88" width="10.6640625" customWidth="1"/>
  </cols>
  <sheetData>
    <row r="2" spans="1:29">
      <c r="A2" s="25" t="s">
        <v>936</v>
      </c>
      <c r="B2" s="94"/>
      <c r="C2" s="94"/>
      <c r="D2" s="94"/>
      <c r="E2" s="94"/>
      <c r="F2" s="94"/>
      <c r="G2" s="94"/>
    </row>
    <row r="3" spans="1:29" ht="15" thickBot="1">
      <c r="A3" s="30" t="s">
        <v>62</v>
      </c>
      <c r="B3" s="32" t="s">
        <v>96</v>
      </c>
      <c r="C3" s="31" t="str">
        <f>Regions!C3</f>
        <v>IE</v>
      </c>
      <c r="D3" s="31" t="str">
        <f>Regions!E3</f>
        <v>IE-CW</v>
      </c>
      <c r="E3" s="31" t="str">
        <f>Regions!F3</f>
        <v>IE-D</v>
      </c>
      <c r="F3" s="31" t="str">
        <f>Regions!G3</f>
        <v>IE-KE</v>
      </c>
      <c r="G3" s="31" t="str">
        <f>Regions!H3</f>
        <v>IE-KK</v>
      </c>
      <c r="H3" s="31" t="str">
        <f>Regions!I3</f>
        <v>IE-LS</v>
      </c>
      <c r="I3" s="31" t="str">
        <f>Regions!J3</f>
        <v>IE-LD</v>
      </c>
      <c r="J3" s="31" t="str">
        <f>Regions!K3</f>
        <v>IE-LH</v>
      </c>
      <c r="K3" s="31" t="str">
        <f>Regions!L3</f>
        <v>IE-MH</v>
      </c>
      <c r="L3" s="31" t="str">
        <f>Regions!M3</f>
        <v>IE-OY</v>
      </c>
      <c r="M3" s="31" t="str">
        <f>Regions!N3</f>
        <v>IE-WH</v>
      </c>
      <c r="N3" s="31" t="str">
        <f>Regions!O3</f>
        <v>IE-WX</v>
      </c>
      <c r="O3" s="31" t="str">
        <f>Regions!P3</f>
        <v>IE-WW</v>
      </c>
      <c r="P3" s="31" t="str">
        <f>Regions!Q3</f>
        <v>IE-CE</v>
      </c>
      <c r="Q3" s="31" t="str">
        <f>Regions!R3</f>
        <v>IE-CO</v>
      </c>
      <c r="R3" s="31" t="str">
        <f>Regions!S3</f>
        <v>IE-KY</v>
      </c>
      <c r="S3" s="31" t="str">
        <f>Regions!T3</f>
        <v>IE-LK</v>
      </c>
      <c r="T3" s="31" t="str">
        <f>Regions!U3</f>
        <v>IE-TA</v>
      </c>
      <c r="U3" s="31" t="str">
        <f>Regions!V3</f>
        <v>IE-WD</v>
      </c>
      <c r="V3" s="31" t="str">
        <f>Regions!W3</f>
        <v>IE-G</v>
      </c>
      <c r="W3" s="31" t="str">
        <f>Regions!X3</f>
        <v>IE-LM</v>
      </c>
      <c r="X3" s="31" t="str">
        <f>Regions!Y3</f>
        <v>IE-MO</v>
      </c>
      <c r="Y3" s="31" t="str">
        <f>Regions!Z3</f>
        <v>IE-RN</v>
      </c>
      <c r="Z3" s="31" t="str">
        <f>Regions!AA3</f>
        <v>IE-SO</v>
      </c>
      <c r="AA3" s="31" t="str">
        <f>Regions!AB3</f>
        <v>IE-CN</v>
      </c>
      <c r="AB3" s="31" t="str">
        <f>Regions!AC3</f>
        <v>IE-DL</v>
      </c>
      <c r="AC3" s="31" t="str">
        <f>Regions!AD3</f>
        <v>IE-MN</v>
      </c>
    </row>
    <row r="4" spans="1:29">
      <c r="A4" s="448" t="str">
        <f>Commodities!B22</f>
        <v>TRAPS</v>
      </c>
      <c r="B4" s="448" t="str">
        <f>Commodities!D22</f>
        <v>Bpkm</v>
      </c>
      <c r="C4" s="517">
        <f>C364/1000</f>
        <v>14.556561092397196</v>
      </c>
      <c r="D4" s="517">
        <f t="shared" ref="D4:AC4" si="0">D364/1000</f>
        <v>0.19075815329593268</v>
      </c>
      <c r="E4" s="517">
        <f t="shared" si="0"/>
        <v>3.8138683626467009</v>
      </c>
      <c r="F4" s="517">
        <f t="shared" si="0"/>
        <v>0.70334338163959453</v>
      </c>
      <c r="G4" s="517">
        <f t="shared" si="0"/>
        <v>0.3263059331917631</v>
      </c>
      <c r="H4" s="517">
        <f t="shared" si="0"/>
        <v>0.25725946218495216</v>
      </c>
      <c r="I4" s="517">
        <f t="shared" si="0"/>
        <v>0.12926410609378711</v>
      </c>
      <c r="J4" s="517">
        <f t="shared" si="0"/>
        <v>0.37066642356770213</v>
      </c>
      <c r="K4" s="517">
        <f t="shared" si="0"/>
        <v>0.61012642539130313</v>
      </c>
      <c r="L4" s="517">
        <f t="shared" si="0"/>
        <v>0.25256357827040127</v>
      </c>
      <c r="M4" s="517">
        <f t="shared" si="0"/>
        <v>0.28627808516599751</v>
      </c>
      <c r="N4" s="517">
        <f t="shared" si="0"/>
        <v>0.49824919039150339</v>
      </c>
      <c r="O4" s="517">
        <f t="shared" si="0"/>
        <v>0.44072764898712008</v>
      </c>
      <c r="P4" s="517">
        <f t="shared" si="0"/>
        <v>0.38789417997018355</v>
      </c>
      <c r="Q4" s="517">
        <f t="shared" si="0"/>
        <v>1.6403528726430969</v>
      </c>
      <c r="R4" s="517">
        <f t="shared" si="0"/>
        <v>0.50223766282260618</v>
      </c>
      <c r="S4" s="517">
        <f t="shared" si="0"/>
        <v>0.59887772521592175</v>
      </c>
      <c r="T4" s="517">
        <f t="shared" si="0"/>
        <v>0.54597893159747035</v>
      </c>
      <c r="U4" s="517">
        <f t="shared" si="0"/>
        <v>0.36254754715779958</v>
      </c>
      <c r="V4" s="517">
        <f t="shared" si="0"/>
        <v>0.8103180854486004</v>
      </c>
      <c r="W4" s="517">
        <f t="shared" si="0"/>
        <v>0.10383763195644793</v>
      </c>
      <c r="X4" s="517">
        <f t="shared" si="0"/>
        <v>0.43396473286285792</v>
      </c>
      <c r="Y4" s="517">
        <f t="shared" si="0"/>
        <v>0.22701130303232972</v>
      </c>
      <c r="Z4" s="517">
        <f t="shared" si="0"/>
        <v>0.20014421509334299</v>
      </c>
      <c r="AA4" s="517">
        <f t="shared" si="0"/>
        <v>0.22324073939976716</v>
      </c>
      <c r="AB4" s="517">
        <f t="shared" si="0"/>
        <v>0.43304852577361913</v>
      </c>
      <c r="AC4" s="517">
        <f t="shared" si="0"/>
        <v>0.20769618859639608</v>
      </c>
    </row>
    <row r="5" spans="1:29">
      <c r="A5" s="448" t="str">
        <f>Commodities!B23</f>
        <v>TRAPM</v>
      </c>
      <c r="B5" s="459" t="str">
        <f>Commodities!D23</f>
        <v>Bpkm</v>
      </c>
      <c r="C5" s="517">
        <f>C378/1000</f>
        <v>31.276118540280986</v>
      </c>
      <c r="D5" s="517">
        <f t="shared" ref="D5:AC5" si="1">D378/1000</f>
        <v>0.43519149385547129</v>
      </c>
      <c r="E5" s="517">
        <f t="shared" si="1"/>
        <v>7.6220930610573197</v>
      </c>
      <c r="F5" s="517">
        <f t="shared" si="1"/>
        <v>1.5519093827676476</v>
      </c>
      <c r="G5" s="517">
        <f t="shared" si="1"/>
        <v>0.73703191607760743</v>
      </c>
      <c r="H5" s="517">
        <f t="shared" si="1"/>
        <v>0.55451713599955721</v>
      </c>
      <c r="I5" s="517">
        <f t="shared" si="1"/>
        <v>0.28568437258778695</v>
      </c>
      <c r="J5" s="517">
        <f t="shared" si="1"/>
        <v>0.76950577172521428</v>
      </c>
      <c r="K5" s="517">
        <f t="shared" si="1"/>
        <v>1.3359499798250478</v>
      </c>
      <c r="L5" s="517">
        <f t="shared" si="1"/>
        <v>0.56616320344762294</v>
      </c>
      <c r="M5" s="517">
        <f t="shared" si="1"/>
        <v>0.63911185847443031</v>
      </c>
      <c r="N5" s="517">
        <f t="shared" si="1"/>
        <v>1.1334816009734383</v>
      </c>
      <c r="O5" s="517">
        <f t="shared" si="1"/>
        <v>0.96185938421931272</v>
      </c>
      <c r="P5" s="517">
        <f t="shared" si="1"/>
        <v>0.8723586108918423</v>
      </c>
      <c r="Q5" s="517">
        <f t="shared" si="1"/>
        <v>3.5254749048173277</v>
      </c>
      <c r="R5" s="517">
        <f t="shared" si="1"/>
        <v>1.1538869884003555</v>
      </c>
      <c r="S5" s="517">
        <f t="shared" si="1"/>
        <v>1.2995736671311431</v>
      </c>
      <c r="T5" s="517">
        <f t="shared" si="1"/>
        <v>1.2604324784412986</v>
      </c>
      <c r="U5" s="517">
        <f t="shared" si="1"/>
        <v>0.79517788054022265</v>
      </c>
      <c r="V5" s="517">
        <f t="shared" si="1"/>
        <v>1.7803554187858515</v>
      </c>
      <c r="W5" s="517">
        <f t="shared" si="1"/>
        <v>0.23239789425769783</v>
      </c>
      <c r="X5" s="517">
        <f t="shared" si="1"/>
        <v>0.98601597898071291</v>
      </c>
      <c r="Y5" s="517">
        <f t="shared" si="1"/>
        <v>0.53090140271719211</v>
      </c>
      <c r="Z5" s="517">
        <f t="shared" si="1"/>
        <v>0.43310682655274862</v>
      </c>
      <c r="AA5" s="517">
        <f t="shared" si="1"/>
        <v>0.47060177269376968</v>
      </c>
      <c r="AB5" s="517">
        <f t="shared" si="1"/>
        <v>0.86668930093951158</v>
      </c>
      <c r="AC5" s="517">
        <f t="shared" si="1"/>
        <v>0.47664625412085693</v>
      </c>
    </row>
    <row r="6" spans="1:29">
      <c r="A6" s="448" t="str">
        <f>Commodities!B24</f>
        <v>TRAPL</v>
      </c>
      <c r="B6" s="459" t="str">
        <f>Commodities!D24</f>
        <v>Bpkm</v>
      </c>
      <c r="C6" s="517">
        <f>C392/1000</f>
        <v>27.131577542973638</v>
      </c>
      <c r="D6" s="517">
        <f t="shared" ref="D6:AC6" si="2">D392/1000</f>
        <v>0.373897486374975</v>
      </c>
      <c r="E6" s="517">
        <f t="shared" si="2"/>
        <v>6.6607449340349936</v>
      </c>
      <c r="F6" s="517">
        <f t="shared" si="2"/>
        <v>1.3457957919305057</v>
      </c>
      <c r="G6" s="517">
        <f t="shared" si="2"/>
        <v>0.64805463087287241</v>
      </c>
      <c r="H6" s="517">
        <f t="shared" si="2"/>
        <v>0.48149946813234057</v>
      </c>
      <c r="I6" s="517">
        <f t="shared" si="2"/>
        <v>0.24792998248868531</v>
      </c>
      <c r="J6" s="517">
        <f t="shared" si="2"/>
        <v>0.6736874578715788</v>
      </c>
      <c r="K6" s="517">
        <f t="shared" si="2"/>
        <v>1.145614903113785</v>
      </c>
      <c r="L6" s="517">
        <f t="shared" si="2"/>
        <v>0.49378011021821833</v>
      </c>
      <c r="M6" s="517">
        <f t="shared" si="2"/>
        <v>0.54722173482691427</v>
      </c>
      <c r="N6" s="517">
        <f t="shared" si="2"/>
        <v>0.97262646758485327</v>
      </c>
      <c r="O6" s="517">
        <f t="shared" si="2"/>
        <v>0.83286416374941885</v>
      </c>
      <c r="P6" s="517">
        <f t="shared" si="2"/>
        <v>0.74674766413249039</v>
      </c>
      <c r="Q6" s="517">
        <f t="shared" si="2"/>
        <v>3.0449422514531714</v>
      </c>
      <c r="R6" s="517">
        <f t="shared" si="2"/>
        <v>1.0126394376791288</v>
      </c>
      <c r="S6" s="517">
        <f t="shared" si="2"/>
        <v>1.1217784798314174</v>
      </c>
      <c r="T6" s="517">
        <f t="shared" si="2"/>
        <v>1.0852427647392462</v>
      </c>
      <c r="U6" s="517">
        <f t="shared" si="2"/>
        <v>0.6834292413998585</v>
      </c>
      <c r="V6" s="517">
        <f t="shared" si="2"/>
        <v>1.5527405180508131</v>
      </c>
      <c r="W6" s="517">
        <f t="shared" si="2"/>
        <v>0.20031586047476843</v>
      </c>
      <c r="X6" s="517">
        <f t="shared" si="2"/>
        <v>0.86102306186829458</v>
      </c>
      <c r="Y6" s="517">
        <f t="shared" si="2"/>
        <v>0.4513160972888865</v>
      </c>
      <c r="Z6" s="517">
        <f t="shared" si="2"/>
        <v>0.37617525772313687</v>
      </c>
      <c r="AA6" s="517">
        <f t="shared" si="2"/>
        <v>0.40231788404487256</v>
      </c>
      <c r="AB6" s="517">
        <f t="shared" si="2"/>
        <v>0.74109890371757148</v>
      </c>
      <c r="AC6" s="517">
        <f t="shared" si="2"/>
        <v>0.42809298937083867</v>
      </c>
    </row>
    <row r="7" spans="1:29">
      <c r="A7" s="448" t="str">
        <f>Commodities!B25</f>
        <v>TFGV</v>
      </c>
      <c r="B7" s="459" t="str">
        <f>Commodities!D25</f>
        <v>Btkm</v>
      </c>
      <c r="C7" s="517">
        <f>C470/1000</f>
        <v>11.536999999999999</v>
      </c>
      <c r="D7" s="517">
        <f t="shared" ref="D7:AC7" si="3">D470/1000</f>
        <v>0.17794099599204954</v>
      </c>
      <c r="E7" s="517">
        <f t="shared" si="3"/>
        <v>2.6292279716035631</v>
      </c>
      <c r="F7" s="517">
        <f t="shared" si="3"/>
        <v>0.48228404218784626</v>
      </c>
      <c r="G7" s="517">
        <f t="shared" si="3"/>
        <v>0.31014966827589163</v>
      </c>
      <c r="H7" s="517">
        <f t="shared" si="3"/>
        <v>0.22090468018989404</v>
      </c>
      <c r="I7" s="517">
        <f t="shared" si="3"/>
        <v>0.10660397645018758</v>
      </c>
      <c r="J7" s="517">
        <f t="shared" si="3"/>
        <v>0.27935990585939297</v>
      </c>
      <c r="K7" s="517">
        <f t="shared" si="3"/>
        <v>0.42276367492038924</v>
      </c>
      <c r="L7" s="517">
        <f t="shared" si="3"/>
        <v>0.20333600685129727</v>
      </c>
      <c r="M7" s="517">
        <f t="shared" si="3"/>
        <v>0.23152778091853185</v>
      </c>
      <c r="N7" s="517">
        <f t="shared" si="3"/>
        <v>0.46795618987426485</v>
      </c>
      <c r="O7" s="517">
        <f t="shared" si="3"/>
        <v>0.30871042636808321</v>
      </c>
      <c r="P7" s="517">
        <f t="shared" si="3"/>
        <v>0.30378726686741447</v>
      </c>
      <c r="Q7" s="517">
        <f t="shared" si="3"/>
        <v>1.625427705266085</v>
      </c>
      <c r="R7" s="517">
        <f t="shared" si="3"/>
        <v>0.44225677339931185</v>
      </c>
      <c r="S7" s="517">
        <f t="shared" si="3"/>
        <v>0.49831113834882401</v>
      </c>
      <c r="T7" s="517">
        <f t="shared" si="3"/>
        <v>0.40793968700183131</v>
      </c>
      <c r="U7" s="517">
        <f t="shared" si="3"/>
        <v>0.36310814920207179</v>
      </c>
      <c r="V7" s="517">
        <f t="shared" si="3"/>
        <v>0.60506096800451603</v>
      </c>
      <c r="W7" s="517">
        <f t="shared" si="3"/>
        <v>8.0693470189707711E-2</v>
      </c>
      <c r="X7" s="517">
        <f t="shared" si="3"/>
        <v>0.30599590693319084</v>
      </c>
      <c r="Y7" s="517">
        <f t="shared" si="3"/>
        <v>0.1513344097795204</v>
      </c>
      <c r="Z7" s="517">
        <f t="shared" si="3"/>
        <v>0.16503078794415471</v>
      </c>
      <c r="AA7" s="517">
        <f t="shared" si="3"/>
        <v>0.19182704360164693</v>
      </c>
      <c r="AB7" s="517">
        <f t="shared" si="3"/>
        <v>0.40087863270627727</v>
      </c>
      <c r="AC7" s="517">
        <f t="shared" si="3"/>
        <v>0.15458274126405555</v>
      </c>
    </row>
    <row r="8" spans="1:29">
      <c r="A8" s="128" t="str">
        <f>Commodities!B26</f>
        <v>TFRAIL</v>
      </c>
      <c r="B8" s="718" t="str">
        <f>Commodities!D26</f>
        <v>Btkm</v>
      </c>
      <c r="C8" s="517">
        <f>G526/1000000</f>
        <v>8.8551000000000005E-2</v>
      </c>
      <c r="D8" s="9">
        <v>0</v>
      </c>
      <c r="E8" s="517">
        <f>C8*Stock!B289</f>
        <v>2.8462821428571431E-2</v>
      </c>
      <c r="F8" s="9">
        <v>0</v>
      </c>
      <c r="G8" s="9">
        <v>0</v>
      </c>
      <c r="H8" s="9">
        <v>0</v>
      </c>
      <c r="I8" s="9">
        <v>0</v>
      </c>
      <c r="J8" s="9">
        <v>0</v>
      </c>
      <c r="K8" s="517">
        <f>C8*Stock!D289</f>
        <v>9.4876071428571431E-3</v>
      </c>
      <c r="L8" s="9">
        <v>0</v>
      </c>
      <c r="M8" s="9">
        <v>0</v>
      </c>
      <c r="N8" s="9">
        <v>0</v>
      </c>
      <c r="O8" s="9">
        <v>0</v>
      </c>
      <c r="P8" s="9">
        <v>0</v>
      </c>
      <c r="Q8" s="9">
        <v>0</v>
      </c>
      <c r="R8" s="9">
        <v>0</v>
      </c>
      <c r="S8" s="9">
        <v>0</v>
      </c>
      <c r="T8" s="9">
        <v>0</v>
      </c>
      <c r="U8" s="517">
        <f>C8*Stock!C289</f>
        <v>1.5812678571428571E-2</v>
      </c>
      <c r="V8" s="9">
        <v>0</v>
      </c>
      <c r="W8" s="9">
        <v>0</v>
      </c>
      <c r="X8" s="517">
        <f>C8*Stock!A289</f>
        <v>3.4787892857142858E-2</v>
      </c>
      <c r="Y8" s="9">
        <v>0</v>
      </c>
      <c r="Z8" s="9">
        <v>0</v>
      </c>
      <c r="AA8" s="9">
        <v>0</v>
      </c>
      <c r="AB8" s="9">
        <v>0</v>
      </c>
      <c r="AC8" s="9">
        <v>0</v>
      </c>
    </row>
    <row r="9" spans="1:29" s="459" customFormat="1">
      <c r="A9" s="658" t="str">
        <f>Commodities!B27</f>
        <v>TTURS</v>
      </c>
      <c r="B9" s="11" t="str">
        <f>Commodities!D27</f>
        <v>PJ</v>
      </c>
      <c r="C9" s="659">
        <f t="shared" ref="C9:AC9" si="4">C590</f>
        <v>7.7245727925227738</v>
      </c>
      <c r="D9" s="659">
        <f t="shared" si="4"/>
        <v>9.2353600579585152E-2</v>
      </c>
      <c r="E9" s="398">
        <f t="shared" si="4"/>
        <v>2.1856505115455191</v>
      </c>
      <c r="F9" s="398">
        <f t="shared" si="4"/>
        <v>0.36094016622215996</v>
      </c>
      <c r="G9" s="398">
        <f t="shared" si="4"/>
        <v>0.16097155365547308</v>
      </c>
      <c r="H9" s="398">
        <f t="shared" si="4"/>
        <v>0.13739325701343924</v>
      </c>
      <c r="I9" s="398">
        <f t="shared" si="4"/>
        <v>6.6303111018221464E-2</v>
      </c>
      <c r="J9" s="398">
        <f t="shared" si="4"/>
        <v>0.20907225210952107</v>
      </c>
      <c r="K9" s="398">
        <f t="shared" si="4"/>
        <v>0.31639527280693819</v>
      </c>
      <c r="L9" s="398">
        <f t="shared" si="4"/>
        <v>0.12646629408390778</v>
      </c>
      <c r="M9" s="398">
        <f t="shared" si="4"/>
        <v>0.14400037102946978</v>
      </c>
      <c r="N9" s="398">
        <f t="shared" si="4"/>
        <v>0.24287511041201165</v>
      </c>
      <c r="O9" s="398">
        <f t="shared" si="4"/>
        <v>0.23103810796296309</v>
      </c>
      <c r="P9" s="398">
        <f t="shared" si="4"/>
        <v>0.19274182814699234</v>
      </c>
      <c r="Q9" s="398">
        <f t="shared" si="4"/>
        <v>0.88062626360286367</v>
      </c>
      <c r="R9" s="398">
        <f t="shared" si="4"/>
        <v>0.23960643014137542</v>
      </c>
      <c r="S9" s="398">
        <f t="shared" si="4"/>
        <v>0.3161600576013589</v>
      </c>
      <c r="T9" s="398">
        <f t="shared" si="4"/>
        <v>0.25882270135028718</v>
      </c>
      <c r="U9" s="398">
        <f t="shared" si="4"/>
        <v>0.18845766705778619</v>
      </c>
      <c r="V9" s="398">
        <f t="shared" si="4"/>
        <v>0.41861493463020066</v>
      </c>
      <c r="W9" s="398">
        <f t="shared" si="4"/>
        <v>5.1980938259190375E-2</v>
      </c>
      <c r="X9" s="398">
        <f t="shared" si="4"/>
        <v>0.21170504023817749</v>
      </c>
      <c r="Y9" s="398">
        <f t="shared" si="4"/>
        <v>0.10470158778558181</v>
      </c>
      <c r="Z9" s="398">
        <f t="shared" si="4"/>
        <v>0.10630916205267886</v>
      </c>
      <c r="AA9" s="398">
        <f t="shared" si="4"/>
        <v>0.1235707137945352</v>
      </c>
      <c r="AB9" s="398">
        <f t="shared" si="4"/>
        <v>0.25823709659708632</v>
      </c>
      <c r="AC9" s="398">
        <f t="shared" si="4"/>
        <v>9.9578762825448142E-2</v>
      </c>
    </row>
    <row r="10" spans="1:29">
      <c r="A10" s="658" t="str">
        <f>Commodities!B28</f>
        <v>TNAV</v>
      </c>
      <c r="B10" s="11" t="str">
        <f>Commodities!D28</f>
        <v>PJ</v>
      </c>
      <c r="C10" s="659">
        <f t="shared" ref="C10:AC10" si="5">C591</f>
        <v>3.513299808727715</v>
      </c>
      <c r="D10" s="659">
        <f t="shared" si="5"/>
        <v>4.2004379525771122E-2</v>
      </c>
      <c r="E10" s="398">
        <f t="shared" si="5"/>
        <v>0.99408028513777069</v>
      </c>
      <c r="F10" s="398">
        <f t="shared" si="5"/>
        <v>0.16416325549782509</v>
      </c>
      <c r="G10" s="398">
        <f t="shared" si="5"/>
        <v>7.3213282321037743E-2</v>
      </c>
      <c r="H10" s="398">
        <f t="shared" si="5"/>
        <v>6.2489372105217399E-2</v>
      </c>
      <c r="I10" s="398">
        <f t="shared" si="5"/>
        <v>3.0156063450376649E-2</v>
      </c>
      <c r="J10" s="398">
        <f t="shared" si="5"/>
        <v>9.5090501840783506E-2</v>
      </c>
      <c r="K10" s="398">
        <f t="shared" si="5"/>
        <v>0.14390329165011773</v>
      </c>
      <c r="L10" s="398">
        <f t="shared" si="5"/>
        <v>5.7519557229829314E-2</v>
      </c>
      <c r="M10" s="398">
        <f t="shared" si="5"/>
        <v>6.5494427922832554E-2</v>
      </c>
      <c r="N10" s="398">
        <f t="shared" si="5"/>
        <v>0.11046475991283469</v>
      </c>
      <c r="O10" s="398">
        <f t="shared" si="5"/>
        <v>0.10508103973087109</v>
      </c>
      <c r="P10" s="398">
        <f t="shared" si="5"/>
        <v>8.766307809515822E-2</v>
      </c>
      <c r="Q10" s="398">
        <f t="shared" si="5"/>
        <v>0.40052753292342302</v>
      </c>
      <c r="R10" s="398">
        <f t="shared" si="5"/>
        <v>0.10897809468511692</v>
      </c>
      <c r="S10" s="398">
        <f t="shared" si="5"/>
        <v>0.1437963107776517</v>
      </c>
      <c r="T10" s="398">
        <f t="shared" si="5"/>
        <v>0.11771806306603248</v>
      </c>
      <c r="U10" s="398">
        <f t="shared" si="5"/>
        <v>8.5714550618035304E-2</v>
      </c>
      <c r="V10" s="398">
        <f t="shared" si="5"/>
        <v>0.19039496542649909</v>
      </c>
      <c r="W10" s="398">
        <f t="shared" si="5"/>
        <v>2.3642035015875255E-2</v>
      </c>
      <c r="X10" s="398">
        <f t="shared" si="5"/>
        <v>9.6287949813282744E-2</v>
      </c>
      <c r="Y10" s="398">
        <f t="shared" si="5"/>
        <v>4.7620506430678201E-2</v>
      </c>
      <c r="Z10" s="398">
        <f t="shared" si="5"/>
        <v>4.8351665359049577E-2</v>
      </c>
      <c r="AA10" s="398">
        <f t="shared" si="5"/>
        <v>5.6202585799816289E-2</v>
      </c>
      <c r="AB10" s="398">
        <f t="shared" si="5"/>
        <v>0.11745171758354803</v>
      </c>
      <c r="AC10" s="398">
        <f t="shared" si="5"/>
        <v>4.529053680827981E-2</v>
      </c>
    </row>
    <row r="11" spans="1:29">
      <c r="A11" s="11" t="str">
        <f>Commodities!B29</f>
        <v>TOTH</v>
      </c>
      <c r="B11" s="11" t="str">
        <f>Commodities!D29</f>
        <v>PJ</v>
      </c>
      <c r="C11" s="659">
        <f t="shared" ref="C11:AC11" si="6">C592</f>
        <v>22.296388375177408</v>
      </c>
      <c r="D11" s="659">
        <f t="shared" si="6"/>
        <v>0.26657160229775501</v>
      </c>
      <c r="E11" s="398">
        <f t="shared" si="6"/>
        <v>6.3087129821594452</v>
      </c>
      <c r="F11" s="398">
        <f t="shared" si="6"/>
        <v>1.0418261750449602</v>
      </c>
      <c r="G11" s="398">
        <f t="shared" si="6"/>
        <v>0.46463207403939483</v>
      </c>
      <c r="H11" s="398">
        <f t="shared" si="6"/>
        <v>0.39657512470689521</v>
      </c>
      <c r="I11" s="398">
        <f t="shared" si="6"/>
        <v>0.19137885724576939</v>
      </c>
      <c r="J11" s="398">
        <f t="shared" si="6"/>
        <v>0.60347106004608764</v>
      </c>
      <c r="K11" s="398">
        <f t="shared" si="6"/>
        <v>0.91325074823584851</v>
      </c>
      <c r="L11" s="398">
        <f t="shared" si="6"/>
        <v>0.36503528220921938</v>
      </c>
      <c r="M11" s="398">
        <f t="shared" si="6"/>
        <v>0.41564605381809372</v>
      </c>
      <c r="N11" s="398">
        <f t="shared" si="6"/>
        <v>0.7010404243522883</v>
      </c>
      <c r="O11" s="398">
        <f t="shared" si="6"/>
        <v>0.66687382240669146</v>
      </c>
      <c r="P11" s="398">
        <f t="shared" si="6"/>
        <v>0.55633454068383958</v>
      </c>
      <c r="Q11" s="398">
        <f t="shared" si="6"/>
        <v>2.5418603350695159</v>
      </c>
      <c r="R11" s="398">
        <f t="shared" si="6"/>
        <v>0.69160562883078947</v>
      </c>
      <c r="S11" s="398">
        <f t="shared" si="6"/>
        <v>0.91257181754075312</v>
      </c>
      <c r="T11" s="398">
        <f t="shared" si="6"/>
        <v>0.74707192547976031</v>
      </c>
      <c r="U11" s="398">
        <f t="shared" si="6"/>
        <v>0.54396863747179069</v>
      </c>
      <c r="V11" s="398">
        <f t="shared" si="6"/>
        <v>1.2082999814823661</v>
      </c>
      <c r="W11" s="398">
        <f t="shared" si="6"/>
        <v>0.15003900133543985</v>
      </c>
      <c r="X11" s="398">
        <f t="shared" si="6"/>
        <v>0.61107040155050096</v>
      </c>
      <c r="Y11" s="398">
        <f t="shared" si="6"/>
        <v>0.30221312264993849</v>
      </c>
      <c r="Z11" s="398">
        <f t="shared" si="6"/>
        <v>0.3068532627798668</v>
      </c>
      <c r="AA11" s="398">
        <f t="shared" si="6"/>
        <v>0.35667741123856156</v>
      </c>
      <c r="AB11" s="398">
        <f t="shared" si="6"/>
        <v>0.74538162216300519</v>
      </c>
      <c r="AC11" s="398">
        <f t="shared" si="6"/>
        <v>0.28742648033882506</v>
      </c>
    </row>
    <row r="12" spans="1:29">
      <c r="A12" s="448" t="str">
        <f>Commodities!B30</f>
        <v>TAVIDOM</v>
      </c>
      <c r="B12" s="459" t="str">
        <f>Commodities!D30</f>
        <v>PJ</v>
      </c>
      <c r="C12" s="660">
        <f t="shared" ref="C12:AC12" si="7">C603</f>
        <v>0.2334932002865788</v>
      </c>
      <c r="D12" s="398">
        <f t="shared" si="7"/>
        <v>0</v>
      </c>
      <c r="E12" s="398">
        <f t="shared" si="7"/>
        <v>0.13599128494106466</v>
      </c>
      <c r="F12" s="398">
        <f t="shared" si="7"/>
        <v>0</v>
      </c>
      <c r="G12" s="398">
        <f t="shared" si="7"/>
        <v>0</v>
      </c>
      <c r="H12" s="398">
        <f t="shared" si="7"/>
        <v>0</v>
      </c>
      <c r="I12" s="398">
        <f t="shared" si="7"/>
        <v>0</v>
      </c>
      <c r="J12" s="398">
        <f t="shared" si="7"/>
        <v>0</v>
      </c>
      <c r="K12" s="398">
        <f t="shared" si="7"/>
        <v>0</v>
      </c>
      <c r="L12" s="398">
        <f t="shared" si="7"/>
        <v>0</v>
      </c>
      <c r="M12" s="398">
        <f t="shared" si="7"/>
        <v>0</v>
      </c>
      <c r="N12" s="398">
        <f t="shared" si="7"/>
        <v>0</v>
      </c>
      <c r="O12" s="398">
        <f t="shared" si="7"/>
        <v>0</v>
      </c>
      <c r="P12" s="398">
        <f t="shared" si="7"/>
        <v>4.7489540821759567E-2</v>
      </c>
      <c r="Q12" s="398">
        <f t="shared" si="7"/>
        <v>4.7056267691773237E-4</v>
      </c>
      <c r="R12" s="398">
        <f t="shared" si="7"/>
        <v>4.7235778638893708E-2</v>
      </c>
      <c r="S12" s="398">
        <f t="shared" si="7"/>
        <v>0</v>
      </c>
      <c r="T12" s="398">
        <f t="shared" si="7"/>
        <v>0</v>
      </c>
      <c r="U12" s="398">
        <f t="shared" si="7"/>
        <v>0</v>
      </c>
      <c r="V12" s="398">
        <f t="shared" si="7"/>
        <v>0</v>
      </c>
      <c r="W12" s="398">
        <f t="shared" si="7"/>
        <v>0</v>
      </c>
      <c r="X12" s="398">
        <f t="shared" si="7"/>
        <v>9.4112535383546466E-5</v>
      </c>
      <c r="Y12" s="398">
        <f t="shared" si="7"/>
        <v>0</v>
      </c>
      <c r="Z12" s="398">
        <f t="shared" si="7"/>
        <v>0</v>
      </c>
      <c r="AA12" s="398">
        <f t="shared" si="7"/>
        <v>0</v>
      </c>
      <c r="AB12" s="398">
        <f t="shared" si="7"/>
        <v>0</v>
      </c>
      <c r="AC12" s="398">
        <f t="shared" si="7"/>
        <v>0</v>
      </c>
    </row>
    <row r="13" spans="1:29" s="459" customFormat="1">
      <c r="A13" s="458" t="str">
        <f>Commodities!B31</f>
        <v>TAVIINT</v>
      </c>
      <c r="B13" s="458" t="str">
        <f>Commodities!D31</f>
        <v>PJ</v>
      </c>
      <c r="C13" s="603">
        <f t="shared" ref="C13:AC13" si="8">C604</f>
        <v>45.935836654432045</v>
      </c>
      <c r="D13" s="604">
        <f t="shared" si="8"/>
        <v>0</v>
      </c>
      <c r="E13" s="603">
        <f t="shared" si="8"/>
        <v>40.411547456014475</v>
      </c>
      <c r="F13" s="603">
        <f t="shared" si="8"/>
        <v>0</v>
      </c>
      <c r="G13" s="603">
        <f t="shared" si="8"/>
        <v>0</v>
      </c>
      <c r="H13" s="603">
        <f t="shared" si="8"/>
        <v>0</v>
      </c>
      <c r="I13" s="603">
        <f t="shared" si="8"/>
        <v>0</v>
      </c>
      <c r="J13" s="603">
        <f t="shared" si="8"/>
        <v>0</v>
      </c>
      <c r="K13" s="603">
        <f t="shared" si="8"/>
        <v>0</v>
      </c>
      <c r="L13" s="603">
        <f t="shared" si="8"/>
        <v>0</v>
      </c>
      <c r="M13" s="603">
        <f t="shared" si="8"/>
        <v>0</v>
      </c>
      <c r="N13" s="603">
        <f t="shared" si="8"/>
        <v>0</v>
      </c>
      <c r="O13" s="603">
        <f t="shared" si="8"/>
        <v>0</v>
      </c>
      <c r="P13" s="603">
        <f t="shared" si="8"/>
        <v>2.3928132767411885</v>
      </c>
      <c r="Q13" s="603">
        <f t="shared" si="8"/>
        <v>2.2124403851853933</v>
      </c>
      <c r="R13" s="603">
        <f t="shared" si="8"/>
        <v>0.2411025265315139</v>
      </c>
      <c r="S13" s="603">
        <f t="shared" si="8"/>
        <v>0</v>
      </c>
      <c r="T13" s="603">
        <f t="shared" si="8"/>
        <v>0</v>
      </c>
      <c r="U13" s="603">
        <f t="shared" si="8"/>
        <v>0</v>
      </c>
      <c r="V13" s="603">
        <f t="shared" si="8"/>
        <v>0</v>
      </c>
      <c r="W13" s="603">
        <f t="shared" si="8"/>
        <v>0</v>
      </c>
      <c r="X13" s="603">
        <f t="shared" si="8"/>
        <v>0.68832808501139164</v>
      </c>
      <c r="Y13" s="603">
        <f t="shared" si="8"/>
        <v>0</v>
      </c>
      <c r="Z13" s="603">
        <f t="shared" si="8"/>
        <v>0</v>
      </c>
      <c r="AA13" s="603">
        <f t="shared" si="8"/>
        <v>0</v>
      </c>
      <c r="AB13" s="603">
        <f t="shared" si="8"/>
        <v>0</v>
      </c>
      <c r="AC13" s="603">
        <f t="shared" si="8"/>
        <v>0</v>
      </c>
    </row>
    <row r="14" spans="1:29" s="459" customFormat="1">
      <c r="A14" s="1"/>
      <c r="B14" s="1"/>
      <c r="C14" s="707"/>
      <c r="D14" s="402"/>
      <c r="E14" s="707"/>
      <c r="F14" s="707"/>
      <c r="G14" s="707"/>
      <c r="H14" s="707"/>
      <c r="I14" s="707"/>
      <c r="J14" s="707"/>
      <c r="K14" s="707"/>
      <c r="L14" s="707"/>
      <c r="M14" s="707"/>
      <c r="N14" s="707"/>
      <c r="O14" s="707"/>
      <c r="P14" s="707"/>
      <c r="Q14" s="707"/>
      <c r="R14" s="707"/>
      <c r="S14" s="707"/>
      <c r="T14" s="707"/>
      <c r="U14" s="707"/>
      <c r="V14" s="707"/>
      <c r="W14" s="707"/>
      <c r="X14" s="707"/>
      <c r="Y14" s="707"/>
      <c r="Z14" s="707"/>
      <c r="AA14" s="707"/>
      <c r="AB14" s="707"/>
      <c r="AC14" s="707"/>
    </row>
    <row r="15" spans="1:29" s="459" customFormat="1">
      <c r="A15" s="1"/>
      <c r="B15" s="1"/>
      <c r="C15" s="707"/>
      <c r="D15" s="402"/>
      <c r="E15" s="707"/>
      <c r="F15" s="707"/>
      <c r="G15" s="707"/>
      <c r="H15" s="707"/>
      <c r="I15" s="707"/>
      <c r="J15" s="707"/>
      <c r="K15" s="707"/>
      <c r="L15" s="707"/>
      <c r="M15" s="707"/>
      <c r="N15" s="707"/>
      <c r="O15" s="707"/>
      <c r="P15" s="707"/>
      <c r="Q15" s="707"/>
      <c r="R15" s="707"/>
      <c r="S15" s="707"/>
      <c r="T15" s="707"/>
      <c r="U15" s="707"/>
      <c r="V15" s="707"/>
      <c r="W15" s="707"/>
      <c r="X15" s="707"/>
      <c r="Y15" s="707"/>
      <c r="Z15" s="707"/>
      <c r="AA15" s="707"/>
      <c r="AB15" s="707"/>
      <c r="AC15" s="707"/>
    </row>
    <row r="16" spans="1:29" s="459" customFormat="1">
      <c r="A16" s="1"/>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row>
    <row r="17" spans="1:29" s="459" customFormat="1">
      <c r="A17" s="459" t="s">
        <v>1039</v>
      </c>
      <c r="C17" s="1"/>
      <c r="D17" s="1"/>
      <c r="E17" s="1"/>
      <c r="F17" s="1"/>
      <c r="G17" s="1"/>
      <c r="H17" s="1"/>
      <c r="I17" s="1"/>
      <c r="J17" s="1"/>
      <c r="K17" s="1"/>
      <c r="L17" s="1"/>
      <c r="M17" s="1"/>
      <c r="N17" s="1"/>
      <c r="O17" s="1"/>
      <c r="P17" s="1"/>
      <c r="Q17" s="1"/>
      <c r="R17" s="1"/>
      <c r="S17" s="1"/>
      <c r="T17" s="1"/>
      <c r="U17" s="1"/>
      <c r="V17" s="1"/>
      <c r="W17" s="1"/>
      <c r="X17" s="1"/>
      <c r="Y17" s="1"/>
      <c r="Z17" s="1"/>
      <c r="AA17" s="1"/>
      <c r="AB17" s="1"/>
      <c r="AC17" s="1"/>
    </row>
    <row r="18" spans="1:29" s="459" customFormat="1">
      <c r="A18" s="132" t="s">
        <v>1042</v>
      </c>
      <c r="B18" s="130" t="s">
        <v>449</v>
      </c>
      <c r="C18" s="722" t="str">
        <f>Regions!C3</f>
        <v>IE</v>
      </c>
      <c r="D18" s="722" t="str">
        <f>Regions!E3</f>
        <v>IE-CW</v>
      </c>
      <c r="E18" s="722" t="str">
        <f>Regions!F3</f>
        <v>IE-D</v>
      </c>
      <c r="F18" s="722" t="str">
        <f>Regions!G3</f>
        <v>IE-KE</v>
      </c>
      <c r="G18" s="722" t="str">
        <f>Regions!H3</f>
        <v>IE-KK</v>
      </c>
      <c r="H18" s="722" t="str">
        <f>Regions!I3</f>
        <v>IE-LS</v>
      </c>
      <c r="I18" s="722" t="str">
        <f>Regions!J3</f>
        <v>IE-LD</v>
      </c>
      <c r="J18" s="722" t="str">
        <f>Regions!K3</f>
        <v>IE-LH</v>
      </c>
      <c r="K18" s="722" t="str">
        <f>Regions!L3</f>
        <v>IE-MH</v>
      </c>
      <c r="L18" s="722" t="str">
        <f>Regions!M3</f>
        <v>IE-OY</v>
      </c>
      <c r="M18" s="722" t="str">
        <f>Regions!N3</f>
        <v>IE-WH</v>
      </c>
      <c r="N18" s="722" t="str">
        <f>Regions!O3</f>
        <v>IE-WX</v>
      </c>
      <c r="O18" s="722" t="str">
        <f>Regions!P3</f>
        <v>IE-WW</v>
      </c>
      <c r="P18" s="722" t="str">
        <f>Regions!Q3</f>
        <v>IE-CE</v>
      </c>
      <c r="Q18" s="722" t="str">
        <f>Regions!R3</f>
        <v>IE-CO</v>
      </c>
      <c r="R18" s="722" t="str">
        <f>Regions!S3</f>
        <v>IE-KY</v>
      </c>
      <c r="S18" s="722" t="str">
        <f>Regions!T3</f>
        <v>IE-LK</v>
      </c>
      <c r="T18" s="722" t="str">
        <f>Regions!U3</f>
        <v>IE-TA</v>
      </c>
      <c r="U18" s="722" t="str">
        <f>Regions!V3</f>
        <v>IE-WD</v>
      </c>
      <c r="V18" s="722" t="str">
        <f>Regions!W3</f>
        <v>IE-G</v>
      </c>
      <c r="W18" s="722" t="str">
        <f>Regions!X3</f>
        <v>IE-LM</v>
      </c>
      <c r="X18" s="722" t="str">
        <f>Regions!Y3</f>
        <v>IE-MO</v>
      </c>
      <c r="Y18" s="722" t="str">
        <f>Regions!Z3</f>
        <v>IE-RN</v>
      </c>
      <c r="Z18" s="722" t="str">
        <f>Regions!AA3</f>
        <v>IE-SO</v>
      </c>
      <c r="AA18" s="722" t="str">
        <f>Regions!AB3</f>
        <v>IE-CN</v>
      </c>
      <c r="AB18" s="722" t="str">
        <f>Regions!AC3</f>
        <v>IE-DL</v>
      </c>
      <c r="AC18" s="722" t="str">
        <f>Regions!AD3</f>
        <v>IE-MN</v>
      </c>
    </row>
    <row r="19" spans="1:29" s="459" customFormat="1">
      <c r="A19" s="459" t="s">
        <v>452</v>
      </c>
      <c r="B19" s="39" t="s">
        <v>1040</v>
      </c>
      <c r="C19" s="34">
        <f>C4/SUM(C4:C6)</f>
        <v>0.19950262849047029</v>
      </c>
      <c r="D19" s="34">
        <f t="shared" ref="D19:AC19" si="9">D4/SUM(D4:D6)</f>
        <v>0.19078731828048984</v>
      </c>
      <c r="E19" s="34">
        <f t="shared" si="9"/>
        <v>0.21074930914241802</v>
      </c>
      <c r="F19" s="34">
        <f t="shared" si="9"/>
        <v>0.19531627264556853</v>
      </c>
      <c r="G19" s="34">
        <f t="shared" si="9"/>
        <v>0.19066692005368757</v>
      </c>
      <c r="H19" s="34">
        <f t="shared" si="9"/>
        <v>0.19892076323472621</v>
      </c>
      <c r="I19" s="34">
        <f t="shared" si="9"/>
        <v>0.19500423330331412</v>
      </c>
      <c r="J19" s="34">
        <f t="shared" si="9"/>
        <v>0.20435231740285428</v>
      </c>
      <c r="K19" s="34">
        <f t="shared" si="9"/>
        <v>0.19734390162025608</v>
      </c>
      <c r="L19" s="34">
        <f t="shared" si="9"/>
        <v>0.19242838252667249</v>
      </c>
      <c r="M19" s="34">
        <f t="shared" si="9"/>
        <v>0.19440161269395112</v>
      </c>
      <c r="N19" s="34">
        <f t="shared" si="9"/>
        <v>0.19131368735195031</v>
      </c>
      <c r="O19" s="34">
        <f t="shared" si="9"/>
        <v>0.19715377798776618</v>
      </c>
      <c r="P19" s="34">
        <f t="shared" si="9"/>
        <v>0.19327059892033924</v>
      </c>
      <c r="Q19" s="34">
        <f t="shared" si="9"/>
        <v>0.19978063773150631</v>
      </c>
      <c r="R19" s="34">
        <f t="shared" si="9"/>
        <v>0.1881911049804417</v>
      </c>
      <c r="S19" s="34">
        <f t="shared" si="9"/>
        <v>0.1982887894503054</v>
      </c>
      <c r="T19" s="34">
        <f t="shared" si="9"/>
        <v>0.18881197356159776</v>
      </c>
      <c r="U19" s="34">
        <f t="shared" si="9"/>
        <v>0.19691314002176619</v>
      </c>
      <c r="V19" s="34">
        <f t="shared" si="9"/>
        <v>0.19556773257278215</v>
      </c>
      <c r="W19" s="34">
        <f t="shared" si="9"/>
        <v>0.19352784194117029</v>
      </c>
      <c r="X19" s="34">
        <f t="shared" si="9"/>
        <v>0.19025165055148918</v>
      </c>
      <c r="Y19" s="34">
        <f t="shared" si="9"/>
        <v>0.18773229885189827</v>
      </c>
      <c r="Z19" s="34">
        <f t="shared" si="9"/>
        <v>0.19827521357270891</v>
      </c>
      <c r="AA19" s="34">
        <f t="shared" si="9"/>
        <v>0.20365700146274862</v>
      </c>
      <c r="AB19" s="34">
        <f t="shared" si="9"/>
        <v>0.21219165615577082</v>
      </c>
      <c r="AC19" s="34">
        <f t="shared" si="9"/>
        <v>0.18670403926863507</v>
      </c>
    </row>
    <row r="20" spans="1:29" s="459" customFormat="1">
      <c r="A20" s="459" t="s">
        <v>453</v>
      </c>
      <c r="B20" s="39" t="s">
        <v>372</v>
      </c>
      <c r="C20" s="34">
        <f>C5/SUM(C4:C6)</f>
        <v>0.42864985886154994</v>
      </c>
      <c r="D20" s="34">
        <f t="shared" ref="D20:AC20" si="10">D5/SUM(D4:D6)</f>
        <v>0.43525803021566556</v>
      </c>
      <c r="E20" s="34">
        <f t="shared" si="10"/>
        <v>0.42118675688174328</v>
      </c>
      <c r="F20" s="34">
        <f t="shared" si="10"/>
        <v>0.43096041569234855</v>
      </c>
      <c r="G20" s="34">
        <f t="shared" si="10"/>
        <v>0.43066212141843047</v>
      </c>
      <c r="H20" s="34">
        <f t="shared" si="10"/>
        <v>0.42876934820171775</v>
      </c>
      <c r="I20" s="34">
        <f t="shared" si="10"/>
        <v>0.43097549448723049</v>
      </c>
      <c r="J20" s="34">
        <f t="shared" si="10"/>
        <v>0.42423666593097176</v>
      </c>
      <c r="K20" s="34">
        <f t="shared" si="10"/>
        <v>0.43210975695584969</v>
      </c>
      <c r="L20" s="34">
        <f t="shared" si="10"/>
        <v>0.43136017565012935</v>
      </c>
      <c r="M20" s="34">
        <f t="shared" si="10"/>
        <v>0.43399890671762309</v>
      </c>
      <c r="N20" s="34">
        <f t="shared" si="10"/>
        <v>0.43522508176566904</v>
      </c>
      <c r="O20" s="34">
        <f t="shared" si="10"/>
        <v>0.43027527754984524</v>
      </c>
      <c r="P20" s="34">
        <f t="shared" si="10"/>
        <v>0.434657903898794</v>
      </c>
      <c r="Q20" s="34">
        <f t="shared" si="10"/>
        <v>0.42937201899488575</v>
      </c>
      <c r="R20" s="34">
        <f t="shared" si="10"/>
        <v>0.4323675491583282</v>
      </c>
      <c r="S20" s="34">
        <f t="shared" si="10"/>
        <v>0.43028965414270431</v>
      </c>
      <c r="T20" s="34">
        <f t="shared" si="10"/>
        <v>0.43588631359697733</v>
      </c>
      <c r="U20" s="34">
        <f t="shared" si="10"/>
        <v>0.43189086386199144</v>
      </c>
      <c r="V20" s="34">
        <f t="shared" si="10"/>
        <v>0.42968320549436945</v>
      </c>
      <c r="W20" s="34">
        <f t="shared" si="10"/>
        <v>0.43313259460913334</v>
      </c>
      <c r="X20" s="34">
        <f t="shared" si="10"/>
        <v>0.43227283985426046</v>
      </c>
      <c r="Y20" s="34">
        <f t="shared" si="10"/>
        <v>0.43904131408647007</v>
      </c>
      <c r="Z20" s="34">
        <f t="shared" si="10"/>
        <v>0.4290623563338789</v>
      </c>
      <c r="AA20" s="34">
        <f t="shared" si="10"/>
        <v>0.42931835008053693</v>
      </c>
      <c r="AB20" s="34">
        <f t="shared" si="10"/>
        <v>0.42467351161236877</v>
      </c>
      <c r="AC20" s="34">
        <f t="shared" si="10"/>
        <v>0.42847093896152727</v>
      </c>
    </row>
    <row r="21" spans="1:29" s="459" customFormat="1">
      <c r="A21" s="459" t="s">
        <v>454</v>
      </c>
      <c r="B21" s="579" t="s">
        <v>1041</v>
      </c>
      <c r="C21" s="34">
        <f>C6/SUM(C4:C6)</f>
        <v>0.37184751264797972</v>
      </c>
      <c r="D21" s="34">
        <f t="shared" ref="D21:AC21" si="11">D6/SUM(D4:D6)</f>
        <v>0.37395465150384455</v>
      </c>
      <c r="E21" s="34">
        <f t="shared" si="11"/>
        <v>0.36806393397583875</v>
      </c>
      <c r="F21" s="34">
        <f t="shared" si="11"/>
        <v>0.37372331166208284</v>
      </c>
      <c r="G21" s="34">
        <f t="shared" si="11"/>
        <v>0.37867095852788202</v>
      </c>
      <c r="H21" s="34">
        <f t="shared" si="11"/>
        <v>0.37230988856355612</v>
      </c>
      <c r="I21" s="34">
        <f t="shared" si="11"/>
        <v>0.37402027220945538</v>
      </c>
      <c r="J21" s="34">
        <f t="shared" si="11"/>
        <v>0.37141101666617393</v>
      </c>
      <c r="K21" s="34">
        <f t="shared" si="11"/>
        <v>0.37054634142389431</v>
      </c>
      <c r="L21" s="34">
        <f t="shared" si="11"/>
        <v>0.37621144182319816</v>
      </c>
      <c r="M21" s="34">
        <f t="shared" si="11"/>
        <v>0.37159948058842585</v>
      </c>
      <c r="N21" s="34">
        <f t="shared" si="11"/>
        <v>0.37346123088238059</v>
      </c>
      <c r="O21" s="34">
        <f t="shared" si="11"/>
        <v>0.3725709444623887</v>
      </c>
      <c r="P21" s="34">
        <f t="shared" si="11"/>
        <v>0.37207149718086668</v>
      </c>
      <c r="Q21" s="34">
        <f t="shared" si="11"/>
        <v>0.3708473432736078</v>
      </c>
      <c r="R21" s="34">
        <f t="shared" si="11"/>
        <v>0.37944134586123013</v>
      </c>
      <c r="S21" s="34">
        <f t="shared" si="11"/>
        <v>0.37142155640699037</v>
      </c>
      <c r="T21" s="34">
        <f t="shared" si="11"/>
        <v>0.37530171284142494</v>
      </c>
      <c r="U21" s="34">
        <f t="shared" si="11"/>
        <v>0.37119599611624243</v>
      </c>
      <c r="V21" s="34">
        <f t="shared" si="11"/>
        <v>0.37474906193284835</v>
      </c>
      <c r="W21" s="34">
        <f t="shared" si="11"/>
        <v>0.37333956344969632</v>
      </c>
      <c r="X21" s="34">
        <f t="shared" si="11"/>
        <v>0.37747550959425041</v>
      </c>
      <c r="Y21" s="34">
        <f t="shared" si="11"/>
        <v>0.37322638706163158</v>
      </c>
      <c r="Z21" s="34">
        <f t="shared" si="11"/>
        <v>0.37266243009341221</v>
      </c>
      <c r="AA21" s="34">
        <f t="shared" si="11"/>
        <v>0.36702464845671445</v>
      </c>
      <c r="AB21" s="34">
        <f t="shared" si="11"/>
        <v>0.36313483223186038</v>
      </c>
      <c r="AC21" s="34">
        <f t="shared" si="11"/>
        <v>0.38482502176983774</v>
      </c>
    </row>
    <row r="22" spans="1:29" s="459" customFormat="1">
      <c r="A22" s="136" t="s">
        <v>1</v>
      </c>
      <c r="B22" s="717" t="s">
        <v>17</v>
      </c>
      <c r="C22" s="407">
        <f>SUM(C19:C21)</f>
        <v>1</v>
      </c>
      <c r="D22" s="407">
        <f t="shared" ref="D22:AC22" si="12">SUM(D19:D21)</f>
        <v>1</v>
      </c>
      <c r="E22" s="407">
        <f t="shared" si="12"/>
        <v>1</v>
      </c>
      <c r="F22" s="407">
        <f t="shared" si="12"/>
        <v>0.99999999999999989</v>
      </c>
      <c r="G22" s="407">
        <f t="shared" si="12"/>
        <v>1</v>
      </c>
      <c r="H22" s="407">
        <f t="shared" si="12"/>
        <v>1</v>
      </c>
      <c r="I22" s="407">
        <f t="shared" si="12"/>
        <v>1</v>
      </c>
      <c r="J22" s="407">
        <f t="shared" si="12"/>
        <v>1</v>
      </c>
      <c r="K22" s="407">
        <f t="shared" si="12"/>
        <v>1</v>
      </c>
      <c r="L22" s="407">
        <f t="shared" si="12"/>
        <v>1</v>
      </c>
      <c r="M22" s="407">
        <f t="shared" si="12"/>
        <v>1</v>
      </c>
      <c r="N22" s="407">
        <f t="shared" si="12"/>
        <v>1</v>
      </c>
      <c r="O22" s="407">
        <f t="shared" si="12"/>
        <v>1</v>
      </c>
      <c r="P22" s="407">
        <f t="shared" si="12"/>
        <v>1</v>
      </c>
      <c r="Q22" s="407">
        <f t="shared" si="12"/>
        <v>0.99999999999999989</v>
      </c>
      <c r="R22" s="407">
        <f t="shared" si="12"/>
        <v>1</v>
      </c>
      <c r="S22" s="407">
        <f t="shared" si="12"/>
        <v>1</v>
      </c>
      <c r="T22" s="407">
        <f t="shared" si="12"/>
        <v>1</v>
      </c>
      <c r="U22" s="407">
        <f t="shared" si="12"/>
        <v>1</v>
      </c>
      <c r="V22" s="407">
        <f t="shared" si="12"/>
        <v>1</v>
      </c>
      <c r="W22" s="407">
        <f t="shared" si="12"/>
        <v>1</v>
      </c>
      <c r="X22" s="407">
        <f t="shared" si="12"/>
        <v>1</v>
      </c>
      <c r="Y22" s="407">
        <f t="shared" si="12"/>
        <v>0.99999999999999989</v>
      </c>
      <c r="Z22" s="407">
        <f t="shared" si="12"/>
        <v>1</v>
      </c>
      <c r="AA22" s="407">
        <f t="shared" si="12"/>
        <v>1</v>
      </c>
      <c r="AB22" s="407">
        <f t="shared" si="12"/>
        <v>1</v>
      </c>
      <c r="AC22" s="407">
        <f t="shared" si="12"/>
        <v>1</v>
      </c>
    </row>
    <row r="23" spans="1:29" s="459" customFormat="1">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row>
    <row r="24" spans="1:29" s="459" customFormat="1">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s="459" customForma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s="459" customFormat="1" ht="15.6">
      <c r="A26" s="401" t="s">
        <v>1044</v>
      </c>
      <c r="B26" s="401"/>
      <c r="C26" s="401"/>
      <c r="D26" s="1"/>
      <c r="E26" s="1"/>
      <c r="F26" s="1"/>
      <c r="G26" s="1"/>
      <c r="H26" s="1"/>
      <c r="I26" s="1"/>
      <c r="J26" s="1"/>
      <c r="K26" s="1"/>
      <c r="L26" s="1"/>
      <c r="M26" s="1"/>
      <c r="N26" s="1"/>
      <c r="O26" s="1"/>
      <c r="P26" s="1"/>
      <c r="Q26" s="1"/>
      <c r="R26" s="1"/>
      <c r="S26" s="1"/>
      <c r="T26" s="1"/>
      <c r="U26" s="1"/>
      <c r="V26" s="1"/>
      <c r="W26" s="1"/>
      <c r="X26" s="1"/>
      <c r="Y26" s="1"/>
      <c r="Z26" s="1"/>
      <c r="AA26" s="1"/>
      <c r="AB26" s="1"/>
      <c r="AC26" s="1"/>
    </row>
    <row r="27" spans="1:29" s="459" customFormat="1">
      <c r="A27" s="132" t="s">
        <v>360</v>
      </c>
      <c r="B27" s="132" t="s">
        <v>361</v>
      </c>
      <c r="C27" s="722" t="str">
        <f>Regions!C3</f>
        <v>IE</v>
      </c>
      <c r="D27" s="722" t="str">
        <f>Regions!E3</f>
        <v>IE-CW</v>
      </c>
      <c r="E27" s="722" t="str">
        <f>Regions!F3</f>
        <v>IE-D</v>
      </c>
      <c r="F27" s="722" t="str">
        <f>Regions!G3</f>
        <v>IE-KE</v>
      </c>
      <c r="G27" s="722" t="str">
        <f>Regions!H3</f>
        <v>IE-KK</v>
      </c>
      <c r="H27" s="722" t="str">
        <f>Regions!I3</f>
        <v>IE-LS</v>
      </c>
      <c r="I27" s="722" t="str">
        <f>Regions!J3</f>
        <v>IE-LD</v>
      </c>
      <c r="J27" s="722" t="str">
        <f>Regions!K3</f>
        <v>IE-LH</v>
      </c>
      <c r="K27" s="722" t="str">
        <f>Regions!L3</f>
        <v>IE-MH</v>
      </c>
      <c r="L27" s="722" t="str">
        <f>Regions!M3</f>
        <v>IE-OY</v>
      </c>
      <c r="M27" s="722" t="str">
        <f>Regions!N3</f>
        <v>IE-WH</v>
      </c>
      <c r="N27" s="722" t="str">
        <f>Regions!O3</f>
        <v>IE-WX</v>
      </c>
      <c r="O27" s="722" t="str">
        <f>Regions!P3</f>
        <v>IE-WW</v>
      </c>
      <c r="P27" s="722" t="str">
        <f>Regions!Q3</f>
        <v>IE-CE</v>
      </c>
      <c r="Q27" s="722" t="str">
        <f>Regions!R3</f>
        <v>IE-CO</v>
      </c>
      <c r="R27" s="722" t="str">
        <f>Regions!S3</f>
        <v>IE-KY</v>
      </c>
      <c r="S27" s="722" t="str">
        <f>Regions!T3</f>
        <v>IE-LK</v>
      </c>
      <c r="T27" s="722" t="str">
        <f>Regions!U3</f>
        <v>IE-TA</v>
      </c>
      <c r="U27" s="722" t="str">
        <f>Regions!V3</f>
        <v>IE-WD</v>
      </c>
      <c r="V27" s="722" t="str">
        <f>Regions!W3</f>
        <v>IE-G</v>
      </c>
      <c r="W27" s="722" t="str">
        <f>Regions!X3</f>
        <v>IE-LM</v>
      </c>
      <c r="X27" s="722" t="str">
        <f>Regions!Y3</f>
        <v>IE-MO</v>
      </c>
      <c r="Y27" s="722" t="str">
        <f>Regions!Z3</f>
        <v>IE-RN</v>
      </c>
      <c r="Z27" s="722" t="str">
        <f>Regions!AA3</f>
        <v>IE-SO</v>
      </c>
      <c r="AA27" s="722" t="str">
        <f>Regions!AB3</f>
        <v>IE-CN</v>
      </c>
      <c r="AB27" s="722" t="str">
        <f>Regions!AC3</f>
        <v>IE-DL</v>
      </c>
      <c r="AC27" s="722" t="str">
        <f>Regions!AD3</f>
        <v>IE-MN</v>
      </c>
    </row>
    <row r="28" spans="1:29" s="459" customFormat="1">
      <c r="A28" s="459" t="s">
        <v>367</v>
      </c>
      <c r="B28" s="459" t="s">
        <v>362</v>
      </c>
      <c r="C28" s="710">
        <f t="shared" ref="C28:D34" si="13">C356/C$364</f>
        <v>0.32377983784854231</v>
      </c>
      <c r="D28" s="710">
        <f t="shared" si="13"/>
        <v>0.29539615700051852</v>
      </c>
      <c r="E28" s="710">
        <f t="shared" ref="E28:AC28" si="14">E356/E$364</f>
        <v>0.34966256439645477</v>
      </c>
      <c r="F28" s="710">
        <f t="shared" si="14"/>
        <v>0.31311359703458036</v>
      </c>
      <c r="G28" s="710">
        <f t="shared" si="14"/>
        <v>0.30099430857485032</v>
      </c>
      <c r="H28" s="710">
        <f t="shared" si="14"/>
        <v>0.32585784427063491</v>
      </c>
      <c r="I28" s="710">
        <f t="shared" si="14"/>
        <v>0.31296089693181006</v>
      </c>
      <c r="J28" s="710">
        <f t="shared" si="14"/>
        <v>0.34414959934244926</v>
      </c>
      <c r="K28" s="710">
        <f t="shared" si="14"/>
        <v>0.31640567871855385</v>
      </c>
      <c r="L28" s="710">
        <f t="shared" si="14"/>
        <v>0.30551897544605799</v>
      </c>
      <c r="M28" s="710">
        <f t="shared" si="14"/>
        <v>0.30690900126975923</v>
      </c>
      <c r="N28" s="710">
        <f t="shared" si="14"/>
        <v>0.29742024558167873</v>
      </c>
      <c r="O28" s="710">
        <f t="shared" si="14"/>
        <v>0.31985079986061538</v>
      </c>
      <c r="P28" s="710">
        <f t="shared" si="14"/>
        <v>0.30317740338092081</v>
      </c>
      <c r="Q28" s="710">
        <f t="shared" si="14"/>
        <v>0.32755819451934742</v>
      </c>
      <c r="R28" s="710">
        <f t="shared" si="14"/>
        <v>0.29108733491927802</v>
      </c>
      <c r="S28" s="710">
        <f t="shared" si="14"/>
        <v>0.32210907481657336</v>
      </c>
      <c r="T28" s="710">
        <f t="shared" si="14"/>
        <v>0.28924149649685427</v>
      </c>
      <c r="U28" s="710">
        <f t="shared" si="14"/>
        <v>0.31716332192128543</v>
      </c>
      <c r="V28" s="710">
        <f t="shared" si="14"/>
        <v>0.31520515014132622</v>
      </c>
      <c r="W28" s="710">
        <f t="shared" si="14"/>
        <v>0.30543827437637427</v>
      </c>
      <c r="X28" s="710">
        <f t="shared" si="14"/>
        <v>0.29765342162432462</v>
      </c>
      <c r="Y28" s="710">
        <f t="shared" si="14"/>
        <v>0.28141024531167946</v>
      </c>
      <c r="Z28" s="710">
        <f t="shared" si="14"/>
        <v>0.32408712009988533</v>
      </c>
      <c r="AA28" s="710">
        <f t="shared" si="14"/>
        <v>0.33773511822059504</v>
      </c>
      <c r="AB28" s="710">
        <f t="shared" si="14"/>
        <v>0.36384480991771728</v>
      </c>
      <c r="AC28" s="710">
        <f t="shared" si="14"/>
        <v>0.29253128431407999</v>
      </c>
    </row>
    <row r="29" spans="1:29" s="459" customFormat="1">
      <c r="B29" s="459" t="s">
        <v>363</v>
      </c>
      <c r="C29" s="710">
        <f t="shared" si="13"/>
        <v>5.3963306308090382E-2</v>
      </c>
      <c r="D29" s="710">
        <f t="shared" si="13"/>
        <v>4.9232692833419758E-2</v>
      </c>
      <c r="E29" s="710">
        <f t="shared" ref="E29:AC29" si="15">E357/E$364</f>
        <v>5.8277094066075792E-2</v>
      </c>
      <c r="F29" s="710">
        <f t="shared" si="15"/>
        <v>5.2185599505763403E-2</v>
      </c>
      <c r="G29" s="710">
        <f t="shared" si="15"/>
        <v>5.016571809580838E-2</v>
      </c>
      <c r="H29" s="710">
        <f t="shared" si="15"/>
        <v>5.4309640711772487E-2</v>
      </c>
      <c r="I29" s="710">
        <f t="shared" si="15"/>
        <v>5.216014948863501E-2</v>
      </c>
      <c r="J29" s="710">
        <f t="shared" si="15"/>
        <v>5.7358266557074891E-2</v>
      </c>
      <c r="K29" s="710">
        <f t="shared" si="15"/>
        <v>5.2734279786425649E-2</v>
      </c>
      <c r="L29" s="710">
        <f t="shared" si="15"/>
        <v>5.0919829241009663E-2</v>
      </c>
      <c r="M29" s="710">
        <f t="shared" si="15"/>
        <v>5.1151500211626538E-2</v>
      </c>
      <c r="N29" s="710">
        <f t="shared" si="15"/>
        <v>4.95700409302798E-2</v>
      </c>
      <c r="O29" s="710">
        <f t="shared" si="15"/>
        <v>5.3308466643435894E-2</v>
      </c>
      <c r="P29" s="710">
        <f t="shared" si="15"/>
        <v>5.052956723015347E-2</v>
      </c>
      <c r="Q29" s="710">
        <f t="shared" si="15"/>
        <v>5.459303241989124E-2</v>
      </c>
      <c r="R29" s="710">
        <f t="shared" si="15"/>
        <v>4.8514555819879672E-2</v>
      </c>
      <c r="S29" s="710">
        <f t="shared" si="15"/>
        <v>5.3684845802762227E-2</v>
      </c>
      <c r="T29" s="710">
        <f t="shared" si="15"/>
        <v>4.8206916082809047E-2</v>
      </c>
      <c r="U29" s="710">
        <f t="shared" si="15"/>
        <v>5.2860553653547575E-2</v>
      </c>
      <c r="V29" s="710">
        <f t="shared" si="15"/>
        <v>5.2534191690221041E-2</v>
      </c>
      <c r="W29" s="710">
        <f t="shared" si="15"/>
        <v>5.0906379062729046E-2</v>
      </c>
      <c r="X29" s="710">
        <f t="shared" si="15"/>
        <v>4.9608903604054101E-2</v>
      </c>
      <c r="Y29" s="710">
        <f t="shared" si="15"/>
        <v>4.690170755194658E-2</v>
      </c>
      <c r="Z29" s="710">
        <f t="shared" si="15"/>
        <v>5.4014520016647569E-2</v>
      </c>
      <c r="AA29" s="710">
        <f t="shared" si="15"/>
        <v>5.6289186370099165E-2</v>
      </c>
      <c r="AB29" s="710">
        <f t="shared" si="15"/>
        <v>6.064080165295288E-2</v>
      </c>
      <c r="AC29" s="710">
        <f t="shared" si="15"/>
        <v>4.8755214052346667E-2</v>
      </c>
    </row>
    <row r="30" spans="1:29" s="459" customFormat="1">
      <c r="A30" s="459" t="s">
        <v>364</v>
      </c>
      <c r="B30" s="459" t="s">
        <v>370</v>
      </c>
      <c r="C30" s="715">
        <f t="shared" si="13"/>
        <v>1.2024577456126329E-3</v>
      </c>
      <c r="D30" s="710">
        <f t="shared" si="13"/>
        <v>8.4181954391599476E-4</v>
      </c>
      <c r="E30" s="710">
        <f t="shared" ref="E30:AC30" si="16">E358/E$364</f>
        <v>1.4736843073167786E-3</v>
      </c>
      <c r="F30" s="710">
        <f t="shared" si="16"/>
        <v>1.3698908311171865E-3</v>
      </c>
      <c r="G30" s="710">
        <f t="shared" si="16"/>
        <v>9.8425388735709995E-4</v>
      </c>
      <c r="H30" s="710">
        <f t="shared" si="16"/>
        <v>6.2421004942624992E-4</v>
      </c>
      <c r="I30" s="710">
        <f t="shared" si="16"/>
        <v>1.2422933671109623E-3</v>
      </c>
      <c r="J30" s="710">
        <f t="shared" si="16"/>
        <v>8.6646068484003841E-4</v>
      </c>
      <c r="K30" s="710">
        <f t="shared" si="16"/>
        <v>1.3159890714686659E-3</v>
      </c>
      <c r="L30" s="710">
        <f t="shared" si="16"/>
        <v>1.2716318220191991E-3</v>
      </c>
      <c r="M30" s="710">
        <f t="shared" si="16"/>
        <v>1.1218737998245681E-3</v>
      </c>
      <c r="N30" s="710">
        <f t="shared" si="16"/>
        <v>1.2891857705150252E-3</v>
      </c>
      <c r="O30" s="710">
        <f t="shared" si="16"/>
        <v>1.4574437703184118E-3</v>
      </c>
      <c r="P30" s="710">
        <f t="shared" si="16"/>
        <v>1.2419671387040388E-3</v>
      </c>
      <c r="Q30" s="710">
        <f t="shared" si="16"/>
        <v>1.4684396048311016E-3</v>
      </c>
      <c r="R30" s="710">
        <f t="shared" si="16"/>
        <v>9.5921086863546602E-4</v>
      </c>
      <c r="S30" s="710">
        <f t="shared" si="16"/>
        <v>1.0725657999581929E-3</v>
      </c>
      <c r="T30" s="710">
        <f t="shared" si="16"/>
        <v>1.1764845294377178E-3</v>
      </c>
      <c r="U30" s="710">
        <f t="shared" si="16"/>
        <v>1.3287962602263445E-3</v>
      </c>
      <c r="V30" s="710">
        <f t="shared" si="16"/>
        <v>7.9269582890742734E-4</v>
      </c>
      <c r="W30" s="710">
        <f t="shared" si="16"/>
        <v>0</v>
      </c>
      <c r="X30" s="710">
        <f t="shared" si="16"/>
        <v>7.4007830335184128E-4</v>
      </c>
      <c r="Y30" s="710">
        <f t="shared" si="16"/>
        <v>7.0738302217035411E-4</v>
      </c>
      <c r="Z30" s="710">
        <f t="shared" si="16"/>
        <v>8.0234115950314402E-4</v>
      </c>
      <c r="AA30" s="710">
        <f t="shared" si="16"/>
        <v>7.1933080869381386E-4</v>
      </c>
      <c r="AB30" s="710">
        <f t="shared" si="16"/>
        <v>7.4164409782466955E-4</v>
      </c>
      <c r="AC30" s="710">
        <f t="shared" si="16"/>
        <v>7.7316749378532367E-4</v>
      </c>
    </row>
    <row r="31" spans="1:29" s="459" customFormat="1">
      <c r="B31" s="459" t="s">
        <v>369</v>
      </c>
      <c r="C31" s="710">
        <f>C359/C$364</f>
        <v>0.51421690231633799</v>
      </c>
      <c r="D31" s="710">
        <f t="shared" si="13"/>
        <v>0.57696936147650701</v>
      </c>
      <c r="E31" s="710">
        <f t="shared" ref="E31:AC31" si="17">E359/E$364</f>
        <v>0.41519891685215071</v>
      </c>
      <c r="F31" s="710">
        <f t="shared" si="17"/>
        <v>0.53837411623785481</v>
      </c>
      <c r="G31" s="710">
        <f t="shared" si="17"/>
        <v>0.5273035898540861</v>
      </c>
      <c r="H31" s="710">
        <f t="shared" si="17"/>
        <v>0.54428190464659498</v>
      </c>
      <c r="I31" s="710">
        <f t="shared" si="17"/>
        <v>0.54724418926165252</v>
      </c>
      <c r="J31" s="710">
        <f t="shared" si="17"/>
        <v>0.50629481396736598</v>
      </c>
      <c r="K31" s="710">
        <f t="shared" si="17"/>
        <v>0.54969956239724382</v>
      </c>
      <c r="L31" s="710">
        <f t="shared" si="17"/>
        <v>0.54286879912927866</v>
      </c>
      <c r="M31" s="710">
        <f t="shared" si="17"/>
        <v>0.57050800443626981</v>
      </c>
      <c r="N31" s="710">
        <f t="shared" si="17"/>
        <v>0.57834017325166753</v>
      </c>
      <c r="O31" s="710">
        <f t="shared" si="17"/>
        <v>0.54807767476728875</v>
      </c>
      <c r="P31" s="710">
        <f t="shared" si="17"/>
        <v>0.57445550608131724</v>
      </c>
      <c r="Q31" s="710">
        <f t="shared" si="17"/>
        <v>0.54514159019281827</v>
      </c>
      <c r="R31" s="710">
        <f t="shared" si="17"/>
        <v>0.52942173322971142</v>
      </c>
      <c r="S31" s="710">
        <f t="shared" si="17"/>
        <v>0.54890743812317566</v>
      </c>
      <c r="T31" s="710">
        <f t="shared" si="17"/>
        <v>0.57655830557717536</v>
      </c>
      <c r="U31" s="710">
        <f t="shared" si="17"/>
        <v>0.56469028513375741</v>
      </c>
      <c r="V31" s="710">
        <f t="shared" si="17"/>
        <v>0.5314898835087899</v>
      </c>
      <c r="W31" s="710">
        <f t="shared" si="17"/>
        <v>0.5710449216561202</v>
      </c>
      <c r="X31" s="710">
        <f t="shared" si="17"/>
        <v>0.54463316447281129</v>
      </c>
      <c r="Y31" s="710">
        <f t="shared" si="17"/>
        <v>0.60580683229929833</v>
      </c>
      <c r="Z31" s="710">
        <f t="shared" si="17"/>
        <v>0.54575340066281097</v>
      </c>
      <c r="AA31" s="710">
        <f t="shared" si="17"/>
        <v>0.57130392959697351</v>
      </c>
      <c r="AB31" s="710">
        <f t="shared" si="17"/>
        <v>0.56067924597798535</v>
      </c>
      <c r="AC31" s="710">
        <f t="shared" si="17"/>
        <v>0.49285227418620653</v>
      </c>
    </row>
    <row r="32" spans="1:29" s="459" customFormat="1">
      <c r="A32" s="459" t="s">
        <v>326</v>
      </c>
      <c r="B32" s="459" t="s">
        <v>366</v>
      </c>
      <c r="C32" s="710">
        <f t="shared" si="13"/>
        <v>1.6399604421517593E-2</v>
      </c>
      <c r="D32" s="710">
        <f t="shared" si="13"/>
        <v>7.4490307781118984E-3</v>
      </c>
      <c r="E32" s="710">
        <f t="shared" ref="E32:AC32" si="18">E360/E$364</f>
        <v>3.2041705931306341E-2</v>
      </c>
      <c r="F32" s="710">
        <f t="shared" si="18"/>
        <v>1.4142087272297982E-2</v>
      </c>
      <c r="G32" s="710">
        <f t="shared" si="18"/>
        <v>7.8384539751406128E-3</v>
      </c>
      <c r="H32" s="710">
        <f t="shared" si="18"/>
        <v>9.942235039347571E-3</v>
      </c>
      <c r="I32" s="710">
        <f t="shared" si="18"/>
        <v>8.7941712391293846E-3</v>
      </c>
      <c r="J32" s="710">
        <f t="shared" si="18"/>
        <v>1.9167683727598969E-2</v>
      </c>
      <c r="K32" s="710">
        <f t="shared" si="18"/>
        <v>1.9563309645198885E-2</v>
      </c>
      <c r="L32" s="710">
        <f t="shared" si="18"/>
        <v>6.7513932047123726E-3</v>
      </c>
      <c r="M32" s="710">
        <f t="shared" si="18"/>
        <v>1.1912585101328303E-2</v>
      </c>
      <c r="N32" s="710">
        <f t="shared" si="18"/>
        <v>6.2742086519266488E-3</v>
      </c>
      <c r="O32" s="710">
        <f t="shared" si="18"/>
        <v>9.0275647633180547E-3</v>
      </c>
      <c r="P32" s="710">
        <f t="shared" si="18"/>
        <v>1.0257172186811273E-2</v>
      </c>
      <c r="Q32" s="710">
        <f t="shared" si="18"/>
        <v>1.2127565539618518E-2</v>
      </c>
      <c r="R32" s="710">
        <f t="shared" si="18"/>
        <v>1.0185353383353699E-2</v>
      </c>
      <c r="S32" s="710">
        <f t="shared" si="18"/>
        <v>1.2812635692286438E-2</v>
      </c>
      <c r="T32" s="710">
        <f t="shared" si="18"/>
        <v>5.2051948265462115E-3</v>
      </c>
      <c r="U32" s="710">
        <f t="shared" si="18"/>
        <v>8.6226466174633056E-3</v>
      </c>
      <c r="V32" s="710">
        <f t="shared" si="18"/>
        <v>1.3327262086971724E-2</v>
      </c>
      <c r="W32" s="710">
        <f t="shared" si="18"/>
        <v>8.2106842864435349E-3</v>
      </c>
      <c r="X32" s="710">
        <f t="shared" si="18"/>
        <v>7.2036254203120672E-3</v>
      </c>
      <c r="Y32" s="710">
        <f t="shared" si="18"/>
        <v>6.2594387860714779E-3</v>
      </c>
      <c r="Z32" s="710">
        <f t="shared" si="18"/>
        <v>8.5196368293601697E-3</v>
      </c>
      <c r="AA32" s="710">
        <f t="shared" si="18"/>
        <v>8.9112260712667282E-3</v>
      </c>
      <c r="AB32" s="710">
        <f t="shared" si="18"/>
        <v>9.8439085033626087E-3</v>
      </c>
      <c r="AC32" s="710">
        <f t="shared" si="18"/>
        <v>4.1049285439853662E-3</v>
      </c>
    </row>
    <row r="33" spans="1:29" s="459" customFormat="1">
      <c r="B33" s="459" t="s">
        <v>617</v>
      </c>
      <c r="C33" s="710">
        <f t="shared" si="13"/>
        <v>8.2740995898888392E-2</v>
      </c>
      <c r="D33" s="710">
        <f t="shared" si="13"/>
        <v>7.0110938367526743E-2</v>
      </c>
      <c r="E33" s="710">
        <f t="shared" ref="E33:AC33" si="19">E361/E$364</f>
        <v>0.1139689510378053</v>
      </c>
      <c r="F33" s="710">
        <f t="shared" si="19"/>
        <v>8.0814709118386313E-2</v>
      </c>
      <c r="G33" s="710">
        <f t="shared" si="19"/>
        <v>0.11271367561275741</v>
      </c>
      <c r="H33" s="710">
        <f t="shared" si="19"/>
        <v>6.4984165282223824E-2</v>
      </c>
      <c r="I33" s="710">
        <f t="shared" si="19"/>
        <v>7.7598299711661989E-2</v>
      </c>
      <c r="J33" s="710">
        <f t="shared" si="19"/>
        <v>7.216317572067088E-2</v>
      </c>
      <c r="K33" s="710">
        <f t="shared" si="19"/>
        <v>6.0281180381109148E-2</v>
      </c>
      <c r="L33" s="710">
        <f t="shared" si="19"/>
        <v>9.2669371156921962E-2</v>
      </c>
      <c r="M33" s="710">
        <f t="shared" si="19"/>
        <v>5.839703518119168E-2</v>
      </c>
      <c r="N33" s="710">
        <f t="shared" si="19"/>
        <v>6.7106145813932178E-2</v>
      </c>
      <c r="O33" s="710">
        <f t="shared" si="19"/>
        <v>6.8278050195023532E-2</v>
      </c>
      <c r="P33" s="710">
        <f t="shared" si="19"/>
        <v>6.0338383982093263E-2</v>
      </c>
      <c r="Q33" s="710">
        <f t="shared" si="19"/>
        <v>5.9111177723493433E-2</v>
      </c>
      <c r="R33" s="710">
        <f t="shared" si="19"/>
        <v>0.11983181177914175</v>
      </c>
      <c r="S33" s="710">
        <f t="shared" si="19"/>
        <v>6.1413439765244195E-2</v>
      </c>
      <c r="T33" s="710">
        <f t="shared" si="19"/>
        <v>7.9611602487177441E-2</v>
      </c>
      <c r="U33" s="710">
        <f t="shared" si="19"/>
        <v>5.5334396413720018E-2</v>
      </c>
      <c r="V33" s="710">
        <f t="shared" si="19"/>
        <v>8.6650816743783748E-2</v>
      </c>
      <c r="W33" s="710">
        <f t="shared" si="19"/>
        <v>6.4399740618333048E-2</v>
      </c>
      <c r="X33" s="710">
        <f t="shared" si="19"/>
        <v>0.10016080657514609</v>
      </c>
      <c r="Y33" s="710">
        <f t="shared" si="19"/>
        <v>5.8914393028833764E-2</v>
      </c>
      <c r="Z33" s="710">
        <f t="shared" si="19"/>
        <v>6.6822981231792783E-2</v>
      </c>
      <c r="AA33" s="710">
        <f t="shared" si="19"/>
        <v>2.5041208932371696E-2</v>
      </c>
      <c r="AB33" s="710">
        <f t="shared" si="19"/>
        <v>4.2495898501573662E-3</v>
      </c>
      <c r="AC33" s="710">
        <f t="shared" si="19"/>
        <v>0.16098313140959611</v>
      </c>
    </row>
    <row r="34" spans="1:29" s="459" customFormat="1">
      <c r="B34" s="459" t="s">
        <v>604</v>
      </c>
      <c r="C34" s="710">
        <f t="shared" si="13"/>
        <v>7.6968954610109105E-3</v>
      </c>
      <c r="D34" s="710">
        <f t="shared" si="13"/>
        <v>0</v>
      </c>
      <c r="E34" s="710">
        <f t="shared" ref="E34:AC34" si="20">E362/E$364</f>
        <v>2.9377083408890298E-2</v>
      </c>
      <c r="F34" s="710">
        <f t="shared" si="20"/>
        <v>0</v>
      </c>
      <c r="G34" s="710">
        <f t="shared" si="20"/>
        <v>0</v>
      </c>
      <c r="H34" s="710">
        <f t="shared" si="20"/>
        <v>0</v>
      </c>
      <c r="I34" s="710">
        <f t="shared" si="20"/>
        <v>0</v>
      </c>
      <c r="J34" s="710">
        <f t="shared" si="20"/>
        <v>0</v>
      </c>
      <c r="K34" s="710">
        <f t="shared" si="20"/>
        <v>0</v>
      </c>
      <c r="L34" s="710">
        <f t="shared" si="20"/>
        <v>0</v>
      </c>
      <c r="M34" s="710">
        <f t="shared" si="20"/>
        <v>0</v>
      </c>
      <c r="N34" s="710">
        <f t="shared" si="20"/>
        <v>0</v>
      </c>
      <c r="O34" s="710">
        <f t="shared" si="20"/>
        <v>0</v>
      </c>
      <c r="P34" s="710">
        <f t="shared" si="20"/>
        <v>0</v>
      </c>
      <c r="Q34" s="710">
        <f t="shared" si="20"/>
        <v>0</v>
      </c>
      <c r="R34" s="710">
        <f t="shared" si="20"/>
        <v>0</v>
      </c>
      <c r="S34" s="710">
        <f t="shared" si="20"/>
        <v>0</v>
      </c>
      <c r="T34" s="710">
        <f t="shared" si="20"/>
        <v>0</v>
      </c>
      <c r="U34" s="710">
        <f t="shared" si="20"/>
        <v>0</v>
      </c>
      <c r="V34" s="710">
        <f t="shared" si="20"/>
        <v>0</v>
      </c>
      <c r="W34" s="710">
        <f t="shared" si="20"/>
        <v>0</v>
      </c>
      <c r="X34" s="710">
        <f t="shared" si="20"/>
        <v>0</v>
      </c>
      <c r="Y34" s="710">
        <f t="shared" si="20"/>
        <v>0</v>
      </c>
      <c r="Z34" s="710">
        <f t="shared" si="20"/>
        <v>0</v>
      </c>
      <c r="AA34" s="710">
        <f t="shared" si="20"/>
        <v>0</v>
      </c>
      <c r="AB34" s="710">
        <f t="shared" si="20"/>
        <v>0</v>
      </c>
      <c r="AC34" s="710">
        <f t="shared" si="20"/>
        <v>0</v>
      </c>
    </row>
    <row r="35" spans="1:29" s="459" customFormat="1">
      <c r="B35" s="459" t="s">
        <v>368</v>
      </c>
      <c r="C35" s="710">
        <v>0</v>
      </c>
      <c r="D35" s="710">
        <v>0</v>
      </c>
      <c r="E35" s="710">
        <v>0</v>
      </c>
      <c r="F35" s="710">
        <v>0</v>
      </c>
      <c r="G35" s="710">
        <v>0</v>
      </c>
      <c r="H35" s="710">
        <v>0</v>
      </c>
      <c r="I35" s="710">
        <v>0</v>
      </c>
      <c r="J35" s="710">
        <v>0</v>
      </c>
      <c r="K35" s="710">
        <v>0</v>
      </c>
      <c r="L35" s="710">
        <v>0</v>
      </c>
      <c r="M35" s="710">
        <v>0</v>
      </c>
      <c r="N35" s="710">
        <v>0</v>
      </c>
      <c r="O35" s="710">
        <v>0</v>
      </c>
      <c r="P35" s="710">
        <v>0</v>
      </c>
      <c r="Q35" s="710">
        <v>0</v>
      </c>
      <c r="R35" s="710">
        <v>0</v>
      </c>
      <c r="S35" s="710">
        <v>0</v>
      </c>
      <c r="T35" s="710">
        <v>0</v>
      </c>
      <c r="U35" s="710">
        <v>0</v>
      </c>
      <c r="V35" s="710">
        <v>0</v>
      </c>
      <c r="W35" s="710">
        <v>0</v>
      </c>
      <c r="X35" s="710">
        <v>0</v>
      </c>
      <c r="Y35" s="710">
        <v>0</v>
      </c>
      <c r="Z35" s="710">
        <v>0</v>
      </c>
      <c r="AA35" s="710">
        <v>0</v>
      </c>
      <c r="AB35" s="710">
        <v>0</v>
      </c>
      <c r="AC35" s="710">
        <v>0</v>
      </c>
    </row>
    <row r="36" spans="1:29" s="459" customFormat="1">
      <c r="A36" s="458"/>
      <c r="B36" s="677" t="s">
        <v>16</v>
      </c>
      <c r="C36" s="399">
        <f>SUM(C28:C35)</f>
        <v>1.0000000000000002</v>
      </c>
      <c r="D36" s="399">
        <f>SUM(D28:D35)</f>
        <v>0.99999999999999978</v>
      </c>
      <c r="E36" s="399">
        <f t="shared" ref="E36:AC36" si="21">SUM(E28:E35)</f>
        <v>0.99999999999999989</v>
      </c>
      <c r="F36" s="399">
        <f t="shared" si="21"/>
        <v>0.99999999999999989</v>
      </c>
      <c r="G36" s="399">
        <f t="shared" si="21"/>
        <v>1</v>
      </c>
      <c r="H36" s="399">
        <f t="shared" si="21"/>
        <v>1</v>
      </c>
      <c r="I36" s="399">
        <f t="shared" si="21"/>
        <v>0.99999999999999989</v>
      </c>
      <c r="J36" s="399">
        <f t="shared" si="21"/>
        <v>1</v>
      </c>
      <c r="K36" s="399">
        <f t="shared" si="21"/>
        <v>1</v>
      </c>
      <c r="L36" s="399">
        <f t="shared" si="21"/>
        <v>0.99999999999999989</v>
      </c>
      <c r="M36" s="399">
        <f t="shared" si="21"/>
        <v>1.0000000000000002</v>
      </c>
      <c r="N36" s="399">
        <f t="shared" si="21"/>
        <v>0.99999999999999989</v>
      </c>
      <c r="O36" s="399">
        <f t="shared" si="21"/>
        <v>1</v>
      </c>
      <c r="P36" s="399">
        <f t="shared" si="21"/>
        <v>1.0000000000000002</v>
      </c>
      <c r="Q36" s="399">
        <f t="shared" si="21"/>
        <v>0.99999999999999989</v>
      </c>
      <c r="R36" s="399">
        <f t="shared" si="21"/>
        <v>1</v>
      </c>
      <c r="S36" s="399">
        <f t="shared" si="21"/>
        <v>1</v>
      </c>
      <c r="T36" s="399">
        <f t="shared" si="21"/>
        <v>1</v>
      </c>
      <c r="U36" s="399">
        <f t="shared" si="21"/>
        <v>1</v>
      </c>
      <c r="V36" s="399">
        <f t="shared" si="21"/>
        <v>1.0000000000000002</v>
      </c>
      <c r="W36" s="399">
        <f t="shared" si="21"/>
        <v>1</v>
      </c>
      <c r="X36" s="399">
        <f t="shared" si="21"/>
        <v>1</v>
      </c>
      <c r="Y36" s="399">
        <f t="shared" si="21"/>
        <v>0.99999999999999989</v>
      </c>
      <c r="Z36" s="399">
        <f t="shared" si="21"/>
        <v>1</v>
      </c>
      <c r="AA36" s="399">
        <f t="shared" si="21"/>
        <v>1</v>
      </c>
      <c r="AB36" s="399">
        <f t="shared" si="21"/>
        <v>1.0000000000000002</v>
      </c>
      <c r="AC36" s="399">
        <f t="shared" si="21"/>
        <v>0.99999999999999989</v>
      </c>
    </row>
    <row r="37" spans="1:29" s="459" customForma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row>
    <row r="38" spans="1:29" s="459" customForma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row>
    <row r="39" spans="1:29" s="459" customForma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row>
    <row r="40" spans="1:29" s="459" customFormat="1" ht="15.6">
      <c r="A40" s="401" t="s">
        <v>1046</v>
      </c>
      <c r="B40" s="401"/>
      <c r="C40" s="401"/>
      <c r="D40" s="1"/>
      <c r="E40" s="1"/>
      <c r="F40" s="1"/>
      <c r="G40" s="1"/>
      <c r="H40" s="1"/>
      <c r="I40" s="1"/>
      <c r="J40" s="1"/>
      <c r="K40" s="1"/>
      <c r="L40" s="1"/>
      <c r="M40" s="1"/>
      <c r="N40" s="1"/>
      <c r="O40" s="1"/>
      <c r="P40" s="1"/>
      <c r="Q40" s="1"/>
      <c r="R40" s="1"/>
      <c r="S40" s="1"/>
      <c r="T40" s="1"/>
      <c r="U40" s="1"/>
      <c r="V40" s="1"/>
      <c r="W40" s="1"/>
      <c r="X40" s="1"/>
      <c r="Y40" s="1"/>
      <c r="Z40" s="1"/>
      <c r="AA40" s="1"/>
      <c r="AB40" s="1"/>
      <c r="AC40" s="1"/>
    </row>
    <row r="41" spans="1:29" s="459" customFormat="1">
      <c r="A41" s="132" t="s">
        <v>360</v>
      </c>
      <c r="B41" s="132" t="s">
        <v>361</v>
      </c>
      <c r="C41" s="722" t="str">
        <f>Regions!C3</f>
        <v>IE</v>
      </c>
      <c r="D41" s="722" t="str">
        <f>Regions!E3</f>
        <v>IE-CW</v>
      </c>
      <c r="E41" s="722" t="str">
        <f>Regions!F3</f>
        <v>IE-D</v>
      </c>
      <c r="F41" s="722" t="str">
        <f>Regions!G3</f>
        <v>IE-KE</v>
      </c>
      <c r="G41" s="722" t="str">
        <f>Regions!H3</f>
        <v>IE-KK</v>
      </c>
      <c r="H41" s="722" t="str">
        <f>Regions!I3</f>
        <v>IE-LS</v>
      </c>
      <c r="I41" s="722" t="str">
        <f>Regions!J3</f>
        <v>IE-LD</v>
      </c>
      <c r="J41" s="722" t="str">
        <f>Regions!K3</f>
        <v>IE-LH</v>
      </c>
      <c r="K41" s="722" t="str">
        <f>Regions!L3</f>
        <v>IE-MH</v>
      </c>
      <c r="L41" s="722" t="str">
        <f>Regions!M3</f>
        <v>IE-OY</v>
      </c>
      <c r="M41" s="722" t="str">
        <f>Regions!N3</f>
        <v>IE-WH</v>
      </c>
      <c r="N41" s="722" t="str">
        <f>Regions!O3</f>
        <v>IE-WX</v>
      </c>
      <c r="O41" s="722" t="str">
        <f>Regions!P3</f>
        <v>IE-WW</v>
      </c>
      <c r="P41" s="722" t="str">
        <f>Regions!Q3</f>
        <v>IE-CE</v>
      </c>
      <c r="Q41" s="722" t="str">
        <f>Regions!R3</f>
        <v>IE-CO</v>
      </c>
      <c r="R41" s="722" t="str">
        <f>Regions!S3</f>
        <v>IE-KY</v>
      </c>
      <c r="S41" s="722" t="str">
        <f>Regions!T3</f>
        <v>IE-LK</v>
      </c>
      <c r="T41" s="722" t="str">
        <f>Regions!U3</f>
        <v>IE-TA</v>
      </c>
      <c r="U41" s="722" t="str">
        <f>Regions!V3</f>
        <v>IE-WD</v>
      </c>
      <c r="V41" s="722" t="str">
        <f>Regions!W3</f>
        <v>IE-G</v>
      </c>
      <c r="W41" s="722" t="str">
        <f>Regions!X3</f>
        <v>IE-LM</v>
      </c>
      <c r="X41" s="722" t="str">
        <f>Regions!Y3</f>
        <v>IE-MO</v>
      </c>
      <c r="Y41" s="722" t="str">
        <f>Regions!Z3</f>
        <v>IE-RN</v>
      </c>
      <c r="Z41" s="722" t="str">
        <f>Regions!AA3</f>
        <v>IE-SO</v>
      </c>
      <c r="AA41" s="722" t="str">
        <f>Regions!AB3</f>
        <v>IE-CN</v>
      </c>
      <c r="AB41" s="722" t="str">
        <f>Regions!AC3</f>
        <v>IE-DL</v>
      </c>
      <c r="AC41" s="722" t="str">
        <f>Regions!AD3</f>
        <v>IE-MN</v>
      </c>
    </row>
    <row r="42" spans="1:29" s="459" customFormat="1">
      <c r="A42" s="459" t="s">
        <v>367</v>
      </c>
      <c r="B42" s="459" t="s">
        <v>362</v>
      </c>
      <c r="C42" s="710">
        <f>C370/C$378</f>
        <v>0</v>
      </c>
      <c r="D42" s="710">
        <f t="shared" ref="D42:AC49" si="22">D370/D$378</f>
        <v>0</v>
      </c>
      <c r="E42" s="710">
        <f t="shared" si="22"/>
        <v>0</v>
      </c>
      <c r="F42" s="710">
        <f t="shared" si="22"/>
        <v>0</v>
      </c>
      <c r="G42" s="710">
        <f t="shared" si="22"/>
        <v>0</v>
      </c>
      <c r="H42" s="710">
        <f t="shared" si="22"/>
        <v>0</v>
      </c>
      <c r="I42" s="710">
        <f t="shared" si="22"/>
        <v>0</v>
      </c>
      <c r="J42" s="710">
        <f t="shared" si="22"/>
        <v>0</v>
      </c>
      <c r="K42" s="710">
        <f t="shared" si="22"/>
        <v>0</v>
      </c>
      <c r="L42" s="710">
        <f t="shared" si="22"/>
        <v>0</v>
      </c>
      <c r="M42" s="710">
        <f t="shared" si="22"/>
        <v>0</v>
      </c>
      <c r="N42" s="710">
        <f t="shared" si="22"/>
        <v>0</v>
      </c>
      <c r="O42" s="710">
        <f t="shared" si="22"/>
        <v>0</v>
      </c>
      <c r="P42" s="710">
        <f t="shared" si="22"/>
        <v>0</v>
      </c>
      <c r="Q42" s="710">
        <f t="shared" si="22"/>
        <v>0</v>
      </c>
      <c r="R42" s="710">
        <f t="shared" si="22"/>
        <v>0</v>
      </c>
      <c r="S42" s="710">
        <f t="shared" si="22"/>
        <v>0</v>
      </c>
      <c r="T42" s="710">
        <f t="shared" si="22"/>
        <v>0</v>
      </c>
      <c r="U42" s="710">
        <f t="shared" si="22"/>
        <v>0</v>
      </c>
      <c r="V42" s="710">
        <f t="shared" si="22"/>
        <v>0</v>
      </c>
      <c r="W42" s="710">
        <f t="shared" si="22"/>
        <v>0</v>
      </c>
      <c r="X42" s="710">
        <f t="shared" si="22"/>
        <v>0</v>
      </c>
      <c r="Y42" s="710">
        <f t="shared" si="22"/>
        <v>0</v>
      </c>
      <c r="Z42" s="710">
        <f t="shared" si="22"/>
        <v>0</v>
      </c>
      <c r="AA42" s="710">
        <f t="shared" si="22"/>
        <v>0</v>
      </c>
      <c r="AB42" s="710">
        <f t="shared" si="22"/>
        <v>0</v>
      </c>
      <c r="AC42" s="710">
        <f t="shared" si="22"/>
        <v>0</v>
      </c>
    </row>
    <row r="43" spans="1:29" s="459" customFormat="1">
      <c r="B43" s="459" t="s">
        <v>363</v>
      </c>
      <c r="C43" s="710">
        <f t="shared" ref="C43:R49" si="23">C371/C$378</f>
        <v>0</v>
      </c>
      <c r="D43" s="710">
        <f t="shared" si="23"/>
        <v>0</v>
      </c>
      <c r="E43" s="710">
        <f t="shared" si="23"/>
        <v>0</v>
      </c>
      <c r="F43" s="710">
        <f t="shared" si="23"/>
        <v>0</v>
      </c>
      <c r="G43" s="710">
        <f t="shared" si="23"/>
        <v>0</v>
      </c>
      <c r="H43" s="710">
        <f t="shared" si="23"/>
        <v>0</v>
      </c>
      <c r="I43" s="710">
        <f t="shared" si="23"/>
        <v>0</v>
      </c>
      <c r="J43" s="710">
        <f t="shared" si="23"/>
        <v>0</v>
      </c>
      <c r="K43" s="710">
        <f t="shared" si="23"/>
        <v>0</v>
      </c>
      <c r="L43" s="710">
        <f t="shared" si="23"/>
        <v>0</v>
      </c>
      <c r="M43" s="710">
        <f t="shared" si="23"/>
        <v>0</v>
      </c>
      <c r="N43" s="710">
        <f t="shared" si="23"/>
        <v>0</v>
      </c>
      <c r="O43" s="710">
        <f t="shared" si="23"/>
        <v>0</v>
      </c>
      <c r="P43" s="710">
        <f t="shared" si="23"/>
        <v>0</v>
      </c>
      <c r="Q43" s="710">
        <f t="shared" si="23"/>
        <v>0</v>
      </c>
      <c r="R43" s="710">
        <f t="shared" si="23"/>
        <v>0</v>
      </c>
      <c r="S43" s="710">
        <f t="shared" si="22"/>
        <v>0</v>
      </c>
      <c r="T43" s="710">
        <f t="shared" si="22"/>
        <v>0</v>
      </c>
      <c r="U43" s="710">
        <f t="shared" si="22"/>
        <v>0</v>
      </c>
      <c r="V43" s="710">
        <f t="shared" si="22"/>
        <v>0</v>
      </c>
      <c r="W43" s="710">
        <f t="shared" si="22"/>
        <v>0</v>
      </c>
      <c r="X43" s="710">
        <f t="shared" si="22"/>
        <v>0</v>
      </c>
      <c r="Y43" s="710">
        <f t="shared" si="22"/>
        <v>0</v>
      </c>
      <c r="Z43" s="710">
        <f t="shared" si="22"/>
        <v>0</v>
      </c>
      <c r="AA43" s="710">
        <f t="shared" si="22"/>
        <v>0</v>
      </c>
      <c r="AB43" s="710">
        <f t="shared" si="22"/>
        <v>0</v>
      </c>
      <c r="AC43" s="710">
        <f t="shared" si="22"/>
        <v>0</v>
      </c>
    </row>
    <row r="44" spans="1:29" s="459" customFormat="1">
      <c r="A44" s="459" t="s">
        <v>364</v>
      </c>
      <c r="B44" s="459" t="s">
        <v>370</v>
      </c>
      <c r="C44" s="715">
        <f t="shared" si="23"/>
        <v>3.2739468688573266E-3</v>
      </c>
      <c r="D44" s="710">
        <f t="shared" si="22"/>
        <v>2.1586268841599747E-3</v>
      </c>
      <c r="E44" s="710">
        <f t="shared" si="22"/>
        <v>4.3137182635283444E-3</v>
      </c>
      <c r="F44" s="710">
        <f t="shared" si="22"/>
        <v>3.6319751739066989E-3</v>
      </c>
      <c r="G44" s="710">
        <f t="shared" si="22"/>
        <v>2.5491869155235955E-3</v>
      </c>
      <c r="H44" s="710">
        <f t="shared" si="22"/>
        <v>1.6941154698507114E-3</v>
      </c>
      <c r="I44" s="710">
        <f t="shared" si="22"/>
        <v>3.2883004760979389E-3</v>
      </c>
      <c r="J44" s="710">
        <f t="shared" si="22"/>
        <v>2.4416088687366478E-3</v>
      </c>
      <c r="K44" s="710">
        <f t="shared" si="22"/>
        <v>3.5159102982178412E-3</v>
      </c>
      <c r="L44" s="710">
        <f t="shared" si="22"/>
        <v>3.3185344885490013E-3</v>
      </c>
      <c r="M44" s="710">
        <f t="shared" si="22"/>
        <v>2.939754742265497E-3</v>
      </c>
      <c r="N44" s="710">
        <f t="shared" si="22"/>
        <v>3.3151523856669103E-3</v>
      </c>
      <c r="O44" s="710">
        <f t="shared" si="22"/>
        <v>3.906666915379246E-3</v>
      </c>
      <c r="P44" s="710">
        <f t="shared" si="22"/>
        <v>3.2306073901205486E-3</v>
      </c>
      <c r="Q44" s="710">
        <f t="shared" si="22"/>
        <v>3.9969766503394092E-3</v>
      </c>
      <c r="R44" s="710">
        <f t="shared" si="22"/>
        <v>2.4423953155841079E-3</v>
      </c>
      <c r="S44" s="710">
        <f t="shared" si="22"/>
        <v>2.8914591982090753E-3</v>
      </c>
      <c r="T44" s="710">
        <f t="shared" si="22"/>
        <v>2.9812499263931389E-3</v>
      </c>
      <c r="U44" s="710">
        <f t="shared" si="22"/>
        <v>3.5441732524901714E-3</v>
      </c>
      <c r="V44" s="710">
        <f t="shared" si="22"/>
        <v>2.1106258862285242E-3</v>
      </c>
      <c r="W44" s="710">
        <f t="shared" si="22"/>
        <v>0</v>
      </c>
      <c r="X44" s="710">
        <f t="shared" si="22"/>
        <v>1.9054783663146626E-3</v>
      </c>
      <c r="Y44" s="710">
        <f t="shared" si="22"/>
        <v>1.7694736792673005E-3</v>
      </c>
      <c r="Z44" s="710">
        <f t="shared" si="22"/>
        <v>2.1690169741061518E-3</v>
      </c>
      <c r="AA44" s="710">
        <f t="shared" si="22"/>
        <v>1.996201699404686E-3</v>
      </c>
      <c r="AB44" s="710">
        <f t="shared" si="22"/>
        <v>2.1678265957034699E-3</v>
      </c>
      <c r="AC44" s="710">
        <f t="shared" si="22"/>
        <v>1.9708873200458749E-3</v>
      </c>
    </row>
    <row r="45" spans="1:29" s="459" customFormat="1">
      <c r="B45" s="459" t="s">
        <v>369</v>
      </c>
      <c r="C45" s="710">
        <f t="shared" si="23"/>
        <v>0.83405572391255312</v>
      </c>
      <c r="D45" s="710">
        <f t="shared" si="22"/>
        <v>0.88136996225712338</v>
      </c>
      <c r="E45" s="710">
        <f t="shared" si="22"/>
        <v>0.7240198055510555</v>
      </c>
      <c r="F45" s="710">
        <f t="shared" si="22"/>
        <v>0.85033097733510543</v>
      </c>
      <c r="G45" s="710">
        <f t="shared" si="22"/>
        <v>0.81358360125192186</v>
      </c>
      <c r="H45" s="710">
        <f t="shared" si="22"/>
        <v>0.88000079438796519</v>
      </c>
      <c r="I45" s="710">
        <f t="shared" si="22"/>
        <v>0.86292967512561713</v>
      </c>
      <c r="J45" s="710">
        <f t="shared" si="22"/>
        <v>0.84991917486050839</v>
      </c>
      <c r="K45" s="710">
        <f t="shared" si="22"/>
        <v>0.87489878054676506</v>
      </c>
      <c r="L45" s="710">
        <f t="shared" si="22"/>
        <v>0.84396948853578213</v>
      </c>
      <c r="M45" s="710">
        <f t="shared" si="22"/>
        <v>0.89058577172865516</v>
      </c>
      <c r="N45" s="710">
        <f t="shared" si="22"/>
        <v>0.88596847722847849</v>
      </c>
      <c r="O45" s="710">
        <f t="shared" si="22"/>
        <v>0.87519253516054751</v>
      </c>
      <c r="P45" s="710">
        <f t="shared" si="22"/>
        <v>0.89017909286971042</v>
      </c>
      <c r="Q45" s="710">
        <f t="shared" si="22"/>
        <v>0.88395825319439558</v>
      </c>
      <c r="R45" s="710">
        <f t="shared" si="22"/>
        <v>0.80306472393989703</v>
      </c>
      <c r="S45" s="710">
        <f t="shared" si="22"/>
        <v>0.88153417928289457</v>
      </c>
      <c r="T45" s="710">
        <f t="shared" si="22"/>
        <v>0.87036679499941227</v>
      </c>
      <c r="U45" s="710">
        <f t="shared" si="22"/>
        <v>0.89725064481847272</v>
      </c>
      <c r="V45" s="710">
        <f t="shared" si="22"/>
        <v>0.84303694258501916</v>
      </c>
      <c r="W45" s="710">
        <f t="shared" si="22"/>
        <v>0.88919219682824724</v>
      </c>
      <c r="X45" s="710">
        <f t="shared" si="22"/>
        <v>0.83536706688667051</v>
      </c>
      <c r="Y45" s="710">
        <f t="shared" si="22"/>
        <v>0.90275636290048633</v>
      </c>
      <c r="Z45" s="710">
        <f t="shared" si="22"/>
        <v>0.87891574758893642</v>
      </c>
      <c r="AA45" s="710">
        <f t="shared" si="22"/>
        <v>0.9444737396739924</v>
      </c>
      <c r="AB45" s="710">
        <f t="shared" si="22"/>
        <v>0.97631596747347482</v>
      </c>
      <c r="AC45" s="710">
        <f t="shared" si="22"/>
        <v>0.7484312106638259</v>
      </c>
    </row>
    <row r="46" spans="1:29" s="459" customFormat="1">
      <c r="A46" s="459" t="s">
        <v>326</v>
      </c>
      <c r="B46" s="459" t="s">
        <v>366</v>
      </c>
      <c r="C46" s="710">
        <f t="shared" si="23"/>
        <v>2.1905905312439161E-2</v>
      </c>
      <c r="D46" s="710">
        <f t="shared" si="22"/>
        <v>9.3709663140288998E-3</v>
      </c>
      <c r="E46" s="710">
        <f t="shared" si="22"/>
        <v>4.6013893098741668E-2</v>
      </c>
      <c r="F46" s="710">
        <f t="shared" si="22"/>
        <v>1.8394858695029128E-2</v>
      </c>
      <c r="G46" s="710">
        <f t="shared" si="22"/>
        <v>9.9598084318994508E-3</v>
      </c>
      <c r="H46" s="710">
        <f t="shared" si="22"/>
        <v>1.3237997918849932E-2</v>
      </c>
      <c r="I46" s="710">
        <f t="shared" si="22"/>
        <v>1.1420057155050359E-2</v>
      </c>
      <c r="J46" s="710">
        <f t="shared" si="22"/>
        <v>2.6498598054231513E-2</v>
      </c>
      <c r="K46" s="710">
        <f t="shared" si="22"/>
        <v>2.5642116158186581E-2</v>
      </c>
      <c r="L46" s="710">
        <f t="shared" si="22"/>
        <v>8.6437934593511252E-3</v>
      </c>
      <c r="M46" s="710">
        <f t="shared" si="22"/>
        <v>1.5314370184172183E-2</v>
      </c>
      <c r="N46" s="710">
        <f t="shared" si="22"/>
        <v>7.9154020817384443E-3</v>
      </c>
      <c r="O46" s="710">
        <f t="shared" si="22"/>
        <v>1.1871653704006174E-2</v>
      </c>
      <c r="P46" s="710">
        <f t="shared" si="22"/>
        <v>1.3089641552029165E-2</v>
      </c>
      <c r="Q46" s="710">
        <f t="shared" si="22"/>
        <v>1.6194784858342321E-2</v>
      </c>
      <c r="R46" s="710">
        <f t="shared" si="22"/>
        <v>1.272342398540301E-2</v>
      </c>
      <c r="S46" s="710">
        <f t="shared" si="22"/>
        <v>1.6945626580446856E-2</v>
      </c>
      <c r="T46" s="710">
        <f t="shared" si="22"/>
        <v>6.4710564013944778E-3</v>
      </c>
      <c r="U46" s="710">
        <f t="shared" si="22"/>
        <v>1.1282963024401618E-2</v>
      </c>
      <c r="V46" s="710">
        <f t="shared" si="22"/>
        <v>1.7408913059663488E-2</v>
      </c>
      <c r="W46" s="710">
        <f t="shared" si="22"/>
        <v>1.0528920260910977E-2</v>
      </c>
      <c r="X46" s="710">
        <f t="shared" si="22"/>
        <v>9.0992061135074936E-3</v>
      </c>
      <c r="Y46" s="710">
        <f t="shared" si="22"/>
        <v>7.6815860877352945E-3</v>
      </c>
      <c r="Z46" s="710">
        <f t="shared" si="22"/>
        <v>1.129928575321087E-2</v>
      </c>
      <c r="AA46" s="710">
        <f t="shared" si="22"/>
        <v>1.2132191360051241E-2</v>
      </c>
      <c r="AB46" s="710">
        <f t="shared" si="22"/>
        <v>1.4116355738962196E-2</v>
      </c>
      <c r="AC46" s="710">
        <f t="shared" si="22"/>
        <v>5.1335741680296381E-3</v>
      </c>
    </row>
    <row r="47" spans="1:29" s="459" customFormat="1">
      <c r="B47" s="459" t="s">
        <v>617</v>
      </c>
      <c r="C47" s="710">
        <f t="shared" si="23"/>
        <v>0.13420523697456904</v>
      </c>
      <c r="D47" s="710">
        <f t="shared" si="22"/>
        <v>0.10710044454468777</v>
      </c>
      <c r="E47" s="710">
        <f t="shared" si="22"/>
        <v>0.19873794082808949</v>
      </c>
      <c r="F47" s="710">
        <f t="shared" si="22"/>
        <v>0.12764218879595873</v>
      </c>
      <c r="G47" s="710">
        <f t="shared" si="22"/>
        <v>0.17390740340065505</v>
      </c>
      <c r="H47" s="710">
        <f t="shared" si="22"/>
        <v>0.10506709222333424</v>
      </c>
      <c r="I47" s="710">
        <f t="shared" si="22"/>
        <v>0.12236196724323453</v>
      </c>
      <c r="J47" s="710">
        <f t="shared" si="22"/>
        <v>0.12114061821652349</v>
      </c>
      <c r="K47" s="710">
        <f t="shared" si="22"/>
        <v>9.5943192996830379E-2</v>
      </c>
      <c r="L47" s="710">
        <f t="shared" si="22"/>
        <v>0.14406818351631784</v>
      </c>
      <c r="M47" s="710">
        <f t="shared" si="22"/>
        <v>9.1160103344907026E-2</v>
      </c>
      <c r="N47" s="710">
        <f t="shared" si="22"/>
        <v>0.10280096830411618</v>
      </c>
      <c r="O47" s="710">
        <f t="shared" si="22"/>
        <v>0.1090291442200671</v>
      </c>
      <c r="P47" s="710">
        <f t="shared" si="22"/>
        <v>9.3500658188139713E-2</v>
      </c>
      <c r="Q47" s="710">
        <f t="shared" si="22"/>
        <v>9.5849985296922749E-2</v>
      </c>
      <c r="R47" s="710">
        <f t="shared" si="22"/>
        <v>0.18176945675911579</v>
      </c>
      <c r="S47" s="710">
        <f t="shared" si="22"/>
        <v>9.8628734938449439E-2</v>
      </c>
      <c r="T47" s="710">
        <f t="shared" si="22"/>
        <v>0.1201808986728002</v>
      </c>
      <c r="U47" s="710">
        <f t="shared" si="22"/>
        <v>8.7922218904635543E-2</v>
      </c>
      <c r="V47" s="710">
        <f t="shared" si="22"/>
        <v>0.13744351846908884</v>
      </c>
      <c r="W47" s="710">
        <f t="shared" si="22"/>
        <v>0.10027888291084175</v>
      </c>
      <c r="X47" s="710">
        <f t="shared" si="22"/>
        <v>0.15362824863350735</v>
      </c>
      <c r="Y47" s="710">
        <f t="shared" si="22"/>
        <v>8.779257733251114E-2</v>
      </c>
      <c r="Z47" s="710">
        <f t="shared" si="22"/>
        <v>0.10761594968374652</v>
      </c>
      <c r="AA47" s="710">
        <f t="shared" si="22"/>
        <v>4.1397867266551647E-2</v>
      </c>
      <c r="AB47" s="710">
        <f t="shared" si="22"/>
        <v>7.3998501918595234E-3</v>
      </c>
      <c r="AC47" s="710">
        <f t="shared" si="22"/>
        <v>0.24446432784809863</v>
      </c>
    </row>
    <row r="48" spans="1:29" s="459" customFormat="1">
      <c r="B48" s="459" t="s">
        <v>604</v>
      </c>
      <c r="C48" s="710">
        <f t="shared" si="23"/>
        <v>6.559186931581344E-3</v>
      </c>
      <c r="D48" s="710">
        <f t="shared" si="22"/>
        <v>0</v>
      </c>
      <c r="E48" s="710">
        <f t="shared" si="22"/>
        <v>2.6914642258584892E-2</v>
      </c>
      <c r="F48" s="710">
        <f t="shared" si="22"/>
        <v>0</v>
      </c>
      <c r="G48" s="710">
        <f t="shared" si="22"/>
        <v>0</v>
      </c>
      <c r="H48" s="710">
        <f t="shared" si="22"/>
        <v>0</v>
      </c>
      <c r="I48" s="710">
        <f t="shared" si="22"/>
        <v>0</v>
      </c>
      <c r="J48" s="710">
        <f t="shared" si="22"/>
        <v>0</v>
      </c>
      <c r="K48" s="710">
        <f t="shared" si="22"/>
        <v>0</v>
      </c>
      <c r="L48" s="710">
        <f t="shared" si="22"/>
        <v>0</v>
      </c>
      <c r="M48" s="710">
        <f t="shared" si="22"/>
        <v>0</v>
      </c>
      <c r="N48" s="710">
        <f t="shared" si="22"/>
        <v>0</v>
      </c>
      <c r="O48" s="710">
        <f t="shared" si="22"/>
        <v>0</v>
      </c>
      <c r="P48" s="710">
        <f t="shared" si="22"/>
        <v>0</v>
      </c>
      <c r="Q48" s="710">
        <f t="shared" si="22"/>
        <v>0</v>
      </c>
      <c r="R48" s="710">
        <f t="shared" si="22"/>
        <v>0</v>
      </c>
      <c r="S48" s="710">
        <f t="shared" si="22"/>
        <v>0</v>
      </c>
      <c r="T48" s="710">
        <f t="shared" si="22"/>
        <v>0</v>
      </c>
      <c r="U48" s="710">
        <f t="shared" si="22"/>
        <v>0</v>
      </c>
      <c r="V48" s="710">
        <f t="shared" si="22"/>
        <v>0</v>
      </c>
      <c r="W48" s="710">
        <f t="shared" si="22"/>
        <v>0</v>
      </c>
      <c r="X48" s="710">
        <f t="shared" si="22"/>
        <v>0</v>
      </c>
      <c r="Y48" s="710">
        <f t="shared" si="22"/>
        <v>0</v>
      </c>
      <c r="Z48" s="710">
        <f t="shared" si="22"/>
        <v>0</v>
      </c>
      <c r="AA48" s="710">
        <f t="shared" si="22"/>
        <v>0</v>
      </c>
      <c r="AB48" s="710">
        <f t="shared" si="22"/>
        <v>0</v>
      </c>
      <c r="AC48" s="710">
        <f t="shared" si="22"/>
        <v>0</v>
      </c>
    </row>
    <row r="49" spans="1:29" s="459" customFormat="1">
      <c r="B49" s="459" t="s">
        <v>368</v>
      </c>
      <c r="C49" s="710">
        <f t="shared" si="23"/>
        <v>0</v>
      </c>
      <c r="D49" s="710">
        <f t="shared" si="22"/>
        <v>0</v>
      </c>
      <c r="E49" s="710">
        <f t="shared" si="22"/>
        <v>0</v>
      </c>
      <c r="F49" s="710">
        <f t="shared" si="22"/>
        <v>0</v>
      </c>
      <c r="G49" s="710">
        <f t="shared" si="22"/>
        <v>0</v>
      </c>
      <c r="H49" s="710">
        <f t="shared" si="22"/>
        <v>0</v>
      </c>
      <c r="I49" s="710">
        <f t="shared" si="22"/>
        <v>0</v>
      </c>
      <c r="J49" s="710">
        <f t="shared" si="22"/>
        <v>0</v>
      </c>
      <c r="K49" s="710">
        <f t="shared" si="22"/>
        <v>0</v>
      </c>
      <c r="L49" s="710">
        <f t="shared" si="22"/>
        <v>0</v>
      </c>
      <c r="M49" s="710">
        <f t="shared" si="22"/>
        <v>0</v>
      </c>
      <c r="N49" s="710">
        <f t="shared" si="22"/>
        <v>0</v>
      </c>
      <c r="O49" s="710">
        <f t="shared" si="22"/>
        <v>0</v>
      </c>
      <c r="P49" s="710">
        <f t="shared" si="22"/>
        <v>0</v>
      </c>
      <c r="Q49" s="710">
        <f t="shared" si="22"/>
        <v>0</v>
      </c>
      <c r="R49" s="710">
        <f t="shared" si="22"/>
        <v>0</v>
      </c>
      <c r="S49" s="710">
        <f t="shared" si="22"/>
        <v>0</v>
      </c>
      <c r="T49" s="710">
        <f t="shared" si="22"/>
        <v>0</v>
      </c>
      <c r="U49" s="710">
        <f t="shared" si="22"/>
        <v>0</v>
      </c>
      <c r="V49" s="710">
        <f t="shared" si="22"/>
        <v>0</v>
      </c>
      <c r="W49" s="710">
        <f t="shared" si="22"/>
        <v>0</v>
      </c>
      <c r="X49" s="710">
        <f t="shared" si="22"/>
        <v>0</v>
      </c>
      <c r="Y49" s="710">
        <f t="shared" si="22"/>
        <v>0</v>
      </c>
      <c r="Z49" s="710">
        <f t="shared" si="22"/>
        <v>0</v>
      </c>
      <c r="AA49" s="710">
        <f t="shared" si="22"/>
        <v>0</v>
      </c>
      <c r="AB49" s="710">
        <f t="shared" si="22"/>
        <v>0</v>
      </c>
      <c r="AC49" s="710">
        <f t="shared" si="22"/>
        <v>0</v>
      </c>
    </row>
    <row r="50" spans="1:29" s="459" customFormat="1">
      <c r="A50" s="458"/>
      <c r="B50" s="677" t="s">
        <v>16</v>
      </c>
      <c r="C50" s="399">
        <f>SUM(C42:C49)</f>
        <v>1</v>
      </c>
      <c r="D50" s="399">
        <f>SUM(D42:D49)</f>
        <v>1</v>
      </c>
      <c r="E50" s="399">
        <f t="shared" ref="E50" si="24">SUM(E42:E49)</f>
        <v>0.99999999999999989</v>
      </c>
      <c r="F50" s="399">
        <f t="shared" ref="F50" si="25">SUM(F42:F49)</f>
        <v>1</v>
      </c>
      <c r="G50" s="399">
        <f t="shared" ref="G50" si="26">SUM(G42:G49)</f>
        <v>1</v>
      </c>
      <c r="H50" s="399">
        <f t="shared" ref="H50" si="27">SUM(H42:H49)</f>
        <v>1.0000000000000002</v>
      </c>
      <c r="I50" s="399">
        <f t="shared" ref="I50" si="28">SUM(I42:I49)</f>
        <v>1</v>
      </c>
      <c r="J50" s="399">
        <f t="shared" ref="J50" si="29">SUM(J42:J49)</f>
        <v>1</v>
      </c>
      <c r="K50" s="399">
        <f t="shared" ref="K50" si="30">SUM(K42:K49)</f>
        <v>0.99999999999999989</v>
      </c>
      <c r="L50" s="399">
        <f t="shared" ref="L50" si="31">SUM(L42:L49)</f>
        <v>1.0000000000000002</v>
      </c>
      <c r="M50" s="399">
        <f t="shared" ref="M50" si="32">SUM(M42:M49)</f>
        <v>0.99999999999999978</v>
      </c>
      <c r="N50" s="399">
        <f t="shared" ref="N50" si="33">SUM(N42:N49)</f>
        <v>1</v>
      </c>
      <c r="O50" s="399">
        <f t="shared" ref="O50" si="34">SUM(O42:O49)</f>
        <v>1</v>
      </c>
      <c r="P50" s="399">
        <f t="shared" ref="P50" si="35">SUM(P42:P49)</f>
        <v>0.99999999999999989</v>
      </c>
      <c r="Q50" s="399">
        <f t="shared" ref="Q50" si="36">SUM(Q42:Q49)</f>
        <v>1</v>
      </c>
      <c r="R50" s="399">
        <f t="shared" ref="R50" si="37">SUM(R42:R49)</f>
        <v>1</v>
      </c>
      <c r="S50" s="399">
        <f t="shared" ref="S50" si="38">SUM(S42:S49)</f>
        <v>1</v>
      </c>
      <c r="T50" s="399">
        <f t="shared" ref="T50" si="39">SUM(T42:T49)</f>
        <v>1</v>
      </c>
      <c r="U50" s="399">
        <f t="shared" ref="U50" si="40">SUM(U42:U49)</f>
        <v>1</v>
      </c>
      <c r="V50" s="399">
        <f t="shared" ref="V50" si="41">SUM(V42:V49)</f>
        <v>1</v>
      </c>
      <c r="W50" s="399">
        <f t="shared" ref="W50" si="42">SUM(W42:W49)</f>
        <v>1</v>
      </c>
      <c r="X50" s="399">
        <f t="shared" ref="X50" si="43">SUM(X42:X49)</f>
        <v>1</v>
      </c>
      <c r="Y50" s="399">
        <f t="shared" ref="Y50" si="44">SUM(Y42:Y49)</f>
        <v>1</v>
      </c>
      <c r="Z50" s="399">
        <f t="shared" ref="Z50" si="45">SUM(Z42:Z49)</f>
        <v>0.99999999999999989</v>
      </c>
      <c r="AA50" s="399">
        <f t="shared" ref="AA50" si="46">SUM(AA42:AA49)</f>
        <v>1</v>
      </c>
      <c r="AB50" s="399">
        <f t="shared" ref="AB50" si="47">SUM(AB42:AB49)</f>
        <v>1</v>
      </c>
      <c r="AC50" s="399">
        <f t="shared" ref="AC50" si="48">SUM(AC42:AC49)</f>
        <v>1</v>
      </c>
    </row>
    <row r="51" spans="1:29" s="459" customForma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row>
    <row r="52" spans="1:29" s="459" customForma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row>
    <row r="53" spans="1:29" s="459" customForma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row>
    <row r="54" spans="1:29" s="459" customFormat="1" ht="15.6">
      <c r="A54" s="401" t="s">
        <v>1045</v>
      </c>
      <c r="B54" s="401"/>
      <c r="C54" s="401"/>
      <c r="D54" s="1"/>
      <c r="E54" s="1"/>
      <c r="F54" s="1"/>
      <c r="G54" s="1"/>
      <c r="H54" s="1"/>
      <c r="I54" s="1"/>
      <c r="J54" s="1"/>
      <c r="K54" s="1"/>
      <c r="L54" s="1"/>
      <c r="M54" s="1"/>
      <c r="N54" s="1"/>
      <c r="O54" s="1"/>
      <c r="P54" s="1"/>
      <c r="Q54" s="1"/>
      <c r="R54" s="1"/>
      <c r="S54" s="1"/>
      <c r="T54" s="1"/>
      <c r="U54" s="1"/>
      <c r="V54" s="1"/>
      <c r="W54" s="1"/>
      <c r="X54" s="1"/>
      <c r="Y54" s="1"/>
      <c r="Z54" s="1"/>
      <c r="AA54" s="1"/>
      <c r="AB54" s="1"/>
      <c r="AC54" s="1"/>
    </row>
    <row r="55" spans="1:29" s="459" customFormat="1">
      <c r="A55" s="132" t="s">
        <v>360</v>
      </c>
      <c r="B55" s="132" t="s">
        <v>361</v>
      </c>
      <c r="C55" s="722" t="str">
        <f>Regions!C3</f>
        <v>IE</v>
      </c>
      <c r="D55" s="722" t="str">
        <f>Regions!E3</f>
        <v>IE-CW</v>
      </c>
      <c r="E55" s="722" t="str">
        <f>Regions!F3</f>
        <v>IE-D</v>
      </c>
      <c r="F55" s="722" t="str">
        <f>Regions!G3</f>
        <v>IE-KE</v>
      </c>
      <c r="G55" s="722" t="str">
        <f>Regions!H3</f>
        <v>IE-KK</v>
      </c>
      <c r="H55" s="722" t="str">
        <f>Regions!I3</f>
        <v>IE-LS</v>
      </c>
      <c r="I55" s="722" t="str">
        <f>Regions!J3</f>
        <v>IE-LD</v>
      </c>
      <c r="J55" s="722" t="str">
        <f>Regions!K3</f>
        <v>IE-LH</v>
      </c>
      <c r="K55" s="722" t="str">
        <f>Regions!L3</f>
        <v>IE-MH</v>
      </c>
      <c r="L55" s="722" t="str">
        <f>Regions!M3</f>
        <v>IE-OY</v>
      </c>
      <c r="M55" s="722" t="str">
        <f>Regions!N3</f>
        <v>IE-WH</v>
      </c>
      <c r="N55" s="722" t="str">
        <f>Regions!O3</f>
        <v>IE-WX</v>
      </c>
      <c r="O55" s="722" t="str">
        <f>Regions!P3</f>
        <v>IE-WW</v>
      </c>
      <c r="P55" s="722" t="str">
        <f>Regions!Q3</f>
        <v>IE-CE</v>
      </c>
      <c r="Q55" s="722" t="str">
        <f>Regions!R3</f>
        <v>IE-CO</v>
      </c>
      <c r="R55" s="722" t="str">
        <f>Regions!S3</f>
        <v>IE-KY</v>
      </c>
      <c r="S55" s="722" t="str">
        <f>Regions!T3</f>
        <v>IE-LK</v>
      </c>
      <c r="T55" s="722" t="str">
        <f>Regions!U3</f>
        <v>IE-TA</v>
      </c>
      <c r="U55" s="722" t="str">
        <f>Regions!V3</f>
        <v>IE-WD</v>
      </c>
      <c r="V55" s="722" t="str">
        <f>Regions!W3</f>
        <v>IE-G</v>
      </c>
      <c r="W55" s="722" t="str">
        <f>Regions!X3</f>
        <v>IE-LM</v>
      </c>
      <c r="X55" s="722" t="str">
        <f>Regions!Y3</f>
        <v>IE-MO</v>
      </c>
      <c r="Y55" s="722" t="str">
        <f>Regions!Z3</f>
        <v>IE-RN</v>
      </c>
      <c r="Z55" s="722" t="str">
        <f>Regions!AA3</f>
        <v>IE-SO</v>
      </c>
      <c r="AA55" s="722" t="str">
        <f>Regions!AB3</f>
        <v>IE-CN</v>
      </c>
      <c r="AB55" s="722" t="str">
        <f>Regions!AC3</f>
        <v>IE-DL</v>
      </c>
      <c r="AC55" s="722" t="str">
        <f>Regions!AD3</f>
        <v>IE-MN</v>
      </c>
    </row>
    <row r="56" spans="1:29" s="459" customFormat="1">
      <c r="A56" s="459" t="s">
        <v>367</v>
      </c>
      <c r="B56" s="459" t="s">
        <v>362</v>
      </c>
      <c r="C56" s="710">
        <f>C384/C$392</f>
        <v>0</v>
      </c>
      <c r="D56" s="710">
        <f t="shared" ref="D56:AC63" si="49">D384/D$392</f>
        <v>0</v>
      </c>
      <c r="E56" s="710">
        <f t="shared" si="49"/>
        <v>0</v>
      </c>
      <c r="F56" s="710">
        <f t="shared" si="49"/>
        <v>0</v>
      </c>
      <c r="G56" s="710">
        <f t="shared" si="49"/>
        <v>0</v>
      </c>
      <c r="H56" s="710">
        <f t="shared" si="49"/>
        <v>0</v>
      </c>
      <c r="I56" s="710">
        <f t="shared" si="49"/>
        <v>0</v>
      </c>
      <c r="J56" s="710">
        <f t="shared" si="49"/>
        <v>0</v>
      </c>
      <c r="K56" s="710">
        <f t="shared" si="49"/>
        <v>0</v>
      </c>
      <c r="L56" s="710">
        <f t="shared" si="49"/>
        <v>0</v>
      </c>
      <c r="M56" s="710">
        <f t="shared" si="49"/>
        <v>0</v>
      </c>
      <c r="N56" s="710">
        <f t="shared" si="49"/>
        <v>0</v>
      </c>
      <c r="O56" s="710">
        <f t="shared" si="49"/>
        <v>0</v>
      </c>
      <c r="P56" s="710">
        <f t="shared" si="49"/>
        <v>0</v>
      </c>
      <c r="Q56" s="710">
        <f t="shared" si="49"/>
        <v>0</v>
      </c>
      <c r="R56" s="710">
        <f t="shared" si="49"/>
        <v>0</v>
      </c>
      <c r="S56" s="710">
        <f t="shared" si="49"/>
        <v>0</v>
      </c>
      <c r="T56" s="710">
        <f t="shared" si="49"/>
        <v>0</v>
      </c>
      <c r="U56" s="710">
        <f t="shared" si="49"/>
        <v>0</v>
      </c>
      <c r="V56" s="710">
        <f t="shared" si="49"/>
        <v>0</v>
      </c>
      <c r="W56" s="710">
        <f t="shared" si="49"/>
        <v>0</v>
      </c>
      <c r="X56" s="710">
        <f t="shared" si="49"/>
        <v>0</v>
      </c>
      <c r="Y56" s="710">
        <f t="shared" si="49"/>
        <v>0</v>
      </c>
      <c r="Z56" s="710">
        <f t="shared" si="49"/>
        <v>0</v>
      </c>
      <c r="AA56" s="710">
        <f t="shared" si="49"/>
        <v>0</v>
      </c>
      <c r="AB56" s="710">
        <f t="shared" si="49"/>
        <v>0</v>
      </c>
      <c r="AC56" s="710">
        <f t="shared" si="49"/>
        <v>0</v>
      </c>
    </row>
    <row r="57" spans="1:29" s="459" customFormat="1">
      <c r="B57" s="459" t="s">
        <v>363</v>
      </c>
      <c r="C57" s="710">
        <f t="shared" ref="C57:R63" si="50">C385/C$392</f>
        <v>0</v>
      </c>
      <c r="D57" s="710">
        <f t="shared" si="50"/>
        <v>0</v>
      </c>
      <c r="E57" s="710">
        <f t="shared" si="50"/>
        <v>0</v>
      </c>
      <c r="F57" s="710">
        <f t="shared" si="50"/>
        <v>0</v>
      </c>
      <c r="G57" s="710">
        <f t="shared" si="50"/>
        <v>0</v>
      </c>
      <c r="H57" s="710">
        <f t="shared" si="50"/>
        <v>0</v>
      </c>
      <c r="I57" s="710">
        <f t="shared" si="50"/>
        <v>0</v>
      </c>
      <c r="J57" s="710">
        <f t="shared" si="50"/>
        <v>0</v>
      </c>
      <c r="K57" s="710">
        <f t="shared" si="50"/>
        <v>0</v>
      </c>
      <c r="L57" s="710">
        <f t="shared" si="50"/>
        <v>0</v>
      </c>
      <c r="M57" s="710">
        <f t="shared" si="50"/>
        <v>0</v>
      </c>
      <c r="N57" s="710">
        <f t="shared" si="50"/>
        <v>0</v>
      </c>
      <c r="O57" s="710">
        <f t="shared" si="50"/>
        <v>0</v>
      </c>
      <c r="P57" s="710">
        <f t="shared" si="50"/>
        <v>0</v>
      </c>
      <c r="Q57" s="710">
        <f t="shared" si="50"/>
        <v>0</v>
      </c>
      <c r="R57" s="710">
        <f t="shared" si="50"/>
        <v>0</v>
      </c>
      <c r="S57" s="710">
        <f t="shared" si="49"/>
        <v>0</v>
      </c>
      <c r="T57" s="710">
        <f t="shared" si="49"/>
        <v>0</v>
      </c>
      <c r="U57" s="710">
        <f t="shared" si="49"/>
        <v>0</v>
      </c>
      <c r="V57" s="710">
        <f t="shared" si="49"/>
        <v>0</v>
      </c>
      <c r="W57" s="710">
        <f t="shared" si="49"/>
        <v>0</v>
      </c>
      <c r="X57" s="710">
        <f t="shared" si="49"/>
        <v>0</v>
      </c>
      <c r="Y57" s="710">
        <f t="shared" si="49"/>
        <v>0</v>
      </c>
      <c r="Z57" s="710">
        <f t="shared" si="49"/>
        <v>0</v>
      </c>
      <c r="AA57" s="710">
        <f t="shared" si="49"/>
        <v>0</v>
      </c>
      <c r="AB57" s="710">
        <f t="shared" si="49"/>
        <v>0</v>
      </c>
      <c r="AC57" s="710">
        <f t="shared" si="49"/>
        <v>0</v>
      </c>
    </row>
    <row r="58" spans="1:29" s="459" customFormat="1">
      <c r="A58" s="459" t="s">
        <v>364</v>
      </c>
      <c r="B58" s="459" t="s">
        <v>370</v>
      </c>
      <c r="C58" s="716">
        <f t="shared" si="50"/>
        <v>0</v>
      </c>
      <c r="D58" s="710">
        <f t="shared" si="49"/>
        <v>0</v>
      </c>
      <c r="E58" s="710">
        <f t="shared" si="49"/>
        <v>0</v>
      </c>
      <c r="F58" s="710">
        <f t="shared" si="49"/>
        <v>0</v>
      </c>
      <c r="G58" s="710">
        <f t="shared" si="49"/>
        <v>0</v>
      </c>
      <c r="H58" s="710">
        <f t="shared" si="49"/>
        <v>0</v>
      </c>
      <c r="I58" s="710">
        <f t="shared" si="49"/>
        <v>0</v>
      </c>
      <c r="J58" s="710">
        <f t="shared" si="49"/>
        <v>0</v>
      </c>
      <c r="K58" s="710">
        <f t="shared" si="49"/>
        <v>0</v>
      </c>
      <c r="L58" s="710">
        <f t="shared" si="49"/>
        <v>0</v>
      </c>
      <c r="M58" s="710">
        <f t="shared" si="49"/>
        <v>0</v>
      </c>
      <c r="N58" s="710">
        <f t="shared" si="49"/>
        <v>0</v>
      </c>
      <c r="O58" s="710">
        <f t="shared" si="49"/>
        <v>0</v>
      </c>
      <c r="P58" s="710">
        <f t="shared" si="49"/>
        <v>0</v>
      </c>
      <c r="Q58" s="710">
        <f t="shared" si="49"/>
        <v>0</v>
      </c>
      <c r="R58" s="710">
        <f t="shared" si="49"/>
        <v>0</v>
      </c>
      <c r="S58" s="710">
        <f t="shared" si="49"/>
        <v>0</v>
      </c>
      <c r="T58" s="710">
        <f t="shared" si="49"/>
        <v>0</v>
      </c>
      <c r="U58" s="710">
        <f t="shared" si="49"/>
        <v>0</v>
      </c>
      <c r="V58" s="710">
        <f t="shared" si="49"/>
        <v>0</v>
      </c>
      <c r="W58" s="710">
        <f t="shared" si="49"/>
        <v>0</v>
      </c>
      <c r="X58" s="710">
        <f t="shared" si="49"/>
        <v>0</v>
      </c>
      <c r="Y58" s="710">
        <f t="shared" si="49"/>
        <v>0</v>
      </c>
      <c r="Z58" s="710">
        <f t="shared" si="49"/>
        <v>0</v>
      </c>
      <c r="AA58" s="710">
        <f t="shared" si="49"/>
        <v>0</v>
      </c>
      <c r="AB58" s="710">
        <f t="shared" si="49"/>
        <v>0</v>
      </c>
      <c r="AC58" s="710">
        <f t="shared" si="49"/>
        <v>0</v>
      </c>
    </row>
    <row r="59" spans="1:29" s="459" customFormat="1">
      <c r="B59" s="459" t="s">
        <v>369</v>
      </c>
      <c r="C59" s="710">
        <f t="shared" si="50"/>
        <v>0.74108639947108168</v>
      </c>
      <c r="D59" s="710">
        <f t="shared" si="49"/>
        <v>0.79071880912169545</v>
      </c>
      <c r="E59" s="710">
        <f t="shared" si="49"/>
        <v>0.6386131571238467</v>
      </c>
      <c r="F59" s="710">
        <f t="shared" si="49"/>
        <v>0.75580744416441215</v>
      </c>
      <c r="G59" s="710">
        <f t="shared" si="49"/>
        <v>0.71320246300225565</v>
      </c>
      <c r="H59" s="710">
        <f t="shared" si="49"/>
        <v>0.78115676031065473</v>
      </c>
      <c r="I59" s="710">
        <f t="shared" si="49"/>
        <v>0.76642349622098382</v>
      </c>
      <c r="J59" s="710">
        <f t="shared" si="49"/>
        <v>0.74828496387185417</v>
      </c>
      <c r="K59" s="710">
        <f t="shared" si="49"/>
        <v>0.78640329755658556</v>
      </c>
      <c r="L59" s="710">
        <f t="shared" si="49"/>
        <v>0.74588309703681677</v>
      </c>
      <c r="M59" s="710">
        <f t="shared" si="49"/>
        <v>0.80172469534468704</v>
      </c>
      <c r="N59" s="710">
        <f t="shared" si="49"/>
        <v>0.79583426304303684</v>
      </c>
      <c r="O59" s="710">
        <f t="shared" si="49"/>
        <v>0.77907090765006382</v>
      </c>
      <c r="P59" s="710">
        <f t="shared" si="49"/>
        <v>0.80155723993574601</v>
      </c>
      <c r="Q59" s="710">
        <f t="shared" si="49"/>
        <v>0.78887154985237196</v>
      </c>
      <c r="R59" s="710">
        <f t="shared" si="49"/>
        <v>0.70533422841274862</v>
      </c>
      <c r="S59" s="710">
        <f t="shared" si="49"/>
        <v>0.78717070970762593</v>
      </c>
      <c r="T59" s="710">
        <f t="shared" si="49"/>
        <v>0.77916775606401434</v>
      </c>
      <c r="U59" s="710">
        <f t="shared" si="49"/>
        <v>0.80467495581567261</v>
      </c>
      <c r="V59" s="710">
        <f t="shared" si="49"/>
        <v>0.74505854970828844</v>
      </c>
      <c r="W59" s="710">
        <f t="shared" si="49"/>
        <v>0.79514890678426453</v>
      </c>
      <c r="X59" s="710">
        <f t="shared" si="49"/>
        <v>0.73736495113760858</v>
      </c>
      <c r="Y59" s="710">
        <f t="shared" si="49"/>
        <v>0.81853938082108479</v>
      </c>
      <c r="Z59" s="710">
        <f t="shared" si="49"/>
        <v>0.77998817627338324</v>
      </c>
      <c r="AA59" s="710">
        <f t="shared" si="49"/>
        <v>0.85154985463859412</v>
      </c>
      <c r="AB59" s="710">
        <f t="shared" si="49"/>
        <v>0.88006272796227247</v>
      </c>
      <c r="AC59" s="710">
        <f t="shared" si="49"/>
        <v>0.64231184378282558</v>
      </c>
    </row>
    <row r="60" spans="1:29" s="459" customFormat="1">
      <c r="A60" s="459" t="s">
        <v>326</v>
      </c>
      <c r="B60" s="459" t="s">
        <v>366</v>
      </c>
      <c r="C60" s="710">
        <f t="shared" si="50"/>
        <v>1.214216695359136E-2</v>
      </c>
      <c r="D60" s="710">
        <f t="shared" si="49"/>
        <v>5.244564356444866E-3</v>
      </c>
      <c r="E60" s="710">
        <f t="shared" si="49"/>
        <v>2.5318479036608464E-2</v>
      </c>
      <c r="F60" s="710">
        <f t="shared" si="49"/>
        <v>1.0199545943263343E-2</v>
      </c>
      <c r="G60" s="710">
        <f t="shared" si="49"/>
        <v>5.4465670112681473E-3</v>
      </c>
      <c r="H60" s="710">
        <f t="shared" si="49"/>
        <v>7.3305854058422536E-3</v>
      </c>
      <c r="I60" s="710">
        <f t="shared" si="49"/>
        <v>6.327365203104513E-3</v>
      </c>
      <c r="J60" s="710">
        <f t="shared" si="49"/>
        <v>1.4553702960433654E-2</v>
      </c>
      <c r="K60" s="710">
        <f t="shared" si="49"/>
        <v>1.4378136289327563E-2</v>
      </c>
      <c r="L60" s="710">
        <f t="shared" si="49"/>
        <v>4.7655125577413509E-3</v>
      </c>
      <c r="M60" s="710">
        <f t="shared" si="49"/>
        <v>8.6002260738130814E-3</v>
      </c>
      <c r="N60" s="710">
        <f t="shared" si="49"/>
        <v>4.4354589246647135E-3</v>
      </c>
      <c r="O60" s="710">
        <f t="shared" si="49"/>
        <v>6.592434448494537E-3</v>
      </c>
      <c r="P60" s="710">
        <f t="shared" si="49"/>
        <v>7.3526877521562662E-3</v>
      </c>
      <c r="Q60" s="710">
        <f t="shared" si="49"/>
        <v>9.0159384819168999E-3</v>
      </c>
      <c r="R60" s="710">
        <f t="shared" si="49"/>
        <v>6.9712334769449829E-3</v>
      </c>
      <c r="S60" s="710">
        <f t="shared" si="49"/>
        <v>9.4394919428535985E-3</v>
      </c>
      <c r="T60" s="710">
        <f t="shared" si="49"/>
        <v>3.6138078846859318E-3</v>
      </c>
      <c r="U60" s="710">
        <f t="shared" si="49"/>
        <v>6.3123502546919919E-3</v>
      </c>
      <c r="V60" s="710">
        <f t="shared" si="49"/>
        <v>9.5979099500525071E-3</v>
      </c>
      <c r="W60" s="710">
        <f t="shared" si="49"/>
        <v>5.8735122381989901E-3</v>
      </c>
      <c r="X60" s="710">
        <f t="shared" si="49"/>
        <v>5.0103707288089395E-3</v>
      </c>
      <c r="Y60" s="710">
        <f t="shared" si="49"/>
        <v>4.3449135578945168E-3</v>
      </c>
      <c r="Z60" s="710">
        <f t="shared" si="49"/>
        <v>6.2553697184935773E-3</v>
      </c>
      <c r="AA60" s="710">
        <f t="shared" si="49"/>
        <v>6.8237115745591239E-3</v>
      </c>
      <c r="AB60" s="710">
        <f t="shared" si="49"/>
        <v>7.9379260453763534E-3</v>
      </c>
      <c r="AC60" s="710">
        <f t="shared" si="49"/>
        <v>2.7483693665086213E-3</v>
      </c>
    </row>
    <row r="61" spans="1:29" s="459" customFormat="1">
      <c r="B61" s="459" t="s">
        <v>617</v>
      </c>
      <c r="C61" s="710">
        <f t="shared" si="50"/>
        <v>0.1626965950818042</v>
      </c>
      <c r="D61" s="710">
        <f t="shared" si="49"/>
        <v>0.13109626623170204</v>
      </c>
      <c r="E61" s="710">
        <f t="shared" si="49"/>
        <v>0.23916819504950479</v>
      </c>
      <c r="F61" s="710">
        <f t="shared" si="49"/>
        <v>0.15479346868381608</v>
      </c>
      <c r="G61" s="710">
        <f t="shared" si="49"/>
        <v>0.20800029152740038</v>
      </c>
      <c r="H61" s="710">
        <f t="shared" si="49"/>
        <v>0.12724978858051844</v>
      </c>
      <c r="I61" s="710">
        <f t="shared" si="49"/>
        <v>0.14827744084788594</v>
      </c>
      <c r="J61" s="710">
        <f t="shared" si="49"/>
        <v>0.14551722418000443</v>
      </c>
      <c r="K61" s="710">
        <f t="shared" si="49"/>
        <v>0.11766218454461841</v>
      </c>
      <c r="L61" s="710">
        <f t="shared" si="49"/>
        <v>0.17371900154534914</v>
      </c>
      <c r="M61" s="710">
        <f t="shared" si="49"/>
        <v>0.11196687123703571</v>
      </c>
      <c r="N61" s="710">
        <f t="shared" si="49"/>
        <v>0.12599020808803368</v>
      </c>
      <c r="O61" s="710">
        <f t="shared" si="49"/>
        <v>0.13241927644257739</v>
      </c>
      <c r="P61" s="710">
        <f t="shared" si="49"/>
        <v>0.11487011188674058</v>
      </c>
      <c r="Q61" s="710">
        <f t="shared" si="49"/>
        <v>0.11670831913312733</v>
      </c>
      <c r="R61" s="710">
        <f t="shared" si="49"/>
        <v>0.2178213998684824</v>
      </c>
      <c r="S61" s="710">
        <f t="shared" si="49"/>
        <v>0.12016236232976817</v>
      </c>
      <c r="T61" s="710">
        <f t="shared" si="49"/>
        <v>0.14679096653005977</v>
      </c>
      <c r="U61" s="710">
        <f t="shared" si="49"/>
        <v>0.10758223700696061</v>
      </c>
      <c r="V61" s="710">
        <f t="shared" si="49"/>
        <v>0.1657308225029282</v>
      </c>
      <c r="W61" s="710">
        <f t="shared" si="49"/>
        <v>0.12234818626194599</v>
      </c>
      <c r="X61" s="710">
        <f t="shared" si="49"/>
        <v>0.18501691930313938</v>
      </c>
      <c r="Y61" s="710">
        <f t="shared" si="49"/>
        <v>0.10860805699514527</v>
      </c>
      <c r="Z61" s="710">
        <f t="shared" si="49"/>
        <v>0.13030246782805119</v>
      </c>
      <c r="AA61" s="710">
        <f t="shared" si="49"/>
        <v>5.0925275195199252E-2</v>
      </c>
      <c r="AB61" s="710">
        <f t="shared" si="49"/>
        <v>9.1008381034736394E-3</v>
      </c>
      <c r="AC61" s="710">
        <f t="shared" si="49"/>
        <v>0.28624951607603277</v>
      </c>
    </row>
    <row r="62" spans="1:29" s="459" customFormat="1">
      <c r="B62" s="459" t="s">
        <v>604</v>
      </c>
      <c r="C62" s="710">
        <f t="shared" si="50"/>
        <v>0</v>
      </c>
      <c r="D62" s="710">
        <f t="shared" si="49"/>
        <v>0</v>
      </c>
      <c r="E62" s="710">
        <f t="shared" si="49"/>
        <v>0</v>
      </c>
      <c r="F62" s="710">
        <f t="shared" si="49"/>
        <v>0</v>
      </c>
      <c r="G62" s="710">
        <f t="shared" si="49"/>
        <v>0</v>
      </c>
      <c r="H62" s="710">
        <f t="shared" si="49"/>
        <v>0</v>
      </c>
      <c r="I62" s="710">
        <f t="shared" si="49"/>
        <v>0</v>
      </c>
      <c r="J62" s="710">
        <f t="shared" si="49"/>
        <v>0</v>
      </c>
      <c r="K62" s="710">
        <f t="shared" si="49"/>
        <v>0</v>
      </c>
      <c r="L62" s="710">
        <f t="shared" si="49"/>
        <v>0</v>
      </c>
      <c r="M62" s="710">
        <f t="shared" si="49"/>
        <v>0</v>
      </c>
      <c r="N62" s="710">
        <f t="shared" si="49"/>
        <v>0</v>
      </c>
      <c r="O62" s="710">
        <f t="shared" si="49"/>
        <v>0</v>
      </c>
      <c r="P62" s="710">
        <f t="shared" si="49"/>
        <v>0</v>
      </c>
      <c r="Q62" s="710">
        <f t="shared" si="49"/>
        <v>0</v>
      </c>
      <c r="R62" s="710">
        <f t="shared" si="49"/>
        <v>0</v>
      </c>
      <c r="S62" s="710">
        <f t="shared" si="49"/>
        <v>0</v>
      </c>
      <c r="T62" s="710">
        <f t="shared" si="49"/>
        <v>0</v>
      </c>
      <c r="U62" s="710">
        <f t="shared" si="49"/>
        <v>0</v>
      </c>
      <c r="V62" s="710">
        <f t="shared" si="49"/>
        <v>0</v>
      </c>
      <c r="W62" s="710">
        <f t="shared" si="49"/>
        <v>0</v>
      </c>
      <c r="X62" s="710">
        <f t="shared" si="49"/>
        <v>0</v>
      </c>
      <c r="Y62" s="710">
        <f t="shared" si="49"/>
        <v>0</v>
      </c>
      <c r="Z62" s="710">
        <f t="shared" si="49"/>
        <v>0</v>
      </c>
      <c r="AA62" s="710">
        <f t="shared" si="49"/>
        <v>0</v>
      </c>
      <c r="AB62" s="710">
        <f t="shared" si="49"/>
        <v>0</v>
      </c>
      <c r="AC62" s="710">
        <f t="shared" si="49"/>
        <v>0</v>
      </c>
    </row>
    <row r="63" spans="1:29" s="459" customFormat="1">
      <c r="B63" s="459" t="s">
        <v>368</v>
      </c>
      <c r="C63" s="710">
        <f t="shared" si="50"/>
        <v>8.4074838493522847E-2</v>
      </c>
      <c r="D63" s="710">
        <f t="shared" si="49"/>
        <v>7.2940360290157685E-2</v>
      </c>
      <c r="E63" s="710">
        <f t="shared" si="49"/>
        <v>9.6900168790040125E-2</v>
      </c>
      <c r="F63" s="710">
        <f t="shared" si="49"/>
        <v>7.91995412085085E-2</v>
      </c>
      <c r="G63" s="710">
        <f t="shared" si="49"/>
        <v>7.3350678459075919E-2</v>
      </c>
      <c r="H63" s="710">
        <f t="shared" si="49"/>
        <v>8.426286570298451E-2</v>
      </c>
      <c r="I63" s="710">
        <f t="shared" si="49"/>
        <v>7.8971697728025606E-2</v>
      </c>
      <c r="J63" s="710">
        <f t="shared" si="49"/>
        <v>9.1644108987707917E-2</v>
      </c>
      <c r="K63" s="710">
        <f t="shared" si="49"/>
        <v>8.1556381609468237E-2</v>
      </c>
      <c r="L63" s="710">
        <f t="shared" si="49"/>
        <v>7.5632388860092645E-2</v>
      </c>
      <c r="M63" s="710">
        <f t="shared" si="49"/>
        <v>7.7708207344464181E-2</v>
      </c>
      <c r="N63" s="710">
        <f t="shared" si="49"/>
        <v>7.3740069944264783E-2</v>
      </c>
      <c r="O63" s="710">
        <f t="shared" si="49"/>
        <v>8.1917381458864319E-2</v>
      </c>
      <c r="P63" s="710">
        <f t="shared" si="49"/>
        <v>7.6219960425357156E-2</v>
      </c>
      <c r="Q63" s="710">
        <f t="shared" si="49"/>
        <v>8.5404192532583911E-2</v>
      </c>
      <c r="R63" s="710">
        <f t="shared" si="49"/>
        <v>6.987313824182402E-2</v>
      </c>
      <c r="S63" s="710">
        <f t="shared" si="49"/>
        <v>8.3227436019752521E-2</v>
      </c>
      <c r="T63" s="710">
        <f t="shared" si="49"/>
        <v>7.0427469521239974E-2</v>
      </c>
      <c r="U63" s="710">
        <f t="shared" si="49"/>
        <v>8.1430456922674907E-2</v>
      </c>
      <c r="V63" s="710">
        <f t="shared" si="49"/>
        <v>7.9612717838730945E-2</v>
      </c>
      <c r="W63" s="710">
        <f t="shared" si="49"/>
        <v>7.6629394715590618E-2</v>
      </c>
      <c r="X63" s="710">
        <f t="shared" si="49"/>
        <v>7.2607758830443E-2</v>
      </c>
      <c r="Y63" s="710">
        <f t="shared" si="49"/>
        <v>6.8507648625875522E-2</v>
      </c>
      <c r="Z63" s="710">
        <f t="shared" si="49"/>
        <v>8.3453986180072076E-2</v>
      </c>
      <c r="AA63" s="710">
        <f t="shared" si="49"/>
        <v>9.070115859164736E-2</v>
      </c>
      <c r="AB63" s="710">
        <f t="shared" si="49"/>
        <v>0.10289850788887757</v>
      </c>
      <c r="AC63" s="710">
        <f t="shared" si="49"/>
        <v>6.8690270774633036E-2</v>
      </c>
    </row>
    <row r="64" spans="1:29" s="459" customFormat="1">
      <c r="A64" s="458"/>
      <c r="B64" s="677" t="s">
        <v>16</v>
      </c>
      <c r="C64" s="399">
        <f>SUM(C56:C63)</f>
        <v>1.0000000000000002</v>
      </c>
      <c r="D64" s="399">
        <f>SUM(D56:D63)</f>
        <v>1</v>
      </c>
      <c r="E64" s="399">
        <f t="shared" ref="E64" si="51">SUM(E56:E63)</f>
        <v>1</v>
      </c>
      <c r="F64" s="399">
        <f t="shared" ref="F64" si="52">SUM(F56:F63)</f>
        <v>1</v>
      </c>
      <c r="G64" s="399">
        <f t="shared" ref="G64" si="53">SUM(G56:G63)</f>
        <v>1</v>
      </c>
      <c r="H64" s="399">
        <f t="shared" ref="H64" si="54">SUM(H56:H63)</f>
        <v>1</v>
      </c>
      <c r="I64" s="399">
        <f t="shared" ref="I64" si="55">SUM(I56:I63)</f>
        <v>0.99999999999999989</v>
      </c>
      <c r="J64" s="399">
        <f t="shared" ref="J64" si="56">SUM(J56:J63)</f>
        <v>1.0000000000000002</v>
      </c>
      <c r="K64" s="399">
        <f t="shared" ref="K64" si="57">SUM(K56:K63)</f>
        <v>0.99999999999999978</v>
      </c>
      <c r="L64" s="399">
        <f t="shared" ref="L64" si="58">SUM(L56:L63)</f>
        <v>0.99999999999999989</v>
      </c>
      <c r="M64" s="399">
        <f t="shared" ref="M64" si="59">SUM(M56:M63)</f>
        <v>1</v>
      </c>
      <c r="N64" s="399">
        <f t="shared" ref="N64" si="60">SUM(N56:N63)</f>
        <v>1</v>
      </c>
      <c r="O64" s="399">
        <f t="shared" ref="O64" si="61">SUM(O56:O63)</f>
        <v>1</v>
      </c>
      <c r="P64" s="399">
        <f t="shared" ref="P64" si="62">SUM(P56:P63)</f>
        <v>1</v>
      </c>
      <c r="Q64" s="399">
        <f t="shared" ref="Q64" si="63">SUM(Q56:Q63)</f>
        <v>1</v>
      </c>
      <c r="R64" s="399">
        <f t="shared" ref="R64" si="64">SUM(R56:R63)</f>
        <v>1</v>
      </c>
      <c r="S64" s="399">
        <f t="shared" ref="S64" si="65">SUM(S56:S63)</f>
        <v>1.0000000000000002</v>
      </c>
      <c r="T64" s="399">
        <f t="shared" ref="T64" si="66">SUM(T56:T63)</f>
        <v>1</v>
      </c>
      <c r="U64" s="399">
        <f t="shared" ref="U64" si="67">SUM(U56:U63)</f>
        <v>1</v>
      </c>
      <c r="V64" s="399">
        <f t="shared" ref="V64" si="68">SUM(V56:V63)</f>
        <v>1</v>
      </c>
      <c r="W64" s="399">
        <f t="shared" ref="W64" si="69">SUM(W56:W63)</f>
        <v>1.0000000000000002</v>
      </c>
      <c r="X64" s="399">
        <f t="shared" ref="X64" si="70">SUM(X56:X63)</f>
        <v>0.99999999999999989</v>
      </c>
      <c r="Y64" s="399">
        <f t="shared" ref="Y64" si="71">SUM(Y56:Y63)</f>
        <v>1.0000000000000002</v>
      </c>
      <c r="Z64" s="399">
        <f t="shared" ref="Z64" si="72">SUM(Z56:Z63)</f>
        <v>1.0000000000000002</v>
      </c>
      <c r="AA64" s="399">
        <f t="shared" ref="AA64" si="73">SUM(AA56:AA63)</f>
        <v>0.99999999999999989</v>
      </c>
      <c r="AB64" s="399">
        <f t="shared" ref="AB64" si="74">SUM(AB56:AB63)</f>
        <v>1</v>
      </c>
      <c r="AC64" s="399">
        <f t="shared" ref="AC64" si="75">SUM(AC56:AC63)</f>
        <v>1</v>
      </c>
    </row>
    <row r="65" spans="1:29" s="459" customForma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row>
    <row r="66" spans="1:29" s="459" customFormat="1">
      <c r="A66" s="1"/>
      <c r="B66" s="1"/>
      <c r="C66" s="707"/>
      <c r="D66" s="402"/>
      <c r="E66" s="707"/>
      <c r="F66" s="707"/>
      <c r="G66" s="707"/>
      <c r="H66" s="707"/>
      <c r="I66" s="707"/>
      <c r="J66" s="707"/>
      <c r="K66" s="707"/>
      <c r="L66" s="707"/>
      <c r="M66" s="707"/>
      <c r="N66" s="707"/>
      <c r="O66" s="707"/>
      <c r="P66" s="707"/>
      <c r="Q66" s="707"/>
      <c r="R66" s="707"/>
      <c r="S66" s="707"/>
      <c r="T66" s="707"/>
      <c r="U66" s="707"/>
      <c r="V66" s="707"/>
      <c r="W66" s="707"/>
      <c r="X66" s="707"/>
      <c r="Y66" s="707"/>
      <c r="Z66" s="707"/>
      <c r="AA66" s="707"/>
      <c r="AB66" s="707"/>
      <c r="AC66" s="707"/>
    </row>
    <row r="67" spans="1:29" s="459" customFormat="1">
      <c r="C67" s="9"/>
      <c r="D67" s="9"/>
      <c r="E67" s="9"/>
      <c r="F67" s="9"/>
      <c r="G67" s="9"/>
      <c r="H67" s="9"/>
      <c r="I67" s="9"/>
      <c r="J67" s="9"/>
      <c r="K67" s="9"/>
      <c r="L67" s="9"/>
      <c r="M67" s="9"/>
      <c r="T67" s="9"/>
      <c r="U67" s="9"/>
      <c r="V67" s="9"/>
      <c r="W67" s="9"/>
      <c r="X67" s="9"/>
      <c r="Y67" s="9"/>
      <c r="Z67" s="9"/>
      <c r="AA67" s="9"/>
      <c r="AB67" s="9"/>
      <c r="AC67" s="9"/>
    </row>
    <row r="68" spans="1:29" s="459" customFormat="1">
      <c r="A68" s="595" t="s">
        <v>848</v>
      </c>
      <c r="B68" s="785" t="s">
        <v>849</v>
      </c>
      <c r="C68" s="785"/>
      <c r="D68" s="471"/>
      <c r="E68" s="9"/>
      <c r="F68" s="9"/>
      <c r="G68" s="9"/>
      <c r="H68" s="9"/>
      <c r="I68" s="9"/>
      <c r="J68" s="517"/>
      <c r="K68" s="9"/>
      <c r="L68" s="9"/>
      <c r="M68" s="9"/>
      <c r="T68" s="9"/>
      <c r="U68" s="9"/>
      <c r="V68" s="9"/>
      <c r="W68" s="9"/>
      <c r="X68" s="9"/>
      <c r="Y68" s="9"/>
      <c r="Z68" s="9"/>
      <c r="AA68" s="9"/>
      <c r="AB68" s="9"/>
    </row>
    <row r="69" spans="1:29" s="459" customFormat="1">
      <c r="A69" s="588"/>
      <c r="B69" s="600" t="s">
        <v>837</v>
      </c>
      <c r="C69" s="600" t="s">
        <v>588</v>
      </c>
      <c r="D69" s="589" t="s">
        <v>217</v>
      </c>
      <c r="E69" s="9"/>
      <c r="F69" s="9"/>
      <c r="G69" s="9"/>
      <c r="H69" s="9"/>
      <c r="I69" s="9"/>
      <c r="J69" s="9"/>
      <c r="K69" s="9"/>
      <c r="T69" s="9"/>
      <c r="U69" s="9"/>
      <c r="V69" s="9"/>
      <c r="W69" s="9"/>
      <c r="X69" s="9"/>
      <c r="Y69" s="9"/>
      <c r="Z69" s="9"/>
      <c r="AA69" s="9"/>
      <c r="AB69" s="9"/>
    </row>
    <row r="70" spans="1:29" s="459" customFormat="1">
      <c r="A70" s="591" t="str">
        <f>Commodities!K13</f>
        <v>TCAR_ICE_GSL_00</v>
      </c>
      <c r="B70" s="606">
        <f>Stock!E52*AF!D7/Efficiency!D8/0.041868/2</f>
        <v>393.4984596056097</v>
      </c>
      <c r="C70" s="792">
        <f>'EB2018'!AM48</f>
        <v>2058.4846677479868</v>
      </c>
      <c r="D70" s="789">
        <f>(B79-C70)/C70</f>
        <v>-0.17279608071492855</v>
      </c>
      <c r="E70" s="9"/>
      <c r="F70" s="9"/>
      <c r="G70" s="9"/>
      <c r="H70" s="9"/>
      <c r="I70" s="9"/>
      <c r="J70" s="9"/>
      <c r="K70" s="9"/>
      <c r="T70" s="9"/>
      <c r="U70" s="9"/>
      <c r="V70" s="9"/>
      <c r="W70" s="9"/>
      <c r="X70" s="9"/>
      <c r="Y70" s="9"/>
      <c r="Z70" s="9"/>
      <c r="AA70" s="9"/>
      <c r="AB70" s="9"/>
    </row>
    <row r="71" spans="1:29" s="459" customFormat="1">
      <c r="A71" s="596" t="str">
        <f>Commodities!K14</f>
        <v>TCAR_ICE_DST_00</v>
      </c>
      <c r="B71" s="607">
        <f>Stock!E53*AF!D8/Efficiency!D9/0.041868</f>
        <v>1277.6817654050137</v>
      </c>
      <c r="C71" s="792"/>
      <c r="D71" s="790"/>
      <c r="E71" s="9"/>
      <c r="F71" s="9"/>
      <c r="G71" s="9"/>
      <c r="H71" s="9"/>
      <c r="I71" s="9"/>
      <c r="J71" s="9"/>
      <c r="K71" s="9"/>
      <c r="T71" s="9"/>
      <c r="U71" s="9"/>
      <c r="V71" s="9"/>
      <c r="W71" s="9"/>
      <c r="X71" s="9"/>
      <c r="Y71" s="9"/>
      <c r="Z71" s="9"/>
      <c r="AA71" s="9"/>
      <c r="AB71" s="9"/>
    </row>
    <row r="72" spans="1:29" s="459" customFormat="1">
      <c r="A72" s="596" t="str">
        <f>Commodities!K15</f>
        <v>TCAR_ICE_DF_00</v>
      </c>
      <c r="B72" s="607">
        <f>Stock!E54*AF!D9/Efficiency!D10/0.041868</f>
        <v>6.8313094988772333E-2</v>
      </c>
      <c r="C72" s="792"/>
      <c r="D72" s="790"/>
      <c r="E72" s="9"/>
      <c r="F72" s="9"/>
      <c r="G72" s="9"/>
      <c r="H72" s="9"/>
      <c r="I72" s="9"/>
      <c r="J72" s="9"/>
      <c r="K72" s="9"/>
      <c r="T72" s="9"/>
      <c r="U72" s="9"/>
      <c r="V72" s="9"/>
      <c r="W72" s="9"/>
      <c r="X72" s="9"/>
      <c r="Y72" s="9"/>
      <c r="Z72" s="9"/>
      <c r="AA72" s="9"/>
      <c r="AB72" s="9"/>
    </row>
    <row r="73" spans="1:29" s="459" customFormat="1">
      <c r="A73" s="596" t="str">
        <f>Commodities!K16</f>
        <v>TCAR_ICE_E85_00</v>
      </c>
      <c r="B73" s="607">
        <f>Stock!E55*AF!D10/Efficiency!D11/0.041868</f>
        <v>7.2597861043326812</v>
      </c>
      <c r="C73" s="792"/>
      <c r="D73" s="790"/>
      <c r="E73" s="9"/>
      <c r="F73" s="9"/>
      <c r="G73" s="9"/>
      <c r="H73" s="9"/>
      <c r="I73" s="9"/>
      <c r="J73" s="9"/>
      <c r="K73" s="9"/>
      <c r="T73" s="9"/>
      <c r="U73" s="9"/>
      <c r="V73" s="9"/>
      <c r="W73" s="9"/>
      <c r="X73" s="9"/>
      <c r="Y73" s="9"/>
      <c r="Z73" s="9"/>
      <c r="AA73" s="9"/>
      <c r="AB73" s="9"/>
    </row>
    <row r="74" spans="1:29" s="459" customFormat="1">
      <c r="A74" s="596" t="str">
        <f>Commodities!K17</f>
        <v>TCAR_HEV_GSL_00</v>
      </c>
      <c r="B74" s="607">
        <f>Stock!E56*AF!D11/Efficiency!D12/0.041868</f>
        <v>20.592652095410472</v>
      </c>
      <c r="C74" s="792"/>
      <c r="D74" s="790"/>
      <c r="E74" s="9"/>
      <c r="F74" s="9"/>
      <c r="G74" s="9"/>
      <c r="H74" s="9"/>
      <c r="I74" s="9"/>
      <c r="J74" s="9"/>
      <c r="K74" s="9"/>
      <c r="T74" s="398"/>
      <c r="U74" s="398"/>
      <c r="V74" s="398"/>
      <c r="W74" s="398"/>
      <c r="X74" s="398"/>
      <c r="Y74" s="398"/>
      <c r="Z74" s="398"/>
      <c r="AA74" s="398"/>
      <c r="AB74" s="398"/>
    </row>
    <row r="75" spans="1:29" s="459" customFormat="1">
      <c r="A75" s="596" t="str">
        <f>Commodities!K18</f>
        <v>TCAR_HEV_DST_00</v>
      </c>
      <c r="B75" s="607">
        <f>Stock!E57*AF!D12/Efficiency!D13/0.041868</f>
        <v>0.85008185254169022</v>
      </c>
      <c r="C75" s="792"/>
      <c r="D75" s="790"/>
      <c r="E75" s="9"/>
      <c r="F75" s="9"/>
      <c r="G75" s="9"/>
      <c r="H75" s="9"/>
      <c r="I75" s="9"/>
      <c r="J75" s="9"/>
      <c r="K75" s="9"/>
    </row>
    <row r="76" spans="1:29" s="459" customFormat="1">
      <c r="A76" s="596" t="str">
        <f>Commodities!K19</f>
        <v>TCAR_PHEV_GSL_00</v>
      </c>
      <c r="B76" s="607">
        <f>Stock!E58*AF!D13/Efficiency!D14/0.041868</f>
        <v>1.4503045825864089</v>
      </c>
      <c r="C76" s="792"/>
      <c r="D76" s="790"/>
      <c r="E76" s="9"/>
      <c r="F76" s="9"/>
      <c r="G76" s="9"/>
      <c r="H76" s="9"/>
      <c r="I76" s="9"/>
      <c r="J76" s="9"/>
      <c r="K76" s="9"/>
    </row>
    <row r="77" spans="1:29" s="459" customFormat="1">
      <c r="A77" s="596" t="str">
        <f>Commodities!K20</f>
        <v>TCAR_PHEV_DST_00</v>
      </c>
      <c r="B77" s="607">
        <f>Stock!E59*AF!D14/Efficiency!D15/0.041868</f>
        <v>2.1410336634909582E-2</v>
      </c>
      <c r="C77" s="792"/>
      <c r="D77" s="790"/>
      <c r="E77" s="9"/>
      <c r="F77" s="9"/>
      <c r="G77" s="9"/>
      <c r="H77" s="9"/>
      <c r="I77" s="9"/>
      <c r="J77" s="9"/>
      <c r="K77" s="9"/>
    </row>
    <row r="78" spans="1:29" s="459" customFormat="1">
      <c r="A78" s="596" t="str">
        <f>Commodities!K21</f>
        <v>TCAR_BEV_00</v>
      </c>
      <c r="B78" s="607">
        <f>Stock!E60*AF!D15/Efficiency!D16/0.041868</f>
        <v>1.3638118722445138</v>
      </c>
      <c r="C78" s="792"/>
      <c r="D78" s="790"/>
      <c r="E78" s="9"/>
      <c r="F78" s="9"/>
      <c r="G78" s="9"/>
      <c r="H78" s="9"/>
      <c r="I78" s="9"/>
      <c r="J78" s="9"/>
      <c r="K78" s="9"/>
    </row>
    <row r="79" spans="1:29" s="459" customFormat="1" ht="15.6">
      <c r="A79" s="592" t="s">
        <v>836</v>
      </c>
      <c r="B79" s="605">
        <f>SUM(B70:B78)</f>
        <v>1702.7865849493628</v>
      </c>
      <c r="C79" s="792"/>
      <c r="D79" s="791"/>
      <c r="E79" s="9"/>
      <c r="F79" s="9"/>
      <c r="G79" s="9"/>
      <c r="H79" s="9"/>
      <c r="I79" s="9"/>
      <c r="J79" s="9"/>
      <c r="K79" s="9"/>
    </row>
    <row r="80" spans="1:29" s="459" customFormat="1">
      <c r="A80" s="459" t="s">
        <v>850</v>
      </c>
      <c r="F80" s="9"/>
      <c r="G80" s="9"/>
      <c r="H80" s="9"/>
      <c r="I80" s="9"/>
      <c r="J80" s="9"/>
      <c r="K80" s="9"/>
    </row>
    <row r="81" spans="1:17" s="459" customFormat="1">
      <c r="F81" s="9"/>
      <c r="G81" s="9"/>
      <c r="H81" s="9"/>
      <c r="I81" s="9"/>
      <c r="J81" s="9"/>
      <c r="K81" s="9"/>
    </row>
    <row r="82" spans="1:17" s="459" customFormat="1">
      <c r="F82" s="9"/>
      <c r="G82" s="9"/>
      <c r="H82" s="9"/>
      <c r="I82" s="9"/>
      <c r="J82" s="9"/>
      <c r="K82" s="9"/>
    </row>
    <row r="83" spans="1:17" s="459" customFormat="1">
      <c r="F83" s="9"/>
      <c r="G83" s="9"/>
      <c r="H83" s="9"/>
      <c r="I83" s="9"/>
      <c r="J83" s="9"/>
      <c r="K83" s="9"/>
    </row>
    <row r="84" spans="1:17" s="459" customFormat="1">
      <c r="A84" s="595" t="s">
        <v>851</v>
      </c>
      <c r="B84" s="785" t="s">
        <v>849</v>
      </c>
      <c r="C84" s="785"/>
      <c r="D84" s="471"/>
      <c r="F84" s="9"/>
      <c r="G84" s="9"/>
      <c r="H84" s="9"/>
      <c r="I84" s="9"/>
      <c r="J84" s="9"/>
      <c r="K84" s="9"/>
    </row>
    <row r="85" spans="1:17" s="459" customFormat="1">
      <c r="A85" s="588"/>
      <c r="B85" s="601" t="s">
        <v>837</v>
      </c>
      <c r="C85" s="600" t="s">
        <v>588</v>
      </c>
      <c r="D85" s="600" t="s">
        <v>217</v>
      </c>
      <c r="F85" s="9"/>
      <c r="G85" s="9"/>
      <c r="H85" s="9"/>
      <c r="I85" s="9"/>
      <c r="J85" s="9"/>
      <c r="K85" s="9"/>
    </row>
    <row r="86" spans="1:17" s="459" customFormat="1">
      <c r="A86" s="591" t="str">
        <f>Commodities!K34</f>
        <v>TFGV_GSL_00</v>
      </c>
      <c r="B86" s="608">
        <f>(Stock!E72*AF!D23/1000)/Efficiency!D24/0.041868</f>
        <v>1.9880091975482701E-3</v>
      </c>
      <c r="C86" s="786">
        <f>'EB2018'!AM46+'EB2018'!AM47</f>
        <v>1058.3361520244771</v>
      </c>
      <c r="D86" s="789">
        <f>(B89-C86)/C86</f>
        <v>-0.99889636390369041</v>
      </c>
      <c r="F86" s="9"/>
      <c r="G86" s="9"/>
      <c r="H86" s="9"/>
      <c r="I86" s="9"/>
      <c r="J86" s="9"/>
      <c r="K86" s="9"/>
    </row>
    <row r="87" spans="1:17" s="459" customFormat="1">
      <c r="A87" s="590" t="str">
        <f>Commodities!K35</f>
        <v>TFGV_DST_00</v>
      </c>
      <c r="B87" s="609">
        <f>(Stock!E73*AF!D24/1000)/Efficiency!D25/0.041868</f>
        <v>1.1632360774994921</v>
      </c>
      <c r="C87" s="787"/>
      <c r="D87" s="790"/>
      <c r="F87" s="9"/>
      <c r="G87" s="9"/>
      <c r="H87" s="9"/>
      <c r="I87" s="9"/>
      <c r="J87" s="9"/>
      <c r="K87" s="9"/>
    </row>
    <row r="88" spans="1:17" s="459" customFormat="1">
      <c r="A88" s="590" t="str">
        <f>Commodities!K36</f>
        <v>TFRAIL_DST_00</v>
      </c>
      <c r="B88" s="609">
        <f>(Stock!E74*AF!D25/1000)/Efficiency!D26/0.041868</f>
        <v>2.7938927066507233E-3</v>
      </c>
      <c r="C88" s="787"/>
      <c r="D88" s="790"/>
      <c r="F88" s="9"/>
      <c r="G88" s="9"/>
      <c r="H88" s="9"/>
      <c r="I88" s="9"/>
      <c r="J88" s="9"/>
      <c r="K88" s="9"/>
    </row>
    <row r="89" spans="1:17" s="459" customFormat="1" ht="15.6">
      <c r="A89" s="592" t="s">
        <v>852</v>
      </c>
      <c r="B89" s="605">
        <f>SUM(B86:B88)</f>
        <v>1.1680179794036911</v>
      </c>
      <c r="C89" s="788"/>
      <c r="D89" s="791"/>
      <c r="G89" s="9"/>
      <c r="H89" s="9"/>
      <c r="I89" s="9"/>
      <c r="J89" s="9"/>
      <c r="K89" s="9"/>
      <c r="L89" s="9"/>
    </row>
    <row r="90" spans="1:17" s="459" customFormat="1">
      <c r="A90" s="459" t="s">
        <v>853</v>
      </c>
      <c r="G90" s="9"/>
      <c r="H90" s="9"/>
      <c r="I90" s="9"/>
      <c r="J90" s="9"/>
      <c r="K90" s="9"/>
      <c r="L90" s="9"/>
      <c r="O90" s="461"/>
      <c r="Q90" s="135"/>
    </row>
    <row r="91" spans="1:17" s="459" customFormat="1">
      <c r="O91" s="461"/>
      <c r="Q91" s="135"/>
    </row>
    <row r="92" spans="1:17" s="459" customFormat="1">
      <c r="Q92" s="135"/>
    </row>
    <row r="93" spans="1:17" s="459" customFormat="1">
      <c r="Q93" s="135"/>
    </row>
    <row r="94" spans="1:17" s="459" customFormat="1">
      <c r="A94" s="595" t="s">
        <v>860</v>
      </c>
      <c r="B94" s="785" t="s">
        <v>849</v>
      </c>
      <c r="C94" s="785"/>
      <c r="D94" s="471"/>
      <c r="Q94" s="135"/>
    </row>
    <row r="95" spans="1:17" s="459" customFormat="1">
      <c r="A95" s="588"/>
      <c r="B95" s="600" t="s">
        <v>837</v>
      </c>
      <c r="C95" s="600" t="s">
        <v>588</v>
      </c>
      <c r="D95" s="600" t="s">
        <v>217</v>
      </c>
      <c r="Q95" s="135"/>
    </row>
    <row r="96" spans="1:17" s="459" customFormat="1">
      <c r="A96" s="597" t="str">
        <f>Commodities!K23</f>
        <v>TTAXI_ICE_GSL_00</v>
      </c>
      <c r="B96" s="611">
        <f>(Stock!E62*AF!D16)/Efficiency!D17/0.041868</f>
        <v>6.1518897266343169</v>
      </c>
      <c r="C96" s="786">
        <f>'EB2018'!AM49</f>
        <v>139.18657889221006</v>
      </c>
      <c r="D96" s="789">
        <f>(B100-C96)/C96</f>
        <v>0.12053940868547522</v>
      </c>
      <c r="Q96" s="135"/>
    </row>
    <row r="97" spans="1:17" s="459" customFormat="1">
      <c r="A97" s="599" t="str">
        <f>Commodities!K24</f>
        <v>TTAXI_ICE_DST_00</v>
      </c>
      <c r="B97" s="611">
        <f>(Stock!E63*AF!D17)/Efficiency!D18/0.041868</f>
        <v>43.796887100986652</v>
      </c>
      <c r="C97" s="787"/>
      <c r="D97" s="790"/>
      <c r="Q97" s="135"/>
    </row>
    <row r="98" spans="1:17" s="459" customFormat="1">
      <c r="A98" s="599" t="str">
        <f>Commodities!K25</f>
        <v>TTAXI_HEV_GSL_00</v>
      </c>
      <c r="B98" s="611">
        <f>(Stock!E64*AF!D18)/Efficiency!D19/0.041868</f>
        <v>2.9636213591788345</v>
      </c>
      <c r="C98" s="787"/>
      <c r="D98" s="790"/>
      <c r="Q98" s="135"/>
    </row>
    <row r="99" spans="1:17" s="459" customFormat="1">
      <c r="A99" s="599" t="str">
        <f>Commodities!K27</f>
        <v>TBUS_ICE_DST_00</v>
      </c>
      <c r="B99" s="611">
        <f>(Stock!E66*AF!D19)/Efficiency!D20/0.041868</f>
        <v>103.05164862203152</v>
      </c>
      <c r="C99" s="787"/>
      <c r="D99" s="790"/>
      <c r="Q99" s="135"/>
    </row>
    <row r="100" spans="1:17" s="459" customFormat="1" ht="15.6">
      <c r="A100" s="598" t="s">
        <v>948</v>
      </c>
      <c r="B100" s="610">
        <f>SUM(B96:B99)</f>
        <v>155.96404680883131</v>
      </c>
      <c r="C100" s="788"/>
      <c r="D100" s="791"/>
      <c r="Q100" s="135"/>
    </row>
    <row r="101" spans="1:17" s="459" customFormat="1">
      <c r="A101" s="459" t="s">
        <v>949</v>
      </c>
      <c r="Q101" s="135"/>
    </row>
    <row r="102" spans="1:17" s="459" customFormat="1">
      <c r="Q102" s="135"/>
    </row>
    <row r="103" spans="1:17" s="459" customFormat="1">
      <c r="Q103" s="135"/>
    </row>
    <row r="104" spans="1:17" s="459" customFormat="1"/>
    <row r="105" spans="1:17" s="459" customFormat="1">
      <c r="A105" s="595" t="s">
        <v>862</v>
      </c>
      <c r="B105" s="785" t="s">
        <v>849</v>
      </c>
      <c r="C105" s="785"/>
      <c r="D105" s="471"/>
    </row>
    <row r="106" spans="1:17" s="459" customFormat="1">
      <c r="A106" s="588"/>
      <c r="B106" s="600" t="s">
        <v>837</v>
      </c>
      <c r="C106" s="600" t="s">
        <v>588</v>
      </c>
      <c r="D106" s="600" t="s">
        <v>217</v>
      </c>
    </row>
    <row r="107" spans="1:17" s="459" customFormat="1">
      <c r="A107" s="597" t="str">
        <f>Commodities!K29</f>
        <v>TLRAIL_ELC_00</v>
      </c>
      <c r="B107" s="611">
        <f>C129/Efficiency!D21/0.041868</f>
        <v>2.4094862952239589</v>
      </c>
      <c r="C107" s="786">
        <f>'EB2018'!AM50</f>
        <v>42.228937759939136</v>
      </c>
      <c r="D107" s="789" t="e">
        <f>(B111-C107)/C107</f>
        <v>#REF!</v>
      </c>
    </row>
    <row r="108" spans="1:17" s="459" customFormat="1">
      <c r="A108" s="599" t="str">
        <f>Commodities!K30</f>
        <v>THRAIL_ELC_00</v>
      </c>
      <c r="B108" s="611">
        <f>B107</f>
        <v>2.4094862952239589</v>
      </c>
      <c r="C108" s="787"/>
      <c r="D108" s="790"/>
    </row>
    <row r="109" spans="1:17" s="459" customFormat="1">
      <c r="A109" s="599" t="str">
        <f>Commodities!K31</f>
        <v>THRAIL_DST_00</v>
      </c>
      <c r="B109" s="611" t="e">
        <f>#REF!/ACT2FLO!D26/Efficiency!D23/0.041868</f>
        <v>#REF!</v>
      </c>
      <c r="C109" s="787"/>
      <c r="D109" s="790"/>
    </row>
    <row r="110" spans="1:17" s="459" customFormat="1">
      <c r="A110" s="599" t="str">
        <f>Commodities!K36</f>
        <v>TFRAIL_DST_00</v>
      </c>
      <c r="B110" s="611">
        <f>C8/ACT2FLO!D30/Efficiency!D26/0.041868</f>
        <v>2.7235217590091064E-3</v>
      </c>
      <c r="C110" s="787"/>
      <c r="D110" s="790"/>
    </row>
    <row r="111" spans="1:17" s="459" customFormat="1" ht="15.6">
      <c r="A111" s="598" t="s">
        <v>852</v>
      </c>
      <c r="B111" s="610" t="e">
        <f>SUM(B107:B110)</f>
        <v>#REF!</v>
      </c>
      <c r="C111" s="788"/>
      <c r="D111" s="791"/>
    </row>
    <row r="112" spans="1:17" s="459" customFormat="1"/>
    <row r="113" spans="1:88">
      <c r="A113" s="459"/>
      <c r="B113" s="459"/>
      <c r="C113" s="459"/>
      <c r="D113" s="459"/>
      <c r="E113" s="459"/>
      <c r="F113" s="459"/>
      <c r="G113" s="459"/>
      <c r="H113" s="459"/>
      <c r="AD113" s="459"/>
      <c r="AE113" s="459"/>
      <c r="AF113" s="459"/>
      <c r="AG113" s="459"/>
      <c r="AH113" s="459"/>
      <c r="AI113" s="459"/>
      <c r="AJ113" s="459"/>
      <c r="AK113" s="459"/>
      <c r="AL113" s="459"/>
      <c r="AM113" s="459"/>
      <c r="AN113" s="459"/>
      <c r="AO113" s="459"/>
      <c r="AP113" s="459"/>
      <c r="AQ113" s="459"/>
      <c r="AR113" s="459"/>
      <c r="AS113" s="459"/>
      <c r="AT113" s="459"/>
      <c r="AU113" s="459"/>
      <c r="AV113" s="459"/>
      <c r="AW113" s="459"/>
      <c r="AX113" s="459"/>
      <c r="AY113" s="459"/>
      <c r="AZ113" s="459"/>
      <c r="BA113" s="459"/>
      <c r="BB113" s="459"/>
      <c r="BC113" s="459"/>
      <c r="BD113" s="459"/>
      <c r="BE113" s="459"/>
      <c r="BF113" s="459"/>
      <c r="BG113" s="459"/>
      <c r="BH113" s="459"/>
      <c r="BI113" s="459"/>
      <c r="BJ113" s="459"/>
      <c r="BK113" s="459"/>
      <c r="BL113" s="459"/>
      <c r="BM113" s="459"/>
      <c r="BN113" s="459"/>
      <c r="BO113" s="459"/>
      <c r="BP113" s="459"/>
      <c r="BQ113" s="459"/>
      <c r="BR113" s="459"/>
      <c r="BS113" s="459"/>
      <c r="BT113" s="459"/>
      <c r="BU113" s="459"/>
      <c r="BV113" s="459"/>
      <c r="BW113" s="459"/>
      <c r="BX113" s="459"/>
      <c r="BY113" s="459"/>
      <c r="BZ113" s="459"/>
      <c r="CA113" s="459"/>
      <c r="CB113" s="459"/>
      <c r="CC113" s="459"/>
      <c r="CD113" s="459"/>
      <c r="CE113" s="459"/>
      <c r="CF113" s="459"/>
      <c r="CG113" s="459"/>
      <c r="CH113" s="459"/>
      <c r="CI113" s="459"/>
      <c r="CJ113" s="459"/>
    </row>
    <row r="114" spans="1:88">
      <c r="A114" s="459"/>
      <c r="B114" s="459"/>
      <c r="C114" s="459"/>
      <c r="D114" s="459"/>
      <c r="E114" s="459"/>
      <c r="F114" s="459"/>
      <c r="G114" s="459"/>
      <c r="H114" s="459"/>
      <c r="AC114" s="7"/>
      <c r="AD114" s="459"/>
      <c r="AE114" s="459"/>
      <c r="AF114" s="459"/>
      <c r="AG114" s="459"/>
      <c r="AH114" s="459"/>
      <c r="AI114" s="459"/>
      <c r="AJ114" s="459"/>
      <c r="AK114" s="459"/>
      <c r="AL114" s="459"/>
      <c r="AM114" s="459"/>
      <c r="AN114" s="459"/>
      <c r="AO114" s="459"/>
      <c r="AP114" s="459"/>
      <c r="AQ114" s="459"/>
      <c r="AR114" s="459"/>
      <c r="AS114" s="459"/>
      <c r="AT114" s="459"/>
      <c r="AU114" s="459"/>
      <c r="AV114" s="459"/>
      <c r="AW114" s="459"/>
      <c r="AX114" s="459"/>
      <c r="AY114" s="459"/>
      <c r="AZ114" s="459"/>
      <c r="BA114" s="459"/>
      <c r="BB114" s="459"/>
      <c r="BC114" s="459"/>
      <c r="BD114" s="459"/>
      <c r="BE114" s="459"/>
      <c r="BF114" s="459"/>
      <c r="BG114" s="459"/>
      <c r="BH114" s="459"/>
      <c r="BI114" s="459"/>
      <c r="BJ114" s="459"/>
      <c r="BK114" s="459"/>
      <c r="BL114" s="459"/>
      <c r="BM114" s="459"/>
      <c r="BN114" s="459"/>
      <c r="BO114" s="459"/>
      <c r="BP114" s="459"/>
      <c r="BQ114" s="459"/>
      <c r="BR114" s="459"/>
      <c r="BS114" s="459"/>
      <c r="BT114" s="459"/>
      <c r="BU114" s="459"/>
      <c r="BV114" s="459"/>
      <c r="BW114" s="459"/>
      <c r="BX114" s="459"/>
      <c r="BY114" s="459"/>
      <c r="BZ114" s="459"/>
      <c r="CA114" s="459"/>
      <c r="CB114" s="459"/>
      <c r="CC114" s="459"/>
      <c r="CD114" s="459"/>
      <c r="CE114" s="459"/>
      <c r="CF114" s="459"/>
      <c r="CG114" s="459"/>
      <c r="CH114" s="459"/>
      <c r="CI114" s="459"/>
      <c r="CJ114" s="459"/>
    </row>
    <row r="115" spans="1:88" s="459" customFormat="1">
      <c r="AC115" s="7"/>
    </row>
    <row r="116" spans="1:88" s="520" customFormat="1" ht="18">
      <c r="A116" s="522" t="s">
        <v>21</v>
      </c>
      <c r="AC116" s="521"/>
    </row>
    <row r="117" spans="1:88" s="459" customFormat="1">
      <c r="AC117" s="7"/>
    </row>
    <row r="118" spans="1:88" s="391" customFormat="1">
      <c r="P118"/>
      <c r="AD118" s="459"/>
      <c r="AE118" s="459"/>
      <c r="AF118" s="459"/>
      <c r="AG118" s="459"/>
      <c r="AH118" s="459"/>
      <c r="AI118" s="459"/>
      <c r="AJ118" s="459"/>
      <c r="AK118" s="459"/>
      <c r="AL118" s="459"/>
      <c r="AM118" s="459"/>
      <c r="AN118" s="459"/>
      <c r="AO118" s="459"/>
      <c r="AP118" s="459"/>
      <c r="AQ118" s="459"/>
      <c r="AR118" s="459"/>
      <c r="AS118" s="459"/>
      <c r="AT118" s="459"/>
      <c r="AU118" s="459"/>
      <c r="AV118" s="459"/>
      <c r="AW118" s="459"/>
      <c r="AX118" s="459"/>
      <c r="AY118" s="459"/>
      <c r="AZ118" s="459"/>
      <c r="BA118" s="459"/>
      <c r="BB118" s="459"/>
      <c r="BC118" s="459"/>
      <c r="BD118" s="459"/>
      <c r="BE118" s="459"/>
      <c r="BF118" s="459"/>
      <c r="BG118" s="459"/>
      <c r="BH118" s="459"/>
      <c r="BI118" s="459"/>
      <c r="BJ118" s="459"/>
      <c r="BK118" s="459"/>
      <c r="BL118" s="459"/>
      <c r="BM118" s="459"/>
      <c r="BN118" s="459"/>
      <c r="BO118" s="459"/>
      <c r="BP118" s="459"/>
      <c r="BQ118" s="459"/>
      <c r="BR118" s="459"/>
      <c r="BS118" s="459"/>
      <c r="BT118" s="459"/>
      <c r="BU118" s="459"/>
      <c r="BV118" s="459"/>
      <c r="BW118" s="459"/>
      <c r="BX118" s="459"/>
      <c r="BY118" s="459"/>
      <c r="BZ118" s="459"/>
      <c r="CA118" s="459"/>
      <c r="CB118" s="459"/>
      <c r="CC118" s="459"/>
      <c r="CD118" s="459"/>
      <c r="CE118" s="459"/>
      <c r="CF118" s="459"/>
      <c r="CG118" s="459"/>
      <c r="CH118" s="459"/>
      <c r="CI118" s="459"/>
      <c r="CJ118" s="459"/>
    </row>
    <row r="119" spans="1:88" s="391" customFormat="1" ht="15.6">
      <c r="A119" s="425" t="s">
        <v>463</v>
      </c>
      <c r="B119" s="11"/>
      <c r="C119" s="11"/>
      <c r="AD119" s="459"/>
      <c r="AE119" s="459"/>
      <c r="AF119" s="459"/>
      <c r="AG119" s="459"/>
      <c r="AH119" s="459"/>
      <c r="AI119" s="459"/>
      <c r="AJ119" s="459"/>
      <c r="AK119" s="459"/>
      <c r="AL119" s="459"/>
      <c r="AM119" s="459"/>
      <c r="AN119" s="459"/>
      <c r="AO119" s="459"/>
      <c r="AP119" s="459"/>
      <c r="AQ119" s="459"/>
      <c r="AR119" s="459"/>
      <c r="AS119" s="459"/>
      <c r="AT119" s="459"/>
      <c r="AU119" s="459"/>
      <c r="AV119" s="459"/>
      <c r="AW119" s="459"/>
      <c r="AX119" s="459"/>
      <c r="AY119" s="459"/>
      <c r="AZ119" s="459"/>
      <c r="BA119" s="459"/>
      <c r="BB119" s="459"/>
      <c r="BC119" s="459"/>
      <c r="BD119" s="459"/>
      <c r="BE119" s="459"/>
      <c r="BF119" s="459"/>
      <c r="BG119" s="459"/>
      <c r="BH119" s="459"/>
      <c r="BI119" s="459"/>
      <c r="BJ119" s="459"/>
      <c r="BK119" s="459"/>
      <c r="BL119" s="459"/>
      <c r="BM119" s="459"/>
      <c r="BN119" s="459"/>
      <c r="BO119" s="459"/>
      <c r="BP119" s="459"/>
      <c r="BQ119" s="459"/>
      <c r="BR119" s="459"/>
      <c r="BS119" s="459"/>
      <c r="BT119" s="459"/>
      <c r="BU119" s="459"/>
      <c r="BV119" s="459"/>
      <c r="BW119" s="459"/>
      <c r="BX119" s="459"/>
      <c r="BY119" s="459"/>
      <c r="BZ119" s="459"/>
      <c r="CA119" s="459"/>
      <c r="CB119" s="459"/>
      <c r="CC119" s="459"/>
      <c r="CD119" s="459"/>
      <c r="CE119" s="459"/>
      <c r="CF119" s="459"/>
      <c r="CG119" s="459"/>
      <c r="CH119" s="459"/>
      <c r="CI119" s="459"/>
      <c r="CJ119" s="459"/>
    </row>
    <row r="120" spans="1:88" s="39" customFormat="1">
      <c r="A120" s="131" t="s">
        <v>56</v>
      </c>
      <c r="B120" s="131" t="s">
        <v>57</v>
      </c>
      <c r="C120" s="130" t="str">
        <f>Regions!C3</f>
        <v>IE</v>
      </c>
      <c r="D120" s="130" t="str">
        <f>Regions!E3</f>
        <v>IE-CW</v>
      </c>
      <c r="E120" s="130" t="str">
        <f>Regions!F3</f>
        <v>IE-D</v>
      </c>
      <c r="F120" s="130" t="str">
        <f>Regions!G3</f>
        <v>IE-KE</v>
      </c>
      <c r="G120" s="130" t="str">
        <f>Regions!H3</f>
        <v>IE-KK</v>
      </c>
      <c r="H120" s="130" t="str">
        <f>Regions!I3</f>
        <v>IE-LS</v>
      </c>
      <c r="I120" s="130" t="str">
        <f>Regions!J3</f>
        <v>IE-LD</v>
      </c>
      <c r="J120" s="130" t="str">
        <f>Regions!K3</f>
        <v>IE-LH</v>
      </c>
      <c r="K120" s="130" t="str">
        <f>Regions!L3</f>
        <v>IE-MH</v>
      </c>
      <c r="L120" s="130" t="str">
        <f>Regions!M3</f>
        <v>IE-OY</v>
      </c>
      <c r="M120" s="130" t="str">
        <f>Regions!N3</f>
        <v>IE-WH</v>
      </c>
      <c r="N120" s="130" t="str">
        <f>Regions!O3</f>
        <v>IE-WX</v>
      </c>
      <c r="O120" s="130" t="str">
        <f>Regions!P3</f>
        <v>IE-WW</v>
      </c>
      <c r="P120" s="130" t="str">
        <f>Regions!Q3</f>
        <v>IE-CE</v>
      </c>
      <c r="Q120" s="130" t="str">
        <f>Regions!R3</f>
        <v>IE-CO</v>
      </c>
      <c r="R120" s="130" t="str">
        <f>Regions!S3</f>
        <v>IE-KY</v>
      </c>
      <c r="S120" s="130" t="str">
        <f>Regions!T3</f>
        <v>IE-LK</v>
      </c>
      <c r="T120" s="130" t="str">
        <f>Regions!U3</f>
        <v>IE-TA</v>
      </c>
      <c r="U120" s="130" t="str">
        <f>Regions!V3</f>
        <v>IE-WD</v>
      </c>
      <c r="V120" s="130" t="str">
        <f>Regions!W3</f>
        <v>IE-G</v>
      </c>
      <c r="W120" s="130" t="str">
        <f>Regions!X3</f>
        <v>IE-LM</v>
      </c>
      <c r="X120" s="130" t="str">
        <f>Regions!Y3</f>
        <v>IE-MO</v>
      </c>
      <c r="Y120" s="130" t="str">
        <f>Regions!Z3</f>
        <v>IE-RN</v>
      </c>
      <c r="Z120" s="130" t="str">
        <f>Regions!AA3</f>
        <v>IE-SO</v>
      </c>
      <c r="AA120" s="130" t="str">
        <f>Regions!AB3</f>
        <v>IE-CN</v>
      </c>
      <c r="AB120" s="130" t="str">
        <f>Regions!AC3</f>
        <v>IE-DL</v>
      </c>
      <c r="AC120" s="130" t="str">
        <f>Regions!AD3</f>
        <v>IE-MN</v>
      </c>
      <c r="AD120" s="459"/>
      <c r="AE120" s="459"/>
      <c r="AF120" s="459"/>
      <c r="AG120" s="459"/>
      <c r="AH120" s="459"/>
      <c r="AI120" s="459"/>
      <c r="AJ120" s="459"/>
      <c r="AK120" s="459"/>
      <c r="AL120" s="459"/>
      <c r="AM120" s="459"/>
      <c r="AN120" s="459"/>
      <c r="AO120" s="459"/>
      <c r="AP120" s="459"/>
      <c r="AQ120" s="459"/>
      <c r="AR120" s="459"/>
      <c r="AS120" s="459"/>
      <c r="AT120" s="459"/>
      <c r="AU120" s="459"/>
      <c r="AV120" s="459"/>
      <c r="AW120" s="459"/>
      <c r="AX120" s="459"/>
      <c r="AY120" s="459"/>
      <c r="AZ120" s="459"/>
      <c r="BA120" s="459"/>
      <c r="BB120" s="459"/>
      <c r="BC120" s="459"/>
      <c r="BD120" s="459"/>
      <c r="BE120" s="459"/>
      <c r="BF120" s="459"/>
      <c r="BG120" s="459"/>
      <c r="BH120" s="459"/>
      <c r="BI120" s="459"/>
      <c r="BJ120" s="459"/>
      <c r="BK120" s="459"/>
      <c r="BL120" s="459"/>
      <c r="BM120" s="459"/>
      <c r="BN120" s="459"/>
      <c r="BO120" s="459"/>
      <c r="BP120" s="459"/>
      <c r="BQ120" s="459"/>
      <c r="BR120" s="459"/>
      <c r="BS120" s="459"/>
      <c r="BT120" s="459"/>
      <c r="BU120" s="459"/>
      <c r="BV120" s="459"/>
      <c r="BW120" s="459"/>
      <c r="BX120" s="459"/>
      <c r="BY120" s="459"/>
      <c r="BZ120" s="459"/>
      <c r="CA120" s="459"/>
      <c r="CB120" s="459"/>
      <c r="CC120" s="459"/>
      <c r="CD120" s="459"/>
      <c r="CE120" s="459"/>
      <c r="CF120" s="459"/>
      <c r="CG120" s="459"/>
      <c r="CH120" s="459"/>
      <c r="CI120" s="459"/>
      <c r="CJ120" s="459"/>
    </row>
    <row r="121" spans="1:88" s="39" customFormat="1">
      <c r="A121" s="459" t="s">
        <v>566</v>
      </c>
      <c r="B121" s="459" t="s">
        <v>20</v>
      </c>
      <c r="C121" s="36">
        <f>SUM(D121:AC121)</f>
        <v>109</v>
      </c>
      <c r="D121" s="36">
        <v>1</v>
      </c>
      <c r="E121" s="36">
        <v>35</v>
      </c>
      <c r="F121" s="36">
        <v>6</v>
      </c>
      <c r="G121" s="36">
        <v>2</v>
      </c>
      <c r="H121" s="36">
        <v>1</v>
      </c>
      <c r="I121" s="36">
        <v>1</v>
      </c>
      <c r="J121" s="36">
        <v>2</v>
      </c>
      <c r="K121" s="36">
        <v>5</v>
      </c>
      <c r="L121" s="36">
        <v>2</v>
      </c>
      <c r="M121" s="36">
        <v>2</v>
      </c>
      <c r="N121" s="36">
        <v>4</v>
      </c>
      <c r="O121" s="36">
        <v>4</v>
      </c>
      <c r="P121" s="36">
        <v>3</v>
      </c>
      <c r="Q121" s="36">
        <v>15</v>
      </c>
      <c r="R121" s="36">
        <v>3</v>
      </c>
      <c r="S121" s="36">
        <v>4</v>
      </c>
      <c r="T121" s="36">
        <v>4</v>
      </c>
      <c r="U121" s="36">
        <v>3</v>
      </c>
      <c r="V121" s="36">
        <v>4</v>
      </c>
      <c r="W121" s="36">
        <v>0</v>
      </c>
      <c r="X121" s="36">
        <v>2</v>
      </c>
      <c r="Y121" s="36">
        <v>1</v>
      </c>
      <c r="Z121" s="36">
        <v>1</v>
      </c>
      <c r="AA121" s="36">
        <v>1</v>
      </c>
      <c r="AB121" s="36">
        <v>2</v>
      </c>
      <c r="AC121" s="36">
        <v>1</v>
      </c>
      <c r="AD121" s="459"/>
      <c r="AE121" s="459"/>
      <c r="AF121" s="459"/>
      <c r="AG121" s="459"/>
      <c r="AH121" s="459"/>
      <c r="AI121" s="459"/>
      <c r="AJ121" s="459"/>
      <c r="AK121" s="459"/>
      <c r="AL121" s="459"/>
      <c r="AM121" s="459"/>
      <c r="AN121" s="459"/>
      <c r="AO121" s="459"/>
      <c r="AP121" s="459"/>
      <c r="AQ121" s="459"/>
      <c r="AR121" s="459"/>
      <c r="AS121" s="459"/>
      <c r="AT121" s="459"/>
      <c r="AU121" s="459"/>
      <c r="AV121" s="459"/>
      <c r="AW121" s="459"/>
      <c r="AX121" s="459"/>
      <c r="AY121" s="459"/>
      <c r="AZ121" s="459"/>
      <c r="BA121" s="459"/>
      <c r="BB121" s="459"/>
      <c r="BC121" s="459"/>
      <c r="BD121" s="459"/>
      <c r="BE121" s="459"/>
      <c r="BF121" s="459"/>
      <c r="BG121" s="459"/>
      <c r="BH121" s="459"/>
      <c r="BI121" s="459"/>
      <c r="BJ121" s="459"/>
      <c r="BK121" s="459"/>
      <c r="BL121" s="459"/>
      <c r="BM121" s="459"/>
      <c r="BN121" s="459"/>
      <c r="BO121" s="459"/>
      <c r="BP121" s="459"/>
      <c r="BQ121" s="459"/>
      <c r="BR121" s="459"/>
      <c r="BS121" s="459"/>
      <c r="BT121" s="459"/>
      <c r="BU121" s="459"/>
      <c r="BV121" s="459"/>
      <c r="BW121" s="459"/>
      <c r="BX121" s="459"/>
      <c r="BY121" s="459"/>
      <c r="BZ121" s="459"/>
      <c r="CA121" s="459"/>
      <c r="CB121" s="459"/>
      <c r="CC121" s="459"/>
      <c r="CD121" s="459"/>
      <c r="CE121" s="459"/>
      <c r="CF121" s="459"/>
      <c r="CG121" s="459"/>
      <c r="CH121" s="459"/>
      <c r="CI121" s="459"/>
      <c r="CJ121" s="459"/>
    </row>
    <row r="122" spans="1:88" s="391" customFormat="1">
      <c r="A122" s="411" t="s">
        <v>591</v>
      </c>
      <c r="B122" s="411" t="s">
        <v>20</v>
      </c>
      <c r="C122" s="36">
        <f t="shared" ref="C122:C127" si="76">SUM(D122:AC122)</f>
        <v>12136</v>
      </c>
      <c r="D122" s="463">
        <v>146</v>
      </c>
      <c r="E122" s="463">
        <v>3300</v>
      </c>
      <c r="F122" s="463">
        <v>602</v>
      </c>
      <c r="G122" s="463">
        <v>239</v>
      </c>
      <c r="H122" s="463">
        <v>175</v>
      </c>
      <c r="I122" s="463">
        <v>81</v>
      </c>
      <c r="J122" s="463">
        <v>273</v>
      </c>
      <c r="K122" s="463">
        <v>477</v>
      </c>
      <c r="L122" s="463">
        <v>173</v>
      </c>
      <c r="M122" s="463">
        <v>200</v>
      </c>
      <c r="N122" s="463">
        <v>408</v>
      </c>
      <c r="O122" s="463">
        <v>441</v>
      </c>
      <c r="P122" s="463">
        <v>342</v>
      </c>
      <c r="Q122" s="463">
        <v>1584</v>
      </c>
      <c r="R122" s="463">
        <v>441</v>
      </c>
      <c r="S122" s="463">
        <v>541</v>
      </c>
      <c r="T122" s="463">
        <v>439</v>
      </c>
      <c r="U122" s="463">
        <v>357</v>
      </c>
      <c r="V122" s="463">
        <v>621</v>
      </c>
      <c r="W122" s="463">
        <v>72</v>
      </c>
      <c r="X122" s="463">
        <v>313</v>
      </c>
      <c r="Y122" s="463">
        <v>184</v>
      </c>
      <c r="Z122" s="463">
        <v>158</v>
      </c>
      <c r="AA122" s="463">
        <v>150</v>
      </c>
      <c r="AB122" s="463">
        <v>311</v>
      </c>
      <c r="AC122" s="463">
        <v>108</v>
      </c>
      <c r="AD122" s="459"/>
      <c r="AE122" s="459"/>
      <c r="AF122" s="459"/>
      <c r="AG122" s="459"/>
      <c r="AH122" s="459"/>
      <c r="AI122" s="459"/>
      <c r="AJ122" s="459"/>
      <c r="AK122" s="459"/>
      <c r="AL122" s="459"/>
      <c r="AM122" s="459"/>
      <c r="AN122" s="459"/>
      <c r="AO122" s="459"/>
      <c r="AP122" s="459"/>
      <c r="AQ122" s="459"/>
      <c r="AR122" s="459"/>
      <c r="AS122" s="459"/>
      <c r="AT122" s="459"/>
      <c r="AU122" s="459"/>
      <c r="AV122" s="459"/>
      <c r="AW122" s="459"/>
      <c r="AX122" s="459"/>
      <c r="AY122" s="459"/>
      <c r="AZ122" s="459"/>
      <c r="BA122" s="459"/>
      <c r="BB122" s="459"/>
      <c r="BC122" s="459"/>
      <c r="BD122" s="459"/>
      <c r="BE122" s="459"/>
      <c r="BF122" s="459"/>
      <c r="BG122" s="459"/>
      <c r="BH122" s="459"/>
      <c r="BI122" s="459"/>
      <c r="BJ122" s="459"/>
      <c r="BK122" s="459"/>
      <c r="BL122" s="459"/>
      <c r="BM122" s="459"/>
      <c r="BN122" s="459"/>
      <c r="BO122" s="459"/>
      <c r="BP122" s="459"/>
      <c r="BQ122" s="459"/>
      <c r="BR122" s="459"/>
      <c r="BS122" s="459"/>
      <c r="BT122" s="459"/>
      <c r="BU122" s="459"/>
      <c r="BV122" s="459"/>
      <c r="BW122" s="459"/>
      <c r="BX122" s="459"/>
      <c r="BY122" s="459"/>
      <c r="BZ122" s="459"/>
      <c r="CA122" s="459"/>
      <c r="CB122" s="459"/>
      <c r="CC122" s="459"/>
      <c r="CD122" s="459"/>
      <c r="CE122" s="459"/>
      <c r="CF122" s="459"/>
      <c r="CG122" s="459"/>
      <c r="CH122" s="459"/>
      <c r="CI122" s="459"/>
      <c r="CJ122" s="459"/>
    </row>
    <row r="123" spans="1:88" s="391" customFormat="1">
      <c r="A123" s="411"/>
      <c r="B123" s="411" t="s">
        <v>19</v>
      </c>
      <c r="C123" s="36">
        <f t="shared" si="76"/>
        <v>23286</v>
      </c>
      <c r="D123" s="463">
        <v>378</v>
      </c>
      <c r="E123" s="463">
        <v>4087</v>
      </c>
      <c r="F123" s="463">
        <v>1188</v>
      </c>
      <c r="G123" s="463">
        <v>580</v>
      </c>
      <c r="H123" s="463">
        <v>492</v>
      </c>
      <c r="I123" s="463">
        <v>256</v>
      </c>
      <c r="J123" s="463">
        <v>617</v>
      </c>
      <c r="K123" s="463">
        <v>1111</v>
      </c>
      <c r="L123" s="463">
        <v>480</v>
      </c>
      <c r="M123" s="463">
        <v>575</v>
      </c>
      <c r="N123" s="463">
        <v>963</v>
      </c>
      <c r="O123" s="463">
        <v>698</v>
      </c>
      <c r="P123" s="463">
        <v>718</v>
      </c>
      <c r="Q123" s="463">
        <v>2655</v>
      </c>
      <c r="R123" s="463">
        <v>824</v>
      </c>
      <c r="S123" s="463">
        <v>1023</v>
      </c>
      <c r="T123" s="463">
        <v>1063</v>
      </c>
      <c r="U123" s="463">
        <v>616</v>
      </c>
      <c r="V123" s="463">
        <v>1419</v>
      </c>
      <c r="W123" s="463">
        <v>211</v>
      </c>
      <c r="X123" s="463">
        <v>815</v>
      </c>
      <c r="Y123" s="463">
        <v>472</v>
      </c>
      <c r="Z123" s="463">
        <v>362</v>
      </c>
      <c r="AA123" s="463">
        <v>457</v>
      </c>
      <c r="AB123" s="463">
        <v>845</v>
      </c>
      <c r="AC123" s="463">
        <v>381</v>
      </c>
      <c r="AD123" s="459"/>
      <c r="AE123" s="459"/>
      <c r="AF123" s="459"/>
      <c r="AG123" s="459"/>
      <c r="AH123" s="459"/>
      <c r="AI123" s="459"/>
      <c r="AJ123" s="459"/>
      <c r="AK123" s="459"/>
      <c r="AL123" s="459"/>
      <c r="AM123" s="459"/>
      <c r="AN123" s="459"/>
      <c r="AO123" s="459"/>
      <c r="AP123" s="459"/>
      <c r="AQ123" s="459"/>
      <c r="AR123" s="459"/>
      <c r="AS123" s="459"/>
      <c r="AT123" s="459"/>
      <c r="AU123" s="459"/>
      <c r="AV123" s="459"/>
      <c r="AW123" s="459"/>
      <c r="AX123" s="459"/>
      <c r="AY123" s="459"/>
      <c r="AZ123" s="459"/>
      <c r="BA123" s="459"/>
      <c r="BB123" s="459"/>
      <c r="BC123" s="459"/>
      <c r="BD123" s="459"/>
      <c r="BE123" s="459"/>
      <c r="BF123" s="459"/>
      <c r="BG123" s="459"/>
      <c r="BH123" s="459"/>
      <c r="BI123" s="459"/>
      <c r="BJ123" s="459"/>
      <c r="BK123" s="459"/>
      <c r="BL123" s="459"/>
      <c r="BM123" s="459"/>
      <c r="BN123" s="459"/>
      <c r="BO123" s="459"/>
      <c r="BP123" s="459"/>
      <c r="BQ123" s="459"/>
      <c r="BR123" s="459"/>
      <c r="BS123" s="459"/>
      <c r="BT123" s="459"/>
      <c r="BU123" s="459"/>
      <c r="BV123" s="459"/>
      <c r="BW123" s="459"/>
      <c r="BX123" s="459"/>
      <c r="BY123" s="459"/>
      <c r="BZ123" s="459"/>
      <c r="CA123" s="459"/>
      <c r="CB123" s="459"/>
      <c r="CC123" s="459"/>
      <c r="CD123" s="459"/>
      <c r="CE123" s="459"/>
      <c r="CF123" s="459"/>
      <c r="CG123" s="459"/>
      <c r="CH123" s="459"/>
      <c r="CI123" s="459"/>
      <c r="CJ123" s="459"/>
    </row>
    <row r="124" spans="1:88" s="391" customFormat="1">
      <c r="A124" s="411"/>
      <c r="B124" s="411" t="s">
        <v>592</v>
      </c>
      <c r="C124" s="36">
        <f t="shared" si="76"/>
        <v>555</v>
      </c>
      <c r="D124" s="463">
        <v>5</v>
      </c>
      <c r="E124" s="463">
        <v>224</v>
      </c>
      <c r="F124" s="463">
        <v>30</v>
      </c>
      <c r="G124" s="463">
        <v>8</v>
      </c>
      <c r="H124" s="463">
        <v>6</v>
      </c>
      <c r="I124" s="463">
        <v>3</v>
      </c>
      <c r="J124" s="463">
        <v>12</v>
      </c>
      <c r="K124" s="463">
        <v>24</v>
      </c>
      <c r="L124" s="463">
        <v>6</v>
      </c>
      <c r="M124" s="463">
        <v>10</v>
      </c>
      <c r="N124" s="463">
        <v>14</v>
      </c>
      <c r="O124" s="463">
        <v>22</v>
      </c>
      <c r="P124" s="463">
        <v>11</v>
      </c>
      <c r="Q124" s="463">
        <v>59</v>
      </c>
      <c r="R124" s="463">
        <v>13</v>
      </c>
      <c r="S124" s="463">
        <v>16</v>
      </c>
      <c r="T124" s="463">
        <v>11</v>
      </c>
      <c r="U124" s="463">
        <v>11</v>
      </c>
      <c r="V124" s="463">
        <v>30</v>
      </c>
      <c r="W124" s="463">
        <v>2</v>
      </c>
      <c r="X124" s="463">
        <v>8</v>
      </c>
      <c r="Y124" s="463">
        <v>5</v>
      </c>
      <c r="Z124" s="463">
        <v>5</v>
      </c>
      <c r="AA124" s="463">
        <v>6</v>
      </c>
      <c r="AB124" s="463">
        <v>11</v>
      </c>
      <c r="AC124" s="463">
        <v>3</v>
      </c>
      <c r="AD124" s="459"/>
      <c r="AE124" s="459"/>
      <c r="AF124" s="459"/>
      <c r="AG124" s="459"/>
      <c r="AH124" s="459"/>
      <c r="AI124" s="459"/>
      <c r="AJ124" s="459"/>
      <c r="AK124" s="459"/>
      <c r="AL124" s="459"/>
      <c r="AM124" s="459"/>
      <c r="AN124" s="459"/>
      <c r="AO124" s="459"/>
      <c r="AP124" s="459"/>
      <c r="AQ124" s="459"/>
      <c r="AR124" s="459"/>
      <c r="AS124" s="459"/>
      <c r="AT124" s="459"/>
      <c r="AU124" s="459"/>
      <c r="AV124" s="459"/>
      <c r="AW124" s="459"/>
      <c r="AX124" s="459"/>
      <c r="AY124" s="459"/>
      <c r="AZ124" s="459"/>
      <c r="BA124" s="459"/>
      <c r="BB124" s="459"/>
      <c r="BC124" s="459"/>
      <c r="BD124" s="459"/>
      <c r="BE124" s="459"/>
      <c r="BF124" s="459"/>
      <c r="BG124" s="459"/>
      <c r="BH124" s="459"/>
      <c r="BI124" s="459"/>
      <c r="BJ124" s="459"/>
      <c r="BK124" s="459"/>
      <c r="BL124" s="459"/>
      <c r="BM124" s="459"/>
      <c r="BN124" s="459"/>
      <c r="BO124" s="459"/>
      <c r="BP124" s="459"/>
      <c r="BQ124" s="459"/>
      <c r="BR124" s="459"/>
      <c r="BS124" s="459"/>
      <c r="BT124" s="459"/>
      <c r="BU124" s="459"/>
      <c r="BV124" s="459"/>
      <c r="BW124" s="459"/>
      <c r="BX124" s="459"/>
      <c r="BY124" s="459"/>
      <c r="BZ124" s="459"/>
      <c r="CA124" s="459"/>
      <c r="CB124" s="459"/>
      <c r="CC124" s="459"/>
      <c r="CD124" s="459"/>
      <c r="CE124" s="459"/>
      <c r="CF124" s="459"/>
      <c r="CG124" s="459"/>
      <c r="CH124" s="459"/>
      <c r="CI124" s="459"/>
      <c r="CJ124" s="459"/>
    </row>
    <row r="125" spans="1:88" s="459" customFormat="1">
      <c r="A125" s="411" t="s">
        <v>589</v>
      </c>
      <c r="B125" s="411" t="s">
        <v>20</v>
      </c>
      <c r="C125" s="36">
        <f t="shared" si="76"/>
        <v>89</v>
      </c>
      <c r="D125" s="463">
        <v>0</v>
      </c>
      <c r="E125" s="463">
        <v>56</v>
      </c>
      <c r="F125" s="463">
        <v>3</v>
      </c>
      <c r="G125" s="463">
        <v>0</v>
      </c>
      <c r="H125" s="463">
        <v>0</v>
      </c>
      <c r="I125" s="463">
        <v>0</v>
      </c>
      <c r="J125" s="463">
        <v>2</v>
      </c>
      <c r="K125" s="463">
        <v>4</v>
      </c>
      <c r="L125" s="463">
        <v>0</v>
      </c>
      <c r="M125" s="463">
        <v>1</v>
      </c>
      <c r="N125" s="463">
        <v>1</v>
      </c>
      <c r="O125" s="463">
        <v>1</v>
      </c>
      <c r="P125" s="463">
        <v>2</v>
      </c>
      <c r="Q125" s="463">
        <v>6</v>
      </c>
      <c r="R125" s="463">
        <v>1</v>
      </c>
      <c r="S125" s="463">
        <v>5</v>
      </c>
      <c r="T125" s="463">
        <v>0</v>
      </c>
      <c r="U125" s="463">
        <v>1</v>
      </c>
      <c r="V125" s="463">
        <v>4</v>
      </c>
      <c r="W125" s="463">
        <v>0</v>
      </c>
      <c r="X125" s="463">
        <v>1</v>
      </c>
      <c r="Y125" s="463">
        <v>0</v>
      </c>
      <c r="Z125" s="463">
        <v>0</v>
      </c>
      <c r="AA125" s="463">
        <v>0</v>
      </c>
      <c r="AB125" s="463">
        <v>1</v>
      </c>
      <c r="AC125" s="463">
        <v>0</v>
      </c>
    </row>
    <row r="126" spans="1:88" s="459" customFormat="1">
      <c r="A126" s="411"/>
      <c r="B126" s="411" t="s">
        <v>19</v>
      </c>
      <c r="C126" s="36">
        <f t="shared" si="76"/>
        <v>696</v>
      </c>
      <c r="D126" s="463">
        <v>5</v>
      </c>
      <c r="E126" s="463">
        <v>331</v>
      </c>
      <c r="F126" s="463">
        <v>30</v>
      </c>
      <c r="G126" s="463">
        <v>9</v>
      </c>
      <c r="H126" s="463">
        <v>8</v>
      </c>
      <c r="I126" s="463">
        <v>4</v>
      </c>
      <c r="J126" s="463">
        <v>22</v>
      </c>
      <c r="K126" s="463">
        <v>36</v>
      </c>
      <c r="L126" s="463">
        <v>6</v>
      </c>
      <c r="M126" s="463">
        <v>11</v>
      </c>
      <c r="N126" s="463">
        <v>10</v>
      </c>
      <c r="O126" s="463">
        <v>12</v>
      </c>
      <c r="P126" s="463">
        <v>12</v>
      </c>
      <c r="Q126" s="463">
        <v>62</v>
      </c>
      <c r="R126" s="463">
        <v>17</v>
      </c>
      <c r="S126" s="463">
        <v>20</v>
      </c>
      <c r="T126" s="463">
        <v>10</v>
      </c>
      <c r="U126" s="463">
        <v>10</v>
      </c>
      <c r="V126" s="463">
        <v>33</v>
      </c>
      <c r="W126" s="463">
        <v>3</v>
      </c>
      <c r="X126" s="463">
        <v>10</v>
      </c>
      <c r="Y126" s="463">
        <v>5</v>
      </c>
      <c r="Z126" s="463">
        <v>6</v>
      </c>
      <c r="AA126" s="647">
        <v>7</v>
      </c>
      <c r="AB126" s="647">
        <v>14</v>
      </c>
      <c r="AC126" s="463">
        <v>3</v>
      </c>
    </row>
    <row r="127" spans="1:88" s="459" customFormat="1">
      <c r="A127" s="411"/>
      <c r="B127" s="411" t="s">
        <v>592</v>
      </c>
      <c r="C127" s="36">
        <f t="shared" si="76"/>
        <v>55</v>
      </c>
      <c r="D127" s="463">
        <v>0</v>
      </c>
      <c r="E127" s="463">
        <v>43</v>
      </c>
      <c r="F127" s="463">
        <v>2</v>
      </c>
      <c r="G127" s="463">
        <v>0</v>
      </c>
      <c r="H127" s="463">
        <v>1</v>
      </c>
      <c r="I127" s="463">
        <v>0</v>
      </c>
      <c r="J127" s="463">
        <v>1</v>
      </c>
      <c r="K127" s="463">
        <v>2</v>
      </c>
      <c r="L127" s="463">
        <v>0</v>
      </c>
      <c r="M127" s="463">
        <v>0</v>
      </c>
      <c r="N127" s="463">
        <v>0</v>
      </c>
      <c r="O127" s="463">
        <v>1</v>
      </c>
      <c r="P127" s="463">
        <v>0</v>
      </c>
      <c r="Q127" s="463">
        <v>2</v>
      </c>
      <c r="R127" s="463">
        <v>0</v>
      </c>
      <c r="S127" s="463">
        <v>2</v>
      </c>
      <c r="T127" s="463">
        <v>0</v>
      </c>
      <c r="U127" s="463">
        <v>0</v>
      </c>
      <c r="V127" s="463">
        <v>1</v>
      </c>
      <c r="W127" s="463">
        <v>0</v>
      </c>
      <c r="X127" s="463">
        <v>0</v>
      </c>
      <c r="Y127" s="463">
        <v>0</v>
      </c>
      <c r="Z127" s="463">
        <v>0</v>
      </c>
      <c r="AA127" s="463">
        <v>0</v>
      </c>
      <c r="AB127" s="463">
        <v>0</v>
      </c>
      <c r="AC127" s="646">
        <v>0</v>
      </c>
    </row>
    <row r="128" spans="1:88" s="459" customFormat="1">
      <c r="A128" s="411" t="s">
        <v>590</v>
      </c>
      <c r="B128" s="411" t="s">
        <v>19</v>
      </c>
      <c r="C128" s="36">
        <f>SUM(D128:AC128)</f>
        <v>360.22233201581031</v>
      </c>
      <c r="D128" s="37">
        <v>4</v>
      </c>
      <c r="E128" s="37">
        <v>130</v>
      </c>
      <c r="F128" s="37">
        <v>17</v>
      </c>
      <c r="G128" s="37">
        <v>11</v>
      </c>
      <c r="H128" s="37">
        <v>5</v>
      </c>
      <c r="I128" s="37">
        <v>3</v>
      </c>
      <c r="J128" s="37">
        <v>8</v>
      </c>
      <c r="K128" s="37">
        <v>11</v>
      </c>
      <c r="L128" s="37">
        <v>7</v>
      </c>
      <c r="M128" s="37">
        <v>5</v>
      </c>
      <c r="N128" s="37">
        <v>10</v>
      </c>
      <c r="O128" s="37">
        <v>9</v>
      </c>
      <c r="P128" s="37">
        <v>7</v>
      </c>
      <c r="Q128" s="37">
        <v>29</v>
      </c>
      <c r="R128" s="37">
        <v>18</v>
      </c>
      <c r="S128" s="37">
        <v>11</v>
      </c>
      <c r="T128" s="37">
        <v>13</v>
      </c>
      <c r="U128" s="37">
        <v>6</v>
      </c>
      <c r="V128" s="37">
        <v>21</v>
      </c>
      <c r="W128" s="37">
        <v>2</v>
      </c>
      <c r="X128" s="37">
        <v>13</v>
      </c>
      <c r="Y128" s="37">
        <v>4</v>
      </c>
      <c r="Z128" s="37">
        <v>4</v>
      </c>
      <c r="AA128" s="37">
        <v>1.6719367588933101</v>
      </c>
      <c r="AB128" s="37">
        <v>0.55039525691700697</v>
      </c>
      <c r="AC128" s="37">
        <v>10</v>
      </c>
    </row>
    <row r="129" spans="1:88" s="459" customFormat="1">
      <c r="A129" s="411" t="s">
        <v>863</v>
      </c>
      <c r="B129" s="411" t="s">
        <v>107</v>
      </c>
      <c r="C129" s="36">
        <f>(B167+C167)/1000000</f>
        <v>4.0654789999999998</v>
      </c>
      <c r="D129" s="37">
        <v>0</v>
      </c>
      <c r="E129" s="37">
        <f>C129</f>
        <v>4.0654789999999998</v>
      </c>
      <c r="F129" s="37">
        <v>0</v>
      </c>
      <c r="G129" s="37">
        <v>0</v>
      </c>
      <c r="H129" s="37">
        <v>0</v>
      </c>
      <c r="I129" s="37">
        <v>0</v>
      </c>
      <c r="J129" s="37">
        <v>0</v>
      </c>
      <c r="K129" s="37">
        <v>0</v>
      </c>
      <c r="L129" s="37">
        <v>0</v>
      </c>
      <c r="M129" s="37">
        <v>0</v>
      </c>
      <c r="N129" s="37">
        <v>0</v>
      </c>
      <c r="O129" s="37">
        <v>0</v>
      </c>
      <c r="P129" s="37">
        <v>0</v>
      </c>
      <c r="Q129" s="37">
        <v>0</v>
      </c>
      <c r="R129" s="37">
        <v>0</v>
      </c>
      <c r="S129" s="37">
        <v>0</v>
      </c>
      <c r="T129" s="37">
        <v>0</v>
      </c>
      <c r="U129" s="37">
        <v>0</v>
      </c>
      <c r="V129" s="37">
        <v>0</v>
      </c>
      <c r="W129" s="37">
        <v>0</v>
      </c>
      <c r="X129" s="37">
        <v>0</v>
      </c>
      <c r="Y129" s="37">
        <v>0</v>
      </c>
      <c r="Z129" s="37">
        <v>0</v>
      </c>
      <c r="AA129" s="37">
        <v>0</v>
      </c>
      <c r="AB129" s="37">
        <v>0</v>
      </c>
      <c r="AC129" s="37">
        <v>0</v>
      </c>
    </row>
    <row r="130" spans="1:88" s="133" customFormat="1">
      <c r="A130" s="796" t="s">
        <v>16</v>
      </c>
      <c r="B130" s="796"/>
      <c r="C130" s="400">
        <f>SUM(C122:C129)</f>
        <v>37181.287811015805</v>
      </c>
      <c r="D130" s="400">
        <f t="shared" ref="D130:AC130" si="77">SUM(D122:D129)</f>
        <v>538</v>
      </c>
      <c r="E130" s="400">
        <f>SUM(E122:E129)</f>
        <v>8175.0654789999999</v>
      </c>
      <c r="F130" s="400">
        <f t="shared" si="77"/>
        <v>1872</v>
      </c>
      <c r="G130" s="400">
        <f t="shared" si="77"/>
        <v>847</v>
      </c>
      <c r="H130" s="400">
        <f t="shared" si="77"/>
        <v>687</v>
      </c>
      <c r="I130" s="400">
        <f t="shared" si="77"/>
        <v>347</v>
      </c>
      <c r="J130" s="400">
        <f t="shared" si="77"/>
        <v>935</v>
      </c>
      <c r="K130" s="400">
        <f t="shared" si="77"/>
        <v>1665</v>
      </c>
      <c r="L130" s="400">
        <f t="shared" si="77"/>
        <v>672</v>
      </c>
      <c r="M130" s="400">
        <f t="shared" si="77"/>
        <v>802</v>
      </c>
      <c r="N130" s="400">
        <f t="shared" si="77"/>
        <v>1406</v>
      </c>
      <c r="O130" s="400">
        <f t="shared" si="77"/>
        <v>1184</v>
      </c>
      <c r="P130" s="400">
        <f t="shared" si="77"/>
        <v>1092</v>
      </c>
      <c r="Q130" s="400">
        <f t="shared" si="77"/>
        <v>4397</v>
      </c>
      <c r="R130" s="400">
        <f t="shared" si="77"/>
        <v>1314</v>
      </c>
      <c r="S130" s="400">
        <f t="shared" si="77"/>
        <v>1618</v>
      </c>
      <c r="T130" s="400">
        <f t="shared" si="77"/>
        <v>1536</v>
      </c>
      <c r="U130" s="400">
        <f t="shared" si="77"/>
        <v>1001</v>
      </c>
      <c r="V130" s="400">
        <f t="shared" si="77"/>
        <v>2129</v>
      </c>
      <c r="W130" s="400">
        <f t="shared" si="77"/>
        <v>290</v>
      </c>
      <c r="X130" s="400">
        <f t="shared" si="77"/>
        <v>1160</v>
      </c>
      <c r="Y130" s="400">
        <f t="shared" si="77"/>
        <v>670</v>
      </c>
      <c r="Z130" s="400">
        <f t="shared" si="77"/>
        <v>535</v>
      </c>
      <c r="AA130" s="400">
        <f t="shared" si="77"/>
        <v>621.67193675889337</v>
      </c>
      <c r="AB130" s="400">
        <f t="shared" si="77"/>
        <v>1182.550395256917</v>
      </c>
      <c r="AC130" s="400">
        <f t="shared" si="77"/>
        <v>505</v>
      </c>
      <c r="AD130" s="459"/>
      <c r="AE130" s="459"/>
      <c r="AF130" s="459"/>
      <c r="AG130" s="459"/>
      <c r="AH130" s="459"/>
      <c r="AI130" s="459"/>
      <c r="AJ130" s="459"/>
      <c r="AK130" s="459"/>
      <c r="AL130" s="459"/>
      <c r="AM130" s="459"/>
      <c r="AN130" s="459"/>
      <c r="AO130" s="459"/>
      <c r="AP130" s="459"/>
      <c r="AQ130" s="459"/>
      <c r="AR130" s="459"/>
      <c r="AS130" s="459"/>
      <c r="AT130" s="459"/>
      <c r="AU130" s="459"/>
      <c r="AV130" s="459"/>
      <c r="AW130" s="459"/>
      <c r="AX130" s="459"/>
      <c r="AY130" s="459"/>
      <c r="AZ130" s="459"/>
      <c r="BA130" s="459"/>
      <c r="BB130" s="459"/>
      <c r="BC130" s="459"/>
      <c r="BD130" s="459"/>
      <c r="BE130" s="459"/>
      <c r="BF130" s="459"/>
      <c r="BG130" s="459"/>
      <c r="BH130" s="459"/>
      <c r="BI130" s="459"/>
      <c r="BJ130" s="459"/>
      <c r="BK130" s="459"/>
      <c r="BL130" s="459"/>
      <c r="BM130" s="459"/>
      <c r="BN130" s="459"/>
      <c r="BO130" s="459"/>
      <c r="BP130" s="459"/>
      <c r="BQ130" s="459"/>
      <c r="BR130" s="459"/>
      <c r="BS130" s="459"/>
      <c r="BT130" s="459"/>
      <c r="BU130" s="459"/>
      <c r="BV130" s="459"/>
      <c r="BW130" s="459"/>
      <c r="BX130" s="459"/>
      <c r="BY130" s="459"/>
      <c r="BZ130" s="459"/>
      <c r="CA130" s="459"/>
      <c r="CB130" s="459"/>
      <c r="CC130" s="459"/>
      <c r="CD130" s="459"/>
      <c r="CE130" s="459"/>
      <c r="CF130" s="459"/>
      <c r="CG130" s="459"/>
      <c r="CH130" s="459"/>
      <c r="CI130" s="459"/>
      <c r="CJ130" s="459"/>
    </row>
    <row r="131" spans="1:88" s="391" customFormat="1">
      <c r="A131" s="411" t="s">
        <v>593</v>
      </c>
      <c r="AA131" s="459"/>
      <c r="AB131" s="459"/>
      <c r="AD131" s="459"/>
      <c r="AE131" s="459"/>
      <c r="AF131" s="459"/>
      <c r="AG131" s="459"/>
      <c r="AH131" s="459"/>
      <c r="AI131" s="459"/>
      <c r="AJ131" s="459"/>
      <c r="AK131" s="459"/>
      <c r="AL131" s="459"/>
      <c r="AM131" s="459"/>
      <c r="AN131" s="459"/>
      <c r="AO131" s="459"/>
      <c r="AP131" s="459"/>
      <c r="AQ131" s="459"/>
      <c r="AR131" s="459"/>
      <c r="AS131" s="459"/>
      <c r="AT131" s="459"/>
      <c r="AU131" s="459"/>
      <c r="AV131" s="459"/>
      <c r="AW131" s="459"/>
      <c r="AX131" s="459"/>
      <c r="AY131" s="459"/>
      <c r="AZ131" s="459"/>
      <c r="BA131" s="459"/>
      <c r="BB131" s="459"/>
      <c r="BC131" s="459"/>
      <c r="BD131" s="459"/>
      <c r="BE131" s="459"/>
      <c r="BF131" s="459"/>
      <c r="BG131" s="459"/>
      <c r="BH131" s="459"/>
      <c r="BI131" s="459"/>
      <c r="BJ131" s="459"/>
      <c r="BK131" s="459"/>
      <c r="BL131" s="459"/>
      <c r="BM131" s="459"/>
      <c r="BN131" s="459"/>
      <c r="BO131" s="459"/>
      <c r="BP131" s="459"/>
      <c r="BQ131" s="459"/>
      <c r="BR131" s="459"/>
      <c r="BS131" s="459"/>
      <c r="BT131" s="459"/>
      <c r="BU131" s="459"/>
      <c r="BV131" s="459"/>
      <c r="BW131" s="459"/>
      <c r="BX131" s="459"/>
      <c r="BY131" s="459"/>
      <c r="BZ131" s="459"/>
      <c r="CA131" s="459"/>
      <c r="CB131" s="459"/>
      <c r="CC131" s="459"/>
      <c r="CD131" s="459"/>
      <c r="CE131" s="459"/>
      <c r="CF131" s="459"/>
      <c r="CG131" s="459"/>
      <c r="CH131" s="459"/>
      <c r="CI131" s="459"/>
      <c r="CJ131" s="459"/>
    </row>
    <row r="132" spans="1:88" s="459" customFormat="1">
      <c r="A132" s="411"/>
    </row>
    <row r="133" spans="1:88" s="391" customFormat="1">
      <c r="B133" s="8"/>
      <c r="D133" s="9"/>
      <c r="AA133" s="459"/>
      <c r="AB133" s="459"/>
      <c r="AD133" s="459"/>
      <c r="AE133" s="459"/>
      <c r="AF133" s="459"/>
      <c r="AG133" s="459"/>
      <c r="AH133" s="459"/>
      <c r="AI133" s="459"/>
      <c r="AJ133" s="459"/>
      <c r="AK133" s="459"/>
      <c r="AL133" s="459"/>
      <c r="AM133" s="459"/>
      <c r="AN133" s="459"/>
      <c r="AO133" s="459"/>
      <c r="AP133" s="459"/>
      <c r="AQ133" s="459"/>
      <c r="AR133" s="459"/>
      <c r="AS133" s="459"/>
      <c r="AT133" s="459"/>
      <c r="AU133" s="459"/>
      <c r="AV133" s="459"/>
      <c r="AW133" s="459"/>
      <c r="AX133" s="459"/>
      <c r="AY133" s="459"/>
      <c r="AZ133" s="459"/>
      <c r="BA133" s="459"/>
      <c r="BB133" s="459"/>
      <c r="BC133" s="459"/>
      <c r="BD133" s="459"/>
      <c r="BE133" s="459"/>
      <c r="BF133" s="459"/>
      <c r="BG133" s="459"/>
      <c r="BH133" s="459"/>
      <c r="BI133" s="459"/>
      <c r="BJ133" s="459"/>
      <c r="BK133" s="459"/>
      <c r="BL133" s="459"/>
      <c r="BM133" s="459"/>
      <c r="BN133" s="459"/>
      <c r="BO133" s="459"/>
      <c r="BP133" s="459"/>
      <c r="BQ133" s="459"/>
      <c r="BR133" s="459"/>
      <c r="BS133" s="459"/>
      <c r="BT133" s="459"/>
      <c r="BU133" s="459"/>
      <c r="BV133" s="459"/>
      <c r="BW133" s="459"/>
      <c r="BX133" s="459"/>
      <c r="BY133" s="459"/>
      <c r="BZ133" s="459"/>
      <c r="CA133" s="459"/>
      <c r="CB133" s="459"/>
      <c r="CC133" s="459"/>
      <c r="CD133" s="459"/>
      <c r="CE133" s="459"/>
      <c r="CF133" s="459"/>
      <c r="CG133" s="459"/>
      <c r="CH133" s="459"/>
      <c r="CI133" s="459"/>
      <c r="CJ133" s="459"/>
    </row>
    <row r="134" spans="1:88" s="459" customFormat="1">
      <c r="B134" s="8"/>
      <c r="E134" s="35"/>
    </row>
    <row r="135" spans="1:88" s="459" customFormat="1" ht="15.6">
      <c r="A135" s="425" t="s">
        <v>594</v>
      </c>
      <c r="B135" s="11"/>
      <c r="C135" s="11"/>
    </row>
    <row r="136" spans="1:88" s="459" customFormat="1">
      <c r="A136" s="131" t="s">
        <v>596</v>
      </c>
      <c r="B136" s="131" t="s">
        <v>597</v>
      </c>
      <c r="C136" s="130" t="str">
        <f>Regions!C3</f>
        <v>IE</v>
      </c>
      <c r="D136" s="130" t="str">
        <f>Regions!E3</f>
        <v>IE-CW</v>
      </c>
      <c r="E136" s="130" t="str">
        <f>Regions!F3</f>
        <v>IE-D</v>
      </c>
      <c r="F136" s="130" t="str">
        <f>Regions!G3</f>
        <v>IE-KE</v>
      </c>
      <c r="G136" s="130" t="str">
        <f>Regions!H3</f>
        <v>IE-KK</v>
      </c>
      <c r="H136" s="130" t="str">
        <f>Regions!I3</f>
        <v>IE-LS</v>
      </c>
      <c r="I136" s="130" t="str">
        <f>Regions!J3</f>
        <v>IE-LD</v>
      </c>
      <c r="J136" s="130" t="str">
        <f>Regions!K3</f>
        <v>IE-LH</v>
      </c>
      <c r="K136" s="130" t="str">
        <f>Regions!L3</f>
        <v>IE-MH</v>
      </c>
      <c r="L136" s="130" t="str">
        <f>Regions!M3</f>
        <v>IE-OY</v>
      </c>
      <c r="M136" s="130" t="str">
        <f>Regions!N3</f>
        <v>IE-WH</v>
      </c>
      <c r="N136" s="130" t="str">
        <f>Regions!O3</f>
        <v>IE-WX</v>
      </c>
      <c r="O136" s="130" t="str">
        <f>Regions!P3</f>
        <v>IE-WW</v>
      </c>
      <c r="P136" s="130" t="str">
        <f>Regions!Q3</f>
        <v>IE-CE</v>
      </c>
      <c r="Q136" s="130" t="str">
        <f>Regions!R3</f>
        <v>IE-CO</v>
      </c>
      <c r="R136" s="130" t="str">
        <f>Regions!S3</f>
        <v>IE-KY</v>
      </c>
      <c r="S136" s="130" t="str">
        <f>Regions!T3</f>
        <v>IE-LK</v>
      </c>
      <c r="T136" s="130" t="str">
        <f>Regions!U3</f>
        <v>IE-TA</v>
      </c>
      <c r="U136" s="130" t="str">
        <f>Regions!V3</f>
        <v>IE-WD</v>
      </c>
      <c r="V136" s="130" t="str">
        <f>Regions!W3</f>
        <v>IE-G</v>
      </c>
      <c r="W136" s="130" t="str">
        <f>Regions!X3</f>
        <v>IE-LM</v>
      </c>
      <c r="X136" s="130" t="str">
        <f>Regions!Y3</f>
        <v>IE-MO</v>
      </c>
      <c r="Y136" s="130" t="str">
        <f>Regions!Z3</f>
        <v>IE-RN</v>
      </c>
      <c r="Z136" s="130" t="str">
        <f>Regions!AA3</f>
        <v>IE-SO</v>
      </c>
      <c r="AA136" s="130" t="str">
        <f>Regions!AB3</f>
        <v>IE-CN</v>
      </c>
      <c r="AB136" s="130" t="str">
        <f>Regions!AC3</f>
        <v>IE-DL</v>
      </c>
      <c r="AC136" s="130" t="str">
        <f>Regions!AD3</f>
        <v>IE-MN</v>
      </c>
    </row>
    <row r="137" spans="1:88" s="459" customFormat="1" ht="16.2">
      <c r="A137" s="459" t="s">
        <v>607</v>
      </c>
      <c r="B137" s="459" t="s">
        <v>362</v>
      </c>
      <c r="C137" s="463">
        <f>C130*B235*I235/H235</f>
        <v>4713.1209901287639</v>
      </c>
      <c r="D137" s="463">
        <f t="shared" ref="D137:AC137" si="78">$C$137*C180</f>
        <v>56.349225400134316</v>
      </c>
      <c r="E137" s="463">
        <f>$C$137*D180</f>
        <v>1333.5669919535535</v>
      </c>
      <c r="F137" s="463">
        <f t="shared" si="78"/>
        <v>220.22637617563907</v>
      </c>
      <c r="G137" s="463">
        <f t="shared" si="78"/>
        <v>98.216228744926028</v>
      </c>
      <c r="H137" s="463">
        <f t="shared" si="78"/>
        <v>83.830013765811429</v>
      </c>
      <c r="I137" s="463">
        <f t="shared" si="78"/>
        <v>40.454610584200275</v>
      </c>
      <c r="J137" s="463">
        <f t="shared" si="78"/>
        <v>127.56470116052328</v>
      </c>
      <c r="K137" s="463">
        <f t="shared" si="78"/>
        <v>193.04746573006037</v>
      </c>
      <c r="L137" s="463">
        <f t="shared" si="78"/>
        <v>77.162965668163267</v>
      </c>
      <c r="M137" s="463">
        <f t="shared" si="78"/>
        <v>87.861321203715363</v>
      </c>
      <c r="N137" s="463">
        <f t="shared" si="78"/>
        <v>148.18939656711356</v>
      </c>
      <c r="O137" s="463">
        <f t="shared" si="78"/>
        <v>140.96709104921888</v>
      </c>
      <c r="P137" s="463">
        <f t="shared" si="78"/>
        <v>117.60075026993182</v>
      </c>
      <c r="Q137" s="463">
        <f t="shared" si="78"/>
        <v>537.31102533759781</v>
      </c>
      <c r="R137" s="463">
        <f t="shared" si="78"/>
        <v>146.19502276711938</v>
      </c>
      <c r="S137" s="463">
        <f t="shared" si="78"/>
        <v>192.90394999755458</v>
      </c>
      <c r="T137" s="463">
        <f t="shared" si="78"/>
        <v>157.91976323100596</v>
      </c>
      <c r="U137" s="463">
        <f t="shared" si="78"/>
        <v>114.98678441098158</v>
      </c>
      <c r="V137" s="463">
        <f t="shared" si="78"/>
        <v>255.41643378605812</v>
      </c>
      <c r="W137" s="463">
        <f t="shared" si="78"/>
        <v>31.715987120106512</v>
      </c>
      <c r="X137" s="463">
        <f t="shared" si="78"/>
        <v>129.17108760091566</v>
      </c>
      <c r="Y137" s="463">
        <f t="shared" si="78"/>
        <v>63.883306474851913</v>
      </c>
      <c r="Z137" s="463">
        <f t="shared" si="78"/>
        <v>64.86416227425353</v>
      </c>
      <c r="AA137" s="463">
        <f t="shared" si="78"/>
        <v>75.396237512833409</v>
      </c>
      <c r="AB137" s="463">
        <f t="shared" si="78"/>
        <v>157.56245854525014</v>
      </c>
      <c r="AC137" s="463">
        <f t="shared" si="78"/>
        <v>60.757632797243112</v>
      </c>
    </row>
    <row r="138" spans="1:88" s="459" customFormat="1">
      <c r="B138" s="459" t="s">
        <v>363</v>
      </c>
      <c r="C138" s="463">
        <f>C130*B235*K235/H235</f>
        <v>785.52016502146068</v>
      </c>
      <c r="D138" s="463">
        <f t="shared" ref="D138:AC138" si="79">$C$138*C180</f>
        <v>9.3915375666890526</v>
      </c>
      <c r="E138" s="463">
        <f t="shared" si="79"/>
        <v>222.26116532559226</v>
      </c>
      <c r="F138" s="463">
        <f t="shared" si="79"/>
        <v>36.704396029273184</v>
      </c>
      <c r="G138" s="463">
        <f t="shared" si="79"/>
        <v>16.36937145748767</v>
      </c>
      <c r="H138" s="463">
        <f t="shared" si="79"/>
        <v>13.971668960968572</v>
      </c>
      <c r="I138" s="463">
        <f t="shared" si="79"/>
        <v>6.7424350973667124</v>
      </c>
      <c r="J138" s="463">
        <f t="shared" si="79"/>
        <v>21.260783526753883</v>
      </c>
      <c r="K138" s="463">
        <f t="shared" si="79"/>
        <v>32.174577621676733</v>
      </c>
      <c r="L138" s="463">
        <f t="shared" si="79"/>
        <v>12.860494278027211</v>
      </c>
      <c r="M138" s="463">
        <f t="shared" si="79"/>
        <v>14.643553533952561</v>
      </c>
      <c r="N138" s="463">
        <f t="shared" si="79"/>
        <v>24.698232761185597</v>
      </c>
      <c r="O138" s="463">
        <f t="shared" si="79"/>
        <v>23.494515174869814</v>
      </c>
      <c r="P138" s="463">
        <f t="shared" si="79"/>
        <v>19.600125044988637</v>
      </c>
      <c r="Q138" s="463">
        <f t="shared" si="79"/>
        <v>89.551837556266307</v>
      </c>
      <c r="R138" s="463">
        <f t="shared" si="79"/>
        <v>24.365837127853229</v>
      </c>
      <c r="S138" s="463">
        <f t="shared" si="79"/>
        <v>32.150658332925765</v>
      </c>
      <c r="T138" s="463">
        <f t="shared" si="79"/>
        <v>26.319960538500993</v>
      </c>
      <c r="U138" s="463">
        <f t="shared" si="79"/>
        <v>19.164464068496933</v>
      </c>
      <c r="V138" s="463">
        <f t="shared" si="79"/>
        <v>42.569405631009687</v>
      </c>
      <c r="W138" s="463">
        <f t="shared" si="79"/>
        <v>5.2859978533510859</v>
      </c>
      <c r="X138" s="463">
        <f t="shared" si="79"/>
        <v>21.528514600152608</v>
      </c>
      <c r="Y138" s="463">
        <f t="shared" si="79"/>
        <v>10.647217745808652</v>
      </c>
      <c r="Z138" s="463">
        <f t="shared" si="79"/>
        <v>10.81069371237559</v>
      </c>
      <c r="AA138" s="463">
        <f t="shared" si="79"/>
        <v>12.566039585472234</v>
      </c>
      <c r="AB138" s="463">
        <f t="shared" si="79"/>
        <v>26.260409757541691</v>
      </c>
      <c r="AC138" s="463">
        <f t="shared" si="79"/>
        <v>10.126272132873853</v>
      </c>
    </row>
    <row r="139" spans="1:88" s="459" customFormat="1" ht="16.2">
      <c r="A139" s="459" t="s">
        <v>608</v>
      </c>
      <c r="B139" s="459" t="s">
        <v>595</v>
      </c>
      <c r="C139" s="36">
        <f>C121*ACT2FLO!D10</f>
        <v>119.9</v>
      </c>
      <c r="D139" s="36">
        <f>D121*ACT2FLO!E10</f>
        <v>1.1000000000000001</v>
      </c>
      <c r="E139" s="36">
        <f>E121*ACT2FLO!F10</f>
        <v>38.5</v>
      </c>
      <c r="F139" s="36">
        <f>F121*ACT2FLO!G10</f>
        <v>6.6000000000000005</v>
      </c>
      <c r="G139" s="36">
        <f>G121*ACT2FLO!H10</f>
        <v>2.2000000000000002</v>
      </c>
      <c r="H139" s="36">
        <f>H121*ACT2FLO!I10</f>
        <v>1.1000000000000001</v>
      </c>
      <c r="I139" s="36">
        <f>I121*ACT2FLO!J10</f>
        <v>1.1000000000000001</v>
      </c>
      <c r="J139" s="36">
        <f>J121*ACT2FLO!K10</f>
        <v>2.2000000000000002</v>
      </c>
      <c r="K139" s="36">
        <f>K121*ACT2FLO!L10</f>
        <v>5.5</v>
      </c>
      <c r="L139" s="36">
        <f>L121*ACT2FLO!M10</f>
        <v>2.2000000000000002</v>
      </c>
      <c r="M139" s="36">
        <f>M121*ACT2FLO!N10</f>
        <v>2.2000000000000002</v>
      </c>
      <c r="N139" s="36">
        <f>N121*ACT2FLO!O10</f>
        <v>4.4000000000000004</v>
      </c>
      <c r="O139" s="36">
        <f>O121*ACT2FLO!P10</f>
        <v>4.4000000000000004</v>
      </c>
      <c r="P139" s="36">
        <f>P121*ACT2FLO!Q10</f>
        <v>3.3000000000000003</v>
      </c>
      <c r="Q139" s="36">
        <f>Q121*ACT2FLO!R10</f>
        <v>16.5</v>
      </c>
      <c r="R139" s="36">
        <f>R121*ACT2FLO!S10</f>
        <v>3.3000000000000003</v>
      </c>
      <c r="S139" s="36">
        <f>S121*ACT2FLO!T10</f>
        <v>4.4000000000000004</v>
      </c>
      <c r="T139" s="36">
        <f>T121*ACT2FLO!U10</f>
        <v>4.4000000000000004</v>
      </c>
      <c r="U139" s="36">
        <f>U121*ACT2FLO!V10</f>
        <v>3.3000000000000003</v>
      </c>
      <c r="V139" s="36">
        <f>V121*ACT2FLO!W10</f>
        <v>4.4000000000000004</v>
      </c>
      <c r="W139" s="36">
        <f>W121*ACT2FLO!X10</f>
        <v>0</v>
      </c>
      <c r="X139" s="36">
        <f>X121*ACT2FLO!Y10</f>
        <v>2.2000000000000002</v>
      </c>
      <c r="Y139" s="36">
        <f>Y121*ACT2FLO!Z10</f>
        <v>1.1000000000000001</v>
      </c>
      <c r="Z139" s="36">
        <f>Z121*ACT2FLO!AA10</f>
        <v>1.1000000000000001</v>
      </c>
      <c r="AA139" s="36">
        <f>AA121*ACT2FLO!AB10</f>
        <v>1.1000000000000001</v>
      </c>
      <c r="AB139" s="36">
        <f>AB121*ACT2FLO!AC10</f>
        <v>2.2000000000000002</v>
      </c>
      <c r="AC139" s="36">
        <f>AC121*ACT2FLO!AD10</f>
        <v>1.1000000000000001</v>
      </c>
    </row>
    <row r="140" spans="1:88" s="459" customFormat="1" ht="16.2">
      <c r="A140" s="411" t="s">
        <v>609</v>
      </c>
      <c r="B140" s="411" t="s">
        <v>598</v>
      </c>
      <c r="C140" s="463">
        <f>C122*ACT2FLO!D11</f>
        <v>18107.051841077624</v>
      </c>
      <c r="D140" s="463">
        <f>D122*ACT2FLO!E11</f>
        <v>217.83368233333329</v>
      </c>
      <c r="E140" s="463">
        <f>E122*ACT2FLO!F11</f>
        <v>4923.638025342465</v>
      </c>
      <c r="F140" s="463">
        <f>F122*ACT2FLO!G11</f>
        <v>898.19093674429212</v>
      </c>
      <c r="G140" s="463">
        <f>G122*ACT2FLO!H11</f>
        <v>356.59075395662097</v>
      </c>
      <c r="H140" s="463">
        <f>H122*ACT2FLO!I11</f>
        <v>261.10201649543376</v>
      </c>
      <c r="I140" s="463">
        <f>I122*ACT2FLO!J11</f>
        <v>120.85293334931505</v>
      </c>
      <c r="J140" s="463">
        <f>J122*ACT2FLO!K11</f>
        <v>407.31914573287662</v>
      </c>
      <c r="K140" s="463">
        <f>K122*ACT2FLO!L11</f>
        <v>711.6894963904108</v>
      </c>
      <c r="L140" s="463">
        <f>L122*ACT2FLO!M11</f>
        <v>258.11799344977163</v>
      </c>
      <c r="M140" s="463">
        <f>M122*ACT2FLO!N11</f>
        <v>298.40230456620998</v>
      </c>
      <c r="N140" s="463">
        <f>N122*ACT2FLO!O11</f>
        <v>608.74070131506835</v>
      </c>
      <c r="O140" s="463">
        <f>O122*ACT2FLO!P11</f>
        <v>657.97708156849308</v>
      </c>
      <c r="P140" s="463">
        <f>P122*ACT2FLO!Q11</f>
        <v>510.26794080821912</v>
      </c>
      <c r="Q140" s="463">
        <f>Q122*ACT2FLO!R11</f>
        <v>2363.3462521643833</v>
      </c>
      <c r="R140" s="463">
        <f>R122*ACT2FLO!S11</f>
        <v>657.97708156849308</v>
      </c>
      <c r="S140" s="463">
        <f>S122*ACT2FLO!T11</f>
        <v>807.17823385159807</v>
      </c>
      <c r="T140" s="463">
        <f>T122*ACT2FLO!U11</f>
        <v>654.99305852283089</v>
      </c>
      <c r="U140" s="463">
        <f>U122*ACT2FLO!V11</f>
        <v>532.64811365068488</v>
      </c>
      <c r="V140" s="463">
        <f>V122*ACT2FLO!W11</f>
        <v>926.53915567808201</v>
      </c>
      <c r="W140" s="463">
        <f>W122*ACT2FLO!X11</f>
        <v>107.42482964383559</v>
      </c>
      <c r="X140" s="463">
        <f>X122*ACT2FLO!Y11</f>
        <v>466.99960664611865</v>
      </c>
      <c r="Y140" s="463">
        <f>Y122*ACT2FLO!Z11</f>
        <v>274.53012020091319</v>
      </c>
      <c r="Z140" s="463">
        <f>Z122*ACT2FLO!AA11</f>
        <v>235.73782060730591</v>
      </c>
      <c r="AA140" s="463">
        <f>AA122*ACT2FLO!AB11</f>
        <v>223.80172842465751</v>
      </c>
      <c r="AB140" s="463">
        <f>AB122*ACT2FLO!AC11</f>
        <v>464.01558360045652</v>
      </c>
      <c r="AC140" s="463">
        <f>AC122*ACT2FLO!AD11</f>
        <v>161.13724446575341</v>
      </c>
    </row>
    <row r="141" spans="1:88" s="459" customFormat="1">
      <c r="A141" s="411"/>
      <c r="B141" s="411" t="s">
        <v>599</v>
      </c>
      <c r="C141" s="463">
        <f>C123*ACT2FLO!D12</f>
        <v>34742.98032064383</v>
      </c>
      <c r="D141" s="463">
        <f>D123*ACT2FLO!E12</f>
        <v>563.98035563013684</v>
      </c>
      <c r="E141" s="463">
        <f>E123*ACT2FLO!F12</f>
        <v>6097.851093810501</v>
      </c>
      <c r="F141" s="463">
        <f>F123*ACT2FLO!G12</f>
        <v>1772.5096891232874</v>
      </c>
      <c r="G141" s="463">
        <f>G123*ACT2FLO!H12</f>
        <v>865.366683242009</v>
      </c>
      <c r="H141" s="463">
        <f>H123*ACT2FLO!I12</f>
        <v>734.06966923287655</v>
      </c>
      <c r="I141" s="463">
        <f>I123*ACT2FLO!J12</f>
        <v>381.9549498447488</v>
      </c>
      <c r="J141" s="463">
        <f>J123*ACT2FLO!K12</f>
        <v>920.57110958675787</v>
      </c>
      <c r="K141" s="463">
        <f>K123*ACT2FLO!L12</f>
        <v>1657.6248018652966</v>
      </c>
      <c r="L141" s="463">
        <f>L123*ACT2FLO!M12</f>
        <v>716.16553095890401</v>
      </c>
      <c r="M141" s="463">
        <f>M123*ACT2FLO!N12</f>
        <v>857.90662562785371</v>
      </c>
      <c r="N141" s="463">
        <f>N123*ACT2FLO!O12</f>
        <v>1436.8070964863011</v>
      </c>
      <c r="O141" s="463">
        <f>O123*ACT2FLO!P12</f>
        <v>1041.424042936073</v>
      </c>
      <c r="P141" s="463">
        <f>P123*ACT2FLO!Q12</f>
        <v>1071.2642733926939</v>
      </c>
      <c r="Q141" s="463">
        <f>Q123*ACT2FLO!R12</f>
        <v>3961.2905931164378</v>
      </c>
      <c r="R141" s="463">
        <f>R123*ACT2FLO!S12</f>
        <v>1229.4174948127852</v>
      </c>
      <c r="S141" s="463">
        <f>S123*ACT2FLO!T12</f>
        <v>1526.3277878561642</v>
      </c>
      <c r="T141" s="463">
        <f>T123*ACT2FLO!U12</f>
        <v>1586.0082487694062</v>
      </c>
      <c r="U141" s="463">
        <f>U123*ACT2FLO!V12</f>
        <v>919.07909806392684</v>
      </c>
      <c r="V141" s="463">
        <f>V123*ACT2FLO!W12</f>
        <v>2117.1643508972597</v>
      </c>
      <c r="W141" s="463">
        <f>W123*ACT2FLO!X12</f>
        <v>314.81443131735153</v>
      </c>
      <c r="X141" s="463">
        <f>X123*ACT2FLO!Y12</f>
        <v>1215.9893911073057</v>
      </c>
      <c r="Y141" s="463">
        <f>Y123*ACT2FLO!Z12</f>
        <v>704.22943877625562</v>
      </c>
      <c r="Z141" s="463">
        <f>Z123*ACT2FLO!AA12</f>
        <v>540.10817126484005</v>
      </c>
      <c r="AA141" s="463">
        <f>AA123*ACT2FLO!AB12</f>
        <v>681.84926593378987</v>
      </c>
      <c r="AB141" s="463">
        <f>AB123*ACT2FLO!AC12</f>
        <v>1260.7497367922372</v>
      </c>
      <c r="AC141" s="463">
        <f>AC123*ACT2FLO!AD12</f>
        <v>568.45639019863006</v>
      </c>
    </row>
    <row r="142" spans="1:88" s="459" customFormat="1">
      <c r="A142" s="411"/>
      <c r="B142" s="411" t="s">
        <v>600</v>
      </c>
      <c r="C142" s="463">
        <f>C124*ACT2FLO!D13</f>
        <v>828.06639517123278</v>
      </c>
      <c r="D142" s="463">
        <f>D124*ACT2FLO!E13</f>
        <v>7.4600576141552501</v>
      </c>
      <c r="E142" s="463">
        <f>E124*ACT2FLO!F13</f>
        <v>334.21058111415522</v>
      </c>
      <c r="F142" s="463">
        <f>F124*ACT2FLO!G13</f>
        <v>44.760345684931501</v>
      </c>
      <c r="G142" s="463">
        <f>G124*ACT2FLO!H13</f>
        <v>11.9360921826484</v>
      </c>
      <c r="H142" s="463">
        <f>H124*ACT2FLO!I13</f>
        <v>8.9520691369862995</v>
      </c>
      <c r="I142" s="463">
        <f>I124*ACT2FLO!J13</f>
        <v>4.4760345684931497</v>
      </c>
      <c r="J142" s="463">
        <f>J124*ACT2FLO!K13</f>
        <v>17.904138273972599</v>
      </c>
      <c r="K142" s="463">
        <f>K124*ACT2FLO!L13</f>
        <v>35.808276547945198</v>
      </c>
      <c r="L142" s="463">
        <f>L124*ACT2FLO!M13</f>
        <v>8.9520691369862995</v>
      </c>
      <c r="M142" s="463">
        <f>M124*ACT2FLO!N13</f>
        <v>14.9201152283105</v>
      </c>
      <c r="N142" s="463">
        <f>N124*ACT2FLO!O13</f>
        <v>20.888161319634701</v>
      </c>
      <c r="O142" s="463">
        <f>O124*ACT2FLO!P13</f>
        <v>32.824253502283099</v>
      </c>
      <c r="P142" s="463">
        <f>P124*ACT2FLO!Q13</f>
        <v>16.41212675114155</v>
      </c>
      <c r="Q142" s="463">
        <f>Q124*ACT2FLO!R13</f>
        <v>88.028679847031952</v>
      </c>
      <c r="R142" s="463">
        <f>R124*ACT2FLO!S13</f>
        <v>19.396149796803648</v>
      </c>
      <c r="S142" s="463">
        <f>S124*ACT2FLO!T13</f>
        <v>23.8721843652968</v>
      </c>
      <c r="T142" s="463">
        <f>T124*ACT2FLO!U13</f>
        <v>16.41212675114155</v>
      </c>
      <c r="U142" s="463">
        <f>U124*ACT2FLO!V13</f>
        <v>16.41212675114155</v>
      </c>
      <c r="V142" s="463">
        <f>V124*ACT2FLO!W13</f>
        <v>44.760345684931501</v>
      </c>
      <c r="W142" s="463">
        <f>W124*ACT2FLO!X13</f>
        <v>2.9840230456621</v>
      </c>
      <c r="X142" s="463">
        <f>X124*ACT2FLO!Y13</f>
        <v>11.9360921826484</v>
      </c>
      <c r="Y142" s="463">
        <f>Y124*ACT2FLO!Z13</f>
        <v>7.4600576141552501</v>
      </c>
      <c r="Z142" s="463">
        <f>Z124*ACT2FLO!AA13</f>
        <v>7.4600576141552501</v>
      </c>
      <c r="AA142" s="463">
        <f>AA124*ACT2FLO!AB13</f>
        <v>8.9520691369862995</v>
      </c>
      <c r="AB142" s="463">
        <f>AB124*ACT2FLO!AC13</f>
        <v>16.41212675114155</v>
      </c>
      <c r="AC142" s="463">
        <f>AC124*ACT2FLO!AD13</f>
        <v>4.4760345684931497</v>
      </c>
    </row>
    <row r="143" spans="1:88" s="459" customFormat="1">
      <c r="A143" s="411"/>
      <c r="B143" s="39" t="s">
        <v>615</v>
      </c>
      <c r="C143" s="463">
        <f>SUM(C140:C142)</f>
        <v>53678.098556892684</v>
      </c>
      <c r="D143" s="463">
        <f>SUM(D140:D142)</f>
        <v>789.27409557762542</v>
      </c>
      <c r="E143" s="463">
        <f>SUM(E140:E142)</f>
        <v>11355.699700267121</v>
      </c>
      <c r="F143" s="463">
        <f t="shared" ref="F143:AC143" si="80">SUM(F140:F142)</f>
        <v>2715.4609715525112</v>
      </c>
      <c r="G143" s="463">
        <f t="shared" si="80"/>
        <v>1233.8935293812785</v>
      </c>
      <c r="H143" s="463">
        <f t="shared" si="80"/>
        <v>1004.1237548652966</v>
      </c>
      <c r="I143" s="463">
        <f t="shared" si="80"/>
        <v>507.283917762557</v>
      </c>
      <c r="J143" s="463">
        <f t="shared" si="80"/>
        <v>1345.7943935936071</v>
      </c>
      <c r="K143" s="463">
        <f t="shared" si="80"/>
        <v>2405.1225748036527</v>
      </c>
      <c r="L143" s="463">
        <f t="shared" si="80"/>
        <v>983.23559354566203</v>
      </c>
      <c r="M143" s="463">
        <f t="shared" si="80"/>
        <v>1171.2290454223742</v>
      </c>
      <c r="N143" s="463">
        <f t="shared" si="80"/>
        <v>2066.4359591210041</v>
      </c>
      <c r="O143" s="463">
        <f t="shared" si="80"/>
        <v>1732.225378006849</v>
      </c>
      <c r="P143" s="463">
        <f t="shared" si="80"/>
        <v>1597.9443409520547</v>
      </c>
      <c r="Q143" s="463">
        <f t="shared" si="80"/>
        <v>6412.6655251278526</v>
      </c>
      <c r="R143" s="463">
        <f t="shared" si="80"/>
        <v>1906.790726178082</v>
      </c>
      <c r="S143" s="463">
        <f t="shared" si="80"/>
        <v>2357.3782060730591</v>
      </c>
      <c r="T143" s="463">
        <f t="shared" si="80"/>
        <v>2257.4134340433784</v>
      </c>
      <c r="U143" s="463">
        <f t="shared" si="80"/>
        <v>1468.1393384657533</v>
      </c>
      <c r="V143" s="463">
        <f t="shared" si="80"/>
        <v>3088.4638522602731</v>
      </c>
      <c r="W143" s="463">
        <f t="shared" si="80"/>
        <v>425.22328400684927</v>
      </c>
      <c r="X143" s="463">
        <f t="shared" si="80"/>
        <v>1694.9250899360729</v>
      </c>
      <c r="Y143" s="463">
        <f t="shared" si="80"/>
        <v>986.2196165913241</v>
      </c>
      <c r="Z143" s="463">
        <f t="shared" si="80"/>
        <v>783.30604948630128</v>
      </c>
      <c r="AA143" s="463">
        <f t="shared" ref="AA143" si="81">SUM(AA140:AA142)</f>
        <v>914.60306349543373</v>
      </c>
      <c r="AB143" s="463">
        <f t="shared" ref="AB143" si="82">SUM(AB140:AB142)</f>
        <v>1741.1774471438353</v>
      </c>
      <c r="AC143" s="463">
        <f t="shared" si="80"/>
        <v>734.06966923287655</v>
      </c>
    </row>
    <row r="144" spans="1:88" s="459" customFormat="1" ht="16.2">
      <c r="A144" s="411" t="s">
        <v>610</v>
      </c>
      <c r="B144" s="411" t="s">
        <v>601</v>
      </c>
      <c r="C144" s="463">
        <f>C125*ACT2FLO!D20</f>
        <v>132.78902553196346</v>
      </c>
      <c r="D144" s="463">
        <f>D125*ACT2FLO!E20</f>
        <v>0</v>
      </c>
      <c r="E144" s="463">
        <f>E125*ACT2FLO!F20</f>
        <v>83.552645278538805</v>
      </c>
      <c r="F144" s="463">
        <f>F125*ACT2FLO!G20</f>
        <v>4.4760345684931497</v>
      </c>
      <c r="G144" s="463">
        <f>G125*ACT2FLO!H20</f>
        <v>0</v>
      </c>
      <c r="H144" s="463">
        <f>H125*ACT2FLO!I20</f>
        <v>0</v>
      </c>
      <c r="I144" s="463">
        <f>I125*ACT2FLO!J20</f>
        <v>0</v>
      </c>
      <c r="J144" s="463">
        <f>J125*ACT2FLO!K20</f>
        <v>2.9840230456621</v>
      </c>
      <c r="K144" s="463">
        <f>K125*ACT2FLO!L20</f>
        <v>5.9680460913241999</v>
      </c>
      <c r="L144" s="463">
        <f>L125*ACT2FLO!M20</f>
        <v>0</v>
      </c>
      <c r="M144" s="463">
        <f>M125*ACT2FLO!N20</f>
        <v>1.49201152283105</v>
      </c>
      <c r="N144" s="463">
        <f>N125*ACT2FLO!O20</f>
        <v>1.49201152283105</v>
      </c>
      <c r="O144" s="463">
        <f>O125*ACT2FLO!P20</f>
        <v>1.49201152283105</v>
      </c>
      <c r="P144" s="463">
        <f>P125*ACT2FLO!Q20</f>
        <v>2.9840230456621</v>
      </c>
      <c r="Q144" s="463">
        <f>Q125*ACT2FLO!R20</f>
        <v>8.9520691369862995</v>
      </c>
      <c r="R144" s="463">
        <f>R125*ACT2FLO!S20</f>
        <v>1.49201152283105</v>
      </c>
      <c r="S144" s="463">
        <f>S125*ACT2FLO!T20</f>
        <v>7.4600576141552501</v>
      </c>
      <c r="T144" s="463">
        <f>T125*ACT2FLO!U20</f>
        <v>0</v>
      </c>
      <c r="U144" s="463">
        <f>U125*ACT2FLO!V20</f>
        <v>1.49201152283105</v>
      </c>
      <c r="V144" s="463">
        <f>V125*ACT2FLO!W20</f>
        <v>5.9680460913241999</v>
      </c>
      <c r="W144" s="463">
        <f>W125*ACT2FLO!X20</f>
        <v>0</v>
      </c>
      <c r="X144" s="463">
        <f>X125*ACT2FLO!Y20</f>
        <v>1.49201152283105</v>
      </c>
      <c r="Y144" s="463">
        <f>Y125*ACT2FLO!Z20</f>
        <v>0</v>
      </c>
      <c r="Z144" s="463">
        <f>Z125*ACT2FLO!AA20</f>
        <v>0</v>
      </c>
      <c r="AA144" s="463">
        <f>AA125*ACT2FLO!AB20</f>
        <v>0</v>
      </c>
      <c r="AB144" s="463">
        <f>AB125*ACT2FLO!AC20</f>
        <v>1.49201152283105</v>
      </c>
      <c r="AC144" s="463">
        <f>AC125*ACT2FLO!AD20</f>
        <v>0</v>
      </c>
    </row>
    <row r="145" spans="1:29" s="459" customFormat="1">
      <c r="A145" s="411"/>
      <c r="B145" s="411" t="s">
        <v>602</v>
      </c>
      <c r="C145" s="463">
        <f>C126*ACT2FLO!D21</f>
        <v>1038.4400198904109</v>
      </c>
      <c r="D145" s="463">
        <f>D126*ACT2FLO!E21</f>
        <v>7.4600576141552501</v>
      </c>
      <c r="E145" s="463">
        <f>E126*ACT2FLO!F21</f>
        <v>493.85581405707757</v>
      </c>
      <c r="F145" s="463">
        <f>F126*ACT2FLO!G21</f>
        <v>44.760345684931501</v>
      </c>
      <c r="G145" s="463">
        <f>G126*ACT2FLO!H21</f>
        <v>13.428103705479449</v>
      </c>
      <c r="H145" s="463">
        <f>H126*ACT2FLO!I21</f>
        <v>11.9360921826484</v>
      </c>
      <c r="I145" s="463">
        <f>I126*ACT2FLO!J21</f>
        <v>5.9680460913241999</v>
      </c>
      <c r="J145" s="463">
        <f>J126*ACT2FLO!K21</f>
        <v>32.824253502283099</v>
      </c>
      <c r="K145" s="463">
        <f>K126*ACT2FLO!L21</f>
        <v>53.712414821917797</v>
      </c>
      <c r="L145" s="463">
        <f>L126*ACT2FLO!M21</f>
        <v>8.9520691369862995</v>
      </c>
      <c r="M145" s="463">
        <f>M126*ACT2FLO!N21</f>
        <v>16.41212675114155</v>
      </c>
      <c r="N145" s="463">
        <f>N126*ACT2FLO!O21</f>
        <v>14.9201152283105</v>
      </c>
      <c r="O145" s="463">
        <f>O126*ACT2FLO!P21</f>
        <v>17.904138273972599</v>
      </c>
      <c r="P145" s="463">
        <f>P126*ACT2FLO!Q21</f>
        <v>17.904138273972599</v>
      </c>
      <c r="Q145" s="463">
        <f>Q126*ACT2FLO!R21</f>
        <v>92.5047144155251</v>
      </c>
      <c r="R145" s="463">
        <f>R126*ACT2FLO!S21</f>
        <v>25.364195888127849</v>
      </c>
      <c r="S145" s="463">
        <f>S126*ACT2FLO!T21</f>
        <v>29.840230456621001</v>
      </c>
      <c r="T145" s="463">
        <f>T126*ACT2FLO!U21</f>
        <v>14.9201152283105</v>
      </c>
      <c r="U145" s="463">
        <f>U126*ACT2FLO!V21</f>
        <v>14.9201152283105</v>
      </c>
      <c r="V145" s="463">
        <f>V126*ACT2FLO!W21</f>
        <v>49.236380253424649</v>
      </c>
      <c r="W145" s="463">
        <f>W126*ACT2FLO!X21</f>
        <v>4.4760345684931497</v>
      </c>
      <c r="X145" s="463">
        <f>X126*ACT2FLO!Y21</f>
        <v>14.9201152283105</v>
      </c>
      <c r="Y145" s="463">
        <f>Y126*ACT2FLO!Z21</f>
        <v>7.4600576141552501</v>
      </c>
      <c r="Z145" s="463">
        <f>Z126*ACT2FLO!AA21</f>
        <v>8.9520691369862995</v>
      </c>
      <c r="AA145" s="463">
        <f>AA126*ACT2FLO!AB21</f>
        <v>10.444080659817351</v>
      </c>
      <c r="AB145" s="463">
        <f>AB126*ACT2FLO!AC21</f>
        <v>20.888161319634701</v>
      </c>
      <c r="AC145" s="463">
        <f>AC126*ACT2FLO!AD21</f>
        <v>4.4760345684931497</v>
      </c>
    </row>
    <row r="146" spans="1:29" s="459" customFormat="1">
      <c r="A146" s="411"/>
      <c r="B146" s="411" t="s">
        <v>603</v>
      </c>
      <c r="C146" s="463">
        <f>C127*ACT2FLO!D22</f>
        <v>82.060633755707755</v>
      </c>
      <c r="D146" s="463">
        <f>D127*ACT2FLO!E22</f>
        <v>0</v>
      </c>
      <c r="E146" s="463">
        <f>E127*ACT2FLO!F22</f>
        <v>64.156495481735149</v>
      </c>
      <c r="F146" s="463">
        <f>F127*ACT2FLO!G22</f>
        <v>2.9840230456621</v>
      </c>
      <c r="G146" s="463">
        <f>G127*ACT2FLO!H22</f>
        <v>0</v>
      </c>
      <c r="H146" s="463">
        <f>H127*ACT2FLO!I22</f>
        <v>1.49201152283105</v>
      </c>
      <c r="I146" s="463">
        <f>I127*ACT2FLO!J22</f>
        <v>0</v>
      </c>
      <c r="J146" s="463">
        <f>J127*ACT2FLO!K22</f>
        <v>1.49201152283105</v>
      </c>
      <c r="K146" s="463">
        <f>K127*ACT2FLO!L22</f>
        <v>2.9840230456621</v>
      </c>
      <c r="L146" s="463">
        <f>L127*ACT2FLO!M22</f>
        <v>0</v>
      </c>
      <c r="M146" s="463">
        <f>M127*ACT2FLO!N22</f>
        <v>0</v>
      </c>
      <c r="N146" s="463">
        <f>N127*ACT2FLO!O22</f>
        <v>0</v>
      </c>
      <c r="O146" s="463">
        <f>O127*ACT2FLO!P22</f>
        <v>1.49201152283105</v>
      </c>
      <c r="P146" s="463">
        <f>P127*ACT2FLO!Q22</f>
        <v>0</v>
      </c>
      <c r="Q146" s="463">
        <f>Q127*ACT2FLO!R22</f>
        <v>2.9840230456621</v>
      </c>
      <c r="R146" s="463">
        <f>R127*ACT2FLO!S22</f>
        <v>0</v>
      </c>
      <c r="S146" s="463">
        <f>S127*ACT2FLO!T22</f>
        <v>2.9840230456621</v>
      </c>
      <c r="T146" s="463">
        <f>T127*ACT2FLO!U22</f>
        <v>0</v>
      </c>
      <c r="U146" s="463">
        <f>U127*ACT2FLO!V22</f>
        <v>0</v>
      </c>
      <c r="V146" s="463">
        <f>V127*ACT2FLO!W22</f>
        <v>1.49201152283105</v>
      </c>
      <c r="W146" s="463">
        <f>W127*ACT2FLO!X22</f>
        <v>0</v>
      </c>
      <c r="X146" s="463">
        <f>X127*ACT2FLO!Y22</f>
        <v>0</v>
      </c>
      <c r="Y146" s="463">
        <f>Y127*ACT2FLO!Z22</f>
        <v>0</v>
      </c>
      <c r="Z146" s="463">
        <f>Z127*ACT2FLO!AA22</f>
        <v>0</v>
      </c>
      <c r="AA146" s="463">
        <f>AA127*ACT2FLO!AB22</f>
        <v>0</v>
      </c>
      <c r="AB146" s="463">
        <f>AB127*ACT2FLO!AC22</f>
        <v>0</v>
      </c>
      <c r="AC146" s="463">
        <f>AC127*ACT2FLO!AD22</f>
        <v>0</v>
      </c>
    </row>
    <row r="147" spans="1:29" s="459" customFormat="1">
      <c r="A147" s="411"/>
      <c r="B147" s="39" t="s">
        <v>616</v>
      </c>
      <c r="C147" s="463">
        <f>SUM(C144:C146)</f>
        <v>1253.2896791780822</v>
      </c>
      <c r="D147" s="463">
        <f t="shared" ref="D147:AC147" si="83">SUM(D144:D146)</f>
        <v>7.4600576141552501</v>
      </c>
      <c r="E147" s="463">
        <f t="shared" si="83"/>
        <v>641.56495481735158</v>
      </c>
      <c r="F147" s="463">
        <f t="shared" si="83"/>
        <v>52.220403299086747</v>
      </c>
      <c r="G147" s="463">
        <f t="shared" si="83"/>
        <v>13.428103705479449</v>
      </c>
      <c r="H147" s="463">
        <f t="shared" si="83"/>
        <v>13.428103705479449</v>
      </c>
      <c r="I147" s="463">
        <f t="shared" si="83"/>
        <v>5.9680460913241999</v>
      </c>
      <c r="J147" s="463">
        <f t="shared" si="83"/>
        <v>37.300288070776247</v>
      </c>
      <c r="K147" s="463">
        <f t="shared" si="83"/>
        <v>62.664483958904093</v>
      </c>
      <c r="L147" s="463">
        <f t="shared" si="83"/>
        <v>8.9520691369862995</v>
      </c>
      <c r="M147" s="463">
        <f t="shared" si="83"/>
        <v>17.904138273972599</v>
      </c>
      <c r="N147" s="463">
        <f t="shared" si="83"/>
        <v>16.41212675114155</v>
      </c>
      <c r="O147" s="463">
        <f t="shared" si="83"/>
        <v>20.888161319634698</v>
      </c>
      <c r="P147" s="463">
        <f t="shared" si="83"/>
        <v>20.888161319634698</v>
      </c>
      <c r="Q147" s="463">
        <f t="shared" si="83"/>
        <v>104.44080659817349</v>
      </c>
      <c r="R147" s="463">
        <f t="shared" si="83"/>
        <v>26.856207410958898</v>
      </c>
      <c r="S147" s="463">
        <f t="shared" si="83"/>
        <v>40.284311116438346</v>
      </c>
      <c r="T147" s="463">
        <f t="shared" si="83"/>
        <v>14.9201152283105</v>
      </c>
      <c r="U147" s="463">
        <f t="shared" si="83"/>
        <v>16.41212675114155</v>
      </c>
      <c r="V147" s="463">
        <f t="shared" si="83"/>
        <v>56.696437867579895</v>
      </c>
      <c r="W147" s="463">
        <f t="shared" si="83"/>
        <v>4.4760345684931497</v>
      </c>
      <c r="X147" s="463">
        <f t="shared" si="83"/>
        <v>16.41212675114155</v>
      </c>
      <c r="Y147" s="463">
        <f t="shared" si="83"/>
        <v>7.4600576141552501</v>
      </c>
      <c r="Z147" s="463">
        <f t="shared" si="83"/>
        <v>8.9520691369862995</v>
      </c>
      <c r="AA147" s="463">
        <f t="shared" si="83"/>
        <v>10.444080659817351</v>
      </c>
      <c r="AB147" s="463">
        <f t="shared" si="83"/>
        <v>22.38017284246575</v>
      </c>
      <c r="AC147" s="463">
        <f t="shared" si="83"/>
        <v>4.4760345684931497</v>
      </c>
    </row>
    <row r="148" spans="1:29" s="459" customFormat="1" ht="16.2">
      <c r="A148" s="411" t="s">
        <v>590</v>
      </c>
      <c r="B148" s="411" t="s">
        <v>612</v>
      </c>
      <c r="C148" s="402">
        <f>C128*ACT2FLO!D23</f>
        <v>9816.0585474308318</v>
      </c>
      <c r="D148" s="402">
        <f>D128*ACT2FLO!E23</f>
        <v>109</v>
      </c>
      <c r="E148" s="402">
        <f>E128*ACT2FLO!F23</f>
        <v>3542.5</v>
      </c>
      <c r="F148" s="402">
        <f>F128*ACT2FLO!G23</f>
        <v>463.25</v>
      </c>
      <c r="G148" s="402">
        <f>G128*ACT2FLO!H23</f>
        <v>299.75</v>
      </c>
      <c r="H148" s="402">
        <f>H128*ACT2FLO!I23</f>
        <v>136.25</v>
      </c>
      <c r="I148" s="402">
        <f>I128*ACT2FLO!J23</f>
        <v>81.75</v>
      </c>
      <c r="J148" s="402">
        <f>J128*ACT2FLO!K23</f>
        <v>218</v>
      </c>
      <c r="K148" s="402">
        <f>K128*ACT2FLO!L23</f>
        <v>299.75</v>
      </c>
      <c r="L148" s="402">
        <f>L128*ACT2FLO!M23</f>
        <v>190.75</v>
      </c>
      <c r="M148" s="402">
        <f>M128*ACT2FLO!N23</f>
        <v>136.25</v>
      </c>
      <c r="N148" s="402">
        <f>N128*ACT2FLO!O23</f>
        <v>272.5</v>
      </c>
      <c r="O148" s="402">
        <f>O128*ACT2FLO!P23</f>
        <v>245.25</v>
      </c>
      <c r="P148" s="402">
        <f>P128*ACT2FLO!Q23</f>
        <v>190.75</v>
      </c>
      <c r="Q148" s="402">
        <f>Q128*ACT2FLO!R23</f>
        <v>790.25</v>
      </c>
      <c r="R148" s="402">
        <f>R128*ACT2FLO!S23</f>
        <v>490.5</v>
      </c>
      <c r="S148" s="402">
        <f>S128*ACT2FLO!T23</f>
        <v>299.75</v>
      </c>
      <c r="T148" s="402">
        <f>T128*ACT2FLO!U23</f>
        <v>354.25</v>
      </c>
      <c r="U148" s="402">
        <f>U128*ACT2FLO!V23</f>
        <v>163.5</v>
      </c>
      <c r="V148" s="402">
        <f>V128*ACT2FLO!W23</f>
        <v>572.25</v>
      </c>
      <c r="W148" s="402">
        <f>W128*ACT2FLO!X23</f>
        <v>54.5</v>
      </c>
      <c r="X148" s="402">
        <f>X128*ACT2FLO!Y23</f>
        <v>354.25</v>
      </c>
      <c r="Y148" s="402">
        <f>Y128*ACT2FLO!Z23</f>
        <v>109</v>
      </c>
      <c r="Z148" s="402">
        <f>Z128*ACT2FLO!AA23</f>
        <v>109</v>
      </c>
      <c r="AA148" s="402">
        <f>AA128*ACT2FLO!AB23</f>
        <v>45.560276679842701</v>
      </c>
      <c r="AB148" s="402">
        <f>AB128*ACT2FLO!AC23</f>
        <v>14.998270750988439</v>
      </c>
      <c r="AC148" s="402">
        <f>AC128*ACT2FLO!AD23</f>
        <v>272.5</v>
      </c>
    </row>
    <row r="149" spans="1:29" s="459" customFormat="1" ht="16.2">
      <c r="A149" s="411"/>
      <c r="B149" s="411" t="s">
        <v>613</v>
      </c>
      <c r="C149" s="402">
        <f>SUM(B168:C168)/1000000</f>
        <v>317.18623700000001</v>
      </c>
      <c r="D149" s="402">
        <f>C614*0</f>
        <v>0</v>
      </c>
      <c r="E149" s="402">
        <f>$C$149*1</f>
        <v>317.18623700000001</v>
      </c>
      <c r="F149" s="402">
        <f t="shared" ref="F149:AC149" si="84">E614*0</f>
        <v>0</v>
      </c>
      <c r="G149" s="402">
        <f t="shared" si="84"/>
        <v>0</v>
      </c>
      <c r="H149" s="402">
        <f>G614*0</f>
        <v>0</v>
      </c>
      <c r="I149" s="402">
        <f>H614*0</f>
        <v>0</v>
      </c>
      <c r="J149" s="402">
        <f>I614*0</f>
        <v>0</v>
      </c>
      <c r="K149" s="402">
        <f>J614*0</f>
        <v>0</v>
      </c>
      <c r="L149" s="402">
        <f>K614*0</f>
        <v>0</v>
      </c>
      <c r="M149" s="402">
        <f t="shared" si="84"/>
        <v>0</v>
      </c>
      <c r="N149" s="402">
        <f t="shared" si="84"/>
        <v>0</v>
      </c>
      <c r="O149" s="402">
        <f t="shared" si="84"/>
        <v>0</v>
      </c>
      <c r="P149" s="402">
        <f t="shared" si="84"/>
        <v>0</v>
      </c>
      <c r="Q149" s="402">
        <f t="shared" si="84"/>
        <v>0</v>
      </c>
      <c r="R149" s="402">
        <f t="shared" si="84"/>
        <v>0</v>
      </c>
      <c r="S149" s="402">
        <f t="shared" si="84"/>
        <v>0</v>
      </c>
      <c r="T149" s="402">
        <f t="shared" si="84"/>
        <v>0</v>
      </c>
      <c r="U149" s="402">
        <f t="shared" si="84"/>
        <v>0</v>
      </c>
      <c r="V149" s="402">
        <f t="shared" si="84"/>
        <v>0</v>
      </c>
      <c r="W149" s="402">
        <f t="shared" si="84"/>
        <v>0</v>
      </c>
      <c r="X149" s="402">
        <f t="shared" si="84"/>
        <v>0</v>
      </c>
      <c r="Y149" s="402">
        <f t="shared" si="84"/>
        <v>0</v>
      </c>
      <c r="Z149" s="402">
        <f t="shared" si="84"/>
        <v>0</v>
      </c>
      <c r="AA149" s="402">
        <f t="shared" si="84"/>
        <v>0</v>
      </c>
      <c r="AB149" s="402">
        <f t="shared" si="84"/>
        <v>0</v>
      </c>
      <c r="AC149" s="402">
        <f t="shared" si="84"/>
        <v>0</v>
      </c>
    </row>
    <row r="150" spans="1:29" s="459" customFormat="1" ht="16.2">
      <c r="A150" s="411"/>
      <c r="B150" s="500" t="s">
        <v>646</v>
      </c>
      <c r="C150" s="402">
        <f>K167/1000</f>
        <v>2281.0830000000001</v>
      </c>
      <c r="D150" s="402">
        <f>$C$150*C180</f>
        <v>27.272217367775003</v>
      </c>
      <c r="E150" s="402">
        <f>$C$150*D180</f>
        <v>645.42730837539557</v>
      </c>
      <c r="F150" s="402">
        <f t="shared" ref="F150:AC150" si="85">$C$150*E180</f>
        <v>106.58640928123741</v>
      </c>
      <c r="G150" s="402">
        <f t="shared" si="85"/>
        <v>47.535246853071193</v>
      </c>
      <c r="H150" s="402">
        <f t="shared" si="85"/>
        <v>40.572525019293884</v>
      </c>
      <c r="I150" s="402">
        <f t="shared" si="85"/>
        <v>19.579451634811139</v>
      </c>
      <c r="J150" s="402">
        <f t="shared" si="85"/>
        <v>61.739486812834848</v>
      </c>
      <c r="K150" s="402">
        <f t="shared" si="85"/>
        <v>93.43220621584183</v>
      </c>
      <c r="L150" s="402">
        <f t="shared" si="85"/>
        <v>37.345769307403692</v>
      </c>
      <c r="M150" s="402">
        <f t="shared" si="85"/>
        <v>42.523620033327248</v>
      </c>
      <c r="N150" s="402">
        <f t="shared" si="85"/>
        <v>71.721543749350261</v>
      </c>
      <c r="O150" s="402">
        <f t="shared" si="85"/>
        <v>68.226051405279179</v>
      </c>
      <c r="P150" s="402">
        <f t="shared" si="85"/>
        <v>56.917077407906312</v>
      </c>
      <c r="Q150" s="402">
        <f t="shared" si="85"/>
        <v>260.0508342937062</v>
      </c>
      <c r="R150" s="402">
        <f t="shared" si="85"/>
        <v>70.756295418076704</v>
      </c>
      <c r="S150" s="402">
        <f t="shared" si="85"/>
        <v>93.362746658504534</v>
      </c>
      <c r="T150" s="402">
        <f t="shared" si="85"/>
        <v>76.430901736819465</v>
      </c>
      <c r="U150" s="402">
        <f t="shared" si="85"/>
        <v>55.651955401507564</v>
      </c>
      <c r="V150" s="402">
        <f t="shared" si="85"/>
        <v>123.6178927403443</v>
      </c>
      <c r="W150" s="402">
        <f t="shared" si="85"/>
        <v>15.35008314011421</v>
      </c>
      <c r="X150" s="402">
        <f t="shared" si="85"/>
        <v>62.516954823582736</v>
      </c>
      <c r="Y150" s="402">
        <f t="shared" si="85"/>
        <v>30.918604612268489</v>
      </c>
      <c r="Z150" s="402">
        <f t="shared" si="85"/>
        <v>31.393324759311717</v>
      </c>
      <c r="AA150" s="402">
        <f t="shared" si="85"/>
        <v>36.490698205009984</v>
      </c>
      <c r="AB150" s="402">
        <f t="shared" si="85"/>
        <v>76.257971390621051</v>
      </c>
      <c r="AC150" s="402">
        <f t="shared" si="85"/>
        <v>29.405823356605008</v>
      </c>
    </row>
    <row r="151" spans="1:29" s="459" customFormat="1">
      <c r="A151" s="795" t="s">
        <v>16</v>
      </c>
      <c r="B151" s="795"/>
      <c r="C151" s="400">
        <f>SUM(C137:C150)-C143-C147</f>
        <v>72964.257175651815</v>
      </c>
      <c r="D151" s="400">
        <f t="shared" ref="D151:AC151" si="86">SUM(D137:D150)-D143-D147</f>
        <v>999.84713352637891</v>
      </c>
      <c r="E151" s="400">
        <f t="shared" si="86"/>
        <v>18096.706357739014</v>
      </c>
      <c r="F151" s="400">
        <f t="shared" si="86"/>
        <v>3601.0485563377479</v>
      </c>
      <c r="G151" s="400">
        <f t="shared" si="86"/>
        <v>1711.3924801422427</v>
      </c>
      <c r="H151" s="400">
        <f t="shared" si="86"/>
        <v>1293.2760663168494</v>
      </c>
      <c r="I151" s="400">
        <f t="shared" si="86"/>
        <v>662.87846117025913</v>
      </c>
      <c r="J151" s="400">
        <f t="shared" si="86"/>
        <v>1813.8596531644955</v>
      </c>
      <c r="K151" s="400">
        <f t="shared" si="86"/>
        <v>3091.6913083301361</v>
      </c>
      <c r="L151" s="400">
        <f t="shared" si="86"/>
        <v>1312.506891936242</v>
      </c>
      <c r="M151" s="400">
        <f t="shared" si="86"/>
        <v>1472.6116784673418</v>
      </c>
      <c r="N151" s="400">
        <f t="shared" si="86"/>
        <v>2604.3572589497958</v>
      </c>
      <c r="O151" s="400">
        <f t="shared" si="86"/>
        <v>2235.4511969558516</v>
      </c>
      <c r="P151" s="400">
        <f t="shared" si="86"/>
        <v>2007.0004549945156</v>
      </c>
      <c r="Q151" s="400">
        <f t="shared" si="86"/>
        <v>8210.7700289135973</v>
      </c>
      <c r="R151" s="400">
        <f t="shared" si="86"/>
        <v>2668.7640889020909</v>
      </c>
      <c r="S151" s="400">
        <f t="shared" si="86"/>
        <v>3020.2298721784828</v>
      </c>
      <c r="T151" s="400">
        <f t="shared" si="86"/>
        <v>2891.6541747780157</v>
      </c>
      <c r="U151" s="400">
        <f t="shared" si="86"/>
        <v>1841.1546690978807</v>
      </c>
      <c r="V151" s="400">
        <f t="shared" si="86"/>
        <v>4143.4140222852657</v>
      </c>
      <c r="W151" s="400">
        <f t="shared" si="86"/>
        <v>536.55138668891414</v>
      </c>
      <c r="X151" s="400">
        <f t="shared" si="86"/>
        <v>2281.0037737118651</v>
      </c>
      <c r="Y151" s="400">
        <f t="shared" si="86"/>
        <v>1209.2288030384084</v>
      </c>
      <c r="Z151" s="400">
        <f t="shared" si="86"/>
        <v>1009.4262993692282</v>
      </c>
      <c r="AA151" s="400">
        <f t="shared" si="86"/>
        <v>1096.1603961384094</v>
      </c>
      <c r="AB151" s="400">
        <f t="shared" si="86"/>
        <v>2040.8367304307019</v>
      </c>
      <c r="AC151" s="400">
        <f t="shared" si="86"/>
        <v>1112.4354320880916</v>
      </c>
    </row>
    <row r="152" spans="1:29" s="459" customFormat="1">
      <c r="A152" s="466" t="s">
        <v>606</v>
      </c>
      <c r="B152" s="464"/>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c r="AA152" s="465"/>
      <c r="AB152" s="465"/>
      <c r="AC152" s="465"/>
    </row>
    <row r="153" spans="1:29" s="459" customFormat="1">
      <c r="A153" s="446" t="s">
        <v>611</v>
      </c>
      <c r="B153" s="464"/>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c r="AA153" s="465"/>
      <c r="AB153" s="465"/>
      <c r="AC153" s="465"/>
    </row>
    <row r="154" spans="1:29" s="459" customFormat="1">
      <c r="A154" s="446" t="s">
        <v>645</v>
      </c>
      <c r="B154" s="464"/>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c r="AA154" s="465"/>
      <c r="AB154" s="465"/>
      <c r="AC154" s="465"/>
    </row>
    <row r="155" spans="1:29" s="459" customFormat="1">
      <c r="A155" s="468" t="s">
        <v>614</v>
      </c>
      <c r="B155" s="464"/>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c r="AA155" s="465"/>
      <c r="AB155" s="465"/>
      <c r="AC155" s="465"/>
    </row>
    <row r="156" spans="1:29" s="459" customFormat="1">
      <c r="A156" s="468"/>
      <c r="B156" s="464"/>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c r="AA156" s="465"/>
      <c r="AB156" s="465"/>
      <c r="AC156" s="465"/>
    </row>
    <row r="157" spans="1:29" s="459" customFormat="1">
      <c r="A157" s="446"/>
      <c r="B157" s="464"/>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c r="AA157" s="465"/>
      <c r="AB157" s="465"/>
      <c r="AC157" s="465"/>
    </row>
    <row r="158" spans="1:29" s="133" customFormat="1">
      <c r="A158" s="446"/>
      <c r="B158" s="445"/>
      <c r="C158" s="445"/>
      <c r="D158" s="445"/>
      <c r="E158" s="445"/>
      <c r="F158" s="445"/>
      <c r="G158" s="445"/>
      <c r="H158" s="445"/>
      <c r="I158" s="445"/>
      <c r="J158" s="445"/>
      <c r="K158" s="445"/>
      <c r="L158" s="445"/>
      <c r="M158" s="445"/>
      <c r="Z158" s="445"/>
      <c r="AA158" s="445"/>
      <c r="AB158" s="445"/>
    </row>
    <row r="159" spans="1:29" s="133" customFormat="1" ht="15.6">
      <c r="A159" s="401" t="s">
        <v>338</v>
      </c>
      <c r="B159" s="401"/>
      <c r="C159" s="401"/>
      <c r="D159" s="445"/>
      <c r="E159" s="445"/>
      <c r="F159" s="445"/>
      <c r="G159" s="401" t="s">
        <v>605</v>
      </c>
      <c r="H159" s="137"/>
      <c r="I159" s="137"/>
      <c r="J159" s="137"/>
      <c r="K159" s="441" t="s">
        <v>25</v>
      </c>
      <c r="Z159" s="445"/>
      <c r="AA159" s="445"/>
      <c r="AB159" s="445"/>
    </row>
    <row r="160" spans="1:29" s="133" customFormat="1">
      <c r="A160" s="476"/>
      <c r="B160" s="502" t="s">
        <v>30</v>
      </c>
      <c r="C160" s="503" t="s">
        <v>31</v>
      </c>
      <c r="D160" s="445"/>
      <c r="E160" s="445"/>
      <c r="F160" s="445"/>
      <c r="G160" s="477"/>
      <c r="H160" s="477">
        <v>2015</v>
      </c>
      <c r="I160" s="477">
        <v>2016</v>
      </c>
      <c r="J160" s="477">
        <v>2017</v>
      </c>
      <c r="K160" s="477">
        <v>2018</v>
      </c>
      <c r="M160" s="19"/>
      <c r="Z160" s="445"/>
      <c r="AA160" s="445"/>
      <c r="AB160" s="445"/>
    </row>
    <row r="161" spans="1:30" s="133" customFormat="1">
      <c r="A161" s="128" t="s">
        <v>582</v>
      </c>
      <c r="B161" s="478" t="s">
        <v>581</v>
      </c>
      <c r="C161" s="479" t="s">
        <v>580</v>
      </c>
      <c r="D161" s="445"/>
      <c r="E161" s="445"/>
      <c r="F161" s="445"/>
      <c r="G161" s="480" t="s">
        <v>21</v>
      </c>
      <c r="H161" s="474"/>
      <c r="I161" s="474"/>
      <c r="J161" s="474"/>
      <c r="K161" s="474"/>
      <c r="Z161" s="445"/>
      <c r="AA161" s="445"/>
      <c r="AB161" s="445"/>
    </row>
    <row r="162" spans="1:30" s="133" customFormat="1">
      <c r="A162" s="128" t="s">
        <v>579</v>
      </c>
      <c r="B162" s="479" t="s">
        <v>578</v>
      </c>
      <c r="C162" s="479" t="s">
        <v>577</v>
      </c>
      <c r="D162" s="445"/>
      <c r="E162" s="445"/>
      <c r="F162" s="445"/>
      <c r="G162" s="481" t="s">
        <v>38</v>
      </c>
      <c r="H162" s="482">
        <v>10490</v>
      </c>
      <c r="I162" s="482">
        <v>10771.652254326058</v>
      </c>
      <c r="J162" s="482">
        <v>11557.033844917567</v>
      </c>
      <c r="K162" s="482">
        <v>12438</v>
      </c>
      <c r="Z162" s="445"/>
      <c r="AA162" s="445"/>
      <c r="AB162" s="445"/>
    </row>
    <row r="163" spans="1:30" s="133" customFormat="1">
      <c r="A163" s="128" t="s">
        <v>32</v>
      </c>
      <c r="B163" s="479">
        <v>40</v>
      </c>
      <c r="C163" s="479">
        <v>33</v>
      </c>
      <c r="D163" s="445"/>
      <c r="E163" s="445"/>
      <c r="F163" s="445"/>
      <c r="G163" s="481" t="s">
        <v>39</v>
      </c>
      <c r="H163" s="482">
        <v>10962</v>
      </c>
      <c r="I163" s="482">
        <v>11953.521212477279</v>
      </c>
      <c r="J163" s="482">
        <v>12695.598551411398</v>
      </c>
      <c r="K163" s="482">
        <v>13299</v>
      </c>
      <c r="Z163" s="445"/>
      <c r="AA163" s="445"/>
      <c r="AB163" s="445"/>
    </row>
    <row r="164" spans="1:30" s="133" customFormat="1">
      <c r="A164" s="128" t="s">
        <v>576</v>
      </c>
      <c r="B164" s="479" t="s">
        <v>575</v>
      </c>
      <c r="C164" s="479" t="s">
        <v>574</v>
      </c>
      <c r="D164" s="445"/>
      <c r="E164" s="445"/>
      <c r="F164" s="445"/>
      <c r="G164" s="481" t="s">
        <v>40</v>
      </c>
      <c r="H164" s="482">
        <v>17150</v>
      </c>
      <c r="I164" s="482">
        <v>18986.617545944344</v>
      </c>
      <c r="J164" s="482">
        <v>20077.245353236714</v>
      </c>
      <c r="K164" s="482">
        <v>20934</v>
      </c>
      <c r="Z164" s="445"/>
      <c r="AA164" s="445"/>
      <c r="AB164" s="445"/>
    </row>
    <row r="165" spans="1:30" s="133" customFormat="1">
      <c r="A165" s="128" t="s">
        <v>33</v>
      </c>
      <c r="B165" s="479">
        <v>262</v>
      </c>
      <c r="C165" s="479" t="s">
        <v>573</v>
      </c>
      <c r="D165" s="445"/>
      <c r="E165" s="445"/>
      <c r="F165" s="445"/>
      <c r="G165" s="481" t="s">
        <v>41</v>
      </c>
      <c r="H165" s="482">
        <v>1058</v>
      </c>
      <c r="I165" s="482">
        <v>1102.8053175033033</v>
      </c>
      <c r="J165" s="482">
        <v>1175.0163992303337</v>
      </c>
      <c r="K165" s="482">
        <v>1290</v>
      </c>
      <c r="Z165" s="445"/>
      <c r="AA165" s="445"/>
      <c r="AB165" s="445"/>
    </row>
    <row r="166" spans="1:30" s="133" customFormat="1">
      <c r="A166" s="128" t="s">
        <v>34</v>
      </c>
      <c r="B166" s="483">
        <v>21837268</v>
      </c>
      <c r="C166" s="483">
        <v>19999700</v>
      </c>
      <c r="D166" s="445"/>
      <c r="E166" s="445"/>
      <c r="F166" s="445"/>
      <c r="G166" s="480" t="s">
        <v>1</v>
      </c>
      <c r="H166" s="482">
        <v>39660</v>
      </c>
      <c r="I166" s="482">
        <v>42815</v>
      </c>
      <c r="J166" s="482">
        <v>45505</v>
      </c>
      <c r="K166" s="482">
        <v>47960</v>
      </c>
      <c r="Z166" s="445"/>
      <c r="AA166" s="445"/>
      <c r="AB166" s="445"/>
    </row>
    <row r="167" spans="1:30" s="133" customFormat="1">
      <c r="A167" s="128" t="s">
        <v>26</v>
      </c>
      <c r="B167" s="483">
        <v>2119703</v>
      </c>
      <c r="C167" s="483">
        <v>1945776</v>
      </c>
      <c r="D167" s="445"/>
      <c r="E167" s="445"/>
      <c r="F167" s="445"/>
      <c r="G167" s="480" t="s">
        <v>35</v>
      </c>
      <c r="H167" s="482">
        <v>1916722</v>
      </c>
      <c r="I167" s="482">
        <v>1989798</v>
      </c>
      <c r="J167" s="482">
        <v>2120987</v>
      </c>
      <c r="K167" s="482">
        <v>2281083</v>
      </c>
      <c r="Z167" s="445"/>
      <c r="AA167" s="445"/>
      <c r="AB167" s="445"/>
    </row>
    <row r="168" spans="1:30" s="133" customFormat="1">
      <c r="A168" s="128" t="s">
        <v>35</v>
      </c>
      <c r="B168" s="484">
        <v>112040329</v>
      </c>
      <c r="C168" s="485">
        <v>205145908</v>
      </c>
      <c r="D168" s="445"/>
      <c r="E168" s="445"/>
      <c r="F168" s="445"/>
      <c r="G168" s="486" t="s">
        <v>42</v>
      </c>
      <c r="H168" s="482">
        <v>540</v>
      </c>
      <c r="I168" s="482">
        <v>581</v>
      </c>
      <c r="J168" s="482">
        <v>546</v>
      </c>
      <c r="K168" s="482">
        <v>516</v>
      </c>
      <c r="Z168" s="445"/>
      <c r="AA168" s="445"/>
      <c r="AB168" s="445"/>
    </row>
    <row r="169" spans="1:30" s="133" customFormat="1">
      <c r="A169" s="128" t="s">
        <v>643</v>
      </c>
      <c r="B169" s="487">
        <f>B168/(B168+C168)</f>
        <v>0.35323200041620972</v>
      </c>
      <c r="C169" s="488">
        <f>C168/(B168+C168)</f>
        <v>0.64676799958379028</v>
      </c>
      <c r="D169" s="445"/>
      <c r="E169" s="445"/>
      <c r="F169" s="445"/>
      <c r="G169" s="489" t="s">
        <v>43</v>
      </c>
      <c r="H169" s="490">
        <v>96406</v>
      </c>
      <c r="I169" s="490">
        <v>101480</v>
      </c>
      <c r="J169" s="490">
        <v>100399</v>
      </c>
      <c r="K169" s="490">
        <v>88551</v>
      </c>
      <c r="Z169" s="445"/>
      <c r="AA169" s="445"/>
      <c r="AB169" s="445"/>
    </row>
    <row r="170" spans="1:30" s="133" customFormat="1">
      <c r="A170" s="128" t="s">
        <v>112</v>
      </c>
      <c r="B170" s="491">
        <v>4.45</v>
      </c>
      <c r="C170" s="492">
        <v>8.1</v>
      </c>
      <c r="D170" s="614"/>
      <c r="E170" s="445"/>
      <c r="F170" s="445"/>
      <c r="G170" s="493" t="s">
        <v>864</v>
      </c>
      <c r="H170" s="493"/>
      <c r="I170" s="494"/>
      <c r="J170" s="494"/>
      <c r="Z170" s="445"/>
      <c r="AA170" s="445"/>
      <c r="AB170" s="445"/>
    </row>
    <row r="171" spans="1:30" s="133" customFormat="1">
      <c r="A171" s="128" t="s">
        <v>36</v>
      </c>
      <c r="B171" s="479">
        <v>7</v>
      </c>
      <c r="C171" s="479">
        <v>7</v>
      </c>
      <c r="D171" s="445"/>
      <c r="E171" s="445"/>
      <c r="F171" s="445"/>
      <c r="G171" s="797"/>
      <c r="H171" s="797"/>
      <c r="I171" s="495"/>
      <c r="J171" s="495"/>
      <c r="Z171" s="445"/>
      <c r="AA171" s="445"/>
      <c r="AB171" s="445"/>
    </row>
    <row r="172" spans="1:30" s="133" customFormat="1">
      <c r="A172" s="496" t="s">
        <v>37</v>
      </c>
      <c r="B172" s="497">
        <v>0.97050000000000003</v>
      </c>
      <c r="C172" s="497">
        <v>0.97640000000000005</v>
      </c>
      <c r="D172" s="445"/>
      <c r="E172" s="445"/>
      <c r="F172" s="445"/>
      <c r="G172" s="797"/>
      <c r="H172" s="797"/>
      <c r="I172" s="495"/>
      <c r="J172" s="495"/>
      <c r="Z172" s="445"/>
      <c r="AA172" s="445"/>
      <c r="AB172" s="445"/>
    </row>
    <row r="173" spans="1:30" s="133" customFormat="1">
      <c r="A173" s="498" t="s">
        <v>644</v>
      </c>
      <c r="B173" s="498"/>
      <c r="C173" s="498"/>
      <c r="D173" s="445"/>
      <c r="E173" s="445"/>
      <c r="F173" s="445"/>
      <c r="G173" s="486"/>
      <c r="H173" s="499"/>
      <c r="I173" s="499"/>
      <c r="J173" s="499"/>
      <c r="K173" s="499"/>
      <c r="Z173" s="445"/>
      <c r="AA173" s="445"/>
      <c r="AB173" s="445"/>
    </row>
    <row r="174" spans="1:30" s="133" customFormat="1">
      <c r="A174" s="498"/>
      <c r="B174" s="498"/>
      <c r="C174" s="498"/>
      <c r="D174" s="445"/>
      <c r="E174" s="445"/>
      <c r="F174" s="445"/>
      <c r="G174" s="486"/>
      <c r="H174" s="499"/>
      <c r="I174" s="499"/>
      <c r="J174" s="499"/>
      <c r="K174" s="499"/>
      <c r="Z174" s="445"/>
      <c r="AA174" s="445"/>
      <c r="AB174" s="445"/>
    </row>
    <row r="175" spans="1:30" s="133" customFormat="1">
      <c r="A175" s="475"/>
      <c r="B175" s="28"/>
      <c r="C175" s="28"/>
      <c r="D175" s="445"/>
      <c r="E175" s="445"/>
      <c r="F175" s="445"/>
      <c r="Z175" s="445"/>
      <c r="AA175" s="445"/>
      <c r="AB175" s="445"/>
    </row>
    <row r="176" spans="1:30" s="391" customFormat="1">
      <c r="AC176" s="459"/>
      <c r="AD176" s="459"/>
    </row>
    <row r="177" spans="1:30" ht="15.6">
      <c r="A177" s="401" t="s">
        <v>434</v>
      </c>
      <c r="B177" s="391"/>
      <c r="C177" s="391"/>
      <c r="AC177" s="459"/>
      <c r="AD177" s="459"/>
    </row>
    <row r="178" spans="1:30">
      <c r="A178" s="130"/>
      <c r="B178" s="130" t="str">
        <f>Regions!C3</f>
        <v>IE</v>
      </c>
      <c r="C178" s="130" t="str">
        <f>Regions!E3</f>
        <v>IE-CW</v>
      </c>
      <c r="D178" s="130" t="str">
        <f>Regions!F3</f>
        <v>IE-D</v>
      </c>
      <c r="E178" s="130" t="str">
        <f>Regions!G3</f>
        <v>IE-KE</v>
      </c>
      <c r="F178" s="130" t="str">
        <f>Regions!H3</f>
        <v>IE-KK</v>
      </c>
      <c r="G178" s="130" t="str">
        <f>Regions!I3</f>
        <v>IE-LS</v>
      </c>
      <c r="H178" s="130" t="str">
        <f>Regions!J3</f>
        <v>IE-LD</v>
      </c>
      <c r="I178" s="130" t="str">
        <f>Regions!K3</f>
        <v>IE-LH</v>
      </c>
      <c r="J178" s="130" t="str">
        <f>Regions!L3</f>
        <v>IE-MH</v>
      </c>
      <c r="K178" s="130" t="str">
        <f>Regions!M3</f>
        <v>IE-OY</v>
      </c>
      <c r="L178" s="130" t="str">
        <f>Regions!N3</f>
        <v>IE-WH</v>
      </c>
      <c r="M178" s="130" t="str">
        <f>Regions!O3</f>
        <v>IE-WX</v>
      </c>
      <c r="N178" s="130" t="str">
        <f>Regions!P3</f>
        <v>IE-WW</v>
      </c>
      <c r="O178" s="130" t="str">
        <f>Regions!Q3</f>
        <v>IE-CE</v>
      </c>
      <c r="P178" s="130" t="str">
        <f>Regions!R3</f>
        <v>IE-CO</v>
      </c>
      <c r="Q178" s="130" t="str">
        <f>Regions!S3</f>
        <v>IE-KY</v>
      </c>
      <c r="R178" s="130" t="str">
        <f>Regions!T3</f>
        <v>IE-LK</v>
      </c>
      <c r="S178" s="130" t="str">
        <f>Regions!U3</f>
        <v>IE-TA</v>
      </c>
      <c r="T178" s="130" t="str">
        <f>Regions!V3</f>
        <v>IE-WD</v>
      </c>
      <c r="U178" s="130" t="str">
        <f>Regions!W3</f>
        <v>IE-G</v>
      </c>
      <c r="V178" s="130" t="str">
        <f>Regions!X3</f>
        <v>IE-LM</v>
      </c>
      <c r="W178" s="130" t="str">
        <f>Regions!Y3</f>
        <v>IE-MO</v>
      </c>
      <c r="X178" s="130" t="str">
        <f>Regions!Z3</f>
        <v>IE-RN</v>
      </c>
      <c r="Y178" s="130" t="str">
        <f>Regions!AA3</f>
        <v>IE-SO</v>
      </c>
      <c r="Z178" s="130" t="str">
        <f>Regions!AB3</f>
        <v>IE-CN</v>
      </c>
      <c r="AA178" s="130" t="str">
        <f>Regions!AC3</f>
        <v>IE-DL</v>
      </c>
      <c r="AB178" s="130" t="str">
        <f>Regions!AD3</f>
        <v>IE-MN</v>
      </c>
      <c r="AC178" s="459" t="s">
        <v>402</v>
      </c>
      <c r="AD178" s="459"/>
    </row>
    <row r="179" spans="1:30">
      <c r="A179" s="406" t="s">
        <v>400</v>
      </c>
      <c r="B179" s="396">
        <f>SUM(C179:AB179)</f>
        <v>4857000.0000000037</v>
      </c>
      <c r="C179" s="396">
        <v>58069.41691963128</v>
      </c>
      <c r="D179" s="396">
        <v>1374277.23444491</v>
      </c>
      <c r="E179" s="396">
        <v>226949.29990665423</v>
      </c>
      <c r="F179" s="396">
        <v>101214.50818114332</v>
      </c>
      <c r="G179" s="396">
        <v>86389.120439155668</v>
      </c>
      <c r="H179" s="396">
        <v>41689.581918009018</v>
      </c>
      <c r="I179" s="396">
        <v>131458.91116190821</v>
      </c>
      <c r="J179" s="396">
        <v>198940.68983476012</v>
      </c>
      <c r="K179" s="396">
        <v>79518.545149851998</v>
      </c>
      <c r="L179" s="396">
        <v>90543.492938166033</v>
      </c>
      <c r="M179" s="396">
        <v>152713.2234954162</v>
      </c>
      <c r="N179" s="396">
        <v>145270.44025817615</v>
      </c>
      <c r="O179" s="396">
        <v>121190.78743307506</v>
      </c>
      <c r="P179" s="396">
        <v>553713.69746937393</v>
      </c>
      <c r="Q179" s="396">
        <v>150657.96678402266</v>
      </c>
      <c r="R179" s="396">
        <v>198792.79294982113</v>
      </c>
      <c r="S179" s="396">
        <v>162740.63229427967</v>
      </c>
      <c r="T179" s="396">
        <v>118497.02417015182</v>
      </c>
      <c r="U179" s="396">
        <v>263213.61609369441</v>
      </c>
      <c r="V179" s="396">
        <v>32684.191592999803</v>
      </c>
      <c r="W179" s="396">
        <v>133114.33629470808</v>
      </c>
      <c r="X179" s="396">
        <v>65833.493389669806</v>
      </c>
      <c r="Y179" s="396">
        <v>66844.292099839033</v>
      </c>
      <c r="Z179" s="396">
        <v>77697.883497327202</v>
      </c>
      <c r="AA179" s="396">
        <v>162372.42004970741</v>
      </c>
      <c r="AB179" s="396">
        <v>62612.401233550299</v>
      </c>
      <c r="AC179" s="459">
        <f>SUM(C179:AB179)</f>
        <v>4857000.0000000037</v>
      </c>
      <c r="AD179" s="459"/>
    </row>
    <row r="180" spans="1:30">
      <c r="A180" s="397" t="s">
        <v>403</v>
      </c>
      <c r="B180" s="467">
        <f>SUM(C180:AB180)</f>
        <v>0.99999999999999956</v>
      </c>
      <c r="C180" s="397">
        <f t="shared" ref="C180:AB180" si="87">C179/$AC$179</f>
        <v>1.1955819831095581E-2</v>
      </c>
      <c r="D180" s="397">
        <f t="shared" si="87"/>
        <v>0.28294775261373462</v>
      </c>
      <c r="E180" s="397">
        <f t="shared" si="87"/>
        <v>4.6726230164021831E-2</v>
      </c>
      <c r="F180" s="397">
        <f t="shared" si="87"/>
        <v>2.0838894004764925E-2</v>
      </c>
      <c r="G180" s="397">
        <f t="shared" si="87"/>
        <v>1.7786518517429607E-2</v>
      </c>
      <c r="H180" s="397">
        <f t="shared" si="87"/>
        <v>8.5834016714039507E-3</v>
      </c>
      <c r="I180" s="397">
        <f t="shared" si="87"/>
        <v>2.7065865999981082E-2</v>
      </c>
      <c r="J180" s="397">
        <f t="shared" si="87"/>
        <v>4.0959582012509772E-2</v>
      </c>
      <c r="K180" s="397">
        <f t="shared" si="87"/>
        <v>1.6371946705754981E-2</v>
      </c>
      <c r="L180" s="397">
        <f t="shared" si="87"/>
        <v>1.8641855659494742E-2</v>
      </c>
      <c r="M180" s="397">
        <f t="shared" si="87"/>
        <v>3.1441882539719183E-2</v>
      </c>
      <c r="N180" s="397">
        <f t="shared" si="87"/>
        <v>2.9909499744322842E-2</v>
      </c>
      <c r="O180" s="397">
        <f t="shared" si="87"/>
        <v>2.4951778347349182E-2</v>
      </c>
      <c r="P180" s="397">
        <f t="shared" si="87"/>
        <v>0.11400323192698651</v>
      </c>
      <c r="Q180" s="397">
        <f t="shared" si="87"/>
        <v>3.1018729006387184E-2</v>
      </c>
      <c r="R180" s="397">
        <f t="shared" si="87"/>
        <v>4.0929131758250151E-2</v>
      </c>
      <c r="S180" s="397">
        <f t="shared" si="87"/>
        <v>3.350640977852163E-2</v>
      </c>
      <c r="T180" s="397">
        <f t="shared" si="87"/>
        <v>2.4397163716317012E-2</v>
      </c>
      <c r="U180" s="397">
        <f t="shared" si="87"/>
        <v>5.4192632508481407E-2</v>
      </c>
      <c r="V180" s="397">
        <f t="shared" si="87"/>
        <v>6.7292961896231783E-3</v>
      </c>
      <c r="W180" s="397">
        <f t="shared" si="87"/>
        <v>2.7406698845935346E-2</v>
      </c>
      <c r="X180" s="397">
        <f t="shared" si="87"/>
        <v>1.3554353178849033E-2</v>
      </c>
      <c r="Y180" s="397">
        <f t="shared" si="87"/>
        <v>1.3762464916582043E-2</v>
      </c>
      <c r="Z180" s="397">
        <f t="shared" si="87"/>
        <v>1.5997093575731345E-2</v>
      </c>
      <c r="AA180" s="397">
        <f t="shared" si="87"/>
        <v>3.3430599145502837E-2</v>
      </c>
      <c r="AB180" s="397">
        <f t="shared" si="87"/>
        <v>1.2891167641249795E-2</v>
      </c>
      <c r="AC180" s="459">
        <f>SUM(C180:AB180)</f>
        <v>0.99999999999999956</v>
      </c>
      <c r="AD180" s="459"/>
    </row>
    <row r="181" spans="1:30" s="391" customFormat="1">
      <c r="A181" s="133" t="s">
        <v>404</v>
      </c>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402"/>
      <c r="AC181" s="459"/>
      <c r="AD181" s="459"/>
    </row>
    <row r="182" spans="1:30" s="459" customFormat="1">
      <c r="A182" s="133"/>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402"/>
    </row>
    <row r="183" spans="1:30" s="391" customFormat="1">
      <c r="A183" s="133"/>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402"/>
      <c r="AC183" s="459"/>
      <c r="AD183" s="459"/>
    </row>
    <row r="184" spans="1:30" s="391" customFormat="1">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402"/>
      <c r="AC184" s="459"/>
      <c r="AD184" s="459"/>
    </row>
    <row r="185" spans="1:30" s="391" customFormat="1" ht="15.6">
      <c r="A185" s="401" t="s">
        <v>421</v>
      </c>
      <c r="B185" s="40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402"/>
      <c r="AC185" s="459"/>
      <c r="AD185" s="459"/>
    </row>
    <row r="186" spans="1:30" s="391" customFormat="1">
      <c r="A186" s="132" t="s">
        <v>418</v>
      </c>
      <c r="B186" s="130" t="s">
        <v>365</v>
      </c>
      <c r="C186" s="130" t="s">
        <v>362</v>
      </c>
      <c r="D186" s="130" t="s">
        <v>408</v>
      </c>
      <c r="E186" s="130" t="s">
        <v>409</v>
      </c>
      <c r="F186" s="130" t="s">
        <v>24</v>
      </c>
      <c r="G186" s="130" t="s">
        <v>410</v>
      </c>
      <c r="H186" s="130" t="s">
        <v>13</v>
      </c>
      <c r="I186" s="130" t="s">
        <v>1</v>
      </c>
      <c r="K186" s="409" t="s">
        <v>444</v>
      </c>
      <c r="L186" s="34"/>
      <c r="M186" s="408" t="s">
        <v>443</v>
      </c>
      <c r="O186" s="34"/>
      <c r="P186" s="34"/>
      <c r="Q186" s="34"/>
      <c r="R186" s="34"/>
      <c r="S186" s="34"/>
      <c r="T186" s="34"/>
      <c r="U186" s="34"/>
      <c r="V186" s="34"/>
      <c r="W186" s="34"/>
      <c r="X186" s="34"/>
      <c r="Y186" s="34"/>
      <c r="Z186" s="34"/>
      <c r="AA186" s="34"/>
      <c r="AB186" s="402"/>
    </row>
    <row r="187" spans="1:30" s="391" customFormat="1">
      <c r="A187" s="391" t="s">
        <v>401</v>
      </c>
      <c r="B187" s="357">
        <v>0.71</v>
      </c>
      <c r="C187" s="357">
        <v>0.18</v>
      </c>
      <c r="D187" s="357">
        <v>0.05</v>
      </c>
      <c r="E187" s="357">
        <v>0.03</v>
      </c>
      <c r="F187" s="357">
        <v>0.01</v>
      </c>
      <c r="G187" s="357">
        <v>1.7999999999999999E-2</v>
      </c>
      <c r="H187" s="357">
        <v>4.0000000000000001E-3</v>
      </c>
      <c r="I187" s="4">
        <f t="shared" ref="I187:I193" si="88">SUM(B187:H187)</f>
        <v>1.002</v>
      </c>
      <c r="K187" s="33">
        <f>SUM(K189:K193)</f>
        <v>1</v>
      </c>
      <c r="L187" s="34"/>
      <c r="M187" s="34" t="s">
        <v>420</v>
      </c>
      <c r="O187" s="34"/>
      <c r="P187" s="34"/>
      <c r="Q187" s="34"/>
      <c r="R187" s="34"/>
      <c r="S187" s="34"/>
      <c r="T187" s="34"/>
      <c r="U187" s="34"/>
      <c r="V187" s="34"/>
      <c r="W187" s="34"/>
      <c r="X187" s="34"/>
      <c r="Y187" s="34"/>
      <c r="Z187" s="34"/>
      <c r="AA187" s="34"/>
      <c r="AB187" s="402"/>
    </row>
    <row r="188" spans="1:30" s="391" customFormat="1">
      <c r="A188" s="391" t="s">
        <v>405</v>
      </c>
      <c r="B188" s="4">
        <v>0.42</v>
      </c>
      <c r="C188" s="4">
        <v>0.28999999999999998</v>
      </c>
      <c r="D188" s="4">
        <v>0.16</v>
      </c>
      <c r="E188" s="4">
        <v>0.09</v>
      </c>
      <c r="F188" s="4">
        <v>0.02</v>
      </c>
      <c r="G188" s="4">
        <v>0.01</v>
      </c>
      <c r="H188" s="4">
        <v>6.0000000000000001E-3</v>
      </c>
      <c r="I188" s="4">
        <f t="shared" si="88"/>
        <v>0.996</v>
      </c>
      <c r="K188" s="388">
        <f>SUM(D201:G201)/$B$200</f>
        <v>0.27670776050980028</v>
      </c>
      <c r="L188" s="34"/>
      <c r="M188" s="391" t="s">
        <v>412</v>
      </c>
      <c r="O188" s="34"/>
      <c r="P188" s="34"/>
      <c r="Q188" s="34"/>
      <c r="R188" s="34"/>
      <c r="S188" s="34"/>
      <c r="T188" s="34"/>
      <c r="U188" s="34"/>
      <c r="V188" s="34"/>
      <c r="W188" s="34"/>
      <c r="X188" s="34"/>
      <c r="Y188" s="34"/>
      <c r="Z188" s="34"/>
      <c r="AA188" s="34"/>
      <c r="AB188" s="402"/>
    </row>
    <row r="189" spans="1:30" s="391" customFormat="1">
      <c r="A189" s="391" t="s">
        <v>411</v>
      </c>
      <c r="B189" s="4">
        <v>0.63</v>
      </c>
      <c r="C189" s="4">
        <v>0.2</v>
      </c>
      <c r="D189" s="4">
        <v>0.09</v>
      </c>
      <c r="E189" s="4">
        <v>0.05</v>
      </c>
      <c r="F189" s="4">
        <v>0.02</v>
      </c>
      <c r="G189" s="4">
        <v>8.9999999999999993E-3</v>
      </c>
      <c r="H189" s="4">
        <v>1E-3</v>
      </c>
      <c r="I189" s="4">
        <f t="shared" si="88"/>
        <v>1</v>
      </c>
      <c r="K189" s="388">
        <f>(D201+E201+F201+G201+H201+M201+Q201)/B200</f>
        <v>0.35174369705987046</v>
      </c>
      <c r="L189" s="34"/>
      <c r="M189" s="391" t="s">
        <v>413</v>
      </c>
      <c r="O189" s="34"/>
      <c r="P189" s="34"/>
      <c r="Q189" s="34"/>
      <c r="R189" s="34"/>
      <c r="S189" s="34"/>
      <c r="T189" s="34"/>
      <c r="U189" s="34"/>
      <c r="V189" s="34"/>
      <c r="W189" s="34"/>
      <c r="X189" s="34"/>
      <c r="Y189" s="34"/>
      <c r="Z189" s="34"/>
      <c r="AA189" s="34"/>
      <c r="AB189" s="402"/>
    </row>
    <row r="190" spans="1:30" s="391" customFormat="1">
      <c r="A190" s="391" t="s">
        <v>406</v>
      </c>
      <c r="B190" s="4">
        <v>0.62</v>
      </c>
      <c r="C190" s="4">
        <v>0.27</v>
      </c>
      <c r="D190" s="4">
        <v>0.05</v>
      </c>
      <c r="E190" s="4">
        <v>0.05</v>
      </c>
      <c r="F190" s="4">
        <v>0</v>
      </c>
      <c r="G190" s="4">
        <v>8.9999999999999993E-3</v>
      </c>
      <c r="H190" s="4">
        <v>1E-3</v>
      </c>
      <c r="I190" s="404">
        <f t="shared" si="88"/>
        <v>1</v>
      </c>
      <c r="K190" s="388">
        <f>(S201+V201+X201+Y201)/$B$200</f>
        <v>7.9993447945290341E-2</v>
      </c>
      <c r="L190" s="34"/>
      <c r="M190" s="391" t="s">
        <v>414</v>
      </c>
      <c r="O190" s="34"/>
      <c r="P190" s="34"/>
      <c r="Q190" s="34"/>
      <c r="R190" s="34"/>
      <c r="S190" s="34"/>
      <c r="T190" s="34"/>
      <c r="U190" s="34"/>
      <c r="V190" s="34"/>
      <c r="W190" s="34"/>
      <c r="X190" s="34"/>
      <c r="Y190" s="34"/>
      <c r="Z190" s="34"/>
      <c r="AA190" s="34"/>
      <c r="AB190" s="402"/>
    </row>
    <row r="191" spans="1:30" s="391" customFormat="1">
      <c r="A191" s="391" t="s">
        <v>407</v>
      </c>
      <c r="B191" s="4">
        <v>0.76</v>
      </c>
      <c r="C191" s="4">
        <v>0.18</v>
      </c>
      <c r="D191" s="4">
        <v>0.03</v>
      </c>
      <c r="E191" s="4">
        <v>0.01</v>
      </c>
      <c r="F191" s="4">
        <v>0</v>
      </c>
      <c r="G191" s="4">
        <v>0.01</v>
      </c>
      <c r="H191" s="4">
        <v>0.01</v>
      </c>
      <c r="I191" s="404">
        <f t="shared" si="88"/>
        <v>1</v>
      </c>
      <c r="K191" s="388">
        <f>(C201+I201+J201+K201+L201+N201+O201+P201+R201+T201+U201+W201+Z201+AA201+AB201+AC201+AD201+AE201+AF201+AG201)/B200</f>
        <v>0.19528210060554005</v>
      </c>
      <c r="L191" s="34"/>
      <c r="M191" s="391" t="s">
        <v>422</v>
      </c>
      <c r="O191" s="34"/>
      <c r="P191" s="34"/>
      <c r="Q191" s="34"/>
      <c r="R191" s="34"/>
      <c r="S191" s="34"/>
      <c r="T191" s="34"/>
      <c r="U191" s="34"/>
      <c r="V191" s="34"/>
      <c r="W191" s="34"/>
      <c r="X191" s="34"/>
      <c r="Y191" s="34"/>
      <c r="Z191" s="34"/>
      <c r="AA191" s="34"/>
      <c r="AB191" s="402"/>
    </row>
    <row r="192" spans="1:30" s="391" customFormat="1">
      <c r="A192" s="391" t="s">
        <v>417</v>
      </c>
      <c r="B192" s="4">
        <v>0.64</v>
      </c>
      <c r="C192" s="4">
        <v>0.28999999999999998</v>
      </c>
      <c r="D192" s="4">
        <v>0.03</v>
      </c>
      <c r="E192" s="4">
        <v>0.02</v>
      </c>
      <c r="F192" s="4">
        <v>0</v>
      </c>
      <c r="G192" s="4">
        <v>0.01</v>
      </c>
      <c r="H192" s="4">
        <v>0.01</v>
      </c>
      <c r="I192" s="404">
        <f t="shared" si="88"/>
        <v>1</v>
      </c>
      <c r="K192" s="391">
        <v>0</v>
      </c>
      <c r="L192" s="34"/>
      <c r="M192" s="391" t="s">
        <v>415</v>
      </c>
      <c r="O192" s="34"/>
      <c r="P192" s="34"/>
      <c r="Q192" s="34"/>
      <c r="R192" s="34"/>
      <c r="S192" s="34"/>
      <c r="T192" s="34"/>
      <c r="U192" s="34"/>
      <c r="V192" s="34"/>
      <c r="W192" s="34"/>
      <c r="X192" s="34"/>
      <c r="Y192" s="34"/>
      <c r="Z192" s="34"/>
      <c r="AA192" s="34"/>
      <c r="AB192" s="402"/>
    </row>
    <row r="193" spans="1:33" s="391" customFormat="1">
      <c r="A193" s="392" t="s">
        <v>113</v>
      </c>
      <c r="B193" s="403">
        <v>0.81</v>
      </c>
      <c r="C193" s="403">
        <v>0.11</v>
      </c>
      <c r="D193" s="403">
        <v>0.04</v>
      </c>
      <c r="E193" s="403">
        <v>0.01</v>
      </c>
      <c r="F193" s="403">
        <v>0</v>
      </c>
      <c r="G193" s="403">
        <v>0.02</v>
      </c>
      <c r="H193" s="403">
        <v>0.01</v>
      </c>
      <c r="I193" s="405">
        <f t="shared" si="88"/>
        <v>1</v>
      </c>
      <c r="K193" s="388">
        <f>B202/B200</f>
        <v>0.37298075438929917</v>
      </c>
      <c r="L193" s="34"/>
      <c r="M193" s="391" t="s">
        <v>416</v>
      </c>
      <c r="O193" s="34"/>
      <c r="P193" s="34"/>
      <c r="Q193" s="34"/>
      <c r="R193" s="34"/>
      <c r="S193" s="34"/>
      <c r="T193" s="34"/>
      <c r="U193" s="34"/>
      <c r="V193" s="34"/>
      <c r="W193" s="34"/>
      <c r="X193" s="34"/>
      <c r="Y193" s="34"/>
      <c r="Z193" s="34"/>
      <c r="AA193" s="34"/>
      <c r="AB193" s="402"/>
    </row>
    <row r="194" spans="1:33" s="391" customFormat="1">
      <c r="A194" s="391" t="s">
        <v>419</v>
      </c>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402"/>
    </row>
    <row r="195" spans="1:33" s="391" customFormat="1">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402"/>
    </row>
    <row r="196" spans="1:33" s="459" customFormat="1">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402"/>
    </row>
    <row r="197" spans="1:33" s="391" customFormat="1">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402"/>
    </row>
    <row r="198" spans="1:33" s="391" customFormat="1" ht="15.6">
      <c r="A198" s="401" t="s">
        <v>435</v>
      </c>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402"/>
      <c r="AB198" s="402"/>
      <c r="AC198" s="402"/>
      <c r="AD198" s="402"/>
    </row>
    <row r="199" spans="1:33">
      <c r="A199" s="132"/>
      <c r="B199" s="132" t="s">
        <v>401</v>
      </c>
      <c r="C199" s="132" t="s">
        <v>374</v>
      </c>
      <c r="D199" s="132" t="s">
        <v>423</v>
      </c>
      <c r="E199" s="132" t="s">
        <v>424</v>
      </c>
      <c r="F199" s="132" t="s">
        <v>425</v>
      </c>
      <c r="G199" s="132" t="s">
        <v>426</v>
      </c>
      <c r="H199" s="132" t="s">
        <v>376</v>
      </c>
      <c r="I199" s="132" t="s">
        <v>377</v>
      </c>
      <c r="J199" s="132" t="s">
        <v>378</v>
      </c>
      <c r="K199" s="132" t="s">
        <v>379</v>
      </c>
      <c r="L199" s="132" t="s">
        <v>380</v>
      </c>
      <c r="M199" s="132" t="s">
        <v>381</v>
      </c>
      <c r="N199" s="132" t="s">
        <v>382</v>
      </c>
      <c r="O199" s="132" t="s">
        <v>383</v>
      </c>
      <c r="P199" s="132" t="s">
        <v>384</v>
      </c>
      <c r="Q199" s="132" t="s">
        <v>385</v>
      </c>
      <c r="R199" s="132" t="s">
        <v>386</v>
      </c>
      <c r="S199" s="132" t="s">
        <v>427</v>
      </c>
      <c r="T199" s="132" t="s">
        <v>428</v>
      </c>
      <c r="U199" s="132" t="s">
        <v>388</v>
      </c>
      <c r="V199" s="132" t="s">
        <v>429</v>
      </c>
      <c r="W199" s="132" t="s">
        <v>390</v>
      </c>
      <c r="X199" s="132" t="s">
        <v>430</v>
      </c>
      <c r="Y199" s="132" t="s">
        <v>431</v>
      </c>
      <c r="Z199" s="132" t="s">
        <v>432</v>
      </c>
      <c r="AA199" s="132" t="s">
        <v>393</v>
      </c>
      <c r="AB199" s="132" t="s">
        <v>394</v>
      </c>
      <c r="AC199" s="132" t="s">
        <v>395</v>
      </c>
      <c r="AD199" s="132" t="s">
        <v>396</v>
      </c>
      <c r="AE199" s="132" t="s">
        <v>397</v>
      </c>
      <c r="AF199" s="132" t="s">
        <v>398</v>
      </c>
      <c r="AG199" s="132" t="s">
        <v>399</v>
      </c>
    </row>
    <row r="200" spans="1:33">
      <c r="A200" s="391" t="s">
        <v>433</v>
      </c>
      <c r="B200" s="36">
        <v>4761865</v>
      </c>
      <c r="C200" s="36">
        <v>56932</v>
      </c>
      <c r="D200" s="36">
        <v>554554</v>
      </c>
      <c r="E200" s="36">
        <v>218018</v>
      </c>
      <c r="F200" s="36">
        <v>296020</v>
      </c>
      <c r="G200" s="36">
        <v>278767</v>
      </c>
      <c r="H200" s="36">
        <v>222504</v>
      </c>
      <c r="I200" s="36">
        <v>99232</v>
      </c>
      <c r="J200" s="36">
        <v>84697</v>
      </c>
      <c r="K200" s="36">
        <v>40873</v>
      </c>
      <c r="L200" s="36">
        <v>128884</v>
      </c>
      <c r="M200" s="36">
        <v>195044</v>
      </c>
      <c r="N200" s="36">
        <v>77961</v>
      </c>
      <c r="O200" s="36">
        <v>88770</v>
      </c>
      <c r="P200" s="36">
        <v>149722</v>
      </c>
      <c r="Q200" s="36">
        <v>142425</v>
      </c>
      <c r="R200" s="36">
        <v>118817</v>
      </c>
      <c r="S200" s="36">
        <v>125657</v>
      </c>
      <c r="T200" s="36">
        <v>417211</v>
      </c>
      <c r="U200" s="36">
        <v>147707</v>
      </c>
      <c r="V200" s="36">
        <v>194899</v>
      </c>
      <c r="W200" s="36">
        <v>159553</v>
      </c>
      <c r="X200" s="36">
        <v>116176</v>
      </c>
      <c r="Y200" s="36">
        <v>78668</v>
      </c>
      <c r="Z200" s="36">
        <v>179390</v>
      </c>
      <c r="AA200" s="36">
        <v>32044</v>
      </c>
      <c r="AB200" s="36">
        <v>130507</v>
      </c>
      <c r="AC200" s="36">
        <v>64544</v>
      </c>
      <c r="AD200" s="36">
        <v>65535</v>
      </c>
      <c r="AE200" s="36">
        <v>76176</v>
      </c>
      <c r="AF200" s="36">
        <v>159192</v>
      </c>
      <c r="AG200" s="36">
        <v>61386</v>
      </c>
    </row>
    <row r="201" spans="1:33">
      <c r="A201" s="391" t="s">
        <v>436</v>
      </c>
      <c r="B201" s="36">
        <v>2985781</v>
      </c>
      <c r="C201" s="36">
        <v>28004</v>
      </c>
      <c r="D201" s="36">
        <v>554554</v>
      </c>
      <c r="E201" s="36">
        <v>215453</v>
      </c>
      <c r="F201" s="36">
        <v>274423</v>
      </c>
      <c r="G201" s="36">
        <v>273215</v>
      </c>
      <c r="H201" s="36">
        <v>150338</v>
      </c>
      <c r="I201" s="36">
        <v>38438</v>
      </c>
      <c r="J201" s="36">
        <v>40979</v>
      </c>
      <c r="K201" s="36">
        <v>13957</v>
      </c>
      <c r="L201" s="36">
        <v>85224</v>
      </c>
      <c r="M201" s="36">
        <v>114380</v>
      </c>
      <c r="N201" s="36">
        <v>33421</v>
      </c>
      <c r="O201" s="36">
        <v>43435</v>
      </c>
      <c r="P201" s="36">
        <v>57753</v>
      </c>
      <c r="Q201" s="36">
        <v>92593</v>
      </c>
      <c r="R201" s="36">
        <v>46654</v>
      </c>
      <c r="S201" s="36">
        <v>125657</v>
      </c>
      <c r="T201" s="36">
        <v>214995</v>
      </c>
      <c r="U201" s="36">
        <v>52126</v>
      </c>
      <c r="V201" s="36">
        <v>105047</v>
      </c>
      <c r="W201" s="36">
        <v>66244</v>
      </c>
      <c r="X201" s="36">
        <v>71546</v>
      </c>
      <c r="Y201" s="36">
        <v>78668</v>
      </c>
      <c r="Z201" s="36">
        <v>39913</v>
      </c>
      <c r="AA201" s="36">
        <v>3422</v>
      </c>
      <c r="AB201" s="36">
        <v>37276</v>
      </c>
      <c r="AC201" s="36">
        <v>17300</v>
      </c>
      <c r="AD201" s="36">
        <v>26097</v>
      </c>
      <c r="AE201" s="36">
        <v>23258</v>
      </c>
      <c r="AF201" s="36">
        <v>43414</v>
      </c>
      <c r="AG201" s="36">
        <v>17997</v>
      </c>
    </row>
    <row r="202" spans="1:33" s="391" customFormat="1">
      <c r="A202" s="391" t="s">
        <v>437</v>
      </c>
      <c r="B202" s="36">
        <v>1776084</v>
      </c>
      <c r="C202" s="36">
        <v>28928</v>
      </c>
      <c r="D202" s="36">
        <v>0</v>
      </c>
      <c r="E202" s="36">
        <v>2565</v>
      </c>
      <c r="F202" s="36">
        <v>21597</v>
      </c>
      <c r="G202" s="36">
        <v>5552</v>
      </c>
      <c r="H202" s="36">
        <v>72166</v>
      </c>
      <c r="I202" s="36">
        <v>60794</v>
      </c>
      <c r="J202" s="36">
        <v>43718</v>
      </c>
      <c r="K202" s="36">
        <v>26916</v>
      </c>
      <c r="L202" s="36">
        <v>43660</v>
      </c>
      <c r="M202" s="36">
        <v>80664</v>
      </c>
      <c r="N202" s="36">
        <v>44540</v>
      </c>
      <c r="O202" s="36">
        <v>45335</v>
      </c>
      <c r="P202" s="36">
        <v>91969</v>
      </c>
      <c r="Q202" s="36">
        <v>49832</v>
      </c>
      <c r="R202" s="36">
        <v>72163</v>
      </c>
      <c r="S202" s="36">
        <v>0</v>
      </c>
      <c r="T202" s="36">
        <v>202216</v>
      </c>
      <c r="U202" s="36">
        <v>95581</v>
      </c>
      <c r="V202" s="36">
        <v>89852</v>
      </c>
      <c r="W202" s="36">
        <v>93309</v>
      </c>
      <c r="X202" s="36">
        <v>44630</v>
      </c>
      <c r="Y202" s="36">
        <v>0</v>
      </c>
      <c r="Z202" s="36">
        <v>139477</v>
      </c>
      <c r="AA202" s="36">
        <v>28622</v>
      </c>
      <c r="AB202" s="36">
        <v>93231</v>
      </c>
      <c r="AC202" s="36">
        <v>47244</v>
      </c>
      <c r="AD202" s="36">
        <v>39438</v>
      </c>
      <c r="AE202" s="36">
        <v>52918</v>
      </c>
      <c r="AF202" s="36">
        <v>115778</v>
      </c>
      <c r="AG202" s="36">
        <v>43389</v>
      </c>
    </row>
    <row r="203" spans="1:33" s="391" customFormat="1">
      <c r="A203" s="391" t="s">
        <v>438</v>
      </c>
      <c r="B203" s="395">
        <f>B201/B200</f>
        <v>0.62701924561070088</v>
      </c>
      <c r="C203" s="395">
        <f t="shared" ref="C203:AG203" si="89">C201/C200</f>
        <v>0.49188505585610903</v>
      </c>
      <c r="D203" s="395">
        <f t="shared" si="89"/>
        <v>1</v>
      </c>
      <c r="E203" s="395">
        <f t="shared" si="89"/>
        <v>0.98823491638305094</v>
      </c>
      <c r="F203" s="395">
        <f t="shared" si="89"/>
        <v>0.92704209175055741</v>
      </c>
      <c r="G203" s="395">
        <f t="shared" si="89"/>
        <v>0.98008372583555448</v>
      </c>
      <c r="H203" s="395">
        <f>H201/H200</f>
        <v>0.67566425772120953</v>
      </c>
      <c r="I203" s="395">
        <f t="shared" si="89"/>
        <v>0.38735488552079972</v>
      </c>
      <c r="J203" s="395">
        <f t="shared" si="89"/>
        <v>0.48383059612501034</v>
      </c>
      <c r="K203" s="395">
        <f t="shared" si="89"/>
        <v>0.34147236562033617</v>
      </c>
      <c r="L203" s="395">
        <f t="shared" si="89"/>
        <v>0.66124577139132867</v>
      </c>
      <c r="M203" s="395">
        <f t="shared" si="89"/>
        <v>0.58643177949590863</v>
      </c>
      <c r="N203" s="395">
        <f t="shared" si="89"/>
        <v>0.42868870332602199</v>
      </c>
      <c r="O203" s="395">
        <f t="shared" si="89"/>
        <v>0.48929818632420863</v>
      </c>
      <c r="P203" s="395">
        <f t="shared" si="89"/>
        <v>0.38573489533936228</v>
      </c>
      <c r="Q203" s="395">
        <f t="shared" si="89"/>
        <v>0.65011760575741617</v>
      </c>
      <c r="R203" s="395">
        <f t="shared" si="89"/>
        <v>0.39265424981273722</v>
      </c>
      <c r="S203" s="395">
        <f t="shared" si="89"/>
        <v>1</v>
      </c>
      <c r="T203" s="395">
        <f t="shared" si="89"/>
        <v>0.51531479275474523</v>
      </c>
      <c r="U203" s="395">
        <f t="shared" si="89"/>
        <v>0.35290135200092076</v>
      </c>
      <c r="V203" s="395">
        <f t="shared" si="89"/>
        <v>0.53898172899809649</v>
      </c>
      <c r="W203" s="395">
        <f t="shared" si="89"/>
        <v>0.41518492287829123</v>
      </c>
      <c r="X203" s="395">
        <f t="shared" si="89"/>
        <v>0.6158414818895469</v>
      </c>
      <c r="Y203" s="395">
        <f t="shared" si="89"/>
        <v>1</v>
      </c>
      <c r="Z203" s="395">
        <f t="shared" si="89"/>
        <v>0.22249289258041138</v>
      </c>
      <c r="AA203" s="395">
        <f t="shared" si="89"/>
        <v>0.10679066283859692</v>
      </c>
      <c r="AB203" s="395">
        <f t="shared" si="89"/>
        <v>0.28562452588750031</v>
      </c>
      <c r="AC203" s="395">
        <f t="shared" si="89"/>
        <v>0.26803420922161625</v>
      </c>
      <c r="AD203" s="395">
        <f t="shared" si="89"/>
        <v>0.39821469443808649</v>
      </c>
      <c r="AE203" s="395">
        <f t="shared" si="89"/>
        <v>0.3053192606595253</v>
      </c>
      <c r="AF203" s="395">
        <f t="shared" si="89"/>
        <v>0.27271470928187347</v>
      </c>
      <c r="AG203" s="395">
        <f t="shared" si="89"/>
        <v>0.29317759749780081</v>
      </c>
    </row>
    <row r="204" spans="1:33" s="391" customFormat="1">
      <c r="A204" s="391" t="s">
        <v>439</v>
      </c>
      <c r="B204" s="395">
        <f>B202/B200</f>
        <v>0.37298075438929917</v>
      </c>
      <c r="C204" s="395">
        <f t="shared" ref="C204:AG204" si="90">C202/C200</f>
        <v>0.50811494414389091</v>
      </c>
      <c r="D204" s="395">
        <f t="shared" si="90"/>
        <v>0</v>
      </c>
      <c r="E204" s="395">
        <f t="shared" si="90"/>
        <v>1.1765083616949059E-2</v>
      </c>
      <c r="F204" s="395">
        <f t="shared" si="90"/>
        <v>7.2957908249442607E-2</v>
      </c>
      <c r="G204" s="395">
        <f t="shared" si="90"/>
        <v>1.9916274164445576E-2</v>
      </c>
      <c r="H204" s="395">
        <f t="shared" si="90"/>
        <v>0.32433574227879047</v>
      </c>
      <c r="I204" s="395">
        <f t="shared" si="90"/>
        <v>0.61264511447920023</v>
      </c>
      <c r="J204" s="395">
        <f t="shared" si="90"/>
        <v>0.51616940387498966</v>
      </c>
      <c r="K204" s="395">
        <f t="shared" si="90"/>
        <v>0.65852763437966388</v>
      </c>
      <c r="L204" s="395">
        <f t="shared" si="90"/>
        <v>0.33875422860867138</v>
      </c>
      <c r="M204" s="395">
        <f t="shared" si="90"/>
        <v>0.41356822050409137</v>
      </c>
      <c r="N204" s="395">
        <f t="shared" si="90"/>
        <v>0.57131129667397806</v>
      </c>
      <c r="O204" s="395">
        <f t="shared" si="90"/>
        <v>0.51070181367579137</v>
      </c>
      <c r="P204" s="395">
        <f t="shared" si="90"/>
        <v>0.61426510466063766</v>
      </c>
      <c r="Q204" s="395">
        <f t="shared" si="90"/>
        <v>0.34988239424258383</v>
      </c>
      <c r="R204" s="395">
        <f t="shared" si="90"/>
        <v>0.60734575018726278</v>
      </c>
      <c r="S204" s="395">
        <f t="shared" si="90"/>
        <v>0</v>
      </c>
      <c r="T204" s="395">
        <f t="shared" si="90"/>
        <v>0.48468520724525482</v>
      </c>
      <c r="U204" s="395">
        <f t="shared" si="90"/>
        <v>0.64709864799907924</v>
      </c>
      <c r="V204" s="395">
        <f t="shared" si="90"/>
        <v>0.46101827100190357</v>
      </c>
      <c r="W204" s="395">
        <f t="shared" si="90"/>
        <v>0.58481507712170877</v>
      </c>
      <c r="X204" s="395">
        <f t="shared" si="90"/>
        <v>0.3841585181104531</v>
      </c>
      <c r="Y204" s="395">
        <f t="shared" si="90"/>
        <v>0</v>
      </c>
      <c r="Z204" s="395">
        <f t="shared" si="90"/>
        <v>0.77750710741958862</v>
      </c>
      <c r="AA204" s="395">
        <f t="shared" si="90"/>
        <v>0.89320933716140305</v>
      </c>
      <c r="AB204" s="395">
        <f t="shared" si="90"/>
        <v>0.71437547411249969</v>
      </c>
      <c r="AC204" s="395">
        <f t="shared" si="90"/>
        <v>0.73196579077838375</v>
      </c>
      <c r="AD204" s="395">
        <f t="shared" si="90"/>
        <v>0.60178530556191345</v>
      </c>
      <c r="AE204" s="395">
        <f t="shared" si="90"/>
        <v>0.6946807393404747</v>
      </c>
      <c r="AF204" s="395">
        <f t="shared" si="90"/>
        <v>0.72728529071812653</v>
      </c>
      <c r="AG204" s="395">
        <f t="shared" si="90"/>
        <v>0.70682240250219919</v>
      </c>
    </row>
    <row r="205" spans="1:33" s="391" customFormat="1">
      <c r="A205" s="392" t="s">
        <v>16</v>
      </c>
      <c r="B205" s="407">
        <f>SUM(B203:B204)</f>
        <v>1</v>
      </c>
      <c r="C205" s="407">
        <f t="shared" ref="C205:AG205" si="91">SUM(C203:C204)</f>
        <v>1</v>
      </c>
      <c r="D205" s="407">
        <f t="shared" si="91"/>
        <v>1</v>
      </c>
      <c r="E205" s="407">
        <f t="shared" si="91"/>
        <v>1</v>
      </c>
      <c r="F205" s="407">
        <f t="shared" si="91"/>
        <v>1</v>
      </c>
      <c r="G205" s="407">
        <f t="shared" si="91"/>
        <v>1</v>
      </c>
      <c r="H205" s="407">
        <f t="shared" si="91"/>
        <v>1</v>
      </c>
      <c r="I205" s="407">
        <f t="shared" si="91"/>
        <v>1</v>
      </c>
      <c r="J205" s="407">
        <f t="shared" si="91"/>
        <v>1</v>
      </c>
      <c r="K205" s="407">
        <f t="shared" si="91"/>
        <v>1</v>
      </c>
      <c r="L205" s="407">
        <f t="shared" si="91"/>
        <v>1</v>
      </c>
      <c r="M205" s="407">
        <f t="shared" si="91"/>
        <v>1</v>
      </c>
      <c r="N205" s="407">
        <f t="shared" si="91"/>
        <v>1</v>
      </c>
      <c r="O205" s="407">
        <f t="shared" si="91"/>
        <v>1</v>
      </c>
      <c r="P205" s="407">
        <f t="shared" si="91"/>
        <v>1</v>
      </c>
      <c r="Q205" s="407">
        <f t="shared" si="91"/>
        <v>1</v>
      </c>
      <c r="R205" s="407">
        <f t="shared" si="91"/>
        <v>1</v>
      </c>
      <c r="S205" s="407">
        <f t="shared" si="91"/>
        <v>1</v>
      </c>
      <c r="T205" s="407">
        <f t="shared" si="91"/>
        <v>1</v>
      </c>
      <c r="U205" s="407">
        <f t="shared" si="91"/>
        <v>1</v>
      </c>
      <c r="V205" s="407">
        <f t="shared" si="91"/>
        <v>1</v>
      </c>
      <c r="W205" s="407">
        <f t="shared" si="91"/>
        <v>1</v>
      </c>
      <c r="X205" s="407">
        <f t="shared" si="91"/>
        <v>1</v>
      </c>
      <c r="Y205" s="407">
        <f t="shared" si="91"/>
        <v>1</v>
      </c>
      <c r="Z205" s="407">
        <f t="shared" si="91"/>
        <v>1</v>
      </c>
      <c r="AA205" s="407">
        <f t="shared" si="91"/>
        <v>1</v>
      </c>
      <c r="AB205" s="407">
        <f t="shared" si="91"/>
        <v>1</v>
      </c>
      <c r="AC205" s="407">
        <f t="shared" si="91"/>
        <v>1</v>
      </c>
      <c r="AD205" s="407">
        <f t="shared" si="91"/>
        <v>1</v>
      </c>
      <c r="AE205" s="407">
        <f t="shared" si="91"/>
        <v>1</v>
      </c>
      <c r="AF205" s="407">
        <f t="shared" si="91"/>
        <v>1</v>
      </c>
      <c r="AG205" s="407">
        <f t="shared" si="91"/>
        <v>1</v>
      </c>
    </row>
    <row r="206" spans="1:33">
      <c r="A206" s="133" t="s">
        <v>440</v>
      </c>
    </row>
    <row r="207" spans="1:33" s="391" customFormat="1">
      <c r="A207" s="133"/>
    </row>
    <row r="208" spans="1:33" s="459" customFormat="1">
      <c r="A208" s="133"/>
    </row>
    <row r="209" spans="1:30" s="391" customFormat="1">
      <c r="A209" s="133"/>
    </row>
    <row r="210" spans="1:30" s="391" customFormat="1" ht="15.6">
      <c r="A210" s="401" t="s">
        <v>441</v>
      </c>
      <c r="B210" s="401"/>
      <c r="C210" s="401"/>
    </row>
    <row r="211" spans="1:30" s="391" customFormat="1">
      <c r="A211" s="132" t="s">
        <v>418</v>
      </c>
      <c r="B211" s="132" t="str">
        <f>Regions!C3</f>
        <v>IE</v>
      </c>
      <c r="C211" s="132" t="str">
        <f>Regions!E3</f>
        <v>IE-CW</v>
      </c>
      <c r="D211" s="132" t="str">
        <f>Regions!F3</f>
        <v>IE-D</v>
      </c>
      <c r="E211" s="132" t="str">
        <f>Regions!G3</f>
        <v>IE-KE</v>
      </c>
      <c r="F211" s="132" t="str">
        <f>Regions!H3</f>
        <v>IE-KK</v>
      </c>
      <c r="G211" s="132" t="str">
        <f>Regions!I3</f>
        <v>IE-LS</v>
      </c>
      <c r="H211" s="132" t="str">
        <f>Regions!J3</f>
        <v>IE-LD</v>
      </c>
      <c r="I211" s="132" t="str">
        <f>Regions!K3</f>
        <v>IE-LH</v>
      </c>
      <c r="J211" s="132" t="str">
        <f>Regions!L3</f>
        <v>IE-MH</v>
      </c>
      <c r="K211" s="132" t="str">
        <f>Regions!M3</f>
        <v>IE-OY</v>
      </c>
      <c r="L211" s="132" t="str">
        <f>Regions!N3</f>
        <v>IE-WH</v>
      </c>
      <c r="M211" s="132" t="str">
        <f>Regions!O3</f>
        <v>IE-WX</v>
      </c>
      <c r="N211" s="132" t="str">
        <f>Regions!P3</f>
        <v>IE-WW</v>
      </c>
      <c r="O211" s="132" t="str">
        <f>Regions!Q3</f>
        <v>IE-CE</v>
      </c>
      <c r="P211" s="132" t="str">
        <f>Regions!R3</f>
        <v>IE-CO</v>
      </c>
      <c r="Q211" s="132" t="str">
        <f>Regions!S3</f>
        <v>IE-KY</v>
      </c>
      <c r="R211" s="132" t="str">
        <f>Regions!T3</f>
        <v>IE-LK</v>
      </c>
      <c r="S211" s="132" t="str">
        <f>Regions!U3</f>
        <v>IE-TA</v>
      </c>
      <c r="T211" s="132" t="str">
        <f>Regions!V3</f>
        <v>IE-WD</v>
      </c>
      <c r="U211" s="132" t="str">
        <f>Regions!W3</f>
        <v>IE-G</v>
      </c>
      <c r="V211" s="132" t="str">
        <f>Regions!X3</f>
        <v>IE-LM</v>
      </c>
      <c r="W211" s="132" t="str">
        <f>Regions!Y3</f>
        <v>IE-MO</v>
      </c>
      <c r="X211" s="132" t="str">
        <f>Regions!Z3</f>
        <v>IE-RN</v>
      </c>
      <c r="Y211" s="132" t="str">
        <f>Regions!AA3</f>
        <v>IE-SO</v>
      </c>
      <c r="Z211" s="132" t="str">
        <f>Regions!AB3</f>
        <v>IE-CN</v>
      </c>
      <c r="AA211" s="132" t="str">
        <f>Regions!AC3</f>
        <v>IE-DL</v>
      </c>
      <c r="AB211" s="132" t="str">
        <f>Regions!AD3</f>
        <v>IE-MN</v>
      </c>
    </row>
    <row r="212" spans="1:30" s="391" customFormat="1">
      <c r="A212" s="133" t="s">
        <v>114</v>
      </c>
      <c r="B212" s="357">
        <f>B201/B200</f>
        <v>0.62701924561070088</v>
      </c>
      <c r="C212" s="357">
        <f>C201/C200</f>
        <v>0.49188505585610903</v>
      </c>
      <c r="D212" s="357">
        <f>SUM(D201:G201)/SUM(D200:G200)</f>
        <v>0.97794648642269799</v>
      </c>
      <c r="E212" s="357">
        <f>H201/H200</f>
        <v>0.67566425772120953</v>
      </c>
      <c r="F212" s="357">
        <f>I201/I200</f>
        <v>0.38735488552079972</v>
      </c>
      <c r="G212" s="357">
        <f t="shared" ref="G212:O212" si="92">J201/J200</f>
        <v>0.48383059612501034</v>
      </c>
      <c r="H212" s="357">
        <f t="shared" si="92"/>
        <v>0.34147236562033617</v>
      </c>
      <c r="I212" s="357">
        <f>L201/L200</f>
        <v>0.66124577139132867</v>
      </c>
      <c r="J212" s="357">
        <f>M201/M200</f>
        <v>0.58643177949590863</v>
      </c>
      <c r="K212" s="357">
        <f>N201/N200</f>
        <v>0.42868870332602199</v>
      </c>
      <c r="L212" s="357">
        <f>O201/O200</f>
        <v>0.48929818632420863</v>
      </c>
      <c r="M212" s="357">
        <f t="shared" si="92"/>
        <v>0.38573489533936228</v>
      </c>
      <c r="N212" s="357">
        <f t="shared" si="92"/>
        <v>0.65011760575741617</v>
      </c>
      <c r="O212" s="357">
        <f t="shared" si="92"/>
        <v>0.39265424981273722</v>
      </c>
      <c r="P212" s="357">
        <f>SUM(S201:T201)/SUM(S200:T200)</f>
        <v>0.62750429201942282</v>
      </c>
      <c r="Q212" s="357">
        <f>U201/U200</f>
        <v>0.35290135200092076</v>
      </c>
      <c r="R212" s="357">
        <f>V201/V200</f>
        <v>0.53898172899809649</v>
      </c>
      <c r="S212" s="357">
        <f>W201/W200</f>
        <v>0.41518492287829123</v>
      </c>
      <c r="T212" s="357">
        <f>X201/X200</f>
        <v>0.6158414818895469</v>
      </c>
      <c r="U212" s="357">
        <f>SUM(Y201:Z201)/SUM(Y200:Z200)</f>
        <v>0.45951297770268701</v>
      </c>
      <c r="V212" s="357">
        <f>AA201/AA200</f>
        <v>0.10679066283859692</v>
      </c>
      <c r="W212" s="357">
        <f t="shared" ref="W212:AB212" si="93">AB201/AB200</f>
        <v>0.28562452588750031</v>
      </c>
      <c r="X212" s="357">
        <f t="shared" si="93"/>
        <v>0.26803420922161625</v>
      </c>
      <c r="Y212" s="357">
        <f t="shared" si="93"/>
        <v>0.39821469443808649</v>
      </c>
      <c r="Z212" s="357">
        <f t="shared" si="93"/>
        <v>0.3053192606595253</v>
      </c>
      <c r="AA212" s="357">
        <f t="shared" si="93"/>
        <v>0.27271470928187347</v>
      </c>
      <c r="AB212" s="357">
        <f t="shared" si="93"/>
        <v>0.29317759749780081</v>
      </c>
    </row>
    <row r="213" spans="1:30" s="391" customFormat="1">
      <c r="A213" s="133" t="s">
        <v>113</v>
      </c>
      <c r="B213" s="357">
        <f>B202/B200</f>
        <v>0.37298075438929917</v>
      </c>
      <c r="C213" s="357">
        <f>C202/C200</f>
        <v>0.50811494414389091</v>
      </c>
      <c r="D213" s="357">
        <f>SUM(D202:G202)/SUM(D200:G200)</f>
        <v>2.2053513577301967E-2</v>
      </c>
      <c r="E213" s="357">
        <f>H202/H200</f>
        <v>0.32433574227879047</v>
      </c>
      <c r="F213" s="357">
        <f>I202/I200</f>
        <v>0.61264511447920023</v>
      </c>
      <c r="G213" s="357">
        <f t="shared" ref="G213:O213" si="94">J202/J200</f>
        <v>0.51616940387498966</v>
      </c>
      <c r="H213" s="357">
        <f t="shared" si="94"/>
        <v>0.65852763437966388</v>
      </c>
      <c r="I213" s="357">
        <f>L202/L200</f>
        <v>0.33875422860867138</v>
      </c>
      <c r="J213" s="357">
        <f>M202/M200</f>
        <v>0.41356822050409137</v>
      </c>
      <c r="K213" s="357">
        <f>N202/N200</f>
        <v>0.57131129667397806</v>
      </c>
      <c r="L213" s="357">
        <f t="shared" si="94"/>
        <v>0.51070181367579137</v>
      </c>
      <c r="M213" s="357">
        <f t="shared" si="94"/>
        <v>0.61426510466063766</v>
      </c>
      <c r="N213" s="357">
        <f t="shared" si="94"/>
        <v>0.34988239424258383</v>
      </c>
      <c r="O213" s="357">
        <f t="shared" si="94"/>
        <v>0.60734575018726278</v>
      </c>
      <c r="P213" s="357">
        <f>SUM(S202:T202)/SUM(S200:T200)</f>
        <v>0.37249570798057724</v>
      </c>
      <c r="Q213" s="357">
        <f>U202/U200</f>
        <v>0.64709864799907924</v>
      </c>
      <c r="R213" s="357">
        <f>V202/V200</f>
        <v>0.46101827100190357</v>
      </c>
      <c r="S213" s="357">
        <f>W202/W200</f>
        <v>0.58481507712170877</v>
      </c>
      <c r="T213" s="357">
        <f>X202/X200</f>
        <v>0.3841585181104531</v>
      </c>
      <c r="U213" s="357">
        <f>SUM(Y202:Z202)/SUM(Y200:Z200)</f>
        <v>0.54048702229731305</v>
      </c>
      <c r="V213" s="357">
        <f>AA202/AA200</f>
        <v>0.89320933716140305</v>
      </c>
      <c r="W213" s="357">
        <f t="shared" ref="W213:AB213" si="95">AB202/AB200</f>
        <v>0.71437547411249969</v>
      </c>
      <c r="X213" s="357">
        <f t="shared" si="95"/>
        <v>0.73196579077838375</v>
      </c>
      <c r="Y213" s="357">
        <f>AD202/AD200</f>
        <v>0.60178530556191345</v>
      </c>
      <c r="Z213" s="357">
        <f t="shared" si="95"/>
        <v>0.6946807393404747</v>
      </c>
      <c r="AA213" s="357">
        <f t="shared" si="95"/>
        <v>0.72728529071812653</v>
      </c>
      <c r="AB213" s="357">
        <f t="shared" si="95"/>
        <v>0.70682240250219919</v>
      </c>
    </row>
    <row r="214" spans="1:30" s="391" customFormat="1">
      <c r="A214" s="136" t="s">
        <v>16</v>
      </c>
      <c r="B214" s="403">
        <f>SUM(B212:B213)</f>
        <v>1</v>
      </c>
      <c r="C214" s="405">
        <f>SUM(C212:C213)</f>
        <v>1</v>
      </c>
      <c r="D214" s="405">
        <f>SUM(D212:D213)</f>
        <v>1</v>
      </c>
      <c r="E214" s="405">
        <f>SUM(E212:E213)</f>
        <v>1</v>
      </c>
      <c r="F214" s="405">
        <f t="shared" ref="F214:Q214" si="96">SUM(F212:F213)</f>
        <v>1</v>
      </c>
      <c r="G214" s="405">
        <f t="shared" si="96"/>
        <v>1</v>
      </c>
      <c r="H214" s="405">
        <f t="shared" si="96"/>
        <v>1</v>
      </c>
      <c r="I214" s="405">
        <f t="shared" si="96"/>
        <v>1</v>
      </c>
      <c r="J214" s="405">
        <f t="shared" si="96"/>
        <v>1</v>
      </c>
      <c r="K214" s="405">
        <f t="shared" si="96"/>
        <v>1</v>
      </c>
      <c r="L214" s="405">
        <f t="shared" si="96"/>
        <v>1</v>
      </c>
      <c r="M214" s="405">
        <f t="shared" si="96"/>
        <v>1</v>
      </c>
      <c r="N214" s="405">
        <f t="shared" si="96"/>
        <v>1</v>
      </c>
      <c r="O214" s="405">
        <f t="shared" si="96"/>
        <v>1</v>
      </c>
      <c r="P214" s="405">
        <f t="shared" si="96"/>
        <v>1</v>
      </c>
      <c r="Q214" s="405">
        <f t="shared" si="96"/>
        <v>1</v>
      </c>
      <c r="R214" s="405">
        <f t="shared" ref="R214" si="97">SUM(R212:R213)</f>
        <v>1</v>
      </c>
      <c r="S214" s="405">
        <f t="shared" ref="S214" si="98">SUM(S212:S213)</f>
        <v>1</v>
      </c>
      <c r="T214" s="405">
        <f t="shared" ref="T214" si="99">SUM(T212:T213)</f>
        <v>1</v>
      </c>
      <c r="U214" s="405">
        <f t="shared" ref="U214" si="100">SUM(U212:U213)</f>
        <v>1</v>
      </c>
      <c r="V214" s="405">
        <f t="shared" ref="V214" si="101">SUM(V212:V213)</f>
        <v>1</v>
      </c>
      <c r="W214" s="405">
        <f t="shared" ref="W214" si="102">SUM(W212:W213)</f>
        <v>1</v>
      </c>
      <c r="X214" s="405">
        <f t="shared" ref="X214" si="103">SUM(X212:X213)</f>
        <v>1</v>
      </c>
      <c r="Y214" s="405">
        <f t="shared" ref="Y214" si="104">SUM(Y212:Y213)</f>
        <v>1</v>
      </c>
      <c r="Z214" s="405">
        <f t="shared" ref="Z214" si="105">SUM(Z212:Z213)</f>
        <v>1</v>
      </c>
      <c r="AA214" s="405">
        <f t="shared" ref="AA214" si="106">SUM(AA212:AA213)</f>
        <v>1</v>
      </c>
      <c r="AB214" s="405">
        <f t="shared" ref="AB214" si="107">SUM(AB212:AB213)</f>
        <v>1</v>
      </c>
    </row>
    <row r="215" spans="1:30" s="391" customFormat="1">
      <c r="A215" s="133" t="s">
        <v>442</v>
      </c>
    </row>
    <row r="216" spans="1:30" s="391" customFormat="1">
      <c r="A216" s="133"/>
    </row>
    <row r="217" spans="1:30" s="391" customFormat="1"/>
    <row r="218" spans="1:30" s="391" customFormat="1">
      <c r="C218" s="459"/>
      <c r="AD218" s="5"/>
    </row>
    <row r="219" spans="1:30" s="391" customFormat="1">
      <c r="A219" s="391" t="s">
        <v>451</v>
      </c>
      <c r="C219" s="459"/>
      <c r="AD219" s="5"/>
    </row>
    <row r="220" spans="1:30" s="391" customFormat="1">
      <c r="A220" s="132" t="s">
        <v>450</v>
      </c>
      <c r="B220" s="132" t="s">
        <v>449</v>
      </c>
      <c r="C220" s="459"/>
      <c r="AD220" s="5"/>
    </row>
    <row r="221" spans="1:30" s="391" customFormat="1">
      <c r="A221" s="391" t="s">
        <v>452</v>
      </c>
      <c r="B221" s="391" t="s">
        <v>371</v>
      </c>
      <c r="C221" s="459"/>
      <c r="AD221" s="5"/>
    </row>
    <row r="222" spans="1:30" s="391" customFormat="1">
      <c r="A222" s="391" t="s">
        <v>453</v>
      </c>
      <c r="B222" s="391" t="s">
        <v>372</v>
      </c>
      <c r="C222" s="459"/>
      <c r="AD222" s="5"/>
    </row>
    <row r="223" spans="1:30" s="391" customFormat="1">
      <c r="A223" s="392" t="s">
        <v>454</v>
      </c>
      <c r="B223" s="392" t="s">
        <v>373</v>
      </c>
      <c r="C223" s="459"/>
      <c r="AD223" s="5"/>
    </row>
    <row r="224" spans="1:30" s="391" customFormat="1">
      <c r="A224" s="133" t="s">
        <v>466</v>
      </c>
      <c r="B224" s="1"/>
      <c r="C224" s="459"/>
      <c r="AD224" s="5"/>
    </row>
    <row r="225" spans="1:30" s="391" customFormat="1">
      <c r="A225" s="20" t="s">
        <v>467</v>
      </c>
      <c r="B225" s="1"/>
      <c r="AD225" s="5"/>
    </row>
    <row r="226" spans="1:30" s="391" customFormat="1">
      <c r="A226" s="20" t="s">
        <v>465</v>
      </c>
      <c r="B226" s="1"/>
      <c r="AD226" s="5"/>
    </row>
    <row r="227" spans="1:30" s="391" customFormat="1">
      <c r="A227" s="20" t="s">
        <v>468</v>
      </c>
      <c r="B227" s="1"/>
      <c r="AD227" s="5"/>
    </row>
    <row r="228" spans="1:30" s="391" customFormat="1">
      <c r="A228" s="20" t="s">
        <v>464</v>
      </c>
      <c r="B228" s="1"/>
      <c r="AD228" s="5"/>
    </row>
    <row r="229" spans="1:30" s="391" customFormat="1">
      <c r="A229" s="20" t="s">
        <v>572</v>
      </c>
      <c r="B229" s="1"/>
      <c r="AD229" s="5"/>
    </row>
    <row r="231" spans="1:30" s="391" customFormat="1">
      <c r="A231" s="1"/>
      <c r="B231" s="1"/>
      <c r="AD231" s="5"/>
    </row>
    <row r="233" spans="1:30" ht="15.6">
      <c r="A233" s="401" t="s">
        <v>445</v>
      </c>
      <c r="B233" s="401"/>
      <c r="C233" s="34"/>
      <c r="D233" s="34"/>
      <c r="G233" s="401" t="s">
        <v>421</v>
      </c>
      <c r="H233" s="401"/>
      <c r="I233" s="34"/>
      <c r="J233" s="34"/>
      <c r="K233" s="34"/>
      <c r="L233" s="34"/>
      <c r="M233" s="34"/>
      <c r="N233" s="34"/>
      <c r="O233" s="34"/>
    </row>
    <row r="234" spans="1:30">
      <c r="A234" s="132" t="s">
        <v>418</v>
      </c>
      <c r="B234" s="130" t="s">
        <v>446</v>
      </c>
      <c r="C234" s="130" t="s">
        <v>447</v>
      </c>
      <c r="D234" s="130" t="s">
        <v>448</v>
      </c>
      <c r="E234" s="130" t="s">
        <v>16</v>
      </c>
      <c r="G234" s="132" t="s">
        <v>418</v>
      </c>
      <c r="H234" s="130" t="s">
        <v>365</v>
      </c>
      <c r="I234" s="130" t="s">
        <v>362</v>
      </c>
      <c r="J234" s="130" t="s">
        <v>408</v>
      </c>
      <c r="K234" s="130" t="s">
        <v>409</v>
      </c>
      <c r="L234" s="130" t="s">
        <v>24</v>
      </c>
      <c r="M234" s="130" t="s">
        <v>410</v>
      </c>
      <c r="N234" s="130" t="s">
        <v>13</v>
      </c>
      <c r="O234" s="130" t="s">
        <v>1</v>
      </c>
    </row>
    <row r="235" spans="1:30">
      <c r="A235" s="391" t="s">
        <v>401</v>
      </c>
      <c r="B235" s="357">
        <v>0.5</v>
      </c>
      <c r="C235" s="357">
        <v>0.41</v>
      </c>
      <c r="D235" s="357">
        <v>0.09</v>
      </c>
      <c r="E235" s="357">
        <f>SUM(B235:D235)</f>
        <v>0.99999999999999989</v>
      </c>
      <c r="G235" s="391" t="s">
        <v>401</v>
      </c>
      <c r="H235" s="357">
        <v>0.71</v>
      </c>
      <c r="I235" s="357">
        <v>0.18</v>
      </c>
      <c r="J235" s="357">
        <v>0.05</v>
      </c>
      <c r="K235" s="357">
        <v>0.03</v>
      </c>
      <c r="L235" s="357">
        <v>0.01</v>
      </c>
      <c r="M235" s="357">
        <v>1.7999999999999999E-2</v>
      </c>
      <c r="N235" s="357">
        <v>4.0000000000000001E-3</v>
      </c>
      <c r="O235" s="4">
        <f>SUM(H235:N235)</f>
        <v>1.002</v>
      </c>
    </row>
    <row r="236" spans="1:30">
      <c r="A236" s="391" t="s">
        <v>405</v>
      </c>
      <c r="B236" s="4">
        <v>0.61</v>
      </c>
      <c r="C236" s="4">
        <v>0.35</v>
      </c>
      <c r="D236" s="4">
        <v>0.04</v>
      </c>
      <c r="E236" s="4">
        <f>SUM(B236:D236)</f>
        <v>1</v>
      </c>
      <c r="G236" s="391" t="s">
        <v>405</v>
      </c>
      <c r="H236" s="4">
        <v>0.42</v>
      </c>
      <c r="I236" s="4">
        <v>0.28999999999999998</v>
      </c>
      <c r="J236" s="4">
        <v>0.16</v>
      </c>
      <c r="K236" s="4">
        <v>0.09</v>
      </c>
      <c r="L236" s="4">
        <v>0.02</v>
      </c>
      <c r="M236" s="4">
        <v>0.01</v>
      </c>
      <c r="N236" s="4">
        <v>6.0000000000000001E-3</v>
      </c>
      <c r="O236" s="4">
        <f>SUM(H236:N236)</f>
        <v>0.996</v>
      </c>
    </row>
    <row r="237" spans="1:30">
      <c r="A237" s="391" t="s">
        <v>411</v>
      </c>
      <c r="B237" s="4">
        <v>0.52</v>
      </c>
      <c r="C237" s="4">
        <v>0.4</v>
      </c>
      <c r="D237" s="4">
        <v>0.08</v>
      </c>
      <c r="E237" s="4">
        <f>SUM(B237:D237)</f>
        <v>1</v>
      </c>
      <c r="G237" s="391" t="s">
        <v>411</v>
      </c>
      <c r="H237" s="4">
        <v>0.63</v>
      </c>
      <c r="I237" s="4">
        <v>0.2</v>
      </c>
      <c r="J237" s="4">
        <v>0.09</v>
      </c>
      <c r="K237" s="4">
        <v>0.05</v>
      </c>
      <c r="L237" s="4">
        <v>0.02</v>
      </c>
      <c r="M237" s="4">
        <v>8.9999999999999993E-3</v>
      </c>
      <c r="N237" s="4">
        <v>1E-3</v>
      </c>
      <c r="O237" s="4">
        <f t="shared" ref="O237:O240" si="108">SUM(H237:N237)</f>
        <v>1</v>
      </c>
    </row>
    <row r="238" spans="1:30">
      <c r="A238" s="391" t="s">
        <v>406</v>
      </c>
      <c r="B238" s="4">
        <v>0.71</v>
      </c>
      <c r="C238" s="4">
        <v>0.25</v>
      </c>
      <c r="D238" s="4">
        <v>0.04</v>
      </c>
      <c r="E238" s="4">
        <f t="shared" ref="E238:E241" si="109">SUM(B238:D238)</f>
        <v>1</v>
      </c>
      <c r="G238" s="391" t="s">
        <v>406</v>
      </c>
      <c r="H238" s="4">
        <v>0.62</v>
      </c>
      <c r="I238" s="4">
        <v>0.27</v>
      </c>
      <c r="J238" s="4">
        <v>0.05</v>
      </c>
      <c r="K238" s="4">
        <v>0.05</v>
      </c>
      <c r="L238" s="4">
        <v>0</v>
      </c>
      <c r="M238" s="4">
        <v>8.9999999999999993E-3</v>
      </c>
      <c r="N238" s="4">
        <v>1E-3</v>
      </c>
      <c r="O238" s="404">
        <f t="shared" si="108"/>
        <v>1</v>
      </c>
    </row>
    <row r="239" spans="1:30">
      <c r="A239" s="391" t="s">
        <v>407</v>
      </c>
      <c r="B239" s="4">
        <v>0.56000000000000005</v>
      </c>
      <c r="C239" s="4">
        <v>0.35</v>
      </c>
      <c r="D239" s="4">
        <v>0.09</v>
      </c>
      <c r="E239" s="4">
        <f t="shared" si="109"/>
        <v>1</v>
      </c>
      <c r="G239" s="391" t="s">
        <v>407</v>
      </c>
      <c r="H239" s="4">
        <v>0.76</v>
      </c>
      <c r="I239" s="4">
        <v>0.18</v>
      </c>
      <c r="J239" s="4">
        <v>0.03</v>
      </c>
      <c r="K239" s="4">
        <v>0.01</v>
      </c>
      <c r="L239" s="4">
        <v>0</v>
      </c>
      <c r="M239" s="4">
        <v>0.01</v>
      </c>
      <c r="N239" s="4">
        <v>0.01</v>
      </c>
      <c r="O239" s="404">
        <f t="shared" si="108"/>
        <v>1</v>
      </c>
    </row>
    <row r="240" spans="1:30">
      <c r="A240" s="1" t="s">
        <v>417</v>
      </c>
      <c r="B240" s="4">
        <v>0.7</v>
      </c>
      <c r="C240" s="4">
        <v>0.21</v>
      </c>
      <c r="D240" s="4">
        <v>0.09</v>
      </c>
      <c r="E240" s="4">
        <f t="shared" si="109"/>
        <v>0.99999999999999989</v>
      </c>
      <c r="G240" s="1" t="s">
        <v>417</v>
      </c>
      <c r="H240" s="4">
        <v>0.64</v>
      </c>
      <c r="I240" s="4">
        <v>0.28999999999999998</v>
      </c>
      <c r="J240" s="4">
        <v>0.03</v>
      </c>
      <c r="K240" s="4">
        <v>0.02</v>
      </c>
      <c r="L240" s="4">
        <v>0</v>
      </c>
      <c r="M240" s="4">
        <v>0.01</v>
      </c>
      <c r="N240" s="4">
        <v>0.01</v>
      </c>
      <c r="O240" s="404">
        <f t="shared" si="108"/>
        <v>1</v>
      </c>
    </row>
    <row r="241" spans="1:28">
      <c r="A241" s="458" t="s">
        <v>113</v>
      </c>
      <c r="B241" s="403">
        <v>0.38</v>
      </c>
      <c r="C241" s="403">
        <v>0.5</v>
      </c>
      <c r="D241" s="403">
        <v>0.12</v>
      </c>
      <c r="E241" s="403">
        <f t="shared" si="109"/>
        <v>1</v>
      </c>
      <c r="G241" s="458" t="s">
        <v>113</v>
      </c>
      <c r="H241" s="403">
        <v>0.81</v>
      </c>
      <c r="I241" s="403">
        <v>0.11</v>
      </c>
      <c r="J241" s="403">
        <v>0.04</v>
      </c>
      <c r="K241" s="403">
        <v>0.01</v>
      </c>
      <c r="L241" s="403">
        <v>0</v>
      </c>
      <c r="M241" s="403">
        <v>0.02</v>
      </c>
      <c r="N241" s="403">
        <v>0.01</v>
      </c>
      <c r="O241" s="405">
        <f>SUM(H241:N241)</f>
        <v>1</v>
      </c>
    </row>
    <row r="242" spans="1:28">
      <c r="A242" s="459" t="s">
        <v>419</v>
      </c>
      <c r="B242" s="34"/>
      <c r="C242" s="34"/>
      <c r="D242" s="34"/>
      <c r="G242" s="459" t="s">
        <v>419</v>
      </c>
      <c r="L242" s="34"/>
      <c r="M242" s="34"/>
      <c r="N242" s="34"/>
      <c r="O242" s="34"/>
    </row>
    <row r="243" spans="1:28">
      <c r="A243" s="391" t="s">
        <v>647</v>
      </c>
    </row>
    <row r="244" spans="1:28" s="459" customFormat="1"/>
    <row r="245" spans="1:28" s="459" customFormat="1"/>
    <row r="246" spans="1:28" s="459" customFormat="1"/>
    <row r="247" spans="1:28" s="459" customFormat="1" ht="15.6">
      <c r="A247" s="401" t="s">
        <v>1019</v>
      </c>
      <c r="B247" s="685"/>
      <c r="C247" s="685"/>
      <c r="I247" s="798" t="s">
        <v>1014</v>
      </c>
      <c r="J247" s="798"/>
      <c r="K247" s="798"/>
      <c r="L247" s="798"/>
      <c r="M247" s="798"/>
      <c r="N247" s="798"/>
      <c r="O247" s="798"/>
      <c r="P247" s="798"/>
      <c r="Q247" s="798"/>
      <c r="R247" s="798"/>
      <c r="S247" s="798"/>
      <c r="T247" s="798"/>
      <c r="U247" s="798"/>
      <c r="V247" s="798"/>
      <c r="W247" s="798"/>
      <c r="X247" s="798"/>
      <c r="Y247" s="798"/>
      <c r="Z247" s="798"/>
      <c r="AA247" s="798"/>
      <c r="AB247" s="798"/>
    </row>
    <row r="248" spans="1:28" s="459" customFormat="1">
      <c r="A248" s="132" t="s">
        <v>982</v>
      </c>
      <c r="B248" s="132" t="s">
        <v>449</v>
      </c>
      <c r="C248" s="132" t="s">
        <v>983</v>
      </c>
      <c r="I248" s="799" t="s">
        <v>1005</v>
      </c>
      <c r="J248" s="801" t="s">
        <v>322</v>
      </c>
      <c r="K248" s="801"/>
      <c r="L248" s="801"/>
      <c r="M248" s="13"/>
      <c r="N248" s="801" t="s">
        <v>716</v>
      </c>
      <c r="O248" s="801"/>
      <c r="P248" s="801"/>
      <c r="Q248" s="13"/>
      <c r="R248" s="801" t="s">
        <v>324</v>
      </c>
      <c r="S248" s="801"/>
      <c r="T248" s="801"/>
      <c r="U248" s="13"/>
      <c r="V248" s="801" t="s">
        <v>1006</v>
      </c>
      <c r="W248" s="801"/>
      <c r="X248" s="801"/>
      <c r="Y248" s="13"/>
      <c r="Z248" s="801" t="s">
        <v>589</v>
      </c>
      <c r="AA248" s="801"/>
      <c r="AB248" s="801"/>
    </row>
    <row r="249" spans="1:28" s="459" customFormat="1" ht="21.6">
      <c r="A249" s="682"/>
      <c r="B249" s="686" t="s">
        <v>1043</v>
      </c>
      <c r="C249" s="686" t="s">
        <v>984</v>
      </c>
      <c r="I249" s="800"/>
      <c r="J249" s="689" t="s">
        <v>1007</v>
      </c>
      <c r="K249" s="690" t="s">
        <v>1008</v>
      </c>
      <c r="L249" s="690" t="s">
        <v>1009</v>
      </c>
      <c r="M249" s="691"/>
      <c r="N249" s="689" t="s">
        <v>1007</v>
      </c>
      <c r="O249" s="690" t="s">
        <v>1008</v>
      </c>
      <c r="P249" s="690" t="s">
        <v>1009</v>
      </c>
      <c r="Q249" s="691"/>
      <c r="R249" s="689" t="s">
        <v>1007</v>
      </c>
      <c r="S249" s="690" t="s">
        <v>1008</v>
      </c>
      <c r="T249" s="690" t="s">
        <v>1009</v>
      </c>
      <c r="U249" s="691"/>
      <c r="V249" s="689" t="s">
        <v>1007</v>
      </c>
      <c r="W249" s="690" t="s">
        <v>1008</v>
      </c>
      <c r="X249" s="690" t="s">
        <v>1009</v>
      </c>
      <c r="Y249" s="692"/>
      <c r="Z249" s="689" t="s">
        <v>1007</v>
      </c>
      <c r="AA249" s="690" t="s">
        <v>1008</v>
      </c>
      <c r="AB249" s="690" t="s">
        <v>1009</v>
      </c>
    </row>
    <row r="250" spans="1:28" s="459" customFormat="1">
      <c r="A250" s="459" t="s">
        <v>985</v>
      </c>
      <c r="B250" s="686">
        <v>13.6</v>
      </c>
      <c r="C250" s="686">
        <v>20.7</v>
      </c>
      <c r="I250" s="693" t="s">
        <v>374</v>
      </c>
      <c r="J250" s="694">
        <v>28512</v>
      </c>
      <c r="K250" s="694">
        <v>529</v>
      </c>
      <c r="L250" s="694">
        <v>18540</v>
      </c>
      <c r="M250" s="695"/>
      <c r="N250" s="694">
        <v>5809</v>
      </c>
      <c r="O250" s="694">
        <v>129</v>
      </c>
      <c r="P250" s="694">
        <v>22282</v>
      </c>
      <c r="Q250" s="695"/>
      <c r="R250" s="694">
        <v>563</v>
      </c>
      <c r="S250" s="694">
        <v>1</v>
      </c>
      <c r="T250" s="694">
        <v>2637</v>
      </c>
      <c r="U250" s="695"/>
      <c r="V250" s="694">
        <v>1948</v>
      </c>
      <c r="W250" s="694">
        <v>31</v>
      </c>
      <c r="X250" s="694">
        <v>16162</v>
      </c>
      <c r="Y250" s="695"/>
      <c r="Z250" s="694">
        <v>161</v>
      </c>
      <c r="AA250" s="694">
        <v>6</v>
      </c>
      <c r="AB250" s="694">
        <v>35951</v>
      </c>
    </row>
    <row r="251" spans="1:28" s="459" customFormat="1">
      <c r="A251" s="459" t="s">
        <v>986</v>
      </c>
      <c r="B251" s="686">
        <v>20.5</v>
      </c>
      <c r="C251" s="686">
        <v>26.5</v>
      </c>
      <c r="I251" s="693" t="s">
        <v>397</v>
      </c>
      <c r="J251" s="694">
        <v>31849</v>
      </c>
      <c r="K251" s="694">
        <v>613</v>
      </c>
      <c r="L251" s="694">
        <v>19246</v>
      </c>
      <c r="M251" s="695"/>
      <c r="N251" s="694">
        <v>8050</v>
      </c>
      <c r="O251" s="694">
        <v>178</v>
      </c>
      <c r="P251" s="694">
        <v>22174</v>
      </c>
      <c r="Q251" s="695"/>
      <c r="R251" s="694">
        <v>448</v>
      </c>
      <c r="S251" s="694">
        <v>1</v>
      </c>
      <c r="T251" s="694">
        <v>2711</v>
      </c>
      <c r="U251" s="695"/>
      <c r="V251" s="694">
        <v>2762</v>
      </c>
      <c r="W251" s="694">
        <v>47</v>
      </c>
      <c r="X251" s="694">
        <v>17159</v>
      </c>
      <c r="Y251" s="695"/>
      <c r="Z251" s="694">
        <v>166</v>
      </c>
      <c r="AA251" s="694">
        <v>7</v>
      </c>
      <c r="AB251" s="694">
        <v>43668</v>
      </c>
    </row>
    <row r="252" spans="1:28" s="459" customFormat="1">
      <c r="A252" s="459" t="s">
        <v>362</v>
      </c>
      <c r="B252" s="686">
        <v>2.7</v>
      </c>
      <c r="C252" s="686">
        <v>19.8</v>
      </c>
      <c r="I252" s="693" t="s">
        <v>386</v>
      </c>
      <c r="J252" s="694">
        <v>57429</v>
      </c>
      <c r="K252" s="694">
        <v>1070</v>
      </c>
      <c r="L252" s="694">
        <v>18635</v>
      </c>
      <c r="M252" s="695"/>
      <c r="N252" s="694">
        <v>9436</v>
      </c>
      <c r="O252" s="694">
        <v>198</v>
      </c>
      <c r="P252" s="694">
        <v>20976</v>
      </c>
      <c r="Q252" s="695"/>
      <c r="R252" s="694">
        <v>924</v>
      </c>
      <c r="S252" s="694">
        <v>3</v>
      </c>
      <c r="T252" s="694">
        <v>2726</v>
      </c>
      <c r="U252" s="695"/>
      <c r="V252" s="694">
        <v>3308</v>
      </c>
      <c r="W252" s="694">
        <v>60</v>
      </c>
      <c r="X252" s="694">
        <v>18027</v>
      </c>
      <c r="Y252" s="695"/>
      <c r="Z252" s="694">
        <v>353</v>
      </c>
      <c r="AA252" s="694">
        <v>14</v>
      </c>
      <c r="AB252" s="694">
        <v>39666</v>
      </c>
    </row>
    <row r="253" spans="1:28" s="459" customFormat="1">
      <c r="A253" s="459" t="s">
        <v>987</v>
      </c>
      <c r="B253" s="686">
        <v>16.3</v>
      </c>
      <c r="C253" s="686">
        <v>40</v>
      </c>
      <c r="I253" s="693" t="s">
        <v>387</v>
      </c>
      <c r="J253" s="694">
        <v>257933</v>
      </c>
      <c r="K253" s="694">
        <v>4298</v>
      </c>
      <c r="L253" s="694">
        <v>16665</v>
      </c>
      <c r="M253" s="695"/>
      <c r="N253" s="694">
        <v>41521</v>
      </c>
      <c r="O253" s="694">
        <v>879</v>
      </c>
      <c r="P253" s="694">
        <v>21168</v>
      </c>
      <c r="Q253" s="695"/>
      <c r="R253" s="694">
        <v>5452</v>
      </c>
      <c r="S253" s="694">
        <v>15</v>
      </c>
      <c r="T253" s="694">
        <v>2688</v>
      </c>
      <c r="U253" s="695"/>
      <c r="V253" s="694">
        <v>11801</v>
      </c>
      <c r="W253" s="694">
        <v>201</v>
      </c>
      <c r="X253" s="694">
        <v>16990</v>
      </c>
      <c r="Y253" s="695"/>
      <c r="Z253" s="694">
        <v>1752</v>
      </c>
      <c r="AA253" s="694">
        <v>70</v>
      </c>
      <c r="AB253" s="694">
        <v>39919</v>
      </c>
    </row>
    <row r="254" spans="1:28" s="459" customFormat="1">
      <c r="A254" s="459" t="s">
        <v>409</v>
      </c>
      <c r="B254" s="686">
        <v>5.7</v>
      </c>
      <c r="C254" s="686">
        <v>24.7</v>
      </c>
      <c r="I254" s="693" t="s">
        <v>398</v>
      </c>
      <c r="J254" s="694">
        <v>64284</v>
      </c>
      <c r="K254" s="694">
        <v>1167</v>
      </c>
      <c r="L254" s="694">
        <v>18151</v>
      </c>
      <c r="M254" s="695"/>
      <c r="N254" s="694">
        <v>14635</v>
      </c>
      <c r="O254" s="694">
        <v>289</v>
      </c>
      <c r="P254" s="694">
        <v>19749</v>
      </c>
      <c r="Q254" s="695"/>
      <c r="R254" s="694">
        <v>736</v>
      </c>
      <c r="S254" s="694">
        <v>2</v>
      </c>
      <c r="T254" s="694">
        <v>2793</v>
      </c>
      <c r="U254" s="695"/>
      <c r="V254" s="694">
        <v>3377</v>
      </c>
      <c r="W254" s="694">
        <v>64</v>
      </c>
      <c r="X254" s="694">
        <v>18812</v>
      </c>
      <c r="Y254" s="695"/>
      <c r="Z254" s="694">
        <v>365</v>
      </c>
      <c r="AA254" s="694">
        <v>15</v>
      </c>
      <c r="AB254" s="694">
        <v>40451</v>
      </c>
    </row>
    <row r="255" spans="1:28" s="459" customFormat="1">
      <c r="A255" s="459" t="s">
        <v>988</v>
      </c>
      <c r="B255" s="686">
        <v>32.299999999999997</v>
      </c>
      <c r="C255" s="686">
        <v>49.4</v>
      </c>
      <c r="I255" s="693" t="s">
        <v>375</v>
      </c>
      <c r="J255" s="694">
        <v>542534</v>
      </c>
      <c r="K255" s="694">
        <v>7610</v>
      </c>
      <c r="L255" s="694">
        <v>14027</v>
      </c>
      <c r="M255" s="695"/>
      <c r="N255" s="694">
        <v>74522</v>
      </c>
      <c r="O255" s="694">
        <v>1769</v>
      </c>
      <c r="P255" s="694">
        <v>23744</v>
      </c>
      <c r="Q255" s="695"/>
      <c r="R255" s="694">
        <v>12616</v>
      </c>
      <c r="S255" s="694">
        <v>35</v>
      </c>
      <c r="T255" s="694">
        <v>2798</v>
      </c>
      <c r="U255" s="695"/>
      <c r="V255" s="694">
        <v>1868</v>
      </c>
      <c r="W255" s="694">
        <v>30</v>
      </c>
      <c r="X255" s="694">
        <v>16155</v>
      </c>
      <c r="Y255" s="695"/>
      <c r="Z255" s="694">
        <v>11149</v>
      </c>
      <c r="AA255" s="694">
        <v>430</v>
      </c>
      <c r="AB255" s="694">
        <v>38571</v>
      </c>
    </row>
    <row r="256" spans="1:28" s="459" customFormat="1">
      <c r="A256" s="459" t="s">
        <v>989</v>
      </c>
      <c r="B256" s="686">
        <v>10.5</v>
      </c>
      <c r="C256" s="686">
        <v>17.8</v>
      </c>
      <c r="I256" s="693" t="s">
        <v>392</v>
      </c>
      <c r="J256" s="694">
        <v>114292</v>
      </c>
      <c r="K256" s="694">
        <v>2070</v>
      </c>
      <c r="L256" s="694">
        <v>18109</v>
      </c>
      <c r="M256" s="695"/>
      <c r="N256" s="694">
        <v>20357</v>
      </c>
      <c r="O256" s="694">
        <v>429</v>
      </c>
      <c r="P256" s="694">
        <v>21076</v>
      </c>
      <c r="Q256" s="695"/>
      <c r="R256" s="694">
        <v>1458</v>
      </c>
      <c r="S256" s="694">
        <v>4</v>
      </c>
      <c r="T256" s="694">
        <v>2701</v>
      </c>
      <c r="U256" s="695"/>
      <c r="V256" s="694">
        <v>5556</v>
      </c>
      <c r="W256" s="694">
        <v>99</v>
      </c>
      <c r="X256" s="694">
        <v>17765</v>
      </c>
      <c r="Y256" s="695"/>
      <c r="Z256" s="694">
        <v>962</v>
      </c>
      <c r="AA256" s="694">
        <v>39</v>
      </c>
      <c r="AB256" s="694">
        <v>40203</v>
      </c>
    </row>
    <row r="257" spans="1:28" s="459" customFormat="1">
      <c r="A257" s="459" t="s">
        <v>990</v>
      </c>
      <c r="B257" s="686">
        <v>13.7</v>
      </c>
      <c r="C257" s="686">
        <v>33.1</v>
      </c>
      <c r="I257" s="693" t="s">
        <v>388</v>
      </c>
      <c r="J257" s="694">
        <v>71897</v>
      </c>
      <c r="K257" s="694">
        <v>1277</v>
      </c>
      <c r="L257" s="694">
        <v>17764</v>
      </c>
      <c r="M257" s="695"/>
      <c r="N257" s="694">
        <v>11920</v>
      </c>
      <c r="O257" s="694">
        <v>245</v>
      </c>
      <c r="P257" s="694">
        <v>20525</v>
      </c>
      <c r="Q257" s="695"/>
      <c r="R257" s="694">
        <v>1062</v>
      </c>
      <c r="S257" s="694">
        <v>3</v>
      </c>
      <c r="T257" s="694">
        <v>2680</v>
      </c>
      <c r="U257" s="695"/>
      <c r="V257" s="694">
        <v>4371</v>
      </c>
      <c r="W257" s="694">
        <v>75</v>
      </c>
      <c r="X257" s="694">
        <v>17133</v>
      </c>
      <c r="Y257" s="695"/>
      <c r="Z257" s="694">
        <v>468</v>
      </c>
      <c r="AA257" s="694">
        <v>18</v>
      </c>
      <c r="AB257" s="694">
        <v>38700</v>
      </c>
    </row>
    <row r="258" spans="1:28" s="459" customFormat="1">
      <c r="A258" s="136" t="s">
        <v>991</v>
      </c>
      <c r="B258" s="136">
        <v>13.7</v>
      </c>
      <c r="C258" s="136">
        <v>23.3</v>
      </c>
      <c r="I258" s="693" t="s">
        <v>376</v>
      </c>
      <c r="J258" s="694">
        <v>103517</v>
      </c>
      <c r="K258" s="694">
        <v>1821</v>
      </c>
      <c r="L258" s="694">
        <v>17589</v>
      </c>
      <c r="M258" s="695"/>
      <c r="N258" s="694">
        <v>16092</v>
      </c>
      <c r="O258" s="694">
        <v>378</v>
      </c>
      <c r="P258" s="694">
        <v>23471</v>
      </c>
      <c r="Q258" s="695"/>
      <c r="R258" s="694">
        <v>2168</v>
      </c>
      <c r="S258" s="694">
        <v>6</v>
      </c>
      <c r="T258" s="694">
        <v>2728</v>
      </c>
      <c r="U258" s="695"/>
      <c r="V258" s="694">
        <v>2584</v>
      </c>
      <c r="W258" s="694">
        <v>43</v>
      </c>
      <c r="X258" s="694">
        <v>16821</v>
      </c>
      <c r="Y258" s="695"/>
      <c r="Z258" s="694">
        <v>824</v>
      </c>
      <c r="AA258" s="694">
        <v>35</v>
      </c>
      <c r="AB258" s="694">
        <v>42400</v>
      </c>
    </row>
    <row r="259" spans="1:28" s="459" customFormat="1">
      <c r="A259" s="684" t="s">
        <v>1004</v>
      </c>
      <c r="I259" s="693" t="s">
        <v>377</v>
      </c>
      <c r="J259" s="694">
        <v>44549</v>
      </c>
      <c r="K259" s="694">
        <v>827</v>
      </c>
      <c r="L259" s="694">
        <v>18553</v>
      </c>
      <c r="M259" s="695"/>
      <c r="N259" s="694">
        <v>8221</v>
      </c>
      <c r="O259" s="694">
        <v>189</v>
      </c>
      <c r="P259" s="694">
        <v>23000</v>
      </c>
      <c r="Q259" s="695"/>
      <c r="R259" s="694">
        <v>872</v>
      </c>
      <c r="S259" s="694">
        <v>2</v>
      </c>
      <c r="T259" s="694">
        <v>2652</v>
      </c>
      <c r="U259" s="695"/>
      <c r="V259" s="694">
        <v>3877</v>
      </c>
      <c r="W259" s="694">
        <v>66</v>
      </c>
      <c r="X259" s="694">
        <v>16990</v>
      </c>
      <c r="Y259" s="695"/>
      <c r="Z259" s="694">
        <v>216</v>
      </c>
      <c r="AA259" s="694">
        <v>9</v>
      </c>
      <c r="AB259" s="694">
        <v>41699</v>
      </c>
    </row>
    <row r="260" spans="1:28" s="459" customFormat="1">
      <c r="I260" s="693" t="s">
        <v>378</v>
      </c>
      <c r="J260" s="694">
        <v>34880</v>
      </c>
      <c r="K260" s="694">
        <v>673</v>
      </c>
      <c r="L260" s="694">
        <v>19285</v>
      </c>
      <c r="M260" s="695"/>
      <c r="N260" s="694">
        <v>6035</v>
      </c>
      <c r="O260" s="694">
        <v>140</v>
      </c>
      <c r="P260" s="694">
        <v>23257</v>
      </c>
      <c r="Q260" s="695"/>
      <c r="R260" s="694">
        <v>513</v>
      </c>
      <c r="S260" s="694">
        <v>1</v>
      </c>
      <c r="T260" s="694">
        <v>2710</v>
      </c>
      <c r="U260" s="695"/>
      <c r="V260" s="694">
        <v>3011</v>
      </c>
      <c r="W260" s="694">
        <v>49</v>
      </c>
      <c r="X260" s="694">
        <v>16425</v>
      </c>
      <c r="Y260" s="695"/>
      <c r="Z260" s="694">
        <v>228</v>
      </c>
      <c r="AA260" s="694">
        <v>9</v>
      </c>
      <c r="AB260" s="694">
        <v>41149</v>
      </c>
    </row>
    <row r="261" spans="1:28" s="459" customFormat="1">
      <c r="I261" s="693" t="s">
        <v>393</v>
      </c>
      <c r="J261" s="694">
        <v>14548</v>
      </c>
      <c r="K261" s="694">
        <v>285</v>
      </c>
      <c r="L261" s="694">
        <v>19581</v>
      </c>
      <c r="M261" s="695"/>
      <c r="N261" s="694">
        <v>3403</v>
      </c>
      <c r="O261" s="694">
        <v>70</v>
      </c>
      <c r="P261" s="694">
        <v>20646</v>
      </c>
      <c r="Q261" s="695"/>
      <c r="R261" s="694">
        <v>160</v>
      </c>
      <c r="S261" s="694">
        <v>0</v>
      </c>
      <c r="T261" s="694">
        <v>2725</v>
      </c>
      <c r="U261" s="695"/>
      <c r="V261" s="694">
        <v>1007</v>
      </c>
      <c r="W261" s="694">
        <v>18</v>
      </c>
      <c r="X261" s="694">
        <v>18237</v>
      </c>
      <c r="Y261" s="695"/>
      <c r="Z261" s="694">
        <v>65</v>
      </c>
      <c r="AA261" s="694">
        <v>3</v>
      </c>
      <c r="AB261" s="694">
        <v>42878</v>
      </c>
    </row>
    <row r="262" spans="1:28" s="459" customFormat="1">
      <c r="I262" s="693" t="s">
        <v>389</v>
      </c>
      <c r="J262" s="694">
        <v>89182</v>
      </c>
      <c r="K262" s="694">
        <v>1580</v>
      </c>
      <c r="L262" s="694">
        <v>17715</v>
      </c>
      <c r="M262" s="695"/>
      <c r="N262" s="694">
        <v>13649</v>
      </c>
      <c r="O262" s="694">
        <v>322</v>
      </c>
      <c r="P262" s="694">
        <v>23592</v>
      </c>
      <c r="Q262" s="695"/>
      <c r="R262" s="694">
        <v>1489</v>
      </c>
      <c r="S262" s="694">
        <v>4</v>
      </c>
      <c r="T262" s="694">
        <v>2700</v>
      </c>
      <c r="U262" s="695"/>
      <c r="V262" s="694">
        <v>3915</v>
      </c>
      <c r="W262" s="694">
        <v>67</v>
      </c>
      <c r="X262" s="694">
        <v>17096</v>
      </c>
      <c r="Y262" s="695"/>
      <c r="Z262" s="694">
        <v>654</v>
      </c>
      <c r="AA262" s="694">
        <v>26</v>
      </c>
      <c r="AB262" s="694">
        <v>39988</v>
      </c>
    </row>
    <row r="263" spans="1:28" s="459" customFormat="1" ht="15.6">
      <c r="A263" s="401" t="s">
        <v>1018</v>
      </c>
      <c r="B263" s="683"/>
      <c r="C263" s="683"/>
      <c r="D263" s="683"/>
      <c r="E263" s="683"/>
      <c r="F263" s="683"/>
      <c r="G263" s="683"/>
      <c r="I263" s="693" t="s">
        <v>379</v>
      </c>
      <c r="J263" s="694">
        <v>17299</v>
      </c>
      <c r="K263" s="694">
        <v>341</v>
      </c>
      <c r="L263" s="694">
        <v>19691</v>
      </c>
      <c r="M263" s="695"/>
      <c r="N263" s="694">
        <v>3939</v>
      </c>
      <c r="O263" s="694">
        <v>88</v>
      </c>
      <c r="P263" s="694">
        <v>22266</v>
      </c>
      <c r="Q263" s="695"/>
      <c r="R263" s="694">
        <v>213</v>
      </c>
      <c r="S263" s="694">
        <v>1</v>
      </c>
      <c r="T263" s="694">
        <v>2669</v>
      </c>
      <c r="U263" s="695"/>
      <c r="V263" s="694">
        <v>1329</v>
      </c>
      <c r="W263" s="694">
        <v>23</v>
      </c>
      <c r="X263" s="694">
        <v>17369</v>
      </c>
      <c r="Y263" s="695"/>
      <c r="Z263" s="694">
        <v>88</v>
      </c>
      <c r="AA263" s="694">
        <v>4</v>
      </c>
      <c r="AB263" s="694">
        <v>45372</v>
      </c>
    </row>
    <row r="264" spans="1:28" s="459" customFormat="1">
      <c r="A264" s="132" t="s">
        <v>982</v>
      </c>
      <c r="B264" s="132" t="s">
        <v>992</v>
      </c>
      <c r="C264" s="132" t="s">
        <v>993</v>
      </c>
      <c r="D264" s="132" t="s">
        <v>994</v>
      </c>
      <c r="E264" s="132" t="s">
        <v>995</v>
      </c>
      <c r="F264" s="132" t="s">
        <v>996</v>
      </c>
      <c r="G264" s="132" t="s">
        <v>1</v>
      </c>
      <c r="I264" s="693" t="s">
        <v>380</v>
      </c>
      <c r="J264" s="694">
        <v>51526</v>
      </c>
      <c r="K264" s="694">
        <v>902</v>
      </c>
      <c r="L264" s="694">
        <v>17505</v>
      </c>
      <c r="M264" s="695"/>
      <c r="N264" s="694">
        <v>8143</v>
      </c>
      <c r="O264" s="694">
        <v>188</v>
      </c>
      <c r="P264" s="694">
        <v>23094</v>
      </c>
      <c r="Q264" s="695"/>
      <c r="R264" s="694">
        <v>855</v>
      </c>
      <c r="S264" s="694">
        <v>2</v>
      </c>
      <c r="T264" s="694">
        <v>2758</v>
      </c>
      <c r="U264" s="695"/>
      <c r="V264" s="694">
        <v>1202</v>
      </c>
      <c r="W264" s="694">
        <v>21</v>
      </c>
      <c r="X264" s="694">
        <v>17116</v>
      </c>
      <c r="Y264" s="695"/>
      <c r="Z264" s="694">
        <v>580</v>
      </c>
      <c r="AA264" s="694">
        <v>24</v>
      </c>
      <c r="AB264" s="694">
        <v>42174</v>
      </c>
    </row>
    <row r="265" spans="1:28" s="459" customFormat="1">
      <c r="A265" s="459" t="s">
        <v>985</v>
      </c>
      <c r="B265" s="687">
        <v>51.5</v>
      </c>
      <c r="C265" s="687">
        <v>66.099999999999994</v>
      </c>
      <c r="D265" s="687">
        <v>70.5</v>
      </c>
      <c r="E265" s="687">
        <v>70.599999999999994</v>
      </c>
      <c r="F265" s="687">
        <v>71.900000000000006</v>
      </c>
      <c r="G265" s="687">
        <v>64.900000000000006</v>
      </c>
      <c r="I265" s="693" t="s">
        <v>394</v>
      </c>
      <c r="J265" s="694">
        <v>60960</v>
      </c>
      <c r="K265" s="694">
        <v>1136</v>
      </c>
      <c r="L265" s="694">
        <v>18636</v>
      </c>
      <c r="M265" s="695"/>
      <c r="N265" s="694">
        <v>13362</v>
      </c>
      <c r="O265" s="694">
        <v>271</v>
      </c>
      <c r="P265" s="694">
        <v>20262</v>
      </c>
      <c r="Q265" s="695"/>
      <c r="R265" s="694">
        <v>605</v>
      </c>
      <c r="S265" s="694">
        <v>2</v>
      </c>
      <c r="T265" s="694">
        <v>2718</v>
      </c>
      <c r="U265" s="695"/>
      <c r="V265" s="694">
        <v>5011</v>
      </c>
      <c r="W265" s="694">
        <v>87</v>
      </c>
      <c r="X265" s="694">
        <v>17458</v>
      </c>
      <c r="Y265" s="695"/>
      <c r="Z265" s="694">
        <v>293</v>
      </c>
      <c r="AA265" s="694">
        <v>11</v>
      </c>
      <c r="AB265" s="694">
        <v>38084</v>
      </c>
    </row>
    <row r="266" spans="1:28" s="459" customFormat="1">
      <c r="A266" s="459" t="s">
        <v>986</v>
      </c>
      <c r="B266" s="687">
        <v>5.4</v>
      </c>
      <c r="C266" s="687">
        <v>6.5</v>
      </c>
      <c r="D266" s="687">
        <v>8.5</v>
      </c>
      <c r="E266" s="687">
        <v>7</v>
      </c>
      <c r="F266" s="687">
        <v>12.7</v>
      </c>
      <c r="G266" s="687">
        <v>8.8000000000000007</v>
      </c>
      <c r="I266" s="693" t="s">
        <v>381</v>
      </c>
      <c r="J266" s="694">
        <v>88359</v>
      </c>
      <c r="K266" s="694">
        <v>1612</v>
      </c>
      <c r="L266" s="694">
        <v>18249</v>
      </c>
      <c r="M266" s="695"/>
      <c r="N266" s="694">
        <v>14783</v>
      </c>
      <c r="O266" s="694">
        <v>357</v>
      </c>
      <c r="P266" s="694">
        <v>24156</v>
      </c>
      <c r="Q266" s="695"/>
      <c r="R266" s="694">
        <v>1684</v>
      </c>
      <c r="S266" s="694">
        <v>5</v>
      </c>
      <c r="T266" s="694">
        <v>2722</v>
      </c>
      <c r="U266" s="695"/>
      <c r="V266" s="694">
        <v>3068</v>
      </c>
      <c r="W266" s="694">
        <v>53</v>
      </c>
      <c r="X266" s="694">
        <v>17195</v>
      </c>
      <c r="Y266" s="695"/>
      <c r="Z266" s="694">
        <v>978</v>
      </c>
      <c r="AA266" s="694">
        <v>42</v>
      </c>
      <c r="AB266" s="694">
        <v>43398</v>
      </c>
    </row>
    <row r="267" spans="1:28" s="459" customFormat="1">
      <c r="A267" s="459" t="s">
        <v>362</v>
      </c>
      <c r="B267" s="687">
        <v>36.1</v>
      </c>
      <c r="C267" s="687">
        <v>12.6</v>
      </c>
      <c r="D267" s="687">
        <v>5.5</v>
      </c>
      <c r="E267" s="687">
        <v>4.9000000000000004</v>
      </c>
      <c r="F267" s="687">
        <v>0.7</v>
      </c>
      <c r="G267" s="687">
        <v>13.5</v>
      </c>
      <c r="I267" s="693" t="s">
        <v>399</v>
      </c>
      <c r="J267" s="694">
        <v>25718</v>
      </c>
      <c r="K267" s="694">
        <v>492</v>
      </c>
      <c r="L267" s="694">
        <v>19132</v>
      </c>
      <c r="M267" s="695"/>
      <c r="N267" s="694">
        <v>7968</v>
      </c>
      <c r="O267" s="694">
        <v>199</v>
      </c>
      <c r="P267" s="694">
        <v>25034</v>
      </c>
      <c r="Q267" s="695"/>
      <c r="R267" s="694">
        <v>301</v>
      </c>
      <c r="S267" s="694">
        <v>1</v>
      </c>
      <c r="T267" s="694">
        <v>2780</v>
      </c>
      <c r="U267" s="695"/>
      <c r="V267" s="694">
        <v>1890</v>
      </c>
      <c r="W267" s="694">
        <v>34</v>
      </c>
      <c r="X267" s="694">
        <v>18227</v>
      </c>
      <c r="Y267" s="695"/>
      <c r="Z267" s="694">
        <v>79</v>
      </c>
      <c r="AA267" s="694">
        <v>3</v>
      </c>
      <c r="AB267" s="694">
        <v>41055</v>
      </c>
    </row>
    <row r="268" spans="1:28" s="459" customFormat="1">
      <c r="A268" s="459" t="s">
        <v>987</v>
      </c>
      <c r="B268" s="687">
        <v>1.7</v>
      </c>
      <c r="C268" s="687">
        <v>8.1</v>
      </c>
      <c r="D268" s="687">
        <v>6.7</v>
      </c>
      <c r="E268" s="687">
        <v>7.8</v>
      </c>
      <c r="F268" s="687">
        <v>4.7</v>
      </c>
      <c r="G268" s="687">
        <v>4.8</v>
      </c>
      <c r="I268" s="693" t="s">
        <v>382</v>
      </c>
      <c r="J268" s="694">
        <v>34485</v>
      </c>
      <c r="K268" s="694">
        <v>660</v>
      </c>
      <c r="L268" s="694">
        <v>19141</v>
      </c>
      <c r="M268" s="695"/>
      <c r="N268" s="694">
        <v>6525</v>
      </c>
      <c r="O268" s="694">
        <v>139</v>
      </c>
      <c r="P268" s="694">
        <v>21360</v>
      </c>
      <c r="Q268" s="695"/>
      <c r="R268" s="694">
        <v>669</v>
      </c>
      <c r="S268" s="694">
        <v>2</v>
      </c>
      <c r="T268" s="694">
        <v>2656</v>
      </c>
      <c r="U268" s="695"/>
      <c r="V268" s="694">
        <v>2620</v>
      </c>
      <c r="W268" s="694">
        <v>47</v>
      </c>
      <c r="X268" s="694">
        <v>17800</v>
      </c>
      <c r="Y268" s="695"/>
      <c r="Z268" s="694">
        <v>167</v>
      </c>
      <c r="AA268" s="694">
        <v>6</v>
      </c>
      <c r="AB268" s="694">
        <v>37758</v>
      </c>
    </row>
    <row r="269" spans="1:28" s="459" customFormat="1">
      <c r="A269" s="459" t="s">
        <v>409</v>
      </c>
      <c r="B269" s="687">
        <v>2</v>
      </c>
      <c r="C269" s="687">
        <v>2.2999999999999998</v>
      </c>
      <c r="D269" s="687">
        <v>1.6</v>
      </c>
      <c r="E269" s="687">
        <v>2.2999999999999998</v>
      </c>
      <c r="F269" s="687">
        <v>0.7</v>
      </c>
      <c r="G269" s="687">
        <v>1.5</v>
      </c>
      <c r="I269" s="693" t="s">
        <v>395</v>
      </c>
      <c r="J269" s="694">
        <v>32566</v>
      </c>
      <c r="K269" s="694">
        <v>661</v>
      </c>
      <c r="L269" s="694">
        <v>20301</v>
      </c>
      <c r="M269" s="695"/>
      <c r="N269" s="694">
        <v>6384</v>
      </c>
      <c r="O269" s="694">
        <v>138</v>
      </c>
      <c r="P269" s="694">
        <v>21565</v>
      </c>
      <c r="Q269" s="695"/>
      <c r="R269" s="694">
        <v>295</v>
      </c>
      <c r="S269" s="694">
        <v>1</v>
      </c>
      <c r="T269" s="694">
        <v>2729</v>
      </c>
      <c r="U269" s="695"/>
      <c r="V269" s="694">
        <v>2509</v>
      </c>
      <c r="W269" s="694">
        <v>45</v>
      </c>
      <c r="X269" s="694">
        <v>18122</v>
      </c>
      <c r="Y269" s="695"/>
      <c r="Z269" s="694">
        <v>132</v>
      </c>
      <c r="AA269" s="694">
        <v>5</v>
      </c>
      <c r="AB269" s="694">
        <v>38818</v>
      </c>
    </row>
    <row r="270" spans="1:28" s="459" customFormat="1">
      <c r="A270" s="459" t="s">
        <v>988</v>
      </c>
      <c r="B270" s="687">
        <v>0.2</v>
      </c>
      <c r="C270" s="687">
        <v>1.2</v>
      </c>
      <c r="D270" s="687">
        <v>2.1</v>
      </c>
      <c r="E270" s="687">
        <v>3.3</v>
      </c>
      <c r="F270" s="687">
        <v>2.9</v>
      </c>
      <c r="G270" s="687">
        <v>1.8</v>
      </c>
      <c r="I270" s="693" t="s">
        <v>396</v>
      </c>
      <c r="J270" s="694">
        <v>29107</v>
      </c>
      <c r="K270" s="694">
        <v>525</v>
      </c>
      <c r="L270" s="694">
        <v>18042</v>
      </c>
      <c r="M270" s="695"/>
      <c r="N270" s="694">
        <v>6045</v>
      </c>
      <c r="O270" s="694">
        <v>121</v>
      </c>
      <c r="P270" s="694">
        <v>20073</v>
      </c>
      <c r="Q270" s="695"/>
      <c r="R270" s="694">
        <v>400</v>
      </c>
      <c r="S270" s="694">
        <v>1</v>
      </c>
      <c r="T270" s="694">
        <v>2648</v>
      </c>
      <c r="U270" s="695"/>
      <c r="V270" s="694">
        <v>1706</v>
      </c>
      <c r="W270" s="694">
        <v>30</v>
      </c>
      <c r="X270" s="694">
        <v>17755</v>
      </c>
      <c r="Y270" s="695"/>
      <c r="Z270" s="694">
        <v>169</v>
      </c>
      <c r="AA270" s="694">
        <v>7</v>
      </c>
      <c r="AB270" s="694">
        <v>39241</v>
      </c>
    </row>
    <row r="271" spans="1:28" s="459" customFormat="1">
      <c r="A271" s="459" t="s">
        <v>997</v>
      </c>
      <c r="B271" s="687">
        <v>0</v>
      </c>
      <c r="C271" s="687">
        <v>0.1</v>
      </c>
      <c r="D271" s="687">
        <v>0.4</v>
      </c>
      <c r="E271" s="687">
        <v>0.8</v>
      </c>
      <c r="F271" s="687">
        <v>1.6</v>
      </c>
      <c r="G271" s="687">
        <v>0.7</v>
      </c>
      <c r="I271" s="693" t="s">
        <v>1010</v>
      </c>
      <c r="J271" s="694">
        <v>79392</v>
      </c>
      <c r="K271" s="694">
        <v>1513</v>
      </c>
      <c r="L271" s="694">
        <v>19060</v>
      </c>
      <c r="M271" s="695"/>
      <c r="N271" s="694">
        <v>13961</v>
      </c>
      <c r="O271" s="694">
        <v>302</v>
      </c>
      <c r="P271" s="694">
        <v>21661</v>
      </c>
      <c r="Q271" s="695"/>
      <c r="R271" s="694">
        <v>1412</v>
      </c>
      <c r="S271" s="694">
        <v>4</v>
      </c>
      <c r="T271" s="694">
        <v>2694</v>
      </c>
      <c r="U271" s="695"/>
      <c r="V271" s="694">
        <v>5782</v>
      </c>
      <c r="W271" s="694">
        <v>101</v>
      </c>
      <c r="X271" s="694">
        <v>17386</v>
      </c>
      <c r="Y271" s="695"/>
      <c r="Z271" s="694">
        <v>256</v>
      </c>
      <c r="AA271" s="694">
        <v>10</v>
      </c>
      <c r="AB271" s="694">
        <v>39967</v>
      </c>
    </row>
    <row r="272" spans="1:28" s="459" customFormat="1">
      <c r="A272" s="459" t="s">
        <v>998</v>
      </c>
      <c r="B272" s="687">
        <v>0.2</v>
      </c>
      <c r="C272" s="687">
        <v>1.1000000000000001</v>
      </c>
      <c r="D272" s="687">
        <v>1.7</v>
      </c>
      <c r="E272" s="687">
        <v>2.5</v>
      </c>
      <c r="F272" s="687">
        <v>1.3</v>
      </c>
      <c r="G272" s="687">
        <v>1.1000000000000001</v>
      </c>
      <c r="I272" s="693" t="s">
        <v>391</v>
      </c>
      <c r="J272" s="694">
        <v>57594</v>
      </c>
      <c r="K272" s="694">
        <v>984</v>
      </c>
      <c r="L272" s="694">
        <v>17082</v>
      </c>
      <c r="M272" s="695"/>
      <c r="N272" s="694">
        <v>8161</v>
      </c>
      <c r="O272" s="694">
        <v>163</v>
      </c>
      <c r="P272" s="694">
        <v>19962</v>
      </c>
      <c r="Q272" s="695"/>
      <c r="R272" s="694">
        <v>1293</v>
      </c>
      <c r="S272" s="694">
        <v>3</v>
      </c>
      <c r="T272" s="694">
        <v>2648</v>
      </c>
      <c r="U272" s="695"/>
      <c r="V272" s="694">
        <v>2474</v>
      </c>
      <c r="W272" s="694">
        <v>42</v>
      </c>
      <c r="X272" s="694">
        <v>16991</v>
      </c>
      <c r="Y272" s="695"/>
      <c r="Z272" s="694">
        <v>308</v>
      </c>
      <c r="AA272" s="694">
        <v>12</v>
      </c>
      <c r="AB272" s="694">
        <v>38377</v>
      </c>
    </row>
    <row r="273" spans="1:28" s="459" customFormat="1">
      <c r="A273" s="459" t="s">
        <v>989</v>
      </c>
      <c r="B273" s="687">
        <v>0.8</v>
      </c>
      <c r="C273" s="687">
        <v>1.7</v>
      </c>
      <c r="D273" s="687">
        <v>1.4</v>
      </c>
      <c r="E273" s="687">
        <v>1.4</v>
      </c>
      <c r="F273" s="687">
        <v>0.5</v>
      </c>
      <c r="G273" s="687">
        <v>0.9</v>
      </c>
      <c r="I273" s="693" t="s">
        <v>383</v>
      </c>
      <c r="J273" s="694">
        <v>41252</v>
      </c>
      <c r="K273" s="694">
        <v>786</v>
      </c>
      <c r="L273" s="694">
        <v>19053</v>
      </c>
      <c r="M273" s="695"/>
      <c r="N273" s="694">
        <v>8110</v>
      </c>
      <c r="O273" s="694">
        <v>174</v>
      </c>
      <c r="P273" s="694">
        <v>21429</v>
      </c>
      <c r="Q273" s="695"/>
      <c r="R273" s="694">
        <v>604</v>
      </c>
      <c r="S273" s="694">
        <v>2</v>
      </c>
      <c r="T273" s="694">
        <v>2706</v>
      </c>
      <c r="U273" s="695"/>
      <c r="V273" s="694">
        <v>2353</v>
      </c>
      <c r="W273" s="694">
        <v>41</v>
      </c>
      <c r="X273" s="694">
        <v>17421</v>
      </c>
      <c r="Y273" s="695"/>
      <c r="Z273" s="694">
        <v>280</v>
      </c>
      <c r="AA273" s="694">
        <v>12</v>
      </c>
      <c r="AB273" s="694">
        <v>42203</v>
      </c>
    </row>
    <row r="274" spans="1:28" s="459" customFormat="1">
      <c r="A274" s="459" t="s">
        <v>999</v>
      </c>
      <c r="B274" s="687">
        <v>2.4</v>
      </c>
      <c r="C274" s="687">
        <v>1.6</v>
      </c>
      <c r="D274" s="687">
        <v>3.5</v>
      </c>
      <c r="E274" s="687">
        <v>2.7</v>
      </c>
      <c r="F274" s="687">
        <v>6</v>
      </c>
      <c r="G274" s="687">
        <v>3.7</v>
      </c>
      <c r="I274" s="693" t="s">
        <v>384</v>
      </c>
      <c r="J274" s="694">
        <v>75184</v>
      </c>
      <c r="K274" s="694">
        <v>1384</v>
      </c>
      <c r="L274" s="694">
        <v>18409</v>
      </c>
      <c r="M274" s="695"/>
      <c r="N274" s="694">
        <v>13989</v>
      </c>
      <c r="O274" s="694">
        <v>334</v>
      </c>
      <c r="P274" s="694">
        <v>23897</v>
      </c>
      <c r="Q274" s="695"/>
      <c r="R274" s="694">
        <v>1506</v>
      </c>
      <c r="S274" s="694">
        <v>4</v>
      </c>
      <c r="T274" s="694">
        <v>2657</v>
      </c>
      <c r="U274" s="695"/>
      <c r="V274" s="694">
        <v>4572</v>
      </c>
      <c r="W274" s="694">
        <v>78</v>
      </c>
      <c r="X274" s="694">
        <v>17114</v>
      </c>
      <c r="Y274" s="695"/>
      <c r="Z274" s="694">
        <v>270</v>
      </c>
      <c r="AA274" s="694">
        <v>10</v>
      </c>
      <c r="AB274" s="694">
        <v>38521</v>
      </c>
    </row>
    <row r="275" spans="1:28" s="459" customFormat="1">
      <c r="A275" s="459" t="s">
        <v>1000</v>
      </c>
      <c r="B275" s="687">
        <v>0.1</v>
      </c>
      <c r="C275" s="687">
        <v>0.1</v>
      </c>
      <c r="D275" s="687">
        <v>0.1</v>
      </c>
      <c r="E275" s="687">
        <v>0</v>
      </c>
      <c r="F275" s="687">
        <v>0.5</v>
      </c>
      <c r="G275" s="687">
        <v>0.2</v>
      </c>
      <c r="I275" s="693" t="s">
        <v>385</v>
      </c>
      <c r="J275" s="694">
        <v>68616</v>
      </c>
      <c r="K275" s="694">
        <v>1160</v>
      </c>
      <c r="L275" s="694">
        <v>16906</v>
      </c>
      <c r="M275" s="695"/>
      <c r="N275" s="694">
        <v>9437</v>
      </c>
      <c r="O275" s="694">
        <v>200</v>
      </c>
      <c r="P275" s="694">
        <v>21192</v>
      </c>
      <c r="Q275" s="695"/>
      <c r="R275" s="694">
        <v>1554</v>
      </c>
      <c r="S275" s="694">
        <v>4</v>
      </c>
      <c r="T275" s="694">
        <v>2720</v>
      </c>
      <c r="U275" s="695"/>
      <c r="V275" s="694">
        <v>1917</v>
      </c>
      <c r="W275" s="694">
        <v>32</v>
      </c>
      <c r="X275" s="694">
        <v>16560</v>
      </c>
      <c r="Y275" s="695"/>
      <c r="Z275" s="694">
        <v>358</v>
      </c>
      <c r="AA275" s="694">
        <v>14</v>
      </c>
      <c r="AB275" s="694">
        <v>38367</v>
      </c>
    </row>
    <row r="276" spans="1:28" s="459" customFormat="1">
      <c r="A276" s="459" t="s">
        <v>1001</v>
      </c>
      <c r="B276" s="687">
        <v>1.3</v>
      </c>
      <c r="C276" s="687">
        <v>1</v>
      </c>
      <c r="D276" s="687">
        <v>3.1</v>
      </c>
      <c r="E276" s="687">
        <v>2.1</v>
      </c>
      <c r="F276" s="687">
        <v>4.8</v>
      </c>
      <c r="G276" s="687">
        <v>2.8</v>
      </c>
      <c r="I276" s="696" t="s">
        <v>1</v>
      </c>
      <c r="J276" s="697">
        <v>2117463</v>
      </c>
      <c r="K276" s="697">
        <v>35975</v>
      </c>
      <c r="L276" s="697">
        <v>16990</v>
      </c>
      <c r="M276" s="697"/>
      <c r="N276" s="697">
        <v>354458</v>
      </c>
      <c r="O276" s="697">
        <v>7891</v>
      </c>
      <c r="P276" s="697">
        <v>22263</v>
      </c>
      <c r="Q276" s="697"/>
      <c r="R276" s="697">
        <v>39851</v>
      </c>
      <c r="S276" s="697">
        <v>109</v>
      </c>
      <c r="T276" s="697">
        <v>2731</v>
      </c>
      <c r="U276" s="697"/>
      <c r="V276" s="697">
        <v>85820</v>
      </c>
      <c r="W276" s="697">
        <v>1485</v>
      </c>
      <c r="X276" s="697">
        <v>17300</v>
      </c>
      <c r="Y276" s="697"/>
      <c r="Z276" s="697">
        <v>21319</v>
      </c>
      <c r="AA276" s="697">
        <v>842</v>
      </c>
      <c r="AB276" s="697">
        <v>39501</v>
      </c>
    </row>
    <row r="277" spans="1:28" s="459" customFormat="1">
      <c r="A277" s="459" t="s">
        <v>1002</v>
      </c>
      <c r="B277" s="687">
        <v>1</v>
      </c>
      <c r="C277" s="687">
        <v>0.4</v>
      </c>
      <c r="D277" s="687">
        <v>0.3</v>
      </c>
      <c r="E277" s="687">
        <v>0.6</v>
      </c>
      <c r="F277" s="687">
        <v>0.7</v>
      </c>
      <c r="G277" s="687">
        <v>0.7</v>
      </c>
      <c r="I277" s="693" t="s">
        <v>1015</v>
      </c>
    </row>
    <row r="278" spans="1:28" s="459" customFormat="1">
      <c r="A278" s="136" t="s">
        <v>991</v>
      </c>
      <c r="B278" s="688">
        <v>100</v>
      </c>
      <c r="C278" s="688">
        <v>100</v>
      </c>
      <c r="D278" s="688">
        <v>100</v>
      </c>
      <c r="E278" s="688">
        <v>100</v>
      </c>
      <c r="F278" s="688">
        <v>100</v>
      </c>
      <c r="G278" s="688">
        <v>100</v>
      </c>
    </row>
    <row r="279" spans="1:28" s="459" customFormat="1">
      <c r="A279" s="684" t="s">
        <v>1003</v>
      </c>
    </row>
    <row r="280" spans="1:28" s="459" customFormat="1"/>
    <row r="281" spans="1:28" s="459" customFormat="1"/>
    <row r="282" spans="1:28" s="459" customFormat="1">
      <c r="F282" s="6"/>
    </row>
    <row r="283" spans="1:28" s="459" customFormat="1">
      <c r="A283" s="459" t="s">
        <v>1022</v>
      </c>
      <c r="F283" s="6"/>
    </row>
    <row r="284" spans="1:28" s="459" customFormat="1">
      <c r="A284" s="132" t="s">
        <v>1011</v>
      </c>
      <c r="B284" s="130" t="s">
        <v>1016</v>
      </c>
      <c r="C284" s="130" t="s">
        <v>1017</v>
      </c>
      <c r="D284" s="130" t="s">
        <v>1012</v>
      </c>
      <c r="E284" s="130" t="s">
        <v>1023</v>
      </c>
      <c r="F284" s="130" t="s">
        <v>540</v>
      </c>
    </row>
    <row r="285" spans="1:28" s="459" customFormat="1">
      <c r="A285" s="459" t="s">
        <v>1013</v>
      </c>
      <c r="B285" s="39">
        <v>4</v>
      </c>
      <c r="C285" s="580">
        <f>B235</f>
        <v>0.5</v>
      </c>
      <c r="D285" s="700">
        <f>B285/$B$288</f>
        <v>0.27889325272494597</v>
      </c>
      <c r="E285" s="396">
        <f>$E$288*C285*D285</f>
        <v>7485.229753311015</v>
      </c>
      <c r="F285" s="580">
        <f>E285/$E$288</f>
        <v>0.13944662636247299</v>
      </c>
    </row>
    <row r="286" spans="1:28" s="459" customFormat="1">
      <c r="A286" s="459" t="s">
        <v>1021</v>
      </c>
      <c r="B286" s="39">
        <v>17</v>
      </c>
      <c r="C286" s="580">
        <f>C235</f>
        <v>0.41</v>
      </c>
      <c r="D286" s="700">
        <f>B286/$B$288</f>
        <v>1.1852963240810204</v>
      </c>
      <c r="E286" s="396">
        <f>$E$288*C286*D286</f>
        <v>26086.025690288883</v>
      </c>
      <c r="F286" s="580">
        <f>E286/$E$288</f>
        <v>0.48597149287321834</v>
      </c>
      <c r="I286" s="135"/>
    </row>
    <row r="287" spans="1:28" s="459" customFormat="1">
      <c r="A287" s="459" t="s">
        <v>1020</v>
      </c>
      <c r="B287" s="579">
        <f>((B288-(B285*C285)-(B286*C286)))/C287</f>
        <v>59.693389592123772</v>
      </c>
      <c r="C287" s="580">
        <f>D235</f>
        <v>0.09</v>
      </c>
      <c r="D287" s="700">
        <f>B287/$B$288</f>
        <v>4.1620208973812085</v>
      </c>
      <c r="E287" s="396">
        <f>$E$288*C287*D287</f>
        <v>20106.843113292791</v>
      </c>
      <c r="F287" s="580">
        <f>E287/$E$288</f>
        <v>0.37458188076430876</v>
      </c>
    </row>
    <row r="288" spans="1:28" s="459" customFormat="1">
      <c r="A288" s="136" t="s">
        <v>1</v>
      </c>
      <c r="B288" s="698">
        <f>(B250*D265/(SUM(D265:D266)))+(B251*D266/(SUM(D265:D266)))</f>
        <v>14.342405063291139</v>
      </c>
      <c r="C288" s="523" t="s">
        <v>17</v>
      </c>
      <c r="D288" s="699" t="s">
        <v>17</v>
      </c>
      <c r="E288" s="701">
        <f>C143</f>
        <v>53678.098556892684</v>
      </c>
      <c r="F288" s="701">
        <f>SUM(F285:F287)</f>
        <v>1</v>
      </c>
      <c r="I288" s="35"/>
    </row>
    <row r="289" spans="1:6" s="459" customFormat="1">
      <c r="A289" s="459" t="s">
        <v>1028</v>
      </c>
    </row>
    <row r="290" spans="1:6" s="459" customFormat="1"/>
    <row r="291" spans="1:6" s="459" customFormat="1"/>
    <row r="292" spans="1:6" s="459" customFormat="1"/>
    <row r="293" spans="1:6" s="459" customFormat="1">
      <c r="A293" s="459" t="s">
        <v>1026</v>
      </c>
      <c r="F293" s="6"/>
    </row>
    <row r="294" spans="1:6" s="459" customFormat="1">
      <c r="A294" s="132" t="s">
        <v>1011</v>
      </c>
      <c r="B294" s="130" t="s">
        <v>1016</v>
      </c>
      <c r="C294" s="130" t="s">
        <v>1017</v>
      </c>
      <c r="D294" s="130" t="s">
        <v>1012</v>
      </c>
      <c r="E294" s="130" t="s">
        <v>1023</v>
      </c>
      <c r="F294" s="130" t="s">
        <v>540</v>
      </c>
    </row>
    <row r="295" spans="1:6" s="459" customFormat="1">
      <c r="A295" s="459" t="s">
        <v>1013</v>
      </c>
      <c r="B295" s="39">
        <v>4</v>
      </c>
      <c r="C295" s="580">
        <f>B235</f>
        <v>0.5</v>
      </c>
      <c r="D295" s="700">
        <f>B295/$B$298</f>
        <v>0.38095238095238093</v>
      </c>
      <c r="E295" s="579">
        <f>$E$298*C295*D295</f>
        <v>238.72184365296803</v>
      </c>
      <c r="F295" s="580">
        <f>E295/$E$298</f>
        <v>0.19047619047619047</v>
      </c>
    </row>
    <row r="296" spans="1:6" s="459" customFormat="1">
      <c r="A296" s="459" t="s">
        <v>1021</v>
      </c>
      <c r="B296" s="39">
        <v>14</v>
      </c>
      <c r="C296" s="580">
        <f>C235</f>
        <v>0.41</v>
      </c>
      <c r="D296" s="700">
        <f>B296/$B$298</f>
        <v>1.3333333333333333</v>
      </c>
      <c r="E296" s="579">
        <f>$E$298*C296*D296</f>
        <v>685.13169128401819</v>
      </c>
      <c r="F296" s="580">
        <f>E296/$E$298</f>
        <v>0.54666666666666663</v>
      </c>
    </row>
    <row r="297" spans="1:6" s="459" customFormat="1">
      <c r="A297" s="459" t="s">
        <v>1020</v>
      </c>
      <c r="B297" s="579">
        <f>((B298-(B295*C295)-(B296*C296)))/C297</f>
        <v>30.666666666666675</v>
      </c>
      <c r="C297" s="580">
        <f>D235</f>
        <v>0.09</v>
      </c>
      <c r="D297" s="700">
        <f>B297/$B$298</f>
        <v>2.9206349206349214</v>
      </c>
      <c r="E297" s="579">
        <f>$E$298*C297*D297</f>
        <v>329.43614424109597</v>
      </c>
      <c r="F297" s="580">
        <f>E297/$E$298</f>
        <v>0.2628571428571429</v>
      </c>
    </row>
    <row r="298" spans="1:6" s="459" customFormat="1">
      <c r="A298" s="136" t="s">
        <v>1</v>
      </c>
      <c r="B298" s="698">
        <f>B256</f>
        <v>10.5</v>
      </c>
      <c r="C298" s="523" t="s">
        <v>17</v>
      </c>
      <c r="D298" s="699" t="s">
        <v>17</v>
      </c>
      <c r="E298" s="701">
        <f>C147</f>
        <v>1253.2896791780822</v>
      </c>
      <c r="F298" s="701">
        <f>SUM(F295:F297)</f>
        <v>1</v>
      </c>
    </row>
    <row r="299" spans="1:6" s="459" customFormat="1">
      <c r="A299" s="702"/>
      <c r="B299" s="703"/>
      <c r="C299" s="704"/>
      <c r="D299" s="705"/>
      <c r="E299" s="706"/>
      <c r="F299" s="706"/>
    </row>
    <row r="300" spans="1:6" s="459" customFormat="1">
      <c r="A300" s="702"/>
      <c r="B300" s="703"/>
      <c r="C300" s="704"/>
      <c r="D300" s="705"/>
      <c r="E300" s="706"/>
      <c r="F300" s="706"/>
    </row>
    <row r="301" spans="1:6" s="459" customFormat="1">
      <c r="A301" s="702"/>
      <c r="B301" s="703"/>
      <c r="C301" s="704"/>
      <c r="D301" s="705"/>
      <c r="E301" s="706"/>
      <c r="F301" s="706"/>
    </row>
    <row r="302" spans="1:6" s="459" customFormat="1">
      <c r="A302" s="459" t="s">
        <v>1032</v>
      </c>
      <c r="F302" s="6"/>
    </row>
    <row r="303" spans="1:6" s="459" customFormat="1">
      <c r="A303" s="132" t="s">
        <v>1011</v>
      </c>
      <c r="B303" s="130" t="s">
        <v>1016</v>
      </c>
      <c r="C303" s="130" t="s">
        <v>1017</v>
      </c>
      <c r="D303" s="130" t="s">
        <v>1012</v>
      </c>
      <c r="E303" s="130" t="s">
        <v>1023</v>
      </c>
      <c r="F303" s="130" t="s">
        <v>540</v>
      </c>
    </row>
    <row r="304" spans="1:6" s="459" customFormat="1">
      <c r="A304" s="459" t="s">
        <v>1013</v>
      </c>
      <c r="B304" s="39">
        <v>4</v>
      </c>
      <c r="C304" s="580">
        <f>B235</f>
        <v>0.5</v>
      </c>
      <c r="D304" s="700">
        <f>B304/$B$307</f>
        <v>0.24539877300613497</v>
      </c>
      <c r="E304" s="579">
        <f>$E$307*C304*D304</f>
        <v>1204.4243616479548</v>
      </c>
      <c r="F304" s="580">
        <f>E304/$E$307</f>
        <v>0.12269938650306748</v>
      </c>
    </row>
    <row r="305" spans="1:29" s="459" customFormat="1">
      <c r="A305" s="459" t="s">
        <v>1021</v>
      </c>
      <c r="B305" s="39">
        <v>17</v>
      </c>
      <c r="C305" s="580">
        <f>C235</f>
        <v>0.41</v>
      </c>
      <c r="D305" s="700">
        <f>B305/$B$307</f>
        <v>1.0429447852760736</v>
      </c>
      <c r="E305" s="579">
        <f>$E$307*C305*D305</f>
        <v>4197.418900343122</v>
      </c>
      <c r="F305" s="580">
        <f>E305/$E$307</f>
        <v>0.4276073619631901</v>
      </c>
    </row>
    <row r="306" spans="1:29" s="459" customFormat="1">
      <c r="A306" s="459" t="s">
        <v>1020</v>
      </c>
      <c r="B306" s="579">
        <f>((B307-(B304*C304)-(B305*C305)))/C306</f>
        <v>81.444444444444457</v>
      </c>
      <c r="C306" s="580">
        <f>D235</f>
        <v>0.09</v>
      </c>
      <c r="D306" s="700">
        <f>B306/$B$307</f>
        <v>4.9965916837082487</v>
      </c>
      <c r="E306" s="579">
        <f>$E$307*C306*D306</f>
        <v>4414.2152854397546</v>
      </c>
      <c r="F306" s="580">
        <f>E306/$E$307</f>
        <v>0.44969325153374234</v>
      </c>
    </row>
    <row r="307" spans="1:29" s="459" customFormat="1">
      <c r="A307" s="136" t="s">
        <v>1</v>
      </c>
      <c r="B307" s="698">
        <f>B253</f>
        <v>16.3</v>
      </c>
      <c r="C307" s="523" t="s">
        <v>17</v>
      </c>
      <c r="D307" s="699" t="s">
        <v>17</v>
      </c>
      <c r="E307" s="701">
        <f>C148</f>
        <v>9816.0585474308318</v>
      </c>
      <c r="F307" s="701">
        <f>SUM(F304:F306)</f>
        <v>1</v>
      </c>
    </row>
    <row r="308" spans="1:29" s="459" customFormat="1"/>
    <row r="309" spans="1:29" s="459" customFormat="1"/>
    <row r="310" spans="1:29" s="459" customFormat="1"/>
    <row r="311" spans="1:29" s="459" customFormat="1">
      <c r="A311" s="459" t="s">
        <v>1027</v>
      </c>
      <c r="F311" s="6"/>
    </row>
    <row r="312" spans="1:29" s="459" customFormat="1">
      <c r="A312" s="132" t="s">
        <v>1011</v>
      </c>
      <c r="B312" s="130" t="s">
        <v>1016</v>
      </c>
      <c r="C312" s="130" t="s">
        <v>1017</v>
      </c>
      <c r="D312" s="130" t="s">
        <v>1012</v>
      </c>
      <c r="E312" s="130" t="s">
        <v>1023</v>
      </c>
      <c r="F312" s="130" t="s">
        <v>540</v>
      </c>
    </row>
    <row r="313" spans="1:29" s="459" customFormat="1">
      <c r="A313" s="459" t="s">
        <v>1013</v>
      </c>
      <c r="B313" s="39">
        <v>4</v>
      </c>
      <c r="C313" s="580">
        <f>C295</f>
        <v>0.5</v>
      </c>
      <c r="D313" s="700">
        <f>B313/$B$315</f>
        <v>0.29197080291970806</v>
      </c>
      <c r="E313" s="579">
        <f>$E$315*C313*D313</f>
        <v>17.503649635036499</v>
      </c>
      <c r="F313" s="580">
        <f>E313/$E$315</f>
        <v>0.14598540145985403</v>
      </c>
    </row>
    <row r="314" spans="1:29" s="459" customFormat="1">
      <c r="A314" s="459" t="s">
        <v>1021</v>
      </c>
      <c r="B314" s="39">
        <f>(B315-(B313*C314))/C313</f>
        <v>23.4</v>
      </c>
      <c r="C314" s="580">
        <v>0.5</v>
      </c>
      <c r="D314" s="700">
        <f>B314/$B$315</f>
        <v>1.7080291970802919</v>
      </c>
      <c r="E314" s="579">
        <f>$E$315*C314*D314</f>
        <v>102.39635036496351</v>
      </c>
      <c r="F314" s="580">
        <f>E314/$E$315</f>
        <v>0.85401459854014605</v>
      </c>
    </row>
    <row r="315" spans="1:29" s="459" customFormat="1">
      <c r="A315" s="136" t="s">
        <v>1</v>
      </c>
      <c r="B315" s="698">
        <f>B257</f>
        <v>13.7</v>
      </c>
      <c r="C315" s="523" t="s">
        <v>17</v>
      </c>
      <c r="D315" s="699" t="s">
        <v>17</v>
      </c>
      <c r="E315" s="701">
        <f>C139</f>
        <v>119.9</v>
      </c>
      <c r="F315" s="701">
        <f>SUM(F313:F314)</f>
        <v>1</v>
      </c>
    </row>
    <row r="316" spans="1:29" s="459" customFormat="1">
      <c r="A316" s="702"/>
      <c r="B316" s="703"/>
      <c r="C316" s="704"/>
      <c r="D316" s="705"/>
      <c r="E316" s="706"/>
      <c r="F316" s="706"/>
    </row>
    <row r="317" spans="1:29" s="459" customFormat="1">
      <c r="A317" s="702"/>
      <c r="B317" s="703"/>
      <c r="C317" s="704"/>
      <c r="D317" s="705"/>
      <c r="E317" s="706"/>
      <c r="F317" s="706"/>
    </row>
    <row r="318" spans="1:29" s="459" customFormat="1">
      <c r="A318" s="702"/>
      <c r="B318" s="703"/>
      <c r="C318" s="704"/>
      <c r="D318" s="705"/>
      <c r="E318" s="706"/>
      <c r="F318" s="706"/>
    </row>
    <row r="319" spans="1:29" s="459" customFormat="1">
      <c r="A319" s="128" t="s">
        <v>1025</v>
      </c>
    </row>
    <row r="320" spans="1:29" s="459" customFormat="1">
      <c r="A320" s="132" t="s">
        <v>1011</v>
      </c>
      <c r="B320" s="132" t="s">
        <v>64</v>
      </c>
      <c r="C320" s="130" t="str">
        <f t="shared" ref="C320:AC320" si="110">C355</f>
        <v>IE</v>
      </c>
      <c r="D320" s="130" t="str">
        <f t="shared" si="110"/>
        <v>IE-CW</v>
      </c>
      <c r="E320" s="130" t="str">
        <f t="shared" si="110"/>
        <v>IE-D</v>
      </c>
      <c r="F320" s="130" t="str">
        <f t="shared" si="110"/>
        <v>IE-KE</v>
      </c>
      <c r="G320" s="130" t="str">
        <f t="shared" si="110"/>
        <v>IE-KK</v>
      </c>
      <c r="H320" s="130" t="str">
        <f t="shared" si="110"/>
        <v>IE-LS</v>
      </c>
      <c r="I320" s="130" t="str">
        <f t="shared" si="110"/>
        <v>IE-LD</v>
      </c>
      <c r="J320" s="130" t="str">
        <f t="shared" si="110"/>
        <v>IE-LH</v>
      </c>
      <c r="K320" s="130" t="str">
        <f t="shared" si="110"/>
        <v>IE-MH</v>
      </c>
      <c r="L320" s="130" t="str">
        <f t="shared" si="110"/>
        <v>IE-OY</v>
      </c>
      <c r="M320" s="130" t="str">
        <f t="shared" si="110"/>
        <v>IE-WH</v>
      </c>
      <c r="N320" s="130" t="str">
        <f t="shared" si="110"/>
        <v>IE-WX</v>
      </c>
      <c r="O320" s="130" t="str">
        <f t="shared" si="110"/>
        <v>IE-WW</v>
      </c>
      <c r="P320" s="130" t="str">
        <f t="shared" si="110"/>
        <v>IE-CE</v>
      </c>
      <c r="Q320" s="130" t="str">
        <f t="shared" si="110"/>
        <v>IE-CO</v>
      </c>
      <c r="R320" s="130" t="str">
        <f t="shared" si="110"/>
        <v>IE-KY</v>
      </c>
      <c r="S320" s="130" t="str">
        <f t="shared" si="110"/>
        <v>IE-LK</v>
      </c>
      <c r="T320" s="130" t="str">
        <f t="shared" si="110"/>
        <v>IE-TA</v>
      </c>
      <c r="U320" s="130" t="str">
        <f t="shared" si="110"/>
        <v>IE-WD</v>
      </c>
      <c r="V320" s="130" t="str">
        <f t="shared" si="110"/>
        <v>IE-G</v>
      </c>
      <c r="W320" s="130" t="str">
        <f t="shared" si="110"/>
        <v>IE-LM</v>
      </c>
      <c r="X320" s="130" t="str">
        <f t="shared" si="110"/>
        <v>IE-MO</v>
      </c>
      <c r="Y320" s="130" t="str">
        <f t="shared" si="110"/>
        <v>IE-RN</v>
      </c>
      <c r="Z320" s="130" t="str">
        <f t="shared" si="110"/>
        <v>IE-SO</v>
      </c>
      <c r="AA320" s="130" t="str">
        <f t="shared" si="110"/>
        <v>IE-CN</v>
      </c>
      <c r="AB320" s="130" t="str">
        <f t="shared" si="110"/>
        <v>IE-DL</v>
      </c>
      <c r="AC320" s="130" t="str">
        <f t="shared" si="110"/>
        <v>IE-MN</v>
      </c>
    </row>
    <row r="321" spans="1:29" s="459" customFormat="1">
      <c r="A321" s="459" t="s">
        <v>1013</v>
      </c>
      <c r="B321" s="459" t="s">
        <v>1024</v>
      </c>
      <c r="C321" s="9">
        <f>E285</f>
        <v>7485.229753311015</v>
      </c>
      <c r="D321" s="9">
        <f t="shared" ref="D321:AC321" si="111">$C$321*D143/$C$143</f>
        <v>110.06160990359193</v>
      </c>
      <c r="E321" s="9">
        <f t="shared" si="111"/>
        <v>1583.5140131875958</v>
      </c>
      <c r="F321" s="9">
        <f t="shared" si="111"/>
        <v>378.66187150196095</v>
      </c>
      <c r="G321" s="9">
        <f t="shared" si="111"/>
        <v>172.06228996270426</v>
      </c>
      <c r="H321" s="9">
        <f t="shared" si="111"/>
        <v>140.02167006638444</v>
      </c>
      <c r="I321" s="9">
        <f t="shared" si="111"/>
        <v>70.739030939926764</v>
      </c>
      <c r="J321" s="9">
        <f t="shared" si="111"/>
        <v>187.66648796415862</v>
      </c>
      <c r="K321" s="9">
        <f t="shared" si="111"/>
        <v>335.38622904459396</v>
      </c>
      <c r="L321" s="9">
        <f t="shared" si="111"/>
        <v>137.10888643944631</v>
      </c>
      <c r="M321" s="9">
        <f t="shared" si="111"/>
        <v>163.3239390818897</v>
      </c>
      <c r="N321" s="9">
        <f t="shared" si="111"/>
        <v>288.15752309352519</v>
      </c>
      <c r="O321" s="9">
        <f t="shared" si="111"/>
        <v>241.55298506251461</v>
      </c>
      <c r="P321" s="9">
        <f t="shared" si="111"/>
        <v>222.82794746076934</v>
      </c>
      <c r="Q321" s="9">
        <f t="shared" si="111"/>
        <v>894.22457347001534</v>
      </c>
      <c r="R321" s="9">
        <f t="shared" si="111"/>
        <v>265.89553394478355</v>
      </c>
      <c r="S321" s="9">
        <f t="shared" si="111"/>
        <v>328.72843789730672</v>
      </c>
      <c r="T321" s="9">
        <f t="shared" si="111"/>
        <v>314.78868768267404</v>
      </c>
      <c r="U321" s="9">
        <f t="shared" si="111"/>
        <v>204.72707777908218</v>
      </c>
      <c r="V321" s="9">
        <f t="shared" si="111"/>
        <v>430.67586484014231</v>
      </c>
      <c r="W321" s="9">
        <f t="shared" si="111"/>
        <v>59.295952405526855</v>
      </c>
      <c r="X321" s="9">
        <f t="shared" si="111"/>
        <v>236.35158572869651</v>
      </c>
      <c r="Y321" s="9">
        <f t="shared" si="111"/>
        <v>137.52499838615176</v>
      </c>
      <c r="Z321" s="9">
        <f t="shared" si="111"/>
        <v>109.22938601018103</v>
      </c>
      <c r="AA321" s="9">
        <f t="shared" si="111"/>
        <v>127.5383116652209</v>
      </c>
      <c r="AB321" s="9">
        <f t="shared" si="111"/>
        <v>242.80132090263095</v>
      </c>
      <c r="AC321" s="9">
        <f t="shared" si="111"/>
        <v>102.36353888954106</v>
      </c>
    </row>
    <row r="322" spans="1:29" s="459" customFormat="1">
      <c r="A322" s="459" t="s">
        <v>1021</v>
      </c>
      <c r="B322" s="459" t="s">
        <v>1024</v>
      </c>
      <c r="C322" s="9">
        <f>E286</f>
        <v>26086.025690288883</v>
      </c>
      <c r="D322" s="9">
        <f t="shared" ref="D322:AC322" si="112">$C$322*D143/$C$143</f>
        <v>383.56471051401786</v>
      </c>
      <c r="E322" s="9">
        <f t="shared" si="112"/>
        <v>5518.5463359587702</v>
      </c>
      <c r="F322" s="9">
        <f t="shared" si="112"/>
        <v>1319.6366221843339</v>
      </c>
      <c r="G322" s="9">
        <f t="shared" si="112"/>
        <v>599.63708052002414</v>
      </c>
      <c r="H322" s="9">
        <f t="shared" si="112"/>
        <v>487.97552018134968</v>
      </c>
      <c r="I322" s="9">
        <f t="shared" si="112"/>
        <v>246.52552282564474</v>
      </c>
      <c r="J322" s="9">
        <f t="shared" si="112"/>
        <v>654.01771055509278</v>
      </c>
      <c r="K322" s="9">
        <f t="shared" si="112"/>
        <v>1168.8210082204098</v>
      </c>
      <c r="L322" s="9">
        <f t="shared" si="112"/>
        <v>477.82446924147024</v>
      </c>
      <c r="M322" s="9">
        <f t="shared" si="112"/>
        <v>569.18392770038554</v>
      </c>
      <c r="N322" s="9">
        <f t="shared" si="112"/>
        <v>1004.2289679809351</v>
      </c>
      <c r="O322" s="9">
        <f t="shared" si="112"/>
        <v>841.81215294286335</v>
      </c>
      <c r="P322" s="9">
        <f t="shared" si="112"/>
        <v>776.55539690078092</v>
      </c>
      <c r="Q322" s="9">
        <f t="shared" si="112"/>
        <v>3116.3726385430027</v>
      </c>
      <c r="R322" s="9">
        <f t="shared" si="112"/>
        <v>926.64593579757059</v>
      </c>
      <c r="S322" s="9">
        <f t="shared" si="112"/>
        <v>1145.6186060721138</v>
      </c>
      <c r="T322" s="9">
        <f t="shared" si="112"/>
        <v>1097.0385765741189</v>
      </c>
      <c r="U322" s="9">
        <f t="shared" si="112"/>
        <v>713.47386606010127</v>
      </c>
      <c r="V322" s="9">
        <f t="shared" si="112"/>
        <v>1500.9053889678955</v>
      </c>
      <c r="W322" s="9">
        <f t="shared" si="112"/>
        <v>206.64639413326103</v>
      </c>
      <c r="X322" s="9">
        <f t="shared" si="112"/>
        <v>823.68527626450714</v>
      </c>
      <c r="Y322" s="9">
        <f t="shared" si="112"/>
        <v>479.27461937573872</v>
      </c>
      <c r="Z322" s="9">
        <f t="shared" si="112"/>
        <v>380.66441024548084</v>
      </c>
      <c r="AA322" s="9">
        <f t="shared" si="112"/>
        <v>444.47101615329478</v>
      </c>
      <c r="AB322" s="9">
        <f t="shared" si="112"/>
        <v>846.1626033456688</v>
      </c>
      <c r="AC322" s="9">
        <f t="shared" si="112"/>
        <v>356.73693303005058</v>
      </c>
    </row>
    <row r="323" spans="1:29" s="459" customFormat="1">
      <c r="A323" s="459" t="s">
        <v>1020</v>
      </c>
      <c r="B323" s="459" t="s">
        <v>1024</v>
      </c>
      <c r="C323" s="9">
        <f>E287</f>
        <v>20106.843113292791</v>
      </c>
      <c r="D323" s="9">
        <f t="shared" ref="D323:AC323" si="113">$C$323*D143/$C$143</f>
        <v>295.64777516001573</v>
      </c>
      <c r="E323" s="9">
        <f t="shared" si="113"/>
        <v>4253.6393511207552</v>
      </c>
      <c r="F323" s="9">
        <f t="shared" si="113"/>
        <v>1017.1624778662168</v>
      </c>
      <c r="G323" s="9">
        <f t="shared" si="113"/>
        <v>462.19415889855026</v>
      </c>
      <c r="H323" s="9">
        <f t="shared" si="113"/>
        <v>376.12656461756256</v>
      </c>
      <c r="I323" s="9">
        <f t="shared" si="113"/>
        <v>190.01936399698553</v>
      </c>
      <c r="J323" s="9">
        <f t="shared" si="113"/>
        <v>504.11019507435577</v>
      </c>
      <c r="K323" s="9">
        <f t="shared" si="113"/>
        <v>900.91533753864917</v>
      </c>
      <c r="L323" s="9">
        <f t="shared" si="113"/>
        <v>368.30223786474551</v>
      </c>
      <c r="M323" s="9">
        <f t="shared" si="113"/>
        <v>438.72117864009891</v>
      </c>
      <c r="N323" s="9">
        <f t="shared" si="113"/>
        <v>774.04946804654401</v>
      </c>
      <c r="O323" s="9">
        <f t="shared" si="113"/>
        <v>648.8602400014712</v>
      </c>
      <c r="P323" s="9">
        <f t="shared" si="113"/>
        <v>598.5609965905046</v>
      </c>
      <c r="Q323" s="9">
        <f t="shared" si="113"/>
        <v>2402.0683131148348</v>
      </c>
      <c r="R323" s="9">
        <f t="shared" si="113"/>
        <v>714.24925643572794</v>
      </c>
      <c r="S323" s="9">
        <f t="shared" si="113"/>
        <v>883.03116210363874</v>
      </c>
      <c r="T323" s="9">
        <f t="shared" si="113"/>
        <v>845.58616978658563</v>
      </c>
      <c r="U323" s="9">
        <f t="shared" si="113"/>
        <v>549.9383946265699</v>
      </c>
      <c r="V323" s="9">
        <f t="shared" si="113"/>
        <v>1156.8825984522355</v>
      </c>
      <c r="W323" s="9">
        <f t="shared" si="113"/>
        <v>159.28093746806144</v>
      </c>
      <c r="X323" s="9">
        <f t="shared" si="113"/>
        <v>634.88822794286943</v>
      </c>
      <c r="Y323" s="9">
        <f t="shared" si="113"/>
        <v>369.41999882943367</v>
      </c>
      <c r="Z323" s="9">
        <f t="shared" si="113"/>
        <v>293.41225323063946</v>
      </c>
      <c r="AA323" s="9">
        <f t="shared" si="113"/>
        <v>342.59373567691807</v>
      </c>
      <c r="AB323" s="9">
        <f t="shared" si="113"/>
        <v>652.21352289553568</v>
      </c>
      <c r="AC323" s="9">
        <f t="shared" si="113"/>
        <v>274.96919731328495</v>
      </c>
    </row>
    <row r="324" spans="1:29" s="459" customFormat="1">
      <c r="A324" s="136" t="s">
        <v>1</v>
      </c>
      <c r="B324" s="458" t="s">
        <v>1024</v>
      </c>
      <c r="C324" s="604">
        <f>SUM(C321:C323)</f>
        <v>53678.098556892684</v>
      </c>
      <c r="D324" s="604">
        <f t="shared" ref="D324:AC324" si="114">SUM(D321:D323)</f>
        <v>789.27409557762553</v>
      </c>
      <c r="E324" s="604">
        <f t="shared" si="114"/>
        <v>11355.699700267121</v>
      </c>
      <c r="F324" s="604">
        <f t="shared" si="114"/>
        <v>2715.4609715525116</v>
      </c>
      <c r="G324" s="604">
        <f t="shared" si="114"/>
        <v>1233.8935293812788</v>
      </c>
      <c r="H324" s="604">
        <f t="shared" si="114"/>
        <v>1004.1237548652966</v>
      </c>
      <c r="I324" s="604">
        <f t="shared" si="114"/>
        <v>507.28391776255705</v>
      </c>
      <c r="J324" s="604">
        <f t="shared" si="114"/>
        <v>1345.7943935936071</v>
      </c>
      <c r="K324" s="604">
        <f t="shared" si="114"/>
        <v>2405.1225748036527</v>
      </c>
      <c r="L324" s="604">
        <f t="shared" si="114"/>
        <v>983.23559354566203</v>
      </c>
      <c r="M324" s="604">
        <f t="shared" si="114"/>
        <v>1171.2290454223742</v>
      </c>
      <c r="N324" s="604">
        <f t="shared" si="114"/>
        <v>2066.4359591210041</v>
      </c>
      <c r="O324" s="604">
        <f t="shared" si="114"/>
        <v>1732.225378006849</v>
      </c>
      <c r="P324" s="604">
        <f t="shared" si="114"/>
        <v>1597.944340952055</v>
      </c>
      <c r="Q324" s="604">
        <f t="shared" si="114"/>
        <v>6412.6655251278535</v>
      </c>
      <c r="R324" s="604">
        <f t="shared" si="114"/>
        <v>1906.790726178082</v>
      </c>
      <c r="S324" s="604">
        <f t="shared" si="114"/>
        <v>2357.3782060730591</v>
      </c>
      <c r="T324" s="604">
        <f t="shared" si="114"/>
        <v>2257.4134340433784</v>
      </c>
      <c r="U324" s="604">
        <f t="shared" si="114"/>
        <v>1468.1393384657533</v>
      </c>
      <c r="V324" s="604">
        <f t="shared" si="114"/>
        <v>3088.4638522602736</v>
      </c>
      <c r="W324" s="604">
        <f t="shared" si="114"/>
        <v>425.22328400684933</v>
      </c>
      <c r="X324" s="604">
        <f t="shared" si="114"/>
        <v>1694.9250899360732</v>
      </c>
      <c r="Y324" s="604">
        <f t="shared" si="114"/>
        <v>986.2196165913241</v>
      </c>
      <c r="Z324" s="604">
        <f t="shared" si="114"/>
        <v>783.30604948630139</v>
      </c>
      <c r="AA324" s="604">
        <f t="shared" si="114"/>
        <v>914.60306349543373</v>
      </c>
      <c r="AB324" s="604">
        <f t="shared" si="114"/>
        <v>1741.1774471438353</v>
      </c>
      <c r="AC324" s="604">
        <f t="shared" si="114"/>
        <v>734.06966923287655</v>
      </c>
    </row>
    <row r="325" spans="1:29" s="459" customFormat="1">
      <c r="A325" s="702"/>
      <c r="B325" s="703"/>
      <c r="C325" s="704"/>
      <c r="D325" s="705"/>
      <c r="E325" s="706"/>
      <c r="F325" s="706"/>
    </row>
    <row r="326" spans="1:29" s="459" customFormat="1">
      <c r="A326" s="702"/>
      <c r="B326" s="703"/>
      <c r="C326" s="704"/>
      <c r="D326" s="705"/>
      <c r="E326" s="706"/>
      <c r="F326" s="706"/>
    </row>
    <row r="327" spans="1:29" s="459" customFormat="1">
      <c r="A327" s="702"/>
      <c r="B327" s="703"/>
      <c r="C327" s="704"/>
      <c r="D327" s="705"/>
      <c r="E327" s="706"/>
      <c r="F327" s="706"/>
    </row>
    <row r="328" spans="1:29" s="459" customFormat="1">
      <c r="A328" s="128" t="s">
        <v>1029</v>
      </c>
    </row>
    <row r="329" spans="1:29" s="459" customFormat="1">
      <c r="A329" s="132" t="s">
        <v>1011</v>
      </c>
      <c r="B329" s="132" t="s">
        <v>64</v>
      </c>
      <c r="C329" s="130" t="str">
        <f>Regions!C3</f>
        <v>IE</v>
      </c>
      <c r="D329" s="130" t="str">
        <f>Regions!E3</f>
        <v>IE-CW</v>
      </c>
      <c r="E329" s="130" t="str">
        <f>Regions!F3</f>
        <v>IE-D</v>
      </c>
      <c r="F329" s="130" t="str">
        <f>Regions!G3</f>
        <v>IE-KE</v>
      </c>
      <c r="G329" s="130" t="str">
        <f>Regions!H3</f>
        <v>IE-KK</v>
      </c>
      <c r="H329" s="130" t="str">
        <f>Regions!I3</f>
        <v>IE-LS</v>
      </c>
      <c r="I329" s="130" t="str">
        <f>Regions!J3</f>
        <v>IE-LD</v>
      </c>
      <c r="J329" s="130" t="str">
        <f>Regions!K3</f>
        <v>IE-LH</v>
      </c>
      <c r="K329" s="130" t="str">
        <f>Regions!L3</f>
        <v>IE-MH</v>
      </c>
      <c r="L329" s="130" t="str">
        <f>Regions!M3</f>
        <v>IE-OY</v>
      </c>
      <c r="M329" s="130" t="str">
        <f>Regions!N3</f>
        <v>IE-WH</v>
      </c>
      <c r="N329" s="130" t="str">
        <f>Regions!O3</f>
        <v>IE-WX</v>
      </c>
      <c r="O329" s="130" t="str">
        <f>Regions!P3</f>
        <v>IE-WW</v>
      </c>
      <c r="P329" s="130" t="str">
        <f>Regions!Q3</f>
        <v>IE-CE</v>
      </c>
      <c r="Q329" s="130" t="str">
        <f>Regions!R3</f>
        <v>IE-CO</v>
      </c>
      <c r="R329" s="130" t="str">
        <f>Regions!S3</f>
        <v>IE-KY</v>
      </c>
      <c r="S329" s="130" t="str">
        <f>Regions!T3</f>
        <v>IE-LK</v>
      </c>
      <c r="T329" s="130" t="str">
        <f>Regions!U3</f>
        <v>IE-TA</v>
      </c>
      <c r="U329" s="130" t="str">
        <f>Regions!V3</f>
        <v>IE-WD</v>
      </c>
      <c r="V329" s="130" t="str">
        <f>Regions!W3</f>
        <v>IE-G</v>
      </c>
      <c r="W329" s="130" t="str">
        <f>Regions!X3</f>
        <v>IE-LM</v>
      </c>
      <c r="X329" s="130" t="str">
        <f>Regions!Y3</f>
        <v>IE-MO</v>
      </c>
      <c r="Y329" s="130" t="str">
        <f>Regions!Z3</f>
        <v>IE-RN</v>
      </c>
      <c r="Z329" s="130" t="str">
        <f>Regions!AA3</f>
        <v>IE-SO</v>
      </c>
      <c r="AA329" s="130" t="str">
        <f>Regions!AB3</f>
        <v>IE-CN</v>
      </c>
      <c r="AB329" s="130" t="str">
        <f>Regions!AC3</f>
        <v>IE-DL</v>
      </c>
      <c r="AC329" s="130" t="str">
        <f>Regions!AD3</f>
        <v>IE-MN</v>
      </c>
    </row>
    <row r="330" spans="1:29" s="459" customFormat="1">
      <c r="A330" s="459" t="s">
        <v>1013</v>
      </c>
      <c r="B330" s="459" t="s">
        <v>1024</v>
      </c>
      <c r="C330" s="9">
        <f>E295</f>
        <v>238.72184365296803</v>
      </c>
      <c r="D330" s="9">
        <f t="shared" ref="D330:AC330" si="115">$C$330*D147/$C$147</f>
        <v>1.4209633550771903</v>
      </c>
      <c r="E330" s="9">
        <f t="shared" si="115"/>
        <v>122.2028485366384</v>
      </c>
      <c r="F330" s="9">
        <f t="shared" si="115"/>
        <v>9.9467434855403329</v>
      </c>
      <c r="G330" s="9">
        <f t="shared" si="115"/>
        <v>2.5577340391389427</v>
      </c>
      <c r="H330" s="9">
        <f t="shared" si="115"/>
        <v>2.5577340391389427</v>
      </c>
      <c r="I330" s="9">
        <f t="shared" si="115"/>
        <v>1.1367706840617522</v>
      </c>
      <c r="J330" s="9">
        <f t="shared" si="115"/>
        <v>7.1048167753859506</v>
      </c>
      <c r="K330" s="9">
        <f t="shared" si="115"/>
        <v>11.936092182648398</v>
      </c>
      <c r="L330" s="9">
        <f t="shared" si="115"/>
        <v>1.7051560260926284</v>
      </c>
      <c r="M330" s="9">
        <f t="shared" si="115"/>
        <v>3.4103120521852568</v>
      </c>
      <c r="N330" s="9">
        <f t="shared" si="115"/>
        <v>3.1261193811698189</v>
      </c>
      <c r="O330" s="9">
        <f t="shared" si="115"/>
        <v>3.978697394216133</v>
      </c>
      <c r="P330" s="9">
        <f t="shared" si="115"/>
        <v>3.978697394216133</v>
      </c>
      <c r="Q330" s="9">
        <f t="shared" si="115"/>
        <v>19.893486971080666</v>
      </c>
      <c r="R330" s="9">
        <f t="shared" si="115"/>
        <v>5.1154680782778854</v>
      </c>
      <c r="S330" s="9">
        <f t="shared" si="115"/>
        <v>7.6732021174168281</v>
      </c>
      <c r="T330" s="9">
        <f t="shared" si="115"/>
        <v>2.8419267101543806</v>
      </c>
      <c r="U330" s="9">
        <f t="shared" si="115"/>
        <v>3.1261193811698189</v>
      </c>
      <c r="V330" s="9">
        <f t="shared" si="115"/>
        <v>10.799321498586647</v>
      </c>
      <c r="W330" s="9">
        <f t="shared" si="115"/>
        <v>0.8525780130463142</v>
      </c>
      <c r="X330" s="9">
        <f t="shared" si="115"/>
        <v>3.1261193811698189</v>
      </c>
      <c r="Y330" s="9">
        <f t="shared" si="115"/>
        <v>1.4209633550771903</v>
      </c>
      <c r="Z330" s="9">
        <f t="shared" si="115"/>
        <v>1.7051560260926284</v>
      </c>
      <c r="AA330" s="9">
        <f t="shared" si="115"/>
        <v>1.9893486971080667</v>
      </c>
      <c r="AB330" s="9">
        <f t="shared" si="115"/>
        <v>4.2628900652315709</v>
      </c>
      <c r="AC330" s="9">
        <f t="shared" si="115"/>
        <v>0.8525780130463142</v>
      </c>
    </row>
    <row r="331" spans="1:29" s="459" customFormat="1">
      <c r="A331" s="459" t="s">
        <v>1021</v>
      </c>
      <c r="B331" s="459" t="s">
        <v>1024</v>
      </c>
      <c r="C331" s="9">
        <f t="shared" ref="C331:C332" si="116">E296</f>
        <v>685.13169128401819</v>
      </c>
      <c r="D331" s="9">
        <f t="shared" ref="D331:AC331" si="117">$C$331*D147/$C$147</f>
        <v>4.078164829071536</v>
      </c>
      <c r="E331" s="9">
        <f t="shared" si="117"/>
        <v>350.72217530015217</v>
      </c>
      <c r="F331" s="9">
        <f t="shared" si="117"/>
        <v>28.547153803500748</v>
      </c>
      <c r="G331" s="9">
        <f t="shared" si="117"/>
        <v>7.3406966923287635</v>
      </c>
      <c r="H331" s="9">
        <f t="shared" si="117"/>
        <v>7.3406966923287635</v>
      </c>
      <c r="I331" s="9">
        <f t="shared" si="117"/>
        <v>3.2625318632572289</v>
      </c>
      <c r="J331" s="9">
        <f t="shared" si="117"/>
        <v>20.39082414535768</v>
      </c>
      <c r="K331" s="9">
        <f t="shared" si="117"/>
        <v>34.256584564200899</v>
      </c>
      <c r="L331" s="9">
        <f t="shared" si="117"/>
        <v>4.8937977948858435</v>
      </c>
      <c r="M331" s="9">
        <f t="shared" si="117"/>
        <v>9.7875955897716871</v>
      </c>
      <c r="N331" s="9">
        <f t="shared" si="117"/>
        <v>8.9719626239573795</v>
      </c>
      <c r="O331" s="9">
        <f t="shared" si="117"/>
        <v>11.4188615214003</v>
      </c>
      <c r="P331" s="9">
        <f t="shared" si="117"/>
        <v>11.4188615214003</v>
      </c>
      <c r="Q331" s="9">
        <f t="shared" si="117"/>
        <v>57.094307607001497</v>
      </c>
      <c r="R331" s="9">
        <f t="shared" si="117"/>
        <v>14.681393384657527</v>
      </c>
      <c r="S331" s="9">
        <f t="shared" si="117"/>
        <v>22.022090076986295</v>
      </c>
      <c r="T331" s="9">
        <f t="shared" si="117"/>
        <v>8.156329658143072</v>
      </c>
      <c r="U331" s="9">
        <f t="shared" si="117"/>
        <v>8.9719626239573795</v>
      </c>
      <c r="V331" s="9">
        <f t="shared" si="117"/>
        <v>30.994052700943669</v>
      </c>
      <c r="W331" s="9">
        <f t="shared" si="117"/>
        <v>2.4468988974429218</v>
      </c>
      <c r="X331" s="9">
        <f t="shared" si="117"/>
        <v>8.9719626239573795</v>
      </c>
      <c r="Y331" s="9">
        <f t="shared" si="117"/>
        <v>4.078164829071536</v>
      </c>
      <c r="Z331" s="9">
        <f t="shared" si="117"/>
        <v>4.8937977948858435</v>
      </c>
      <c r="AA331" s="9">
        <f t="shared" si="117"/>
        <v>5.7094307607001511</v>
      </c>
      <c r="AB331" s="9">
        <f t="shared" si="117"/>
        <v>12.234494487214608</v>
      </c>
      <c r="AC331" s="9">
        <f t="shared" si="117"/>
        <v>2.4468988974429218</v>
      </c>
    </row>
    <row r="332" spans="1:29" s="459" customFormat="1">
      <c r="A332" s="459" t="s">
        <v>1020</v>
      </c>
      <c r="B332" s="459" t="s">
        <v>1024</v>
      </c>
      <c r="C332" s="9">
        <f t="shared" si="116"/>
        <v>329.43614424109597</v>
      </c>
      <c r="D332" s="9">
        <f t="shared" ref="D332:AC332" si="118">$C$332*D147/$C$147</f>
        <v>1.9609294300065232</v>
      </c>
      <c r="E332" s="9">
        <f t="shared" si="118"/>
        <v>168.63993098056102</v>
      </c>
      <c r="F332" s="9">
        <f t="shared" si="118"/>
        <v>13.726506010045663</v>
      </c>
      <c r="G332" s="9">
        <f t="shared" si="118"/>
        <v>3.5296729740117416</v>
      </c>
      <c r="H332" s="9">
        <f t="shared" si="118"/>
        <v>3.5296729740117416</v>
      </c>
      <c r="I332" s="9">
        <f t="shared" si="118"/>
        <v>1.5687435440052186</v>
      </c>
      <c r="J332" s="9">
        <f t="shared" si="118"/>
        <v>9.8046471500326149</v>
      </c>
      <c r="K332" s="9">
        <f t="shared" si="118"/>
        <v>16.471807212054795</v>
      </c>
      <c r="L332" s="9">
        <f t="shared" si="118"/>
        <v>2.3531153160078278</v>
      </c>
      <c r="M332" s="9">
        <f t="shared" si="118"/>
        <v>4.7062306320156555</v>
      </c>
      <c r="N332" s="9">
        <f t="shared" si="118"/>
        <v>4.3140447460143516</v>
      </c>
      <c r="O332" s="9">
        <f t="shared" si="118"/>
        <v>5.490602404018265</v>
      </c>
      <c r="P332" s="9">
        <f t="shared" si="118"/>
        <v>5.490602404018265</v>
      </c>
      <c r="Q332" s="9">
        <f t="shared" si="118"/>
        <v>27.453012020091325</v>
      </c>
      <c r="R332" s="9">
        <f t="shared" si="118"/>
        <v>7.0593459480234833</v>
      </c>
      <c r="S332" s="9">
        <f t="shared" si="118"/>
        <v>10.589018922035224</v>
      </c>
      <c r="T332" s="9">
        <f t="shared" si="118"/>
        <v>3.9218588600130464</v>
      </c>
      <c r="U332" s="9">
        <f t="shared" si="118"/>
        <v>4.3140447460143516</v>
      </c>
      <c r="V332" s="9">
        <f t="shared" si="118"/>
        <v>14.903063668049578</v>
      </c>
      <c r="W332" s="9">
        <f t="shared" si="118"/>
        <v>1.1765576580039139</v>
      </c>
      <c r="X332" s="9">
        <f t="shared" si="118"/>
        <v>4.3140447460143516</v>
      </c>
      <c r="Y332" s="9">
        <f t="shared" si="118"/>
        <v>1.9609294300065232</v>
      </c>
      <c r="Z332" s="9">
        <f t="shared" si="118"/>
        <v>2.3531153160078278</v>
      </c>
      <c r="AA332" s="9">
        <f t="shared" si="118"/>
        <v>2.7453012020091325</v>
      </c>
      <c r="AB332" s="9">
        <f t="shared" si="118"/>
        <v>5.8827882900195707</v>
      </c>
      <c r="AC332" s="9">
        <f t="shared" si="118"/>
        <v>1.1765576580039139</v>
      </c>
    </row>
    <row r="333" spans="1:29" s="459" customFormat="1">
      <c r="A333" s="136" t="s">
        <v>1</v>
      </c>
      <c r="B333" s="458" t="s">
        <v>1024</v>
      </c>
      <c r="C333" s="604">
        <f>SUM(C330:C332)</f>
        <v>1253.2896791780822</v>
      </c>
      <c r="D333" s="604">
        <f>SUM(D330:D332)</f>
        <v>7.4600576141552493</v>
      </c>
      <c r="E333" s="604">
        <f t="shared" ref="E333:AC333" si="119">SUM(E330:E332)</f>
        <v>641.56495481735158</v>
      </c>
      <c r="F333" s="604">
        <f t="shared" si="119"/>
        <v>52.22040329908674</v>
      </c>
      <c r="G333" s="604">
        <f t="shared" si="119"/>
        <v>13.428103705479447</v>
      </c>
      <c r="H333" s="604">
        <f t="shared" si="119"/>
        <v>13.428103705479447</v>
      </c>
      <c r="I333" s="604">
        <f t="shared" si="119"/>
        <v>5.9680460913241991</v>
      </c>
      <c r="J333" s="604">
        <f t="shared" si="119"/>
        <v>37.300288070776247</v>
      </c>
      <c r="K333" s="604">
        <f t="shared" si="119"/>
        <v>62.6644839589041</v>
      </c>
      <c r="L333" s="604">
        <f t="shared" si="119"/>
        <v>8.9520691369862995</v>
      </c>
      <c r="M333" s="604">
        <f t="shared" si="119"/>
        <v>17.904138273972599</v>
      </c>
      <c r="N333" s="604">
        <f t="shared" si="119"/>
        <v>16.41212675114155</v>
      </c>
      <c r="O333" s="604">
        <f t="shared" si="119"/>
        <v>20.888161319634698</v>
      </c>
      <c r="P333" s="604">
        <f t="shared" si="119"/>
        <v>20.888161319634698</v>
      </c>
      <c r="Q333" s="604">
        <f t="shared" si="119"/>
        <v>104.44080659817348</v>
      </c>
      <c r="R333" s="604">
        <f t="shared" si="119"/>
        <v>26.856207410958895</v>
      </c>
      <c r="S333" s="604">
        <f t="shared" si="119"/>
        <v>40.284311116438346</v>
      </c>
      <c r="T333" s="604">
        <f t="shared" si="119"/>
        <v>14.920115228310499</v>
      </c>
      <c r="U333" s="604">
        <f t="shared" si="119"/>
        <v>16.41212675114155</v>
      </c>
      <c r="V333" s="604">
        <f t="shared" si="119"/>
        <v>56.696437867579895</v>
      </c>
      <c r="W333" s="604">
        <f t="shared" si="119"/>
        <v>4.4760345684931497</v>
      </c>
      <c r="X333" s="604">
        <f t="shared" si="119"/>
        <v>16.41212675114155</v>
      </c>
      <c r="Y333" s="604">
        <f t="shared" si="119"/>
        <v>7.4600576141552493</v>
      </c>
      <c r="Z333" s="604">
        <f t="shared" si="119"/>
        <v>8.9520691369862995</v>
      </c>
      <c r="AA333" s="604">
        <f t="shared" si="119"/>
        <v>10.444080659817351</v>
      </c>
      <c r="AB333" s="604">
        <f t="shared" si="119"/>
        <v>22.380172842465747</v>
      </c>
      <c r="AC333" s="604">
        <f t="shared" si="119"/>
        <v>4.4760345684931497</v>
      </c>
    </row>
    <row r="334" spans="1:29" s="459" customFormat="1">
      <c r="A334" s="702"/>
      <c r="B334" s="703"/>
      <c r="C334" s="704"/>
      <c r="D334" s="705"/>
      <c r="E334" s="706"/>
      <c r="F334" s="706"/>
    </row>
    <row r="335" spans="1:29" s="459" customFormat="1">
      <c r="A335" s="702"/>
      <c r="B335" s="703"/>
      <c r="C335" s="704"/>
      <c r="D335" s="705"/>
      <c r="E335" s="706"/>
      <c r="F335" s="706"/>
    </row>
    <row r="336" spans="1:29" s="459" customFormat="1">
      <c r="A336" s="702"/>
      <c r="B336" s="703"/>
      <c r="C336" s="704"/>
      <c r="D336" s="705"/>
      <c r="E336" s="706"/>
      <c r="F336" s="706"/>
    </row>
    <row r="337" spans="1:29" s="459" customFormat="1">
      <c r="A337" s="128" t="s">
        <v>1030</v>
      </c>
    </row>
    <row r="338" spans="1:29" s="459" customFormat="1">
      <c r="A338" s="132" t="s">
        <v>1011</v>
      </c>
      <c r="B338" s="132" t="s">
        <v>64</v>
      </c>
      <c r="C338" s="130" t="str">
        <f>Regions!C3</f>
        <v>IE</v>
      </c>
      <c r="D338" s="130" t="str">
        <f>Regions!E3</f>
        <v>IE-CW</v>
      </c>
      <c r="E338" s="130" t="str">
        <f>Regions!F3</f>
        <v>IE-D</v>
      </c>
      <c r="F338" s="130" t="str">
        <f>Regions!G3</f>
        <v>IE-KE</v>
      </c>
      <c r="G338" s="130" t="str">
        <f>Regions!H3</f>
        <v>IE-KK</v>
      </c>
      <c r="H338" s="130" t="str">
        <f>Regions!I3</f>
        <v>IE-LS</v>
      </c>
      <c r="I338" s="130" t="str">
        <f>Regions!J3</f>
        <v>IE-LD</v>
      </c>
      <c r="J338" s="130" t="str">
        <f>Regions!K3</f>
        <v>IE-LH</v>
      </c>
      <c r="K338" s="130" t="str">
        <f>Regions!L3</f>
        <v>IE-MH</v>
      </c>
      <c r="L338" s="130" t="str">
        <f>Regions!M3</f>
        <v>IE-OY</v>
      </c>
      <c r="M338" s="130" t="str">
        <f>Regions!N3</f>
        <v>IE-WH</v>
      </c>
      <c r="N338" s="130" t="str">
        <f>Regions!O3</f>
        <v>IE-WX</v>
      </c>
      <c r="O338" s="130" t="str">
        <f>Regions!P3</f>
        <v>IE-WW</v>
      </c>
      <c r="P338" s="130" t="str">
        <f>Regions!Q3</f>
        <v>IE-CE</v>
      </c>
      <c r="Q338" s="130" t="str">
        <f>Regions!R3</f>
        <v>IE-CO</v>
      </c>
      <c r="R338" s="130" t="str">
        <f>Regions!S3</f>
        <v>IE-KY</v>
      </c>
      <c r="S338" s="130" t="str">
        <f>Regions!T3</f>
        <v>IE-LK</v>
      </c>
      <c r="T338" s="130" t="str">
        <f>Regions!U3</f>
        <v>IE-TA</v>
      </c>
      <c r="U338" s="130" t="str">
        <f>Regions!V3</f>
        <v>IE-WD</v>
      </c>
      <c r="V338" s="130" t="str">
        <f>Regions!W3</f>
        <v>IE-G</v>
      </c>
      <c r="W338" s="130" t="str">
        <f>Regions!X3</f>
        <v>IE-LM</v>
      </c>
      <c r="X338" s="130" t="str">
        <f>Regions!Y3</f>
        <v>IE-MO</v>
      </c>
      <c r="Y338" s="130" t="str">
        <f>Regions!Z3</f>
        <v>IE-RN</v>
      </c>
      <c r="Z338" s="130" t="str">
        <f>Regions!AA3</f>
        <v>IE-SO</v>
      </c>
      <c r="AA338" s="130" t="str">
        <f>Regions!AB3</f>
        <v>IE-CN</v>
      </c>
      <c r="AB338" s="130" t="str">
        <f>Regions!AC3</f>
        <v>IE-DL</v>
      </c>
      <c r="AC338" s="130" t="str">
        <f>Regions!AD3</f>
        <v>IE-MN</v>
      </c>
    </row>
    <row r="339" spans="1:29" s="459" customFormat="1">
      <c r="A339" s="459" t="s">
        <v>1013</v>
      </c>
      <c r="B339" s="459" t="s">
        <v>1024</v>
      </c>
      <c r="C339" s="9">
        <f>E313</f>
        <v>17.503649635036499</v>
      </c>
      <c r="D339" s="398">
        <f t="shared" ref="D339:AC339" si="120">$C$339*D139/$C$139</f>
        <v>0.16058394160583947</v>
      </c>
      <c r="E339" s="398">
        <f t="shared" si="120"/>
        <v>5.6204379562043805</v>
      </c>
      <c r="F339" s="398">
        <f t="shared" si="120"/>
        <v>0.96350364963503665</v>
      </c>
      <c r="G339" s="398">
        <f t="shared" si="120"/>
        <v>0.32116788321167894</v>
      </c>
      <c r="H339" s="398">
        <f t="shared" si="120"/>
        <v>0.16058394160583947</v>
      </c>
      <c r="I339" s="398">
        <f t="shared" si="120"/>
        <v>0.16058394160583947</v>
      </c>
      <c r="J339" s="398">
        <f t="shared" si="120"/>
        <v>0.32116788321167894</v>
      </c>
      <c r="K339" s="398">
        <f t="shared" si="120"/>
        <v>0.80291970802919721</v>
      </c>
      <c r="L339" s="398">
        <f t="shared" si="120"/>
        <v>0.32116788321167894</v>
      </c>
      <c r="M339" s="398">
        <f t="shared" si="120"/>
        <v>0.32116788321167894</v>
      </c>
      <c r="N339" s="398">
        <f t="shared" si="120"/>
        <v>0.64233576642335788</v>
      </c>
      <c r="O339" s="398">
        <f t="shared" si="120"/>
        <v>0.64233576642335788</v>
      </c>
      <c r="P339" s="398">
        <f t="shared" si="120"/>
        <v>0.48175182481751833</v>
      </c>
      <c r="Q339" s="398">
        <f t="shared" si="120"/>
        <v>2.4087591240875916</v>
      </c>
      <c r="R339" s="398">
        <f t="shared" si="120"/>
        <v>0.48175182481751833</v>
      </c>
      <c r="S339" s="398">
        <f t="shared" si="120"/>
        <v>0.64233576642335788</v>
      </c>
      <c r="T339" s="398">
        <f t="shared" si="120"/>
        <v>0.64233576642335788</v>
      </c>
      <c r="U339" s="398">
        <f t="shared" si="120"/>
        <v>0.48175182481751833</v>
      </c>
      <c r="V339" s="398">
        <f t="shared" si="120"/>
        <v>0.64233576642335788</v>
      </c>
      <c r="W339" s="398">
        <f t="shared" si="120"/>
        <v>0</v>
      </c>
      <c r="X339" s="398">
        <f t="shared" si="120"/>
        <v>0.32116788321167894</v>
      </c>
      <c r="Y339" s="398">
        <f t="shared" si="120"/>
        <v>0.16058394160583947</v>
      </c>
      <c r="Z339" s="398">
        <f t="shared" si="120"/>
        <v>0.16058394160583947</v>
      </c>
      <c r="AA339" s="398">
        <f t="shared" si="120"/>
        <v>0.16058394160583947</v>
      </c>
      <c r="AB339" s="398">
        <f t="shared" si="120"/>
        <v>0.32116788321167894</v>
      </c>
      <c r="AC339" s="398">
        <f t="shared" si="120"/>
        <v>0.16058394160583947</v>
      </c>
    </row>
    <row r="340" spans="1:29" s="459" customFormat="1">
      <c r="A340" s="459" t="s">
        <v>1021</v>
      </c>
      <c r="B340" s="459" t="s">
        <v>1024</v>
      </c>
      <c r="C340" s="9">
        <f>E314</f>
        <v>102.39635036496351</v>
      </c>
      <c r="D340" s="398">
        <f t="shared" ref="D340:AC340" si="121">$C$340*D139/$C$139</f>
        <v>0.93941605839416076</v>
      </c>
      <c r="E340" s="398">
        <f t="shared" si="121"/>
        <v>32.879562043795623</v>
      </c>
      <c r="F340" s="398">
        <f t="shared" si="121"/>
        <v>5.6364963503649639</v>
      </c>
      <c r="G340" s="398">
        <f t="shared" si="121"/>
        <v>1.8788321167883215</v>
      </c>
      <c r="H340" s="398">
        <f t="shared" si="121"/>
        <v>0.93941605839416076</v>
      </c>
      <c r="I340" s="398">
        <f t="shared" si="121"/>
        <v>0.93941605839416076</v>
      </c>
      <c r="J340" s="398">
        <f t="shared" si="121"/>
        <v>1.8788321167883215</v>
      </c>
      <c r="K340" s="398">
        <f t="shared" si="121"/>
        <v>4.6970802919708028</v>
      </c>
      <c r="L340" s="398">
        <f t="shared" si="121"/>
        <v>1.8788321167883215</v>
      </c>
      <c r="M340" s="398">
        <f t="shared" si="121"/>
        <v>1.8788321167883215</v>
      </c>
      <c r="N340" s="398">
        <f t="shared" si="121"/>
        <v>3.757664233576643</v>
      </c>
      <c r="O340" s="398">
        <f t="shared" si="121"/>
        <v>3.757664233576643</v>
      </c>
      <c r="P340" s="398">
        <f t="shared" si="121"/>
        <v>2.8182481751824819</v>
      </c>
      <c r="Q340" s="398">
        <f t="shared" si="121"/>
        <v>14.091240875912408</v>
      </c>
      <c r="R340" s="398">
        <f t="shared" si="121"/>
        <v>2.8182481751824819</v>
      </c>
      <c r="S340" s="398">
        <f t="shared" si="121"/>
        <v>3.757664233576643</v>
      </c>
      <c r="T340" s="398">
        <f t="shared" si="121"/>
        <v>3.757664233576643</v>
      </c>
      <c r="U340" s="398">
        <f t="shared" si="121"/>
        <v>2.8182481751824819</v>
      </c>
      <c r="V340" s="398">
        <f t="shared" si="121"/>
        <v>3.757664233576643</v>
      </c>
      <c r="W340" s="398">
        <f t="shared" si="121"/>
        <v>0</v>
      </c>
      <c r="X340" s="398">
        <f t="shared" si="121"/>
        <v>1.8788321167883215</v>
      </c>
      <c r="Y340" s="398">
        <f t="shared" si="121"/>
        <v>0.93941605839416076</v>
      </c>
      <c r="Z340" s="398">
        <f t="shared" si="121"/>
        <v>0.93941605839416076</v>
      </c>
      <c r="AA340" s="398">
        <f t="shared" si="121"/>
        <v>0.93941605839416076</v>
      </c>
      <c r="AB340" s="398">
        <f t="shared" si="121"/>
        <v>1.8788321167883215</v>
      </c>
      <c r="AC340" s="398">
        <f t="shared" si="121"/>
        <v>0.93941605839416076</v>
      </c>
    </row>
    <row r="341" spans="1:29" s="459" customFormat="1">
      <c r="A341" s="136" t="s">
        <v>1</v>
      </c>
      <c r="B341" s="458" t="s">
        <v>1024</v>
      </c>
      <c r="C341" s="604">
        <f t="shared" ref="C341:AC341" si="122">SUM(C339:C340)</f>
        <v>119.9</v>
      </c>
      <c r="D341" s="604">
        <f t="shared" si="122"/>
        <v>1.1000000000000003</v>
      </c>
      <c r="E341" s="604">
        <f t="shared" si="122"/>
        <v>38.5</v>
      </c>
      <c r="F341" s="604">
        <f t="shared" si="122"/>
        <v>6.6000000000000005</v>
      </c>
      <c r="G341" s="604">
        <f t="shared" si="122"/>
        <v>2.2000000000000006</v>
      </c>
      <c r="H341" s="604">
        <f t="shared" si="122"/>
        <v>1.1000000000000003</v>
      </c>
      <c r="I341" s="604">
        <f t="shared" si="122"/>
        <v>1.1000000000000003</v>
      </c>
      <c r="J341" s="604">
        <f t="shared" si="122"/>
        <v>2.2000000000000006</v>
      </c>
      <c r="K341" s="604">
        <f t="shared" si="122"/>
        <v>5.5</v>
      </c>
      <c r="L341" s="604">
        <f t="shared" si="122"/>
        <v>2.2000000000000006</v>
      </c>
      <c r="M341" s="604">
        <f t="shared" si="122"/>
        <v>2.2000000000000006</v>
      </c>
      <c r="N341" s="604">
        <f t="shared" si="122"/>
        <v>4.4000000000000012</v>
      </c>
      <c r="O341" s="604">
        <f t="shared" si="122"/>
        <v>4.4000000000000012</v>
      </c>
      <c r="P341" s="604">
        <f t="shared" si="122"/>
        <v>3.3000000000000003</v>
      </c>
      <c r="Q341" s="604">
        <f t="shared" si="122"/>
        <v>16.5</v>
      </c>
      <c r="R341" s="604">
        <f t="shared" si="122"/>
        <v>3.3000000000000003</v>
      </c>
      <c r="S341" s="604">
        <f t="shared" si="122"/>
        <v>4.4000000000000012</v>
      </c>
      <c r="T341" s="604">
        <f t="shared" si="122"/>
        <v>4.4000000000000012</v>
      </c>
      <c r="U341" s="604">
        <f t="shared" si="122"/>
        <v>3.3000000000000003</v>
      </c>
      <c r="V341" s="604">
        <f t="shared" si="122"/>
        <v>4.4000000000000012</v>
      </c>
      <c r="W341" s="604">
        <f t="shared" si="122"/>
        <v>0</v>
      </c>
      <c r="X341" s="604">
        <f t="shared" si="122"/>
        <v>2.2000000000000006</v>
      </c>
      <c r="Y341" s="604">
        <f t="shared" si="122"/>
        <v>1.1000000000000003</v>
      </c>
      <c r="Z341" s="604">
        <f t="shared" si="122"/>
        <v>1.1000000000000003</v>
      </c>
      <c r="AA341" s="604">
        <f t="shared" si="122"/>
        <v>1.1000000000000003</v>
      </c>
      <c r="AB341" s="604">
        <f t="shared" si="122"/>
        <v>2.2000000000000006</v>
      </c>
      <c r="AC341" s="604">
        <f t="shared" si="122"/>
        <v>1.1000000000000003</v>
      </c>
    </row>
    <row r="342" spans="1:29" s="459" customFormat="1">
      <c r="A342" s="702"/>
      <c r="B342" s="703"/>
      <c r="C342" s="704"/>
      <c r="D342" s="705"/>
      <c r="E342" s="706"/>
      <c r="F342" s="706"/>
    </row>
    <row r="343" spans="1:29" s="459" customFormat="1">
      <c r="A343" s="702"/>
      <c r="B343" s="703"/>
      <c r="C343" s="704"/>
      <c r="D343" s="705"/>
      <c r="E343" s="706"/>
      <c r="F343" s="706"/>
    </row>
    <row r="344" spans="1:29" s="459" customFormat="1">
      <c r="A344" s="702"/>
      <c r="B344" s="703"/>
      <c r="C344" s="704"/>
      <c r="D344" s="705"/>
      <c r="E344" s="706"/>
      <c r="F344" s="706"/>
    </row>
    <row r="345" spans="1:29" s="459" customFormat="1">
      <c r="A345" s="128" t="s">
        <v>1031</v>
      </c>
    </row>
    <row r="346" spans="1:29" s="459" customFormat="1">
      <c r="A346" s="132" t="s">
        <v>1011</v>
      </c>
      <c r="B346" s="132" t="s">
        <v>64</v>
      </c>
      <c r="C346" s="130" t="str">
        <f>Regions!C3</f>
        <v>IE</v>
      </c>
      <c r="D346" s="130" t="str">
        <f>Regions!E3</f>
        <v>IE-CW</v>
      </c>
      <c r="E346" s="130" t="str">
        <f>Regions!F3</f>
        <v>IE-D</v>
      </c>
      <c r="F346" s="130" t="str">
        <f>Regions!G3</f>
        <v>IE-KE</v>
      </c>
      <c r="G346" s="130" t="str">
        <f>Regions!H3</f>
        <v>IE-KK</v>
      </c>
      <c r="H346" s="130" t="str">
        <f>Regions!I3</f>
        <v>IE-LS</v>
      </c>
      <c r="I346" s="130" t="str">
        <f>Regions!J3</f>
        <v>IE-LD</v>
      </c>
      <c r="J346" s="130" t="str">
        <f>Regions!K3</f>
        <v>IE-LH</v>
      </c>
      <c r="K346" s="130" t="str">
        <f>Regions!L3</f>
        <v>IE-MH</v>
      </c>
      <c r="L346" s="130" t="str">
        <f>Regions!M3</f>
        <v>IE-OY</v>
      </c>
      <c r="M346" s="130" t="str">
        <f>Regions!N3</f>
        <v>IE-WH</v>
      </c>
      <c r="N346" s="130" t="str">
        <f>Regions!O3</f>
        <v>IE-WX</v>
      </c>
      <c r="O346" s="130" t="str">
        <f>Regions!P3</f>
        <v>IE-WW</v>
      </c>
      <c r="P346" s="130" t="str">
        <f>Regions!Q3</f>
        <v>IE-CE</v>
      </c>
      <c r="Q346" s="130" t="str">
        <f>Regions!R3</f>
        <v>IE-CO</v>
      </c>
      <c r="R346" s="130" t="str">
        <f>Regions!S3</f>
        <v>IE-KY</v>
      </c>
      <c r="S346" s="130" t="str">
        <f>Regions!T3</f>
        <v>IE-LK</v>
      </c>
      <c r="T346" s="130" t="str">
        <f>Regions!U3</f>
        <v>IE-TA</v>
      </c>
      <c r="U346" s="130" t="str">
        <f>Regions!V3</f>
        <v>IE-WD</v>
      </c>
      <c r="V346" s="130" t="str">
        <f>Regions!W3</f>
        <v>IE-G</v>
      </c>
      <c r="W346" s="130" t="str">
        <f>Regions!X3</f>
        <v>IE-LM</v>
      </c>
      <c r="X346" s="130" t="str">
        <f>Regions!Y3</f>
        <v>IE-MO</v>
      </c>
      <c r="Y346" s="130" t="str">
        <f>Regions!Z3</f>
        <v>IE-RN</v>
      </c>
      <c r="Z346" s="130" t="str">
        <f>Regions!AA3</f>
        <v>IE-SO</v>
      </c>
      <c r="AA346" s="130" t="str">
        <f>Regions!AB3</f>
        <v>IE-CN</v>
      </c>
      <c r="AB346" s="130" t="str">
        <f>Regions!AC3</f>
        <v>IE-DL</v>
      </c>
      <c r="AC346" s="130" t="str">
        <f>Regions!AD3</f>
        <v>IE-MN</v>
      </c>
    </row>
    <row r="347" spans="1:29" s="459" customFormat="1">
      <c r="A347" s="459" t="s">
        <v>1013</v>
      </c>
      <c r="B347" s="459" t="s">
        <v>1024</v>
      </c>
      <c r="C347" s="9">
        <f>E304</f>
        <v>1204.4243616479548</v>
      </c>
      <c r="D347" s="9">
        <f>$C$347*D148/$C$148</f>
        <v>13.374233128834355</v>
      </c>
      <c r="E347" s="9">
        <f t="shared" ref="E347:AC347" si="123">$C$347*E148/$C$148</f>
        <v>434.66257668711654</v>
      </c>
      <c r="F347" s="9">
        <f t="shared" si="123"/>
        <v>56.840490797546011</v>
      </c>
      <c r="G347" s="9">
        <f t="shared" si="123"/>
        <v>36.779141104294474</v>
      </c>
      <c r="H347" s="9">
        <f t="shared" si="123"/>
        <v>16.717791411042942</v>
      </c>
      <c r="I347" s="9">
        <f t="shared" si="123"/>
        <v>10.030674846625766</v>
      </c>
      <c r="J347" s="9">
        <f t="shared" si="123"/>
        <v>26.74846625766871</v>
      </c>
      <c r="K347" s="9">
        <f t="shared" si="123"/>
        <v>36.779141104294474</v>
      </c>
      <c r="L347" s="9">
        <f t="shared" si="123"/>
        <v>23.404907975460123</v>
      </c>
      <c r="M347" s="9">
        <f t="shared" si="123"/>
        <v>16.717791411042942</v>
      </c>
      <c r="N347" s="9">
        <f t="shared" si="123"/>
        <v>33.435582822085884</v>
      </c>
      <c r="O347" s="9">
        <f t="shared" si="123"/>
        <v>30.092024539877297</v>
      </c>
      <c r="P347" s="9">
        <f t="shared" si="123"/>
        <v>23.404907975460123</v>
      </c>
      <c r="Q347" s="9">
        <f t="shared" si="123"/>
        <v>96.963190184049083</v>
      </c>
      <c r="R347" s="9">
        <f t="shared" si="123"/>
        <v>60.184049079754594</v>
      </c>
      <c r="S347" s="9">
        <f t="shared" si="123"/>
        <v>36.779141104294474</v>
      </c>
      <c r="T347" s="9">
        <f t="shared" si="123"/>
        <v>43.466257668711656</v>
      </c>
      <c r="U347" s="9">
        <f t="shared" si="123"/>
        <v>20.061349693251532</v>
      </c>
      <c r="V347" s="9">
        <f t="shared" si="123"/>
        <v>70.214723926380373</v>
      </c>
      <c r="W347" s="9">
        <f t="shared" si="123"/>
        <v>6.6871165644171775</v>
      </c>
      <c r="X347" s="9">
        <f t="shared" si="123"/>
        <v>43.466257668711656</v>
      </c>
      <c r="Y347" s="9">
        <f t="shared" si="123"/>
        <v>13.374233128834355</v>
      </c>
      <c r="Z347" s="9">
        <f t="shared" si="123"/>
        <v>13.374233128834355</v>
      </c>
      <c r="AA347" s="9">
        <f t="shared" si="123"/>
        <v>5.5902179975267119</v>
      </c>
      <c r="AB347" s="9">
        <f t="shared" si="123"/>
        <v>1.8402786197531826</v>
      </c>
      <c r="AC347" s="9">
        <f t="shared" si="123"/>
        <v>33.435582822085884</v>
      </c>
    </row>
    <row r="348" spans="1:29" s="459" customFormat="1">
      <c r="A348" s="459" t="s">
        <v>1021</v>
      </c>
      <c r="B348" s="459" t="s">
        <v>1024</v>
      </c>
      <c r="C348" s="9">
        <f t="shared" ref="C348:C349" si="124">E305</f>
        <v>4197.418900343122</v>
      </c>
      <c r="D348" s="9">
        <f>$C$348*D148/$C$148</f>
        <v>46.609202453987727</v>
      </c>
      <c r="E348" s="9">
        <f t="shared" ref="E348:AC348" si="125">$C$348*E148/$C$148</f>
        <v>1514.7990797546011</v>
      </c>
      <c r="F348" s="9">
        <f t="shared" si="125"/>
        <v>198.08911042944783</v>
      </c>
      <c r="G348" s="9">
        <f t="shared" si="125"/>
        <v>128.17530674846623</v>
      </c>
      <c r="H348" s="9">
        <f t="shared" si="125"/>
        <v>58.261503067484654</v>
      </c>
      <c r="I348" s="9">
        <f t="shared" si="125"/>
        <v>34.956901840490794</v>
      </c>
      <c r="J348" s="9">
        <f t="shared" si="125"/>
        <v>93.218404907975454</v>
      </c>
      <c r="K348" s="9">
        <f t="shared" si="125"/>
        <v>128.17530674846623</v>
      </c>
      <c r="L348" s="9">
        <f t="shared" si="125"/>
        <v>81.566104294478521</v>
      </c>
      <c r="M348" s="9">
        <f t="shared" si="125"/>
        <v>58.261503067484654</v>
      </c>
      <c r="N348" s="9">
        <f t="shared" si="125"/>
        <v>116.52300613496931</v>
      </c>
      <c r="O348" s="9">
        <f t="shared" si="125"/>
        <v>104.87070552147237</v>
      </c>
      <c r="P348" s="9">
        <f t="shared" si="125"/>
        <v>81.566104294478521</v>
      </c>
      <c r="Q348" s="9">
        <f t="shared" si="125"/>
        <v>337.91671779141097</v>
      </c>
      <c r="R348" s="9">
        <f t="shared" si="125"/>
        <v>209.74141104294475</v>
      </c>
      <c r="S348" s="9">
        <f t="shared" si="125"/>
        <v>128.17530674846623</v>
      </c>
      <c r="T348" s="9">
        <f t="shared" si="125"/>
        <v>151.47990797546012</v>
      </c>
      <c r="U348" s="9">
        <f t="shared" si="125"/>
        <v>69.913803680981587</v>
      </c>
      <c r="V348" s="9">
        <f t="shared" si="125"/>
        <v>244.69831288343556</v>
      </c>
      <c r="W348" s="9">
        <f t="shared" si="125"/>
        <v>23.304601226993864</v>
      </c>
      <c r="X348" s="9">
        <f t="shared" si="125"/>
        <v>151.47990797546012</v>
      </c>
      <c r="Y348" s="9">
        <f t="shared" si="125"/>
        <v>46.609202453987727</v>
      </c>
      <c r="Z348" s="9">
        <f t="shared" si="125"/>
        <v>46.609202453987727</v>
      </c>
      <c r="AA348" s="9">
        <f t="shared" si="125"/>
        <v>19.481909721380589</v>
      </c>
      <c r="AB348" s="9">
        <f t="shared" si="125"/>
        <v>6.4133709898398408</v>
      </c>
      <c r="AC348" s="9">
        <f t="shared" si="125"/>
        <v>116.52300613496931</v>
      </c>
    </row>
    <row r="349" spans="1:29" s="459" customFormat="1">
      <c r="A349" s="459" t="s">
        <v>1020</v>
      </c>
      <c r="B349" s="459" t="s">
        <v>1024</v>
      </c>
      <c r="C349" s="9">
        <f t="shared" si="124"/>
        <v>4414.2152854397546</v>
      </c>
      <c r="D349" s="9">
        <f>$C$349*D148/$C$148</f>
        <v>49.016564417177918</v>
      </c>
      <c r="E349" s="9">
        <f t="shared" ref="E349:AC349" si="126">$C$349*E148/$C$148</f>
        <v>1593.0383435582823</v>
      </c>
      <c r="F349" s="9">
        <f t="shared" si="126"/>
        <v>208.32039877300613</v>
      </c>
      <c r="G349" s="9">
        <f t="shared" si="126"/>
        <v>134.79555214723925</v>
      </c>
      <c r="H349" s="9">
        <f t="shared" si="126"/>
        <v>61.270705521472394</v>
      </c>
      <c r="I349" s="9">
        <f t="shared" si="126"/>
        <v>36.762423312883442</v>
      </c>
      <c r="J349" s="9">
        <f t="shared" si="126"/>
        <v>98.033128834355836</v>
      </c>
      <c r="K349" s="9">
        <f t="shared" si="126"/>
        <v>134.79555214723925</v>
      </c>
      <c r="L349" s="9">
        <f t="shared" si="126"/>
        <v>85.77898773006136</v>
      </c>
      <c r="M349" s="9">
        <f t="shared" si="126"/>
        <v>61.270705521472394</v>
      </c>
      <c r="N349" s="9">
        <f t="shared" si="126"/>
        <v>122.54141104294479</v>
      </c>
      <c r="O349" s="9">
        <f t="shared" si="126"/>
        <v>110.28726993865031</v>
      </c>
      <c r="P349" s="9">
        <f t="shared" si="126"/>
        <v>85.77898773006136</v>
      </c>
      <c r="Q349" s="9">
        <f t="shared" si="126"/>
        <v>355.37009202453987</v>
      </c>
      <c r="R349" s="9">
        <f t="shared" si="126"/>
        <v>220.57453987730062</v>
      </c>
      <c r="S349" s="9">
        <f t="shared" si="126"/>
        <v>134.79555214723925</v>
      </c>
      <c r="T349" s="9">
        <f t="shared" si="126"/>
        <v>159.30383435582823</v>
      </c>
      <c r="U349" s="9">
        <f t="shared" si="126"/>
        <v>73.524846625766884</v>
      </c>
      <c r="V349" s="9">
        <f t="shared" si="126"/>
        <v>257.33696319018406</v>
      </c>
      <c r="W349" s="9">
        <f t="shared" si="126"/>
        <v>24.508282208588959</v>
      </c>
      <c r="X349" s="9">
        <f t="shared" si="126"/>
        <v>159.30383435582823</v>
      </c>
      <c r="Y349" s="9">
        <f t="shared" si="126"/>
        <v>49.016564417177918</v>
      </c>
      <c r="Z349" s="9">
        <f t="shared" si="126"/>
        <v>49.016564417177918</v>
      </c>
      <c r="AA349" s="9">
        <f t="shared" si="126"/>
        <v>20.488148960935401</v>
      </c>
      <c r="AB349" s="9">
        <f t="shared" si="126"/>
        <v>6.7446211413954158</v>
      </c>
      <c r="AC349" s="9">
        <f t="shared" si="126"/>
        <v>122.54141104294479</v>
      </c>
    </row>
    <row r="350" spans="1:29" s="459" customFormat="1">
      <c r="A350" s="136" t="s">
        <v>1</v>
      </c>
      <c r="B350" s="458" t="s">
        <v>1024</v>
      </c>
      <c r="C350" s="604">
        <f>SUM(C347:C349)</f>
        <v>9816.0585474308318</v>
      </c>
      <c r="D350" s="604">
        <f>SUM(D347:D349)</f>
        <v>109</v>
      </c>
      <c r="E350" s="604">
        <f t="shared" ref="E350" si="127">SUM(E347:E349)</f>
        <v>3542.5</v>
      </c>
      <c r="F350" s="604">
        <f t="shared" ref="F350" si="128">SUM(F347:F349)</f>
        <v>463.25</v>
      </c>
      <c r="G350" s="604">
        <f t="shared" ref="G350" si="129">SUM(G347:G349)</f>
        <v>299.74999999999994</v>
      </c>
      <c r="H350" s="604">
        <f t="shared" ref="H350" si="130">SUM(H347:H349)</f>
        <v>136.25</v>
      </c>
      <c r="I350" s="604">
        <f t="shared" ref="I350" si="131">SUM(I347:I349)</f>
        <v>81.75</v>
      </c>
      <c r="J350" s="604">
        <f t="shared" ref="J350" si="132">SUM(J347:J349)</f>
        <v>218</v>
      </c>
      <c r="K350" s="604">
        <f t="shared" ref="K350" si="133">SUM(K347:K349)</f>
        <v>299.74999999999994</v>
      </c>
      <c r="L350" s="604">
        <f t="shared" ref="L350" si="134">SUM(L347:L349)</f>
        <v>190.75</v>
      </c>
      <c r="M350" s="604">
        <f t="shared" ref="M350" si="135">SUM(M347:M349)</f>
        <v>136.25</v>
      </c>
      <c r="N350" s="604">
        <f t="shared" ref="N350" si="136">SUM(N347:N349)</f>
        <v>272.5</v>
      </c>
      <c r="O350" s="604">
        <f t="shared" ref="O350" si="137">SUM(O347:O349)</f>
        <v>245.25</v>
      </c>
      <c r="P350" s="604">
        <f t="shared" ref="P350" si="138">SUM(P347:P349)</f>
        <v>190.75</v>
      </c>
      <c r="Q350" s="604">
        <f t="shared" ref="Q350" si="139">SUM(Q347:Q349)</f>
        <v>790.25</v>
      </c>
      <c r="R350" s="604">
        <f t="shared" ref="R350" si="140">SUM(R347:R349)</f>
        <v>490.5</v>
      </c>
      <c r="S350" s="604">
        <f t="shared" ref="S350" si="141">SUM(S347:S349)</f>
        <v>299.74999999999994</v>
      </c>
      <c r="T350" s="604">
        <f t="shared" ref="T350" si="142">SUM(T347:T349)</f>
        <v>354.25</v>
      </c>
      <c r="U350" s="604">
        <f t="shared" ref="U350" si="143">SUM(U347:U349)</f>
        <v>163.5</v>
      </c>
      <c r="V350" s="604">
        <f t="shared" ref="V350" si="144">SUM(V347:V349)</f>
        <v>572.25</v>
      </c>
      <c r="W350" s="604">
        <f t="shared" ref="W350" si="145">SUM(W347:W349)</f>
        <v>54.5</v>
      </c>
      <c r="X350" s="604">
        <f t="shared" ref="X350" si="146">SUM(X347:X349)</f>
        <v>354.25</v>
      </c>
      <c r="Y350" s="604">
        <f t="shared" ref="Y350" si="147">SUM(Y347:Y349)</f>
        <v>109</v>
      </c>
      <c r="Z350" s="604">
        <f t="shared" ref="Z350" si="148">SUM(Z347:Z349)</f>
        <v>109</v>
      </c>
      <c r="AA350" s="604">
        <f t="shared" ref="AA350" si="149">SUM(AA347:AA349)</f>
        <v>45.560276679842701</v>
      </c>
      <c r="AB350" s="604">
        <f t="shared" ref="AB350" si="150">SUM(AB347:AB349)</f>
        <v>14.998270750988439</v>
      </c>
      <c r="AC350" s="604">
        <f t="shared" ref="AC350" si="151">SUM(AC347:AC349)</f>
        <v>272.5</v>
      </c>
    </row>
    <row r="351" spans="1:29" s="459" customFormat="1">
      <c r="A351" s="702"/>
      <c r="B351" s="703"/>
      <c r="C351" s="704"/>
      <c r="D351" s="705"/>
      <c r="E351" s="706"/>
      <c r="F351" s="706"/>
    </row>
    <row r="352" spans="1:29" s="459" customFormat="1">
      <c r="A352" s="702"/>
      <c r="B352" s="703"/>
      <c r="C352" s="704"/>
      <c r="D352" s="705"/>
      <c r="E352" s="706"/>
      <c r="F352" s="706"/>
    </row>
    <row r="353" spans="1:30" s="459" customFormat="1">
      <c r="A353" s="702"/>
      <c r="B353" s="703"/>
      <c r="C353" s="704"/>
      <c r="D353" s="705"/>
      <c r="E353" s="706"/>
      <c r="F353" s="706"/>
    </row>
    <row r="354" spans="1:30" ht="15.6">
      <c r="A354" s="401" t="s">
        <v>461</v>
      </c>
      <c r="B354" s="401"/>
      <c r="C354" s="401"/>
      <c r="D354" s="391"/>
      <c r="E354" s="391"/>
      <c r="F354" s="391"/>
      <c r="G354" s="391"/>
      <c r="H354" s="391"/>
      <c r="I354" s="391"/>
      <c r="J354" s="391"/>
      <c r="K354" s="391"/>
      <c r="L354" s="391"/>
      <c r="M354" s="391"/>
      <c r="N354" s="391"/>
      <c r="O354" s="391"/>
      <c r="P354" s="391"/>
      <c r="Q354" s="391"/>
      <c r="R354" s="391"/>
      <c r="S354" s="391"/>
      <c r="T354" s="391"/>
      <c r="U354" s="391"/>
      <c r="V354" s="391"/>
      <c r="W354" s="391"/>
      <c r="X354" s="391"/>
      <c r="Y354" s="391"/>
      <c r="Z354" s="391"/>
      <c r="AA354" s="391"/>
      <c r="AB354" s="391"/>
      <c r="AC354" s="391"/>
      <c r="AD354" s="391"/>
    </row>
    <row r="355" spans="1:30">
      <c r="A355" s="132" t="s">
        <v>360</v>
      </c>
      <c r="B355" s="132" t="s">
        <v>361</v>
      </c>
      <c r="C355" s="130" t="str">
        <f>Regions!C3</f>
        <v>IE</v>
      </c>
      <c r="D355" s="130" t="str">
        <f>Regions!E3</f>
        <v>IE-CW</v>
      </c>
      <c r="E355" s="130" t="str">
        <f>Regions!F3</f>
        <v>IE-D</v>
      </c>
      <c r="F355" s="130" t="str">
        <f>Regions!G3</f>
        <v>IE-KE</v>
      </c>
      <c r="G355" s="130" t="str">
        <f>Regions!H3</f>
        <v>IE-KK</v>
      </c>
      <c r="H355" s="130" t="str">
        <f>Regions!I3</f>
        <v>IE-LS</v>
      </c>
      <c r="I355" s="130" t="str">
        <f>Regions!J3</f>
        <v>IE-LD</v>
      </c>
      <c r="J355" s="130" t="str">
        <f>Regions!K3</f>
        <v>IE-LH</v>
      </c>
      <c r="K355" s="130" t="str">
        <f>Regions!L3</f>
        <v>IE-MH</v>
      </c>
      <c r="L355" s="130" t="str">
        <f>Regions!M3</f>
        <v>IE-OY</v>
      </c>
      <c r="M355" s="130" t="str">
        <f>Regions!N3</f>
        <v>IE-WH</v>
      </c>
      <c r="N355" s="130" t="str">
        <f>Regions!O3</f>
        <v>IE-WX</v>
      </c>
      <c r="O355" s="130" t="str">
        <f>Regions!P3</f>
        <v>IE-WW</v>
      </c>
      <c r="P355" s="130" t="str">
        <f>Regions!Q3</f>
        <v>IE-CE</v>
      </c>
      <c r="Q355" s="130" t="str">
        <f>Regions!R3</f>
        <v>IE-CO</v>
      </c>
      <c r="R355" s="130" t="str">
        <f>Regions!S3</f>
        <v>IE-KY</v>
      </c>
      <c r="S355" s="130" t="str">
        <f>Regions!T3</f>
        <v>IE-LK</v>
      </c>
      <c r="T355" s="130" t="str">
        <f>Regions!U3</f>
        <v>IE-TA</v>
      </c>
      <c r="U355" s="130" t="str">
        <f>Regions!V3</f>
        <v>IE-WD</v>
      </c>
      <c r="V355" s="130" t="str">
        <f>Regions!W3</f>
        <v>IE-G</v>
      </c>
      <c r="W355" s="130" t="str">
        <f>Regions!X3</f>
        <v>IE-LM</v>
      </c>
      <c r="X355" s="130" t="str">
        <f>Regions!Y3</f>
        <v>IE-MO</v>
      </c>
      <c r="Y355" s="130" t="str">
        <f>Regions!Z3</f>
        <v>IE-RN</v>
      </c>
      <c r="Z355" s="130" t="str">
        <f>Regions!AA3</f>
        <v>IE-SO</v>
      </c>
      <c r="AA355" s="130" t="str">
        <f>Regions!AB3</f>
        <v>IE-CN</v>
      </c>
      <c r="AB355" s="130" t="str">
        <f>Regions!AC3</f>
        <v>IE-DL</v>
      </c>
      <c r="AC355" s="130" t="str">
        <f>Regions!AD3</f>
        <v>IE-MN</v>
      </c>
    </row>
    <row r="356" spans="1:30">
      <c r="A356" s="391" t="s">
        <v>367</v>
      </c>
      <c r="B356" s="391" t="s">
        <v>362</v>
      </c>
      <c r="C356" s="709">
        <f t="shared" ref="C356:AC356" si="152">C137</f>
        <v>4713.1209901287639</v>
      </c>
      <c r="D356" s="36">
        <f t="shared" si="152"/>
        <v>56.349225400134316</v>
      </c>
      <c r="E356" s="36">
        <f t="shared" si="152"/>
        <v>1333.5669919535535</v>
      </c>
      <c r="F356" s="36">
        <f t="shared" si="152"/>
        <v>220.22637617563907</v>
      </c>
      <c r="G356" s="36">
        <f t="shared" si="152"/>
        <v>98.216228744926028</v>
      </c>
      <c r="H356" s="36">
        <f t="shared" si="152"/>
        <v>83.830013765811429</v>
      </c>
      <c r="I356" s="36">
        <f t="shared" si="152"/>
        <v>40.454610584200275</v>
      </c>
      <c r="J356" s="36">
        <f t="shared" si="152"/>
        <v>127.56470116052328</v>
      </c>
      <c r="K356" s="36">
        <f t="shared" si="152"/>
        <v>193.04746573006037</v>
      </c>
      <c r="L356" s="36">
        <f t="shared" si="152"/>
        <v>77.162965668163267</v>
      </c>
      <c r="M356" s="36">
        <f t="shared" si="152"/>
        <v>87.861321203715363</v>
      </c>
      <c r="N356" s="36">
        <f t="shared" si="152"/>
        <v>148.18939656711356</v>
      </c>
      <c r="O356" s="36">
        <f t="shared" si="152"/>
        <v>140.96709104921888</v>
      </c>
      <c r="P356" s="36">
        <f t="shared" si="152"/>
        <v>117.60075026993182</v>
      </c>
      <c r="Q356" s="36">
        <f t="shared" si="152"/>
        <v>537.31102533759781</v>
      </c>
      <c r="R356" s="36">
        <f t="shared" si="152"/>
        <v>146.19502276711938</v>
      </c>
      <c r="S356" s="36">
        <f t="shared" si="152"/>
        <v>192.90394999755458</v>
      </c>
      <c r="T356" s="36">
        <f t="shared" si="152"/>
        <v>157.91976323100596</v>
      </c>
      <c r="U356" s="36">
        <f t="shared" si="152"/>
        <v>114.98678441098158</v>
      </c>
      <c r="V356" s="36">
        <f t="shared" si="152"/>
        <v>255.41643378605812</v>
      </c>
      <c r="W356" s="36">
        <f t="shared" si="152"/>
        <v>31.715987120106512</v>
      </c>
      <c r="X356" s="36">
        <f t="shared" si="152"/>
        <v>129.17108760091566</v>
      </c>
      <c r="Y356" s="36">
        <f t="shared" si="152"/>
        <v>63.883306474851913</v>
      </c>
      <c r="Z356" s="36">
        <f t="shared" si="152"/>
        <v>64.86416227425353</v>
      </c>
      <c r="AA356" s="36">
        <f t="shared" si="152"/>
        <v>75.396237512833409</v>
      </c>
      <c r="AB356" s="36">
        <f t="shared" si="152"/>
        <v>157.56245854525014</v>
      </c>
      <c r="AC356" s="36">
        <f t="shared" si="152"/>
        <v>60.757632797243112</v>
      </c>
      <c r="AD356" s="5"/>
    </row>
    <row r="357" spans="1:30">
      <c r="A357" s="391"/>
      <c r="B357" s="391" t="s">
        <v>363</v>
      </c>
      <c r="C357" s="709">
        <f t="shared" ref="C357:AC357" si="153">C138</f>
        <v>785.52016502146068</v>
      </c>
      <c r="D357" s="36">
        <f t="shared" si="153"/>
        <v>9.3915375666890526</v>
      </c>
      <c r="E357" s="36">
        <f t="shared" si="153"/>
        <v>222.26116532559226</v>
      </c>
      <c r="F357" s="36">
        <f t="shared" si="153"/>
        <v>36.704396029273184</v>
      </c>
      <c r="G357" s="36">
        <f t="shared" si="153"/>
        <v>16.36937145748767</v>
      </c>
      <c r="H357" s="36">
        <f t="shared" si="153"/>
        <v>13.971668960968572</v>
      </c>
      <c r="I357" s="36">
        <f t="shared" si="153"/>
        <v>6.7424350973667124</v>
      </c>
      <c r="J357" s="36">
        <f t="shared" si="153"/>
        <v>21.260783526753883</v>
      </c>
      <c r="K357" s="36">
        <f t="shared" si="153"/>
        <v>32.174577621676733</v>
      </c>
      <c r="L357" s="36">
        <f t="shared" si="153"/>
        <v>12.860494278027211</v>
      </c>
      <c r="M357" s="36">
        <f t="shared" si="153"/>
        <v>14.643553533952561</v>
      </c>
      <c r="N357" s="36">
        <f t="shared" si="153"/>
        <v>24.698232761185597</v>
      </c>
      <c r="O357" s="36">
        <f t="shared" si="153"/>
        <v>23.494515174869814</v>
      </c>
      <c r="P357" s="36">
        <f t="shared" si="153"/>
        <v>19.600125044988637</v>
      </c>
      <c r="Q357" s="36">
        <f t="shared" si="153"/>
        <v>89.551837556266307</v>
      </c>
      <c r="R357" s="36">
        <f t="shared" si="153"/>
        <v>24.365837127853229</v>
      </c>
      <c r="S357" s="36">
        <f t="shared" si="153"/>
        <v>32.150658332925765</v>
      </c>
      <c r="T357" s="36">
        <f t="shared" si="153"/>
        <v>26.319960538500993</v>
      </c>
      <c r="U357" s="36">
        <f t="shared" si="153"/>
        <v>19.164464068496933</v>
      </c>
      <c r="V357" s="36">
        <f t="shared" si="153"/>
        <v>42.569405631009687</v>
      </c>
      <c r="W357" s="36">
        <f t="shared" si="153"/>
        <v>5.2859978533510859</v>
      </c>
      <c r="X357" s="36">
        <f t="shared" si="153"/>
        <v>21.528514600152608</v>
      </c>
      <c r="Y357" s="36">
        <f t="shared" si="153"/>
        <v>10.647217745808652</v>
      </c>
      <c r="Z357" s="36">
        <f t="shared" si="153"/>
        <v>10.81069371237559</v>
      </c>
      <c r="AA357" s="36">
        <f t="shared" si="153"/>
        <v>12.566039585472234</v>
      </c>
      <c r="AB357" s="36">
        <f t="shared" si="153"/>
        <v>26.260409757541691</v>
      </c>
      <c r="AC357" s="36">
        <f t="shared" si="153"/>
        <v>10.126272132873853</v>
      </c>
      <c r="AD357" s="5"/>
    </row>
    <row r="358" spans="1:30">
      <c r="A358" s="391" t="s">
        <v>364</v>
      </c>
      <c r="B358" s="391" t="s">
        <v>370</v>
      </c>
      <c r="C358" s="709">
        <f>C339</f>
        <v>17.503649635036499</v>
      </c>
      <c r="D358" s="708">
        <f t="shared" ref="D358:AC358" si="154">D339</f>
        <v>0.16058394160583947</v>
      </c>
      <c r="E358" s="708">
        <f t="shared" si="154"/>
        <v>5.6204379562043805</v>
      </c>
      <c r="F358" s="708">
        <f t="shared" si="154"/>
        <v>0.96350364963503665</v>
      </c>
      <c r="G358" s="708">
        <f t="shared" si="154"/>
        <v>0.32116788321167894</v>
      </c>
      <c r="H358" s="708">
        <f t="shared" si="154"/>
        <v>0.16058394160583947</v>
      </c>
      <c r="I358" s="708">
        <f t="shared" si="154"/>
        <v>0.16058394160583947</v>
      </c>
      <c r="J358" s="708">
        <f t="shared" si="154"/>
        <v>0.32116788321167894</v>
      </c>
      <c r="K358" s="708">
        <f t="shared" si="154"/>
        <v>0.80291970802919721</v>
      </c>
      <c r="L358" s="708">
        <f t="shared" si="154"/>
        <v>0.32116788321167894</v>
      </c>
      <c r="M358" s="708">
        <f t="shared" si="154"/>
        <v>0.32116788321167894</v>
      </c>
      <c r="N358" s="708">
        <f t="shared" si="154"/>
        <v>0.64233576642335788</v>
      </c>
      <c r="O358" s="708">
        <f t="shared" si="154"/>
        <v>0.64233576642335788</v>
      </c>
      <c r="P358" s="708">
        <f t="shared" si="154"/>
        <v>0.48175182481751833</v>
      </c>
      <c r="Q358" s="708">
        <f t="shared" si="154"/>
        <v>2.4087591240875916</v>
      </c>
      <c r="R358" s="708">
        <f t="shared" si="154"/>
        <v>0.48175182481751833</v>
      </c>
      <c r="S358" s="708">
        <f t="shared" si="154"/>
        <v>0.64233576642335788</v>
      </c>
      <c r="T358" s="708">
        <f t="shared" si="154"/>
        <v>0.64233576642335788</v>
      </c>
      <c r="U358" s="708">
        <f t="shared" si="154"/>
        <v>0.48175182481751833</v>
      </c>
      <c r="V358" s="708">
        <f t="shared" si="154"/>
        <v>0.64233576642335788</v>
      </c>
      <c r="W358" s="708">
        <f t="shared" si="154"/>
        <v>0</v>
      </c>
      <c r="X358" s="708">
        <f t="shared" si="154"/>
        <v>0.32116788321167894</v>
      </c>
      <c r="Y358" s="708">
        <f t="shared" si="154"/>
        <v>0.16058394160583947</v>
      </c>
      <c r="Z358" s="708">
        <f t="shared" si="154"/>
        <v>0.16058394160583947</v>
      </c>
      <c r="AA358" s="708">
        <f t="shared" si="154"/>
        <v>0.16058394160583947</v>
      </c>
      <c r="AB358" s="708">
        <f t="shared" si="154"/>
        <v>0.32116788321167894</v>
      </c>
      <c r="AC358" s="708">
        <f t="shared" si="154"/>
        <v>0.16058394160583947</v>
      </c>
      <c r="AD358" s="5"/>
    </row>
    <row r="359" spans="1:30">
      <c r="A359" s="391"/>
      <c r="B359" s="391" t="s">
        <v>369</v>
      </c>
      <c r="C359" s="709">
        <f>C321</f>
        <v>7485.229753311015</v>
      </c>
      <c r="D359" s="616">
        <f t="shared" ref="D359:AC359" si="155">D321</f>
        <v>110.06160990359193</v>
      </c>
      <c r="E359" s="616">
        <f t="shared" si="155"/>
        <v>1583.5140131875958</v>
      </c>
      <c r="F359" s="616">
        <f t="shared" si="155"/>
        <v>378.66187150196095</v>
      </c>
      <c r="G359" s="616">
        <f t="shared" si="155"/>
        <v>172.06228996270426</v>
      </c>
      <c r="H359" s="616">
        <f t="shared" si="155"/>
        <v>140.02167006638444</v>
      </c>
      <c r="I359" s="616">
        <f t="shared" si="155"/>
        <v>70.739030939926764</v>
      </c>
      <c r="J359" s="616">
        <f t="shared" si="155"/>
        <v>187.66648796415862</v>
      </c>
      <c r="K359" s="616">
        <f t="shared" si="155"/>
        <v>335.38622904459396</v>
      </c>
      <c r="L359" s="616">
        <f t="shared" si="155"/>
        <v>137.10888643944631</v>
      </c>
      <c r="M359" s="616">
        <f t="shared" si="155"/>
        <v>163.3239390818897</v>
      </c>
      <c r="N359" s="616">
        <f t="shared" si="155"/>
        <v>288.15752309352519</v>
      </c>
      <c r="O359" s="616">
        <f t="shared" si="155"/>
        <v>241.55298506251461</v>
      </c>
      <c r="P359" s="616">
        <f t="shared" si="155"/>
        <v>222.82794746076934</v>
      </c>
      <c r="Q359" s="616">
        <f t="shared" si="155"/>
        <v>894.22457347001534</v>
      </c>
      <c r="R359" s="616">
        <f t="shared" si="155"/>
        <v>265.89553394478355</v>
      </c>
      <c r="S359" s="616">
        <f t="shared" si="155"/>
        <v>328.72843789730672</v>
      </c>
      <c r="T359" s="616">
        <f t="shared" si="155"/>
        <v>314.78868768267404</v>
      </c>
      <c r="U359" s="616">
        <f t="shared" si="155"/>
        <v>204.72707777908218</v>
      </c>
      <c r="V359" s="616">
        <f t="shared" si="155"/>
        <v>430.67586484014231</v>
      </c>
      <c r="W359" s="616">
        <f t="shared" si="155"/>
        <v>59.295952405526855</v>
      </c>
      <c r="X359" s="616">
        <f t="shared" si="155"/>
        <v>236.35158572869651</v>
      </c>
      <c r="Y359" s="616">
        <f t="shared" si="155"/>
        <v>137.52499838615176</v>
      </c>
      <c r="Z359" s="616">
        <f t="shared" si="155"/>
        <v>109.22938601018103</v>
      </c>
      <c r="AA359" s="616">
        <f t="shared" si="155"/>
        <v>127.5383116652209</v>
      </c>
      <c r="AB359" s="616">
        <f t="shared" si="155"/>
        <v>242.80132090263095</v>
      </c>
      <c r="AC359" s="616">
        <f t="shared" si="155"/>
        <v>102.36353888954106</v>
      </c>
      <c r="AD359" s="5"/>
    </row>
    <row r="360" spans="1:30">
      <c r="A360" s="391" t="s">
        <v>326</v>
      </c>
      <c r="B360" s="391" t="s">
        <v>366</v>
      </c>
      <c r="C360" s="709">
        <f>C330</f>
        <v>238.72184365296803</v>
      </c>
      <c r="D360" s="36">
        <f t="shared" ref="D360:AC360" si="156">D330</f>
        <v>1.4209633550771903</v>
      </c>
      <c r="E360" s="36">
        <f t="shared" si="156"/>
        <v>122.2028485366384</v>
      </c>
      <c r="F360" s="36">
        <f t="shared" si="156"/>
        <v>9.9467434855403329</v>
      </c>
      <c r="G360" s="36">
        <f t="shared" si="156"/>
        <v>2.5577340391389427</v>
      </c>
      <c r="H360" s="36">
        <f t="shared" si="156"/>
        <v>2.5577340391389427</v>
      </c>
      <c r="I360" s="36">
        <f t="shared" si="156"/>
        <v>1.1367706840617522</v>
      </c>
      <c r="J360" s="36">
        <f t="shared" si="156"/>
        <v>7.1048167753859506</v>
      </c>
      <c r="K360" s="36">
        <f t="shared" si="156"/>
        <v>11.936092182648398</v>
      </c>
      <c r="L360" s="36">
        <f t="shared" si="156"/>
        <v>1.7051560260926284</v>
      </c>
      <c r="M360" s="36">
        <f t="shared" si="156"/>
        <v>3.4103120521852568</v>
      </c>
      <c r="N360" s="36">
        <f t="shared" si="156"/>
        <v>3.1261193811698189</v>
      </c>
      <c r="O360" s="36">
        <f t="shared" si="156"/>
        <v>3.978697394216133</v>
      </c>
      <c r="P360" s="36">
        <f t="shared" si="156"/>
        <v>3.978697394216133</v>
      </c>
      <c r="Q360" s="36">
        <f t="shared" si="156"/>
        <v>19.893486971080666</v>
      </c>
      <c r="R360" s="36">
        <f t="shared" si="156"/>
        <v>5.1154680782778854</v>
      </c>
      <c r="S360" s="36">
        <f t="shared" si="156"/>
        <v>7.6732021174168281</v>
      </c>
      <c r="T360" s="36">
        <f t="shared" si="156"/>
        <v>2.8419267101543806</v>
      </c>
      <c r="U360" s="36">
        <f t="shared" si="156"/>
        <v>3.1261193811698189</v>
      </c>
      <c r="V360" s="36">
        <f t="shared" si="156"/>
        <v>10.799321498586647</v>
      </c>
      <c r="W360" s="36">
        <f t="shared" si="156"/>
        <v>0.8525780130463142</v>
      </c>
      <c r="X360" s="36">
        <f t="shared" si="156"/>
        <v>3.1261193811698189</v>
      </c>
      <c r="Y360" s="36">
        <f t="shared" si="156"/>
        <v>1.4209633550771903</v>
      </c>
      <c r="Z360" s="36">
        <f t="shared" si="156"/>
        <v>1.7051560260926284</v>
      </c>
      <c r="AA360" s="36">
        <f t="shared" si="156"/>
        <v>1.9893486971080667</v>
      </c>
      <c r="AB360" s="36">
        <f t="shared" si="156"/>
        <v>4.2628900652315709</v>
      </c>
      <c r="AC360" s="36">
        <f t="shared" si="156"/>
        <v>0.8525780130463142</v>
      </c>
      <c r="AD360" s="5"/>
    </row>
    <row r="361" spans="1:30">
      <c r="A361" s="391"/>
      <c r="B361" s="391" t="s">
        <v>617</v>
      </c>
      <c r="C361" s="709">
        <f>C347</f>
        <v>1204.4243616479548</v>
      </c>
      <c r="D361" s="36">
        <f t="shared" ref="D361:AC361" si="157">D347</f>
        <v>13.374233128834355</v>
      </c>
      <c r="E361" s="36">
        <f t="shared" si="157"/>
        <v>434.66257668711654</v>
      </c>
      <c r="F361" s="36">
        <f t="shared" si="157"/>
        <v>56.840490797546011</v>
      </c>
      <c r="G361" s="36">
        <f t="shared" si="157"/>
        <v>36.779141104294474</v>
      </c>
      <c r="H361" s="36">
        <f t="shared" si="157"/>
        <v>16.717791411042942</v>
      </c>
      <c r="I361" s="36">
        <f t="shared" si="157"/>
        <v>10.030674846625766</v>
      </c>
      <c r="J361" s="36">
        <f t="shared" si="157"/>
        <v>26.74846625766871</v>
      </c>
      <c r="K361" s="36">
        <f t="shared" si="157"/>
        <v>36.779141104294474</v>
      </c>
      <c r="L361" s="36">
        <f t="shared" si="157"/>
        <v>23.404907975460123</v>
      </c>
      <c r="M361" s="36">
        <f t="shared" si="157"/>
        <v>16.717791411042942</v>
      </c>
      <c r="N361" s="36">
        <f t="shared" si="157"/>
        <v>33.435582822085884</v>
      </c>
      <c r="O361" s="36">
        <f t="shared" si="157"/>
        <v>30.092024539877297</v>
      </c>
      <c r="P361" s="36">
        <f t="shared" si="157"/>
        <v>23.404907975460123</v>
      </c>
      <c r="Q361" s="36">
        <f t="shared" si="157"/>
        <v>96.963190184049083</v>
      </c>
      <c r="R361" s="36">
        <f t="shared" si="157"/>
        <v>60.184049079754594</v>
      </c>
      <c r="S361" s="36">
        <f t="shared" si="157"/>
        <v>36.779141104294474</v>
      </c>
      <c r="T361" s="36">
        <f t="shared" si="157"/>
        <v>43.466257668711656</v>
      </c>
      <c r="U361" s="36">
        <f t="shared" si="157"/>
        <v>20.061349693251532</v>
      </c>
      <c r="V361" s="36">
        <f t="shared" si="157"/>
        <v>70.214723926380373</v>
      </c>
      <c r="W361" s="36">
        <f t="shared" si="157"/>
        <v>6.6871165644171775</v>
      </c>
      <c r="X361" s="36">
        <f t="shared" si="157"/>
        <v>43.466257668711656</v>
      </c>
      <c r="Y361" s="36">
        <f t="shared" si="157"/>
        <v>13.374233128834355</v>
      </c>
      <c r="Z361" s="36">
        <f t="shared" si="157"/>
        <v>13.374233128834355</v>
      </c>
      <c r="AA361" s="36">
        <f t="shared" si="157"/>
        <v>5.5902179975267119</v>
      </c>
      <c r="AB361" s="36">
        <f t="shared" si="157"/>
        <v>1.8402786197531826</v>
      </c>
      <c r="AC361" s="36">
        <f t="shared" si="157"/>
        <v>33.435582822085884</v>
      </c>
      <c r="AD361" s="5"/>
    </row>
    <row r="362" spans="1:30">
      <c r="A362" s="391"/>
      <c r="B362" s="391" t="s">
        <v>604</v>
      </c>
      <c r="C362" s="36">
        <f>$B$169*C149</f>
        <v>112.040329</v>
      </c>
      <c r="D362" s="9">
        <v>0</v>
      </c>
      <c r="E362" s="9">
        <f>C362</f>
        <v>112.040329</v>
      </c>
      <c r="F362" s="9">
        <v>0</v>
      </c>
      <c r="G362" s="9">
        <v>0</v>
      </c>
      <c r="H362" s="9">
        <v>0</v>
      </c>
      <c r="I362" s="9">
        <v>0</v>
      </c>
      <c r="J362" s="9">
        <v>0</v>
      </c>
      <c r="K362" s="9">
        <v>0</v>
      </c>
      <c r="L362" s="9">
        <v>0</v>
      </c>
      <c r="M362" s="9">
        <v>0</v>
      </c>
      <c r="N362" s="9">
        <v>0</v>
      </c>
      <c r="O362" s="9">
        <v>0</v>
      </c>
      <c r="P362" s="9">
        <v>0</v>
      </c>
      <c r="Q362" s="9">
        <v>0</v>
      </c>
      <c r="R362" s="9">
        <v>0</v>
      </c>
      <c r="S362" s="9">
        <v>0</v>
      </c>
      <c r="T362" s="9">
        <v>0</v>
      </c>
      <c r="U362" s="9">
        <v>0</v>
      </c>
      <c r="V362" s="9">
        <v>0</v>
      </c>
      <c r="W362" s="9">
        <v>0</v>
      </c>
      <c r="X362" s="9">
        <v>0</v>
      </c>
      <c r="Y362" s="9">
        <v>0</v>
      </c>
      <c r="Z362" s="9">
        <v>0</v>
      </c>
      <c r="AA362" s="9">
        <v>0</v>
      </c>
      <c r="AB362" s="9">
        <v>0</v>
      </c>
      <c r="AC362" s="9">
        <v>0</v>
      </c>
      <c r="AD362" s="5"/>
    </row>
    <row r="363" spans="1:30">
      <c r="B363" s="459" t="s">
        <v>368</v>
      </c>
      <c r="C363" s="39" t="s">
        <v>17</v>
      </c>
      <c r="D363" s="39" t="s">
        <v>17</v>
      </c>
      <c r="E363" s="39" t="s">
        <v>17</v>
      </c>
      <c r="F363" s="39" t="s">
        <v>17</v>
      </c>
      <c r="G363" s="39" t="s">
        <v>17</v>
      </c>
      <c r="H363" s="39" t="s">
        <v>17</v>
      </c>
      <c r="I363" s="39" t="s">
        <v>17</v>
      </c>
      <c r="J363" s="39" t="s">
        <v>17</v>
      </c>
      <c r="K363" s="39" t="s">
        <v>17</v>
      </c>
      <c r="L363" s="39" t="s">
        <v>17</v>
      </c>
      <c r="M363" s="39" t="s">
        <v>17</v>
      </c>
      <c r="N363" s="39" t="s">
        <v>17</v>
      </c>
      <c r="O363" s="39" t="s">
        <v>17</v>
      </c>
      <c r="P363" s="39" t="s">
        <v>17</v>
      </c>
      <c r="Q363" s="39" t="s">
        <v>17</v>
      </c>
      <c r="R363" s="39" t="s">
        <v>17</v>
      </c>
      <c r="S363" s="39" t="s">
        <v>17</v>
      </c>
      <c r="T363" s="39" t="s">
        <v>17</v>
      </c>
      <c r="U363" s="39" t="s">
        <v>17</v>
      </c>
      <c r="V363" s="39" t="s">
        <v>17</v>
      </c>
      <c r="W363" s="39" t="s">
        <v>17</v>
      </c>
      <c r="X363" s="39" t="s">
        <v>17</v>
      </c>
      <c r="Y363" s="39" t="s">
        <v>17</v>
      </c>
      <c r="Z363" s="39" t="s">
        <v>17</v>
      </c>
      <c r="AA363" s="39" t="s">
        <v>17</v>
      </c>
      <c r="AB363" s="39" t="s">
        <v>17</v>
      </c>
      <c r="AC363" s="39" t="s">
        <v>17</v>
      </c>
    </row>
    <row r="364" spans="1:30">
      <c r="A364" s="392"/>
      <c r="B364" s="410" t="s">
        <v>16</v>
      </c>
      <c r="C364" s="399">
        <f>SUM(C356:C363)</f>
        <v>14556.561092397196</v>
      </c>
      <c r="D364" s="399">
        <f>SUM(D356:D363)</f>
        <v>190.75815329593269</v>
      </c>
      <c r="E364" s="399">
        <f t="shared" ref="E364:AC364" si="158">SUM(E356:E363)</f>
        <v>3813.8683626467009</v>
      </c>
      <c r="F364" s="399">
        <f t="shared" si="158"/>
        <v>703.34338163959455</v>
      </c>
      <c r="G364" s="399">
        <f t="shared" si="158"/>
        <v>326.30593319176307</v>
      </c>
      <c r="H364" s="399">
        <f t="shared" si="158"/>
        <v>257.25946218495216</v>
      </c>
      <c r="I364" s="399">
        <f t="shared" si="158"/>
        <v>129.26410609378712</v>
      </c>
      <c r="J364" s="399">
        <f t="shared" si="158"/>
        <v>370.66642356770211</v>
      </c>
      <c r="K364" s="399">
        <f t="shared" si="158"/>
        <v>610.12642539130309</v>
      </c>
      <c r="L364" s="399">
        <f t="shared" si="158"/>
        <v>252.56357827040125</v>
      </c>
      <c r="M364" s="399">
        <f t="shared" si="158"/>
        <v>286.27808516599748</v>
      </c>
      <c r="N364" s="399">
        <f t="shared" si="158"/>
        <v>498.24919039150342</v>
      </c>
      <c r="O364" s="399">
        <f t="shared" si="158"/>
        <v>440.72764898712006</v>
      </c>
      <c r="P364" s="399">
        <f t="shared" si="158"/>
        <v>387.89417997018353</v>
      </c>
      <c r="Q364" s="399">
        <f t="shared" si="158"/>
        <v>1640.3528726430968</v>
      </c>
      <c r="R364" s="399">
        <f t="shared" si="158"/>
        <v>502.23766282260613</v>
      </c>
      <c r="S364" s="399">
        <f t="shared" si="158"/>
        <v>598.87772521592171</v>
      </c>
      <c r="T364" s="399">
        <f t="shared" si="158"/>
        <v>545.97893159747036</v>
      </c>
      <c r="U364" s="399">
        <f t="shared" si="158"/>
        <v>362.54754715779956</v>
      </c>
      <c r="V364" s="399">
        <f t="shared" si="158"/>
        <v>810.31808544860041</v>
      </c>
      <c r="W364" s="399">
        <f t="shared" si="158"/>
        <v>103.83763195644794</v>
      </c>
      <c r="X364" s="399">
        <f t="shared" si="158"/>
        <v>433.96473286285794</v>
      </c>
      <c r="Y364" s="399">
        <f t="shared" si="158"/>
        <v>227.01130303232972</v>
      </c>
      <c r="Z364" s="399">
        <f t="shared" si="158"/>
        <v>200.14421509334298</v>
      </c>
      <c r="AA364" s="399">
        <f t="shared" si="158"/>
        <v>223.24073939976716</v>
      </c>
      <c r="AB364" s="399">
        <f t="shared" si="158"/>
        <v>433.04852577361913</v>
      </c>
      <c r="AC364" s="399">
        <f t="shared" si="158"/>
        <v>207.69618859639607</v>
      </c>
      <c r="AD364" s="5"/>
    </row>
    <row r="366" spans="1:30" s="459" customFormat="1"/>
    <row r="368" spans="1:30" ht="15.6">
      <c r="A368" s="401" t="s">
        <v>462</v>
      </c>
      <c r="B368" s="401"/>
      <c r="C368" s="401"/>
      <c r="D368" s="391"/>
      <c r="E368" s="391"/>
      <c r="F368" s="391"/>
      <c r="G368" s="391"/>
      <c r="H368" s="391"/>
      <c r="I368" s="391"/>
      <c r="J368" s="391"/>
      <c r="K368" s="391"/>
      <c r="L368" s="391"/>
      <c r="M368" s="391"/>
      <c r="N368" s="391"/>
      <c r="O368" s="391"/>
      <c r="P368" s="391"/>
      <c r="Q368" s="391"/>
      <c r="R368" s="391"/>
      <c r="S368" s="391"/>
      <c r="T368" s="391"/>
      <c r="U368" s="391"/>
      <c r="V368" s="391"/>
      <c r="W368" s="391"/>
      <c r="X368" s="391"/>
      <c r="Y368" s="391"/>
      <c r="Z368" s="391"/>
      <c r="AA368" s="391"/>
      <c r="AB368" s="391"/>
      <c r="AC368" s="391"/>
      <c r="AD368" s="391"/>
    </row>
    <row r="369" spans="1:31">
      <c r="A369" s="132" t="s">
        <v>360</v>
      </c>
      <c r="B369" s="132" t="s">
        <v>361</v>
      </c>
      <c r="C369" s="130" t="str">
        <f>Regions!C3</f>
        <v>IE</v>
      </c>
      <c r="D369" s="130" t="str">
        <f>Regions!E3</f>
        <v>IE-CW</v>
      </c>
      <c r="E369" s="130" t="str">
        <f>Regions!F3</f>
        <v>IE-D</v>
      </c>
      <c r="F369" s="130" t="str">
        <f>Regions!G3</f>
        <v>IE-KE</v>
      </c>
      <c r="G369" s="130" t="str">
        <f>Regions!H3</f>
        <v>IE-KK</v>
      </c>
      <c r="H369" s="130" t="str">
        <f>Regions!I3</f>
        <v>IE-LS</v>
      </c>
      <c r="I369" s="130" t="str">
        <f>Regions!J3</f>
        <v>IE-LD</v>
      </c>
      <c r="J369" s="130" t="str">
        <f>Regions!K3</f>
        <v>IE-LH</v>
      </c>
      <c r="K369" s="130" t="str">
        <f>Regions!L3</f>
        <v>IE-MH</v>
      </c>
      <c r="L369" s="130" t="str">
        <f>Regions!M3</f>
        <v>IE-OY</v>
      </c>
      <c r="M369" s="130" t="str">
        <f>Regions!N3</f>
        <v>IE-WH</v>
      </c>
      <c r="N369" s="130" t="str">
        <f>Regions!O3</f>
        <v>IE-WX</v>
      </c>
      <c r="O369" s="130" t="str">
        <f>Regions!P3</f>
        <v>IE-WW</v>
      </c>
      <c r="P369" s="130" t="str">
        <f>Regions!Q3</f>
        <v>IE-CE</v>
      </c>
      <c r="Q369" s="130" t="str">
        <f>Regions!R3</f>
        <v>IE-CO</v>
      </c>
      <c r="R369" s="130" t="str">
        <f>Regions!S3</f>
        <v>IE-KY</v>
      </c>
      <c r="S369" s="130" t="str">
        <f>Regions!T3</f>
        <v>IE-LK</v>
      </c>
      <c r="T369" s="130" t="str">
        <f>Regions!U3</f>
        <v>IE-TA</v>
      </c>
      <c r="U369" s="130" t="str">
        <f>Regions!V3</f>
        <v>IE-WD</v>
      </c>
      <c r="V369" s="130" t="str">
        <f>Regions!W3</f>
        <v>IE-G</v>
      </c>
      <c r="W369" s="130" t="str">
        <f>Regions!X3</f>
        <v>IE-LM</v>
      </c>
      <c r="X369" s="130" t="str">
        <f>Regions!Y3</f>
        <v>IE-MO</v>
      </c>
      <c r="Y369" s="130" t="str">
        <f>Regions!Z3</f>
        <v>IE-RN</v>
      </c>
      <c r="Z369" s="130" t="str">
        <f>Regions!AA3</f>
        <v>IE-SO</v>
      </c>
      <c r="AA369" s="130" t="str">
        <f>Regions!AB3</f>
        <v>IE-CN</v>
      </c>
      <c r="AB369" s="130" t="str">
        <f>Regions!AC3</f>
        <v>IE-DL</v>
      </c>
      <c r="AC369" s="130" t="str">
        <f>Regions!AD3</f>
        <v>IE-MN</v>
      </c>
      <c r="AD369" s="391"/>
    </row>
    <row r="370" spans="1:31">
      <c r="A370" s="391" t="s">
        <v>367</v>
      </c>
      <c r="B370" s="459" t="s">
        <v>362</v>
      </c>
      <c r="C370" s="36">
        <v>0</v>
      </c>
      <c r="D370" s="36">
        <v>0</v>
      </c>
      <c r="E370" s="36">
        <v>0</v>
      </c>
      <c r="F370" s="36">
        <v>0</v>
      </c>
      <c r="G370" s="36">
        <v>0</v>
      </c>
      <c r="H370" s="36">
        <v>0</v>
      </c>
      <c r="I370" s="36">
        <v>0</v>
      </c>
      <c r="J370" s="36">
        <v>0</v>
      </c>
      <c r="K370" s="36">
        <v>0</v>
      </c>
      <c r="L370" s="36">
        <v>0</v>
      </c>
      <c r="M370" s="36">
        <v>0</v>
      </c>
      <c r="N370" s="36">
        <v>0</v>
      </c>
      <c r="O370" s="36">
        <v>0</v>
      </c>
      <c r="P370" s="36">
        <v>0</v>
      </c>
      <c r="Q370" s="36">
        <v>0</v>
      </c>
      <c r="R370" s="36">
        <v>0</v>
      </c>
      <c r="S370" s="36">
        <v>0</v>
      </c>
      <c r="T370" s="36">
        <v>0</v>
      </c>
      <c r="U370" s="36">
        <v>0</v>
      </c>
      <c r="V370" s="36">
        <v>0</v>
      </c>
      <c r="W370" s="36">
        <v>0</v>
      </c>
      <c r="X370" s="36">
        <v>0</v>
      </c>
      <c r="Y370" s="36">
        <v>0</v>
      </c>
      <c r="Z370" s="36">
        <v>0</v>
      </c>
      <c r="AA370" s="36">
        <v>0</v>
      </c>
      <c r="AB370" s="36">
        <v>0</v>
      </c>
      <c r="AC370" s="36">
        <v>0</v>
      </c>
      <c r="AD370" s="5"/>
    </row>
    <row r="371" spans="1:31">
      <c r="A371" s="391"/>
      <c r="B371" s="459" t="s">
        <v>363</v>
      </c>
      <c r="C371" s="36">
        <v>0</v>
      </c>
      <c r="D371" s="36">
        <v>0</v>
      </c>
      <c r="E371" s="36">
        <v>0</v>
      </c>
      <c r="F371" s="36">
        <v>0</v>
      </c>
      <c r="G371" s="36">
        <v>0</v>
      </c>
      <c r="H371" s="36">
        <v>0</v>
      </c>
      <c r="I371" s="36">
        <v>0</v>
      </c>
      <c r="J371" s="36">
        <v>0</v>
      </c>
      <c r="K371" s="36">
        <v>0</v>
      </c>
      <c r="L371" s="36">
        <v>0</v>
      </c>
      <c r="M371" s="36">
        <v>0</v>
      </c>
      <c r="N371" s="36">
        <v>0</v>
      </c>
      <c r="O371" s="36">
        <v>0</v>
      </c>
      <c r="P371" s="36">
        <v>0</v>
      </c>
      <c r="Q371" s="36">
        <v>0</v>
      </c>
      <c r="R371" s="36">
        <v>0</v>
      </c>
      <c r="S371" s="36">
        <v>0</v>
      </c>
      <c r="T371" s="36">
        <v>0</v>
      </c>
      <c r="U371" s="36">
        <v>0</v>
      </c>
      <c r="V371" s="36">
        <v>0</v>
      </c>
      <c r="W371" s="36">
        <v>0</v>
      </c>
      <c r="X371" s="36">
        <v>0</v>
      </c>
      <c r="Y371" s="36">
        <v>0</v>
      </c>
      <c r="Z371" s="36">
        <v>0</v>
      </c>
      <c r="AA371" s="36">
        <v>0</v>
      </c>
      <c r="AB371" s="36">
        <v>0</v>
      </c>
      <c r="AC371" s="36">
        <v>0</v>
      </c>
      <c r="AD371" s="5"/>
    </row>
    <row r="372" spans="1:31">
      <c r="A372" s="391" t="s">
        <v>364</v>
      </c>
      <c r="B372" s="459" t="s">
        <v>370</v>
      </c>
      <c r="C372" s="709">
        <f>C340</f>
        <v>102.39635036496351</v>
      </c>
      <c r="D372" s="36">
        <f t="shared" ref="D372:AC372" si="159">D340</f>
        <v>0.93941605839416076</v>
      </c>
      <c r="E372" s="36">
        <f t="shared" si="159"/>
        <v>32.879562043795623</v>
      </c>
      <c r="F372" s="36">
        <f t="shared" si="159"/>
        <v>5.6364963503649639</v>
      </c>
      <c r="G372" s="36">
        <f t="shared" si="159"/>
        <v>1.8788321167883215</v>
      </c>
      <c r="H372" s="36">
        <f t="shared" si="159"/>
        <v>0.93941605839416076</v>
      </c>
      <c r="I372" s="36">
        <f t="shared" si="159"/>
        <v>0.93941605839416076</v>
      </c>
      <c r="J372" s="36">
        <f t="shared" si="159"/>
        <v>1.8788321167883215</v>
      </c>
      <c r="K372" s="36">
        <f t="shared" si="159"/>
        <v>4.6970802919708028</v>
      </c>
      <c r="L372" s="36">
        <f t="shared" si="159"/>
        <v>1.8788321167883215</v>
      </c>
      <c r="M372" s="36">
        <f t="shared" si="159"/>
        <v>1.8788321167883215</v>
      </c>
      <c r="N372" s="36">
        <f t="shared" si="159"/>
        <v>3.757664233576643</v>
      </c>
      <c r="O372" s="36">
        <f t="shared" si="159"/>
        <v>3.757664233576643</v>
      </c>
      <c r="P372" s="36">
        <f t="shared" si="159"/>
        <v>2.8182481751824819</v>
      </c>
      <c r="Q372" s="36">
        <f t="shared" si="159"/>
        <v>14.091240875912408</v>
      </c>
      <c r="R372" s="36">
        <f t="shared" si="159"/>
        <v>2.8182481751824819</v>
      </c>
      <c r="S372" s="36">
        <f t="shared" si="159"/>
        <v>3.757664233576643</v>
      </c>
      <c r="T372" s="36">
        <f t="shared" si="159"/>
        <v>3.757664233576643</v>
      </c>
      <c r="U372" s="36">
        <f t="shared" si="159"/>
        <v>2.8182481751824819</v>
      </c>
      <c r="V372" s="36">
        <f t="shared" si="159"/>
        <v>3.757664233576643</v>
      </c>
      <c r="W372" s="36">
        <f t="shared" si="159"/>
        <v>0</v>
      </c>
      <c r="X372" s="36">
        <f t="shared" si="159"/>
        <v>1.8788321167883215</v>
      </c>
      <c r="Y372" s="36">
        <f t="shared" si="159"/>
        <v>0.93941605839416076</v>
      </c>
      <c r="Z372" s="36">
        <f t="shared" si="159"/>
        <v>0.93941605839416076</v>
      </c>
      <c r="AA372" s="36">
        <f t="shared" si="159"/>
        <v>0.93941605839416076</v>
      </c>
      <c r="AB372" s="36">
        <f t="shared" si="159"/>
        <v>1.8788321167883215</v>
      </c>
      <c r="AC372" s="36">
        <f t="shared" si="159"/>
        <v>0.93941605839416076</v>
      </c>
      <c r="AD372" s="5"/>
      <c r="AE372" s="8"/>
    </row>
    <row r="373" spans="1:31">
      <c r="A373" s="391"/>
      <c r="B373" s="459" t="s">
        <v>369</v>
      </c>
      <c r="C373" s="709">
        <f>C322</f>
        <v>26086.025690288883</v>
      </c>
      <c r="D373" s="36">
        <f t="shared" ref="D373:AC373" si="160">D322</f>
        <v>383.56471051401786</v>
      </c>
      <c r="E373" s="36">
        <f t="shared" si="160"/>
        <v>5518.5463359587702</v>
      </c>
      <c r="F373" s="36">
        <f t="shared" si="160"/>
        <v>1319.6366221843339</v>
      </c>
      <c r="G373" s="36">
        <f t="shared" si="160"/>
        <v>599.63708052002414</v>
      </c>
      <c r="H373" s="36">
        <f t="shared" si="160"/>
        <v>487.97552018134968</v>
      </c>
      <c r="I373" s="36">
        <f t="shared" si="160"/>
        <v>246.52552282564474</v>
      </c>
      <c r="J373" s="36">
        <f t="shared" si="160"/>
        <v>654.01771055509278</v>
      </c>
      <c r="K373" s="36">
        <f t="shared" si="160"/>
        <v>1168.8210082204098</v>
      </c>
      <c r="L373" s="36">
        <f t="shared" si="160"/>
        <v>477.82446924147024</v>
      </c>
      <c r="M373" s="36">
        <f t="shared" si="160"/>
        <v>569.18392770038554</v>
      </c>
      <c r="N373" s="36">
        <f t="shared" si="160"/>
        <v>1004.2289679809351</v>
      </c>
      <c r="O373" s="36">
        <f t="shared" si="160"/>
        <v>841.81215294286335</v>
      </c>
      <c r="P373" s="36">
        <f t="shared" si="160"/>
        <v>776.55539690078092</v>
      </c>
      <c r="Q373" s="36">
        <f t="shared" si="160"/>
        <v>3116.3726385430027</v>
      </c>
      <c r="R373" s="36">
        <f t="shared" si="160"/>
        <v>926.64593579757059</v>
      </c>
      <c r="S373" s="36">
        <f t="shared" si="160"/>
        <v>1145.6186060721138</v>
      </c>
      <c r="T373" s="36">
        <f t="shared" si="160"/>
        <v>1097.0385765741189</v>
      </c>
      <c r="U373" s="36">
        <f t="shared" si="160"/>
        <v>713.47386606010127</v>
      </c>
      <c r="V373" s="36">
        <f t="shared" si="160"/>
        <v>1500.9053889678955</v>
      </c>
      <c r="W373" s="36">
        <f t="shared" si="160"/>
        <v>206.64639413326103</v>
      </c>
      <c r="X373" s="36">
        <f t="shared" si="160"/>
        <v>823.68527626450714</v>
      </c>
      <c r="Y373" s="36">
        <f t="shared" si="160"/>
        <v>479.27461937573872</v>
      </c>
      <c r="Z373" s="36">
        <f t="shared" si="160"/>
        <v>380.66441024548084</v>
      </c>
      <c r="AA373" s="36">
        <f t="shared" si="160"/>
        <v>444.47101615329478</v>
      </c>
      <c r="AB373" s="36">
        <f t="shared" si="160"/>
        <v>846.1626033456688</v>
      </c>
      <c r="AC373" s="36">
        <f t="shared" si="160"/>
        <v>356.73693303005058</v>
      </c>
      <c r="AD373" s="5"/>
    </row>
    <row r="374" spans="1:31">
      <c r="A374" s="391" t="s">
        <v>326</v>
      </c>
      <c r="B374" s="459" t="s">
        <v>366</v>
      </c>
      <c r="C374" s="709">
        <f>C331</f>
        <v>685.13169128401819</v>
      </c>
      <c r="D374" s="36">
        <f t="shared" ref="D374:AC374" si="161">D331</f>
        <v>4.078164829071536</v>
      </c>
      <c r="E374" s="36">
        <f t="shared" si="161"/>
        <v>350.72217530015217</v>
      </c>
      <c r="F374" s="36">
        <f t="shared" si="161"/>
        <v>28.547153803500748</v>
      </c>
      <c r="G374" s="36">
        <f t="shared" si="161"/>
        <v>7.3406966923287635</v>
      </c>
      <c r="H374" s="36">
        <f t="shared" si="161"/>
        <v>7.3406966923287635</v>
      </c>
      <c r="I374" s="36">
        <f t="shared" si="161"/>
        <v>3.2625318632572289</v>
      </c>
      <c r="J374" s="36">
        <f t="shared" si="161"/>
        <v>20.39082414535768</v>
      </c>
      <c r="K374" s="36">
        <f t="shared" si="161"/>
        <v>34.256584564200899</v>
      </c>
      <c r="L374" s="36">
        <f t="shared" si="161"/>
        <v>4.8937977948858435</v>
      </c>
      <c r="M374" s="36">
        <f t="shared" si="161"/>
        <v>9.7875955897716871</v>
      </c>
      <c r="N374" s="36">
        <f t="shared" si="161"/>
        <v>8.9719626239573795</v>
      </c>
      <c r="O374" s="36">
        <f t="shared" si="161"/>
        <v>11.4188615214003</v>
      </c>
      <c r="P374" s="36">
        <f t="shared" si="161"/>
        <v>11.4188615214003</v>
      </c>
      <c r="Q374" s="36">
        <f t="shared" si="161"/>
        <v>57.094307607001497</v>
      </c>
      <c r="R374" s="36">
        <f t="shared" si="161"/>
        <v>14.681393384657527</v>
      </c>
      <c r="S374" s="36">
        <f t="shared" si="161"/>
        <v>22.022090076986295</v>
      </c>
      <c r="T374" s="36">
        <f t="shared" si="161"/>
        <v>8.156329658143072</v>
      </c>
      <c r="U374" s="36">
        <f t="shared" si="161"/>
        <v>8.9719626239573795</v>
      </c>
      <c r="V374" s="36">
        <f t="shared" si="161"/>
        <v>30.994052700943669</v>
      </c>
      <c r="W374" s="36">
        <f t="shared" si="161"/>
        <v>2.4468988974429218</v>
      </c>
      <c r="X374" s="36">
        <f t="shared" si="161"/>
        <v>8.9719626239573795</v>
      </c>
      <c r="Y374" s="36">
        <f t="shared" si="161"/>
        <v>4.078164829071536</v>
      </c>
      <c r="Z374" s="36">
        <f t="shared" si="161"/>
        <v>4.8937977948858435</v>
      </c>
      <c r="AA374" s="36">
        <f t="shared" si="161"/>
        <v>5.7094307607001511</v>
      </c>
      <c r="AB374" s="36">
        <f t="shared" si="161"/>
        <v>12.234494487214608</v>
      </c>
      <c r="AC374" s="36">
        <f t="shared" si="161"/>
        <v>2.4468988974429218</v>
      </c>
      <c r="AD374" s="5"/>
    </row>
    <row r="375" spans="1:31">
      <c r="A375" s="391"/>
      <c r="B375" s="459" t="s">
        <v>617</v>
      </c>
      <c r="C375" s="709">
        <f>C348</f>
        <v>4197.418900343122</v>
      </c>
      <c r="D375" s="36">
        <f t="shared" ref="D375:AC375" si="162">D348</f>
        <v>46.609202453987727</v>
      </c>
      <c r="E375" s="36">
        <f t="shared" si="162"/>
        <v>1514.7990797546011</v>
      </c>
      <c r="F375" s="36">
        <f t="shared" si="162"/>
        <v>198.08911042944783</v>
      </c>
      <c r="G375" s="36">
        <f t="shared" si="162"/>
        <v>128.17530674846623</v>
      </c>
      <c r="H375" s="36">
        <f t="shared" si="162"/>
        <v>58.261503067484654</v>
      </c>
      <c r="I375" s="36">
        <f t="shared" si="162"/>
        <v>34.956901840490794</v>
      </c>
      <c r="J375" s="36">
        <f t="shared" si="162"/>
        <v>93.218404907975454</v>
      </c>
      <c r="K375" s="36">
        <f t="shared" si="162"/>
        <v>128.17530674846623</v>
      </c>
      <c r="L375" s="36">
        <f t="shared" si="162"/>
        <v>81.566104294478521</v>
      </c>
      <c r="M375" s="36">
        <f t="shared" si="162"/>
        <v>58.261503067484654</v>
      </c>
      <c r="N375" s="36">
        <f t="shared" si="162"/>
        <v>116.52300613496931</v>
      </c>
      <c r="O375" s="36">
        <f t="shared" si="162"/>
        <v>104.87070552147237</v>
      </c>
      <c r="P375" s="36">
        <f t="shared" si="162"/>
        <v>81.566104294478521</v>
      </c>
      <c r="Q375" s="36">
        <f t="shared" si="162"/>
        <v>337.91671779141097</v>
      </c>
      <c r="R375" s="36">
        <f t="shared" si="162"/>
        <v>209.74141104294475</v>
      </c>
      <c r="S375" s="36">
        <f t="shared" si="162"/>
        <v>128.17530674846623</v>
      </c>
      <c r="T375" s="36">
        <f t="shared" si="162"/>
        <v>151.47990797546012</v>
      </c>
      <c r="U375" s="36">
        <f t="shared" si="162"/>
        <v>69.913803680981587</v>
      </c>
      <c r="V375" s="36">
        <f t="shared" si="162"/>
        <v>244.69831288343556</v>
      </c>
      <c r="W375" s="36">
        <f t="shared" si="162"/>
        <v>23.304601226993864</v>
      </c>
      <c r="X375" s="36">
        <f t="shared" si="162"/>
        <v>151.47990797546012</v>
      </c>
      <c r="Y375" s="36">
        <f t="shared" si="162"/>
        <v>46.609202453987727</v>
      </c>
      <c r="Z375" s="36">
        <f t="shared" si="162"/>
        <v>46.609202453987727</v>
      </c>
      <c r="AA375" s="36">
        <f t="shared" si="162"/>
        <v>19.481909721380589</v>
      </c>
      <c r="AB375" s="36">
        <f t="shared" si="162"/>
        <v>6.4133709898398408</v>
      </c>
      <c r="AC375" s="36">
        <f t="shared" si="162"/>
        <v>116.52300613496931</v>
      </c>
      <c r="AD375" s="5"/>
    </row>
    <row r="376" spans="1:31">
      <c r="A376" s="391"/>
      <c r="B376" s="459" t="s">
        <v>604</v>
      </c>
      <c r="C376" s="709">
        <f>C149*C169</f>
        <v>205.14590800000002</v>
      </c>
      <c r="D376" s="9">
        <v>0</v>
      </c>
      <c r="E376" s="9">
        <f>C376</f>
        <v>205.14590800000002</v>
      </c>
      <c r="F376" s="9">
        <v>0</v>
      </c>
      <c r="G376" s="9">
        <v>0</v>
      </c>
      <c r="H376" s="9">
        <v>0</v>
      </c>
      <c r="I376" s="9">
        <v>0</v>
      </c>
      <c r="J376" s="9">
        <v>0</v>
      </c>
      <c r="K376" s="9">
        <v>0</v>
      </c>
      <c r="L376" s="9">
        <v>0</v>
      </c>
      <c r="M376" s="9">
        <v>0</v>
      </c>
      <c r="N376" s="9">
        <v>0</v>
      </c>
      <c r="O376" s="9">
        <v>0</v>
      </c>
      <c r="P376" s="9">
        <v>0</v>
      </c>
      <c r="Q376" s="9">
        <v>0</v>
      </c>
      <c r="R376" s="9">
        <v>0</v>
      </c>
      <c r="S376" s="9">
        <v>0</v>
      </c>
      <c r="T376" s="9">
        <v>0</v>
      </c>
      <c r="U376" s="9">
        <v>0</v>
      </c>
      <c r="V376" s="9">
        <v>0</v>
      </c>
      <c r="W376" s="9">
        <v>0</v>
      </c>
      <c r="X376" s="9">
        <v>0</v>
      </c>
      <c r="Y376" s="9">
        <v>0</v>
      </c>
      <c r="Z376" s="9">
        <v>0</v>
      </c>
      <c r="AA376" s="9">
        <v>0</v>
      </c>
      <c r="AB376" s="9">
        <v>0</v>
      </c>
      <c r="AC376" s="9">
        <v>0</v>
      </c>
      <c r="AD376" s="5"/>
    </row>
    <row r="377" spans="1:31">
      <c r="B377" s="459" t="s">
        <v>368</v>
      </c>
      <c r="C377" s="469">
        <v>0</v>
      </c>
      <c r="D377" s="469">
        <v>0</v>
      </c>
      <c r="E377" s="469">
        <v>0</v>
      </c>
      <c r="F377" s="469">
        <v>0</v>
      </c>
      <c r="G377" s="469">
        <v>0</v>
      </c>
      <c r="H377" s="469">
        <v>0</v>
      </c>
      <c r="I377" s="469">
        <v>0</v>
      </c>
      <c r="J377" s="469">
        <v>0</v>
      </c>
      <c r="K377" s="469">
        <v>0</v>
      </c>
      <c r="L377" s="469">
        <v>0</v>
      </c>
      <c r="M377" s="469">
        <v>0</v>
      </c>
      <c r="N377" s="469">
        <v>0</v>
      </c>
      <c r="O377" s="469">
        <v>0</v>
      </c>
      <c r="P377" s="469">
        <v>0</v>
      </c>
      <c r="Q377" s="469">
        <v>0</v>
      </c>
      <c r="R377" s="469">
        <v>0</v>
      </c>
      <c r="S377" s="469">
        <v>0</v>
      </c>
      <c r="T377" s="469">
        <v>0</v>
      </c>
      <c r="U377" s="469">
        <v>0</v>
      </c>
      <c r="V377" s="469">
        <v>0</v>
      </c>
      <c r="W377" s="469">
        <v>0</v>
      </c>
      <c r="X377" s="469">
        <v>0</v>
      </c>
      <c r="Y377" s="469">
        <v>0</v>
      </c>
      <c r="Z377" s="469">
        <v>0</v>
      </c>
      <c r="AA377" s="469">
        <v>0</v>
      </c>
      <c r="AB377" s="469">
        <v>0</v>
      </c>
      <c r="AC377" s="469">
        <v>0</v>
      </c>
    </row>
    <row r="378" spans="1:31">
      <c r="A378" s="392"/>
      <c r="B378" s="410" t="s">
        <v>16</v>
      </c>
      <c r="C378" s="399">
        <f>SUM(C370:C377)</f>
        <v>31276.118540280986</v>
      </c>
      <c r="D378" s="399">
        <f t="shared" ref="D378:AC378" si="163">SUM(D370:D377)</f>
        <v>435.19149385547126</v>
      </c>
      <c r="E378" s="399">
        <f>SUM(E370:E377)</f>
        <v>7622.0930610573196</v>
      </c>
      <c r="F378" s="399">
        <f t="shared" si="163"/>
        <v>1551.9093827676475</v>
      </c>
      <c r="G378" s="399">
        <f t="shared" si="163"/>
        <v>737.03191607760743</v>
      </c>
      <c r="H378" s="399">
        <f t="shared" si="163"/>
        <v>554.51713599955724</v>
      </c>
      <c r="I378" s="399">
        <f t="shared" si="163"/>
        <v>285.68437258778692</v>
      </c>
      <c r="J378" s="399">
        <f t="shared" si="163"/>
        <v>769.50577172521423</v>
      </c>
      <c r="K378" s="399">
        <f t="shared" si="163"/>
        <v>1335.9499798250479</v>
      </c>
      <c r="L378" s="399">
        <f t="shared" si="163"/>
        <v>566.16320344762289</v>
      </c>
      <c r="M378" s="399">
        <f t="shared" si="163"/>
        <v>639.11185847443028</v>
      </c>
      <c r="N378" s="399">
        <f t="shared" si="163"/>
        <v>1133.4816009734384</v>
      </c>
      <c r="O378" s="399">
        <f t="shared" si="163"/>
        <v>961.85938421931269</v>
      </c>
      <c r="P378" s="399">
        <f t="shared" si="163"/>
        <v>872.35861089184232</v>
      </c>
      <c r="Q378" s="399">
        <f t="shared" si="163"/>
        <v>3525.4749048173276</v>
      </c>
      <c r="R378" s="399">
        <f t="shared" si="163"/>
        <v>1153.8869884003554</v>
      </c>
      <c r="S378" s="399">
        <f t="shared" si="163"/>
        <v>1299.5736671311431</v>
      </c>
      <c r="T378" s="399">
        <f t="shared" si="163"/>
        <v>1260.4324784412986</v>
      </c>
      <c r="U378" s="399">
        <f t="shared" si="163"/>
        <v>795.17788054022265</v>
      </c>
      <c r="V378" s="399">
        <f t="shared" si="163"/>
        <v>1780.3554187858515</v>
      </c>
      <c r="W378" s="399">
        <f t="shared" si="163"/>
        <v>232.39789425769783</v>
      </c>
      <c r="X378" s="399">
        <f t="shared" si="163"/>
        <v>986.01597898071293</v>
      </c>
      <c r="Y378" s="399">
        <f t="shared" si="163"/>
        <v>530.90140271719213</v>
      </c>
      <c r="Z378" s="399">
        <f t="shared" si="163"/>
        <v>433.1068265527486</v>
      </c>
      <c r="AA378" s="399">
        <f t="shared" si="163"/>
        <v>470.6017726937697</v>
      </c>
      <c r="AB378" s="399">
        <f t="shared" si="163"/>
        <v>866.68930093951155</v>
      </c>
      <c r="AC378" s="399">
        <f t="shared" si="163"/>
        <v>476.64625412085695</v>
      </c>
      <c r="AD378" s="5"/>
    </row>
    <row r="380" spans="1:31" s="459" customFormat="1"/>
    <row r="382" spans="1:31" ht="15.6">
      <c r="A382" s="401" t="s">
        <v>469</v>
      </c>
      <c r="B382" s="401"/>
      <c r="C382" s="401"/>
      <c r="D382" s="391"/>
      <c r="E382" s="391"/>
      <c r="F382" s="391"/>
      <c r="G382" s="391"/>
      <c r="H382" s="391"/>
      <c r="I382" s="391"/>
      <c r="J382" s="391"/>
      <c r="K382" s="391"/>
      <c r="L382" s="391"/>
      <c r="M382" s="391"/>
      <c r="N382" s="391"/>
      <c r="O382" s="391"/>
      <c r="P382" s="391"/>
      <c r="Q382" s="391"/>
      <c r="R382" s="391"/>
      <c r="S382" s="391"/>
      <c r="T382" s="391"/>
      <c r="U382" s="391"/>
      <c r="V382" s="391"/>
      <c r="W382" s="391"/>
      <c r="X382" s="391"/>
      <c r="Y382" s="391"/>
      <c r="Z382" s="391"/>
      <c r="AA382" s="391"/>
      <c r="AB382" s="391"/>
      <c r="AC382" s="391"/>
      <c r="AD382" s="391"/>
    </row>
    <row r="383" spans="1:31">
      <c r="A383" s="132" t="s">
        <v>360</v>
      </c>
      <c r="B383" s="132" t="s">
        <v>361</v>
      </c>
      <c r="C383" s="130" t="str">
        <f>Regions!C3</f>
        <v>IE</v>
      </c>
      <c r="D383" s="130" t="str">
        <f>Regions!E3</f>
        <v>IE-CW</v>
      </c>
      <c r="E383" s="130" t="str">
        <f>Regions!F3</f>
        <v>IE-D</v>
      </c>
      <c r="F383" s="130" t="str">
        <f>Regions!G3</f>
        <v>IE-KE</v>
      </c>
      <c r="G383" s="130" t="str">
        <f>Regions!H3</f>
        <v>IE-KK</v>
      </c>
      <c r="H383" s="130" t="str">
        <f>Regions!I3</f>
        <v>IE-LS</v>
      </c>
      <c r="I383" s="130" t="str">
        <f>Regions!J3</f>
        <v>IE-LD</v>
      </c>
      <c r="J383" s="130" t="str">
        <f>Regions!K3</f>
        <v>IE-LH</v>
      </c>
      <c r="K383" s="130" t="str">
        <f>Regions!L3</f>
        <v>IE-MH</v>
      </c>
      <c r="L383" s="130" t="str">
        <f>Regions!M3</f>
        <v>IE-OY</v>
      </c>
      <c r="M383" s="130" t="str">
        <f>Regions!N3</f>
        <v>IE-WH</v>
      </c>
      <c r="N383" s="130" t="str">
        <f>Regions!O3</f>
        <v>IE-WX</v>
      </c>
      <c r="O383" s="130" t="str">
        <f>Regions!P3</f>
        <v>IE-WW</v>
      </c>
      <c r="P383" s="130" t="str">
        <f>Regions!Q3</f>
        <v>IE-CE</v>
      </c>
      <c r="Q383" s="130" t="str">
        <f>Regions!R3</f>
        <v>IE-CO</v>
      </c>
      <c r="R383" s="130" t="str">
        <f>Regions!S3</f>
        <v>IE-KY</v>
      </c>
      <c r="S383" s="130" t="str">
        <f>Regions!T3</f>
        <v>IE-LK</v>
      </c>
      <c r="T383" s="130" t="str">
        <f>Regions!U3</f>
        <v>IE-TA</v>
      </c>
      <c r="U383" s="130" t="str">
        <f>Regions!V3</f>
        <v>IE-WD</v>
      </c>
      <c r="V383" s="130" t="str">
        <f>Regions!W3</f>
        <v>IE-G</v>
      </c>
      <c r="W383" s="130" t="str">
        <f>Regions!X3</f>
        <v>IE-LM</v>
      </c>
      <c r="X383" s="130" t="str">
        <f>Regions!Y3</f>
        <v>IE-MO</v>
      </c>
      <c r="Y383" s="130" t="str">
        <f>Regions!Z3</f>
        <v>IE-RN</v>
      </c>
      <c r="Z383" s="130" t="str">
        <f>Regions!AA3</f>
        <v>IE-SO</v>
      </c>
      <c r="AA383" s="130" t="str">
        <f>Regions!AB3</f>
        <v>IE-CN</v>
      </c>
      <c r="AB383" s="130" t="str">
        <f>Regions!AC3</f>
        <v>IE-DL</v>
      </c>
      <c r="AC383" s="130" t="str">
        <f>Regions!AD3</f>
        <v>IE-MN</v>
      </c>
      <c r="AD383" s="391"/>
    </row>
    <row r="384" spans="1:31">
      <c r="A384" s="391" t="s">
        <v>367</v>
      </c>
      <c r="B384" s="459" t="s">
        <v>362</v>
      </c>
      <c r="C384" s="616">
        <v>0</v>
      </c>
      <c r="D384" s="616">
        <v>0</v>
      </c>
      <c r="E384" s="616">
        <v>0</v>
      </c>
      <c r="F384" s="616">
        <v>0</v>
      </c>
      <c r="G384" s="36">
        <v>0</v>
      </c>
      <c r="H384" s="36">
        <v>0</v>
      </c>
      <c r="I384" s="36">
        <v>0</v>
      </c>
      <c r="J384" s="36">
        <v>0</v>
      </c>
      <c r="K384" s="36">
        <v>0</v>
      </c>
      <c r="L384" s="36">
        <v>0</v>
      </c>
      <c r="M384" s="36">
        <v>0</v>
      </c>
      <c r="N384" s="36">
        <v>0</v>
      </c>
      <c r="O384" s="36">
        <v>0</v>
      </c>
      <c r="P384" s="36">
        <v>0</v>
      </c>
      <c r="Q384" s="36">
        <v>0</v>
      </c>
      <c r="R384" s="36">
        <v>0</v>
      </c>
      <c r="S384" s="36">
        <v>0</v>
      </c>
      <c r="T384" s="36">
        <v>0</v>
      </c>
      <c r="U384" s="36">
        <v>0</v>
      </c>
      <c r="V384" s="36">
        <v>0</v>
      </c>
      <c r="W384" s="36">
        <v>0</v>
      </c>
      <c r="X384" s="36">
        <v>0</v>
      </c>
      <c r="Y384" s="36">
        <v>0</v>
      </c>
      <c r="Z384" s="36">
        <v>0</v>
      </c>
      <c r="AA384" s="36">
        <v>0</v>
      </c>
      <c r="AB384" s="36">
        <v>0</v>
      </c>
      <c r="AC384" s="36">
        <v>0</v>
      </c>
      <c r="AD384" s="5"/>
    </row>
    <row r="385" spans="1:30">
      <c r="A385" s="391"/>
      <c r="B385" s="459" t="s">
        <v>363</v>
      </c>
      <c r="C385" s="616">
        <v>0</v>
      </c>
      <c r="D385" s="616">
        <v>0</v>
      </c>
      <c r="E385" s="616">
        <v>0</v>
      </c>
      <c r="F385" s="616">
        <v>0</v>
      </c>
      <c r="G385" s="36">
        <v>0</v>
      </c>
      <c r="H385" s="36">
        <v>0</v>
      </c>
      <c r="I385" s="36">
        <v>0</v>
      </c>
      <c r="J385" s="36">
        <v>0</v>
      </c>
      <c r="K385" s="36">
        <v>0</v>
      </c>
      <c r="L385" s="36">
        <v>0</v>
      </c>
      <c r="M385" s="36">
        <v>0</v>
      </c>
      <c r="N385" s="36">
        <v>0</v>
      </c>
      <c r="O385" s="36">
        <v>0</v>
      </c>
      <c r="P385" s="36">
        <v>0</v>
      </c>
      <c r="Q385" s="36">
        <v>0</v>
      </c>
      <c r="R385" s="36">
        <v>0</v>
      </c>
      <c r="S385" s="36">
        <v>0</v>
      </c>
      <c r="T385" s="36">
        <v>0</v>
      </c>
      <c r="U385" s="36">
        <v>0</v>
      </c>
      <c r="V385" s="36">
        <v>0</v>
      </c>
      <c r="W385" s="36">
        <v>0</v>
      </c>
      <c r="X385" s="36">
        <v>0</v>
      </c>
      <c r="Y385" s="36">
        <v>0</v>
      </c>
      <c r="Z385" s="36">
        <v>0</v>
      </c>
      <c r="AA385" s="36">
        <v>0</v>
      </c>
      <c r="AB385" s="36">
        <v>0</v>
      </c>
      <c r="AC385" s="36">
        <v>0</v>
      </c>
      <c r="AD385" s="5"/>
    </row>
    <row r="386" spans="1:30">
      <c r="A386" s="391" t="s">
        <v>364</v>
      </c>
      <c r="B386" s="459" t="s">
        <v>370</v>
      </c>
      <c r="C386" s="616">
        <v>0</v>
      </c>
      <c r="D386" s="616">
        <v>0</v>
      </c>
      <c r="E386" s="616">
        <v>0</v>
      </c>
      <c r="F386" s="616">
        <v>0</v>
      </c>
      <c r="G386" s="36">
        <v>0</v>
      </c>
      <c r="H386" s="36">
        <v>0</v>
      </c>
      <c r="I386" s="36">
        <v>0</v>
      </c>
      <c r="J386" s="36">
        <v>0</v>
      </c>
      <c r="K386" s="36">
        <v>0</v>
      </c>
      <c r="L386" s="36">
        <v>0</v>
      </c>
      <c r="M386" s="36">
        <v>0</v>
      </c>
      <c r="N386" s="36">
        <v>0</v>
      </c>
      <c r="O386" s="36">
        <v>0</v>
      </c>
      <c r="P386" s="36">
        <v>0</v>
      </c>
      <c r="Q386" s="36">
        <v>0</v>
      </c>
      <c r="R386" s="36">
        <v>0</v>
      </c>
      <c r="S386" s="36">
        <v>0</v>
      </c>
      <c r="T386" s="36">
        <v>0</v>
      </c>
      <c r="U386" s="36">
        <v>0</v>
      </c>
      <c r="V386" s="36">
        <v>0</v>
      </c>
      <c r="W386" s="36">
        <v>0</v>
      </c>
      <c r="X386" s="36">
        <v>0</v>
      </c>
      <c r="Y386" s="36">
        <v>0</v>
      </c>
      <c r="Z386" s="36">
        <v>0</v>
      </c>
      <c r="AA386" s="36">
        <v>0</v>
      </c>
      <c r="AB386" s="36">
        <v>0</v>
      </c>
      <c r="AC386" s="36">
        <v>0</v>
      </c>
      <c r="AD386" s="5"/>
    </row>
    <row r="387" spans="1:30">
      <c r="A387" s="391"/>
      <c r="B387" s="459" t="s">
        <v>369</v>
      </c>
      <c r="C387" s="36">
        <f>C323</f>
        <v>20106.843113292791</v>
      </c>
      <c r="D387" s="36">
        <f t="shared" ref="D387:AC387" si="164">D143-D359-D373</f>
        <v>295.64777516001561</v>
      </c>
      <c r="E387" s="36">
        <f t="shared" si="164"/>
        <v>4253.6393511207552</v>
      </c>
      <c r="F387" s="36">
        <f t="shared" si="164"/>
        <v>1017.1624778662165</v>
      </c>
      <c r="G387" s="36">
        <f t="shared" si="164"/>
        <v>462.1941588985502</v>
      </c>
      <c r="H387" s="36">
        <f t="shared" si="164"/>
        <v>376.12656461756251</v>
      </c>
      <c r="I387" s="36">
        <f t="shared" si="164"/>
        <v>190.0193639969855</v>
      </c>
      <c r="J387" s="36">
        <f t="shared" si="164"/>
        <v>504.1101950743556</v>
      </c>
      <c r="K387" s="36">
        <f t="shared" si="164"/>
        <v>900.91533753864883</v>
      </c>
      <c r="L387" s="36">
        <f t="shared" si="164"/>
        <v>368.30223786474545</v>
      </c>
      <c r="M387" s="36">
        <f t="shared" si="164"/>
        <v>438.72117864009897</v>
      </c>
      <c r="N387" s="36">
        <f t="shared" si="164"/>
        <v>774.04946804654378</v>
      </c>
      <c r="O387" s="36">
        <f t="shared" si="164"/>
        <v>648.86024000147108</v>
      </c>
      <c r="P387" s="36">
        <f t="shared" si="164"/>
        <v>598.56099659050449</v>
      </c>
      <c r="Q387" s="36">
        <f t="shared" si="164"/>
        <v>2402.0683131148344</v>
      </c>
      <c r="R387" s="36">
        <f t="shared" si="164"/>
        <v>714.24925643572794</v>
      </c>
      <c r="S387" s="36">
        <f t="shared" si="164"/>
        <v>883.03116210363851</v>
      </c>
      <c r="T387" s="36">
        <f t="shared" si="164"/>
        <v>845.58616978658551</v>
      </c>
      <c r="U387" s="36">
        <f t="shared" si="164"/>
        <v>549.93839462656979</v>
      </c>
      <c r="V387" s="36">
        <f t="shared" si="164"/>
        <v>1156.8825984522352</v>
      </c>
      <c r="W387" s="36">
        <f t="shared" si="164"/>
        <v>159.28093746806138</v>
      </c>
      <c r="X387" s="36">
        <f t="shared" si="164"/>
        <v>634.88822794286921</v>
      </c>
      <c r="Y387" s="36">
        <f t="shared" si="164"/>
        <v>369.41999882943361</v>
      </c>
      <c r="Z387" s="36">
        <f t="shared" si="164"/>
        <v>293.41225323063946</v>
      </c>
      <c r="AA387" s="36">
        <f t="shared" si="164"/>
        <v>342.59373567691802</v>
      </c>
      <c r="AB387" s="36">
        <f t="shared" si="164"/>
        <v>652.21352289553545</v>
      </c>
      <c r="AC387" s="36">
        <f t="shared" si="164"/>
        <v>274.96919731328495</v>
      </c>
      <c r="AD387" s="5"/>
    </row>
    <row r="388" spans="1:30">
      <c r="A388" s="391" t="s">
        <v>326</v>
      </c>
      <c r="B388" s="459" t="s">
        <v>366</v>
      </c>
      <c r="C388" s="36">
        <f>C332</f>
        <v>329.43614424109597</v>
      </c>
      <c r="D388" s="36">
        <f t="shared" ref="D388:AC388" si="165">D147-D360-D374</f>
        <v>1.9609294300065239</v>
      </c>
      <c r="E388" s="36">
        <f t="shared" si="165"/>
        <v>168.63993098056102</v>
      </c>
      <c r="F388" s="36">
        <f t="shared" si="165"/>
        <v>13.726506010045668</v>
      </c>
      <c r="G388" s="36">
        <f t="shared" si="165"/>
        <v>3.529672974011743</v>
      </c>
      <c r="H388" s="36">
        <f t="shared" si="165"/>
        <v>3.529672974011743</v>
      </c>
      <c r="I388" s="36">
        <f t="shared" si="165"/>
        <v>1.5687435440052186</v>
      </c>
      <c r="J388" s="36">
        <f t="shared" si="165"/>
        <v>9.8046471500326184</v>
      </c>
      <c r="K388" s="36">
        <f t="shared" si="165"/>
        <v>16.471807212054792</v>
      </c>
      <c r="L388" s="36">
        <f t="shared" si="165"/>
        <v>2.3531153160078278</v>
      </c>
      <c r="M388" s="36">
        <f t="shared" si="165"/>
        <v>4.7062306320156555</v>
      </c>
      <c r="N388" s="36">
        <f t="shared" si="165"/>
        <v>4.3140447460143516</v>
      </c>
      <c r="O388" s="36">
        <f t="shared" si="165"/>
        <v>5.4906024040182633</v>
      </c>
      <c r="P388" s="36">
        <f t="shared" si="165"/>
        <v>5.4906024040182633</v>
      </c>
      <c r="Q388" s="36">
        <f t="shared" si="165"/>
        <v>27.453012020091336</v>
      </c>
      <c r="R388" s="36">
        <f t="shared" si="165"/>
        <v>7.0593459480234859</v>
      </c>
      <c r="S388" s="36">
        <f t="shared" si="165"/>
        <v>10.589018922035223</v>
      </c>
      <c r="T388" s="36">
        <f t="shared" si="165"/>
        <v>3.9218588600130477</v>
      </c>
      <c r="U388" s="36">
        <f t="shared" si="165"/>
        <v>4.3140447460143516</v>
      </c>
      <c r="V388" s="36">
        <f t="shared" si="165"/>
        <v>14.903063668049583</v>
      </c>
      <c r="W388" s="36">
        <f t="shared" si="165"/>
        <v>1.1765576580039139</v>
      </c>
      <c r="X388" s="36">
        <f t="shared" si="165"/>
        <v>4.3140447460143516</v>
      </c>
      <c r="Y388" s="36">
        <f t="shared" si="165"/>
        <v>1.9609294300065239</v>
      </c>
      <c r="Z388" s="36">
        <f t="shared" si="165"/>
        <v>2.3531153160078278</v>
      </c>
      <c r="AA388" s="36">
        <f t="shared" si="165"/>
        <v>2.7453012020091325</v>
      </c>
      <c r="AB388" s="36">
        <f t="shared" si="165"/>
        <v>5.8827882900195725</v>
      </c>
      <c r="AC388" s="36">
        <f t="shared" si="165"/>
        <v>1.1765576580039139</v>
      </c>
      <c r="AD388" s="5"/>
    </row>
    <row r="389" spans="1:30">
      <c r="A389" s="391"/>
      <c r="B389" s="459" t="s">
        <v>617</v>
      </c>
      <c r="C389" s="36">
        <f>C349</f>
        <v>4414.2152854397546</v>
      </c>
      <c r="D389" s="36">
        <f t="shared" ref="D389:AC389" si="166">D148-D361-D375</f>
        <v>49.016564417177911</v>
      </c>
      <c r="E389" s="36">
        <f t="shared" si="166"/>
        <v>1593.0383435582823</v>
      </c>
      <c r="F389" s="36">
        <f t="shared" si="166"/>
        <v>208.32039877300616</v>
      </c>
      <c r="G389" s="36">
        <f t="shared" si="166"/>
        <v>134.79555214723931</v>
      </c>
      <c r="H389" s="36">
        <f t="shared" si="166"/>
        <v>61.270705521472408</v>
      </c>
      <c r="I389" s="36">
        <f t="shared" si="166"/>
        <v>36.762423312883435</v>
      </c>
      <c r="J389" s="36">
        <f t="shared" si="166"/>
        <v>98.033128834355821</v>
      </c>
      <c r="K389" s="36">
        <f t="shared" si="166"/>
        <v>134.79555214723931</v>
      </c>
      <c r="L389" s="36">
        <f t="shared" si="166"/>
        <v>85.778987730061345</v>
      </c>
      <c r="M389" s="36">
        <f t="shared" si="166"/>
        <v>61.270705521472408</v>
      </c>
      <c r="N389" s="36">
        <f t="shared" si="166"/>
        <v>122.54141104294482</v>
      </c>
      <c r="O389" s="36">
        <f t="shared" si="166"/>
        <v>110.28726993865034</v>
      </c>
      <c r="P389" s="36">
        <f t="shared" si="166"/>
        <v>85.778987730061345</v>
      </c>
      <c r="Q389" s="36">
        <f t="shared" si="166"/>
        <v>355.37009202453999</v>
      </c>
      <c r="R389" s="36">
        <f t="shared" si="166"/>
        <v>220.57453987730068</v>
      </c>
      <c r="S389" s="36">
        <f t="shared" si="166"/>
        <v>134.79555214723931</v>
      </c>
      <c r="T389" s="36">
        <f t="shared" si="166"/>
        <v>159.30383435582823</v>
      </c>
      <c r="U389" s="36">
        <f t="shared" si="166"/>
        <v>73.52484662576687</v>
      </c>
      <c r="V389" s="36">
        <f t="shared" si="166"/>
        <v>257.33696319018406</v>
      </c>
      <c r="W389" s="36">
        <f t="shared" si="166"/>
        <v>24.508282208588955</v>
      </c>
      <c r="X389" s="36">
        <f t="shared" si="166"/>
        <v>159.30383435582823</v>
      </c>
      <c r="Y389" s="36">
        <f t="shared" si="166"/>
        <v>49.016564417177911</v>
      </c>
      <c r="Z389" s="36">
        <f t="shared" si="166"/>
        <v>49.016564417177911</v>
      </c>
      <c r="AA389" s="36">
        <f t="shared" si="166"/>
        <v>20.488148960935398</v>
      </c>
      <c r="AB389" s="36">
        <f t="shared" si="166"/>
        <v>6.7446211413954167</v>
      </c>
      <c r="AC389" s="36">
        <f t="shared" si="166"/>
        <v>122.54141104294482</v>
      </c>
      <c r="AD389" s="5"/>
    </row>
    <row r="390" spans="1:30">
      <c r="A390" s="391"/>
      <c r="B390" s="459" t="s">
        <v>604</v>
      </c>
      <c r="C390" s="36">
        <v>0</v>
      </c>
      <c r="D390" s="36">
        <v>0</v>
      </c>
      <c r="E390" s="36">
        <v>0</v>
      </c>
      <c r="F390" s="36">
        <v>0</v>
      </c>
      <c r="G390" s="36">
        <v>0</v>
      </c>
      <c r="H390" s="36">
        <v>0</v>
      </c>
      <c r="I390" s="36">
        <v>0</v>
      </c>
      <c r="J390" s="36">
        <v>0</v>
      </c>
      <c r="K390" s="36">
        <v>0</v>
      </c>
      <c r="L390" s="36">
        <v>0</v>
      </c>
      <c r="M390" s="36">
        <v>0</v>
      </c>
      <c r="N390" s="36">
        <v>0</v>
      </c>
      <c r="O390" s="36">
        <v>0</v>
      </c>
      <c r="P390" s="36">
        <v>0</v>
      </c>
      <c r="Q390" s="36">
        <v>0</v>
      </c>
      <c r="R390" s="36">
        <v>0</v>
      </c>
      <c r="S390" s="36">
        <v>0</v>
      </c>
      <c r="T390" s="36">
        <v>0</v>
      </c>
      <c r="U390" s="36">
        <v>0</v>
      </c>
      <c r="V390" s="36">
        <v>0</v>
      </c>
      <c r="W390" s="36">
        <v>0</v>
      </c>
      <c r="X390" s="36">
        <v>0</v>
      </c>
      <c r="Y390" s="36">
        <v>0</v>
      </c>
      <c r="Z390" s="36">
        <v>0</v>
      </c>
      <c r="AA390" s="36">
        <v>0</v>
      </c>
      <c r="AB390" s="36">
        <v>0</v>
      </c>
      <c r="AC390" s="36">
        <v>0</v>
      </c>
      <c r="AD390" s="5"/>
    </row>
    <row r="391" spans="1:30" ht="13.95" customHeight="1">
      <c r="A391" s="391"/>
      <c r="B391" s="459" t="s">
        <v>368</v>
      </c>
      <c r="C391" s="36">
        <f t="shared" ref="C391:AC391" si="167">C150*1</f>
        <v>2281.0830000000001</v>
      </c>
      <c r="D391" s="36">
        <f t="shared" si="167"/>
        <v>27.272217367775003</v>
      </c>
      <c r="E391" s="36">
        <f t="shared" si="167"/>
        <v>645.42730837539557</v>
      </c>
      <c r="F391" s="36">
        <f t="shared" si="167"/>
        <v>106.58640928123741</v>
      </c>
      <c r="G391" s="36">
        <f t="shared" si="167"/>
        <v>47.535246853071193</v>
      </c>
      <c r="H391" s="36">
        <f t="shared" si="167"/>
        <v>40.572525019293884</v>
      </c>
      <c r="I391" s="36">
        <f t="shared" si="167"/>
        <v>19.579451634811139</v>
      </c>
      <c r="J391" s="36">
        <f t="shared" si="167"/>
        <v>61.739486812834848</v>
      </c>
      <c r="K391" s="36">
        <f t="shared" si="167"/>
        <v>93.43220621584183</v>
      </c>
      <c r="L391" s="36">
        <f t="shared" si="167"/>
        <v>37.345769307403692</v>
      </c>
      <c r="M391" s="36">
        <f t="shared" si="167"/>
        <v>42.523620033327248</v>
      </c>
      <c r="N391" s="36">
        <f t="shared" si="167"/>
        <v>71.721543749350261</v>
      </c>
      <c r="O391" s="36">
        <f t="shared" si="167"/>
        <v>68.226051405279179</v>
      </c>
      <c r="P391" s="36">
        <f t="shared" si="167"/>
        <v>56.917077407906312</v>
      </c>
      <c r="Q391" s="36">
        <f t="shared" si="167"/>
        <v>260.0508342937062</v>
      </c>
      <c r="R391" s="36">
        <f t="shared" si="167"/>
        <v>70.756295418076704</v>
      </c>
      <c r="S391" s="36">
        <f t="shared" si="167"/>
        <v>93.362746658504534</v>
      </c>
      <c r="T391" s="36">
        <f t="shared" si="167"/>
        <v>76.430901736819465</v>
      </c>
      <c r="U391" s="36">
        <f t="shared" si="167"/>
        <v>55.651955401507564</v>
      </c>
      <c r="V391" s="36">
        <f t="shared" si="167"/>
        <v>123.6178927403443</v>
      </c>
      <c r="W391" s="36">
        <f t="shared" si="167"/>
        <v>15.35008314011421</v>
      </c>
      <c r="X391" s="36">
        <f t="shared" si="167"/>
        <v>62.516954823582736</v>
      </c>
      <c r="Y391" s="36">
        <f t="shared" si="167"/>
        <v>30.918604612268489</v>
      </c>
      <c r="Z391" s="36">
        <f t="shared" si="167"/>
        <v>31.393324759311717</v>
      </c>
      <c r="AA391" s="36">
        <f t="shared" si="167"/>
        <v>36.490698205009984</v>
      </c>
      <c r="AB391" s="36">
        <f t="shared" si="167"/>
        <v>76.257971390621051</v>
      </c>
      <c r="AC391" s="36">
        <f t="shared" si="167"/>
        <v>29.405823356605008</v>
      </c>
      <c r="AD391" s="5"/>
    </row>
    <row r="392" spans="1:30">
      <c r="A392" s="458"/>
      <c r="B392" s="410" t="s">
        <v>16</v>
      </c>
      <c r="C392" s="399">
        <f>SUM(C384:C391)</f>
        <v>27131.577542973639</v>
      </c>
      <c r="D392" s="399">
        <f t="shared" ref="D392:AC392" si="168">SUM(D384:D391)</f>
        <v>373.89748637497502</v>
      </c>
      <c r="E392" s="399">
        <f t="shared" si="168"/>
        <v>6660.744934034994</v>
      </c>
      <c r="F392" s="399">
        <f t="shared" si="168"/>
        <v>1345.7957919305056</v>
      </c>
      <c r="G392" s="399">
        <f t="shared" si="168"/>
        <v>648.05463087287239</v>
      </c>
      <c r="H392" s="399">
        <f t="shared" si="168"/>
        <v>481.49946813234055</v>
      </c>
      <c r="I392" s="399">
        <f t="shared" si="168"/>
        <v>247.92998248868531</v>
      </c>
      <c r="J392" s="399">
        <f t="shared" si="168"/>
        <v>673.68745787157877</v>
      </c>
      <c r="K392" s="399">
        <f t="shared" si="168"/>
        <v>1145.614903113785</v>
      </c>
      <c r="L392" s="399">
        <f t="shared" si="168"/>
        <v>493.78011021821834</v>
      </c>
      <c r="M392" s="399">
        <f t="shared" si="168"/>
        <v>547.22173482691426</v>
      </c>
      <c r="N392" s="399">
        <f t="shared" si="168"/>
        <v>972.62646758485323</v>
      </c>
      <c r="O392" s="399">
        <f t="shared" si="168"/>
        <v>832.86416374941882</v>
      </c>
      <c r="P392" s="399">
        <f t="shared" si="168"/>
        <v>746.7476641324904</v>
      </c>
      <c r="Q392" s="399">
        <f t="shared" si="168"/>
        <v>3044.9422514531716</v>
      </c>
      <c r="R392" s="399">
        <f t="shared" si="168"/>
        <v>1012.6394376791288</v>
      </c>
      <c r="S392" s="399">
        <f t="shared" si="168"/>
        <v>1121.7784798314174</v>
      </c>
      <c r="T392" s="399">
        <f t="shared" si="168"/>
        <v>1085.2427647392462</v>
      </c>
      <c r="U392" s="399">
        <f t="shared" si="168"/>
        <v>683.42924139985848</v>
      </c>
      <c r="V392" s="399">
        <f t="shared" si="168"/>
        <v>1552.7405180508131</v>
      </c>
      <c r="W392" s="399">
        <f t="shared" si="168"/>
        <v>200.31586047476844</v>
      </c>
      <c r="X392" s="399">
        <f t="shared" si="168"/>
        <v>861.02306186829458</v>
      </c>
      <c r="Y392" s="399">
        <f t="shared" si="168"/>
        <v>451.31609728888651</v>
      </c>
      <c r="Z392" s="399">
        <f t="shared" si="168"/>
        <v>376.17525772313689</v>
      </c>
      <c r="AA392" s="399">
        <f t="shared" si="168"/>
        <v>402.31788404487259</v>
      </c>
      <c r="AB392" s="399">
        <f t="shared" si="168"/>
        <v>741.09890371757149</v>
      </c>
      <c r="AC392" s="399">
        <f t="shared" si="168"/>
        <v>428.09298937083867</v>
      </c>
    </row>
    <row r="393" spans="1:30">
      <c r="B393" t="s">
        <v>217</v>
      </c>
      <c r="C393" s="5">
        <f t="shared" ref="C393:AC393" si="169">C392+C378+C364-C151</f>
        <v>0</v>
      </c>
      <c r="D393" s="5">
        <f t="shared" si="169"/>
        <v>0</v>
      </c>
      <c r="E393" s="5">
        <f t="shared" si="169"/>
        <v>0</v>
      </c>
      <c r="F393" s="5">
        <f t="shared" si="169"/>
        <v>0</v>
      </c>
      <c r="G393" s="5">
        <f t="shared" si="169"/>
        <v>0</v>
      </c>
      <c r="H393" s="5">
        <f t="shared" si="169"/>
        <v>0</v>
      </c>
      <c r="I393" s="5">
        <f t="shared" si="169"/>
        <v>0</v>
      </c>
      <c r="J393" s="5">
        <f t="shared" si="169"/>
        <v>0</v>
      </c>
      <c r="K393" s="5">
        <f t="shared" si="169"/>
        <v>0</v>
      </c>
      <c r="L393" s="5">
        <f t="shared" si="169"/>
        <v>0</v>
      </c>
      <c r="M393" s="5">
        <f t="shared" si="169"/>
        <v>0</v>
      </c>
      <c r="N393" s="5">
        <f t="shared" si="169"/>
        <v>0</v>
      </c>
      <c r="O393" s="5">
        <f t="shared" si="169"/>
        <v>0</v>
      </c>
      <c r="P393" s="5">
        <f t="shared" si="169"/>
        <v>0</v>
      </c>
      <c r="Q393" s="5">
        <f t="shared" si="169"/>
        <v>0</v>
      </c>
      <c r="R393" s="5">
        <f t="shared" si="169"/>
        <v>0</v>
      </c>
      <c r="S393" s="5">
        <f t="shared" si="169"/>
        <v>0</v>
      </c>
      <c r="T393" s="5">
        <f t="shared" si="169"/>
        <v>0</v>
      </c>
      <c r="U393" s="5">
        <f t="shared" si="169"/>
        <v>0</v>
      </c>
      <c r="V393" s="5">
        <f t="shared" si="169"/>
        <v>0</v>
      </c>
      <c r="W393" s="5">
        <f t="shared" si="169"/>
        <v>0</v>
      </c>
      <c r="X393" s="5">
        <f t="shared" si="169"/>
        <v>0</v>
      </c>
      <c r="Y393" s="5">
        <f t="shared" si="169"/>
        <v>0</v>
      </c>
      <c r="Z393" s="5">
        <f t="shared" si="169"/>
        <v>0</v>
      </c>
      <c r="AA393" s="5">
        <f t="shared" si="169"/>
        <v>0</v>
      </c>
      <c r="AB393" s="5">
        <f t="shared" si="169"/>
        <v>0</v>
      </c>
      <c r="AC393" s="5">
        <f t="shared" si="169"/>
        <v>0</v>
      </c>
    </row>
    <row r="396" spans="1:30" s="520" customFormat="1" ht="18">
      <c r="A396" s="522" t="s">
        <v>715</v>
      </c>
    </row>
    <row r="398" spans="1:30" s="459" customFormat="1" ht="15.6">
      <c r="A398" s="401" t="s">
        <v>725</v>
      </c>
    </row>
    <row r="399" spans="1:30" s="459" customFormat="1">
      <c r="A399" s="132" t="s">
        <v>758</v>
      </c>
      <c r="B399" s="132" t="s">
        <v>489</v>
      </c>
      <c r="C399" s="130" t="str">
        <f>C383</f>
        <v>IE</v>
      </c>
      <c r="D399" s="130" t="str">
        <f t="shared" ref="D399:AC399" si="170">D383</f>
        <v>IE-CW</v>
      </c>
      <c r="E399" s="130" t="str">
        <f t="shared" si="170"/>
        <v>IE-D</v>
      </c>
      <c r="F399" s="130" t="str">
        <f t="shared" si="170"/>
        <v>IE-KE</v>
      </c>
      <c r="G399" s="130" t="str">
        <f t="shared" si="170"/>
        <v>IE-KK</v>
      </c>
      <c r="H399" s="130" t="str">
        <f t="shared" si="170"/>
        <v>IE-LS</v>
      </c>
      <c r="I399" s="130" t="str">
        <f t="shared" si="170"/>
        <v>IE-LD</v>
      </c>
      <c r="J399" s="130" t="str">
        <f t="shared" si="170"/>
        <v>IE-LH</v>
      </c>
      <c r="K399" s="130" t="str">
        <f t="shared" si="170"/>
        <v>IE-MH</v>
      </c>
      <c r="L399" s="130" t="str">
        <f t="shared" si="170"/>
        <v>IE-OY</v>
      </c>
      <c r="M399" s="130" t="str">
        <f t="shared" si="170"/>
        <v>IE-WH</v>
      </c>
      <c r="N399" s="130" t="str">
        <f t="shared" si="170"/>
        <v>IE-WX</v>
      </c>
      <c r="O399" s="130" t="str">
        <f t="shared" si="170"/>
        <v>IE-WW</v>
      </c>
      <c r="P399" s="130" t="str">
        <f t="shared" si="170"/>
        <v>IE-CE</v>
      </c>
      <c r="Q399" s="130" t="str">
        <f t="shared" si="170"/>
        <v>IE-CO</v>
      </c>
      <c r="R399" s="130" t="str">
        <f t="shared" si="170"/>
        <v>IE-KY</v>
      </c>
      <c r="S399" s="130" t="str">
        <f t="shared" si="170"/>
        <v>IE-LK</v>
      </c>
      <c r="T399" s="130" t="str">
        <f t="shared" si="170"/>
        <v>IE-TA</v>
      </c>
      <c r="U399" s="130" t="str">
        <f t="shared" si="170"/>
        <v>IE-WD</v>
      </c>
      <c r="V399" s="130" t="str">
        <f t="shared" si="170"/>
        <v>IE-G</v>
      </c>
      <c r="W399" s="130" t="str">
        <f t="shared" si="170"/>
        <v>IE-LM</v>
      </c>
      <c r="X399" s="130" t="str">
        <f t="shared" si="170"/>
        <v>IE-MO</v>
      </c>
      <c r="Y399" s="130" t="str">
        <f t="shared" si="170"/>
        <v>IE-RN</v>
      </c>
      <c r="Z399" s="130" t="str">
        <f t="shared" si="170"/>
        <v>IE-SO</v>
      </c>
      <c r="AA399" s="130" t="str">
        <f t="shared" si="170"/>
        <v>IE-CN</v>
      </c>
      <c r="AB399" s="130" t="str">
        <f t="shared" si="170"/>
        <v>IE-DL</v>
      </c>
      <c r="AC399" s="130" t="str">
        <f t="shared" si="170"/>
        <v>IE-MN</v>
      </c>
    </row>
    <row r="400" spans="1:30" s="459" customFormat="1">
      <c r="B400" s="459" t="s">
        <v>19</v>
      </c>
      <c r="C400" s="36">
        <f>SUM(D400:AC400)</f>
        <v>353571</v>
      </c>
      <c r="D400" s="459">
        <v>5799</v>
      </c>
      <c r="E400" s="459">
        <v>74245</v>
      </c>
      <c r="F400" s="459">
        <v>16042</v>
      </c>
      <c r="G400" s="459">
        <v>8206</v>
      </c>
      <c r="H400" s="459">
        <v>6014</v>
      </c>
      <c r="I400" s="459">
        <v>3931</v>
      </c>
      <c r="J400" s="459">
        <v>8128</v>
      </c>
      <c r="K400" s="459">
        <v>14762</v>
      </c>
      <c r="L400" s="459">
        <v>6515</v>
      </c>
      <c r="M400" s="459">
        <v>8096</v>
      </c>
      <c r="N400" s="459">
        <v>13961</v>
      </c>
      <c r="O400" s="459">
        <v>9390</v>
      </c>
      <c r="P400" s="459">
        <v>9420</v>
      </c>
      <c r="Q400" s="459">
        <v>41391</v>
      </c>
      <c r="R400" s="459">
        <v>11899</v>
      </c>
      <c r="S400" s="459">
        <v>13635</v>
      </c>
      <c r="T400" s="459">
        <v>13935</v>
      </c>
      <c r="U400" s="459">
        <v>8132</v>
      </c>
      <c r="V400" s="459">
        <v>20314</v>
      </c>
      <c r="W400" s="459">
        <v>3401</v>
      </c>
      <c r="X400" s="459">
        <v>13343</v>
      </c>
      <c r="Y400" s="459">
        <v>6369</v>
      </c>
      <c r="Z400" s="459">
        <v>6037</v>
      </c>
      <c r="AA400" s="459">
        <v>8043</v>
      </c>
      <c r="AB400" s="459">
        <v>14606</v>
      </c>
      <c r="AC400" s="459">
        <v>7957</v>
      </c>
    </row>
    <row r="401" spans="1:29" s="459" customFormat="1">
      <c r="A401" s="1"/>
      <c r="B401" s="1" t="s">
        <v>20</v>
      </c>
      <c r="C401" s="37">
        <f t="shared" ref="C401:C402" si="171">SUM(D401:AC401)</f>
        <v>667</v>
      </c>
      <c r="D401" s="1">
        <v>9</v>
      </c>
      <c r="E401" s="1">
        <v>178</v>
      </c>
      <c r="F401" s="1">
        <v>42</v>
      </c>
      <c r="G401" s="1">
        <v>12</v>
      </c>
      <c r="H401" s="1">
        <v>17</v>
      </c>
      <c r="I401" s="1">
        <v>5</v>
      </c>
      <c r="J401" s="1">
        <v>11</v>
      </c>
      <c r="K401" s="1">
        <v>19</v>
      </c>
      <c r="L401" s="1">
        <v>7</v>
      </c>
      <c r="M401" s="1">
        <v>9</v>
      </c>
      <c r="N401" s="1">
        <v>20</v>
      </c>
      <c r="O401" s="1">
        <v>36</v>
      </c>
      <c r="P401" s="1">
        <v>12</v>
      </c>
      <c r="Q401" s="1">
        <v>103</v>
      </c>
      <c r="R401" s="1">
        <v>19</v>
      </c>
      <c r="S401" s="1">
        <v>10</v>
      </c>
      <c r="T401" s="1">
        <v>21</v>
      </c>
      <c r="U401" s="1">
        <v>26</v>
      </c>
      <c r="V401" s="1">
        <v>37</v>
      </c>
      <c r="W401" s="1">
        <v>2</v>
      </c>
      <c r="X401" s="1">
        <v>17</v>
      </c>
      <c r="Y401" s="1">
        <v>11</v>
      </c>
      <c r="Z401" s="1">
        <v>8</v>
      </c>
      <c r="AA401" s="1">
        <v>5</v>
      </c>
      <c r="AB401" s="1">
        <v>20</v>
      </c>
      <c r="AC401" s="1">
        <v>11</v>
      </c>
    </row>
    <row r="402" spans="1:29" s="459" customFormat="1">
      <c r="A402" s="458"/>
      <c r="B402" s="458" t="s">
        <v>221</v>
      </c>
      <c r="C402" s="504">
        <f t="shared" si="171"/>
        <v>223</v>
      </c>
      <c r="D402" s="458">
        <v>1</v>
      </c>
      <c r="E402" s="458">
        <v>100</v>
      </c>
      <c r="F402" s="458">
        <v>7</v>
      </c>
      <c r="G402" s="458">
        <v>3</v>
      </c>
      <c r="H402" s="458">
        <v>4</v>
      </c>
      <c r="I402" s="458">
        <v>3</v>
      </c>
      <c r="J402" s="458">
        <v>4</v>
      </c>
      <c r="K402" s="458">
        <v>2</v>
      </c>
      <c r="L402" s="458">
        <v>3</v>
      </c>
      <c r="M402" s="458">
        <v>5</v>
      </c>
      <c r="N402" s="458">
        <v>8</v>
      </c>
      <c r="O402" s="458">
        <v>10</v>
      </c>
      <c r="P402" s="458">
        <v>4</v>
      </c>
      <c r="Q402" s="458">
        <v>28</v>
      </c>
      <c r="R402" s="458">
        <v>2</v>
      </c>
      <c r="S402" s="458">
        <v>4</v>
      </c>
      <c r="T402" s="458">
        <v>6</v>
      </c>
      <c r="U402" s="458">
        <v>4</v>
      </c>
      <c r="V402" s="458">
        <v>7</v>
      </c>
      <c r="W402" s="458">
        <v>0</v>
      </c>
      <c r="X402" s="458">
        <v>2</v>
      </c>
      <c r="Y402" s="458">
        <v>3</v>
      </c>
      <c r="Z402" s="458">
        <v>1</v>
      </c>
      <c r="AA402" s="458">
        <v>2</v>
      </c>
      <c r="AB402" s="458">
        <v>9</v>
      </c>
      <c r="AC402" s="458">
        <v>1</v>
      </c>
    </row>
    <row r="403" spans="1:29" s="459" customFormat="1">
      <c r="A403" s="459" t="s">
        <v>761</v>
      </c>
    </row>
    <row r="407" spans="1:29" ht="15.6">
      <c r="A407" s="401" t="s">
        <v>725</v>
      </c>
      <c r="B407" s="459"/>
      <c r="C407" s="459"/>
      <c r="D407" s="459"/>
      <c r="E407" s="459"/>
      <c r="F407" s="459"/>
      <c r="G407" s="459"/>
      <c r="H407" s="459"/>
      <c r="I407" s="459"/>
      <c r="J407" s="459"/>
      <c r="K407" s="459"/>
      <c r="L407" s="459"/>
      <c r="M407" s="459"/>
      <c r="N407" s="459"/>
      <c r="O407" s="459"/>
      <c r="P407" s="459"/>
      <c r="Q407" s="459"/>
      <c r="R407" s="459"/>
      <c r="S407" s="459"/>
      <c r="T407" s="459"/>
      <c r="U407" s="459"/>
      <c r="V407" s="459"/>
      <c r="W407" s="459"/>
      <c r="X407" s="459"/>
      <c r="Y407" s="459"/>
      <c r="Z407" s="459"/>
      <c r="AA407" s="459"/>
      <c r="AB407" s="459"/>
      <c r="AC407" s="459"/>
    </row>
    <row r="408" spans="1:29" ht="17.399999999999999">
      <c r="A408" s="132"/>
      <c r="B408" s="132" t="s">
        <v>723</v>
      </c>
      <c r="C408" s="132" t="str">
        <f t="shared" ref="C408:AC408" si="172">C421</f>
        <v>IE</v>
      </c>
      <c r="D408" s="132" t="str">
        <f t="shared" si="172"/>
        <v>IE-CW</v>
      </c>
      <c r="E408" s="132" t="str">
        <f t="shared" si="172"/>
        <v>IE-D</v>
      </c>
      <c r="F408" s="132" t="str">
        <f t="shared" si="172"/>
        <v>IE-KE</v>
      </c>
      <c r="G408" s="132" t="str">
        <f t="shared" si="172"/>
        <v>IE-KK</v>
      </c>
      <c r="H408" s="132" t="str">
        <f t="shared" si="172"/>
        <v>IE-LS</v>
      </c>
      <c r="I408" s="132" t="str">
        <f t="shared" si="172"/>
        <v>IE-LD</v>
      </c>
      <c r="J408" s="132" t="str">
        <f t="shared" si="172"/>
        <v>IE-LH</v>
      </c>
      <c r="K408" s="132" t="str">
        <f t="shared" si="172"/>
        <v>IE-MH</v>
      </c>
      <c r="L408" s="132" t="str">
        <f t="shared" si="172"/>
        <v>IE-OY</v>
      </c>
      <c r="M408" s="132" t="str">
        <f t="shared" si="172"/>
        <v>IE-WH</v>
      </c>
      <c r="N408" s="132" t="str">
        <f t="shared" si="172"/>
        <v>IE-WX</v>
      </c>
      <c r="O408" s="132" t="str">
        <f t="shared" si="172"/>
        <v>IE-WW</v>
      </c>
      <c r="P408" s="132" t="str">
        <f t="shared" si="172"/>
        <v>IE-CE</v>
      </c>
      <c r="Q408" s="132" t="str">
        <f t="shared" si="172"/>
        <v>IE-CO</v>
      </c>
      <c r="R408" s="132" t="str">
        <f t="shared" si="172"/>
        <v>IE-KY</v>
      </c>
      <c r="S408" s="132" t="str">
        <f t="shared" si="172"/>
        <v>IE-LK</v>
      </c>
      <c r="T408" s="132" t="str">
        <f t="shared" si="172"/>
        <v>IE-TA</v>
      </c>
      <c r="U408" s="132" t="str">
        <f t="shared" si="172"/>
        <v>IE-WD</v>
      </c>
      <c r="V408" s="132" t="str">
        <f t="shared" si="172"/>
        <v>IE-G</v>
      </c>
      <c r="W408" s="132" t="str">
        <f t="shared" si="172"/>
        <v>IE-LM</v>
      </c>
      <c r="X408" s="132" t="str">
        <f t="shared" si="172"/>
        <v>IE-MO</v>
      </c>
      <c r="Y408" s="132" t="str">
        <f t="shared" si="172"/>
        <v>IE-RN</v>
      </c>
      <c r="Z408" s="132" t="str">
        <f t="shared" si="172"/>
        <v>IE-SO</v>
      </c>
      <c r="AA408" s="132" t="str">
        <f t="shared" si="172"/>
        <v>IE-CN</v>
      </c>
      <c r="AB408" s="132" t="str">
        <f t="shared" si="172"/>
        <v>IE-DL</v>
      </c>
      <c r="AC408" s="132" t="str">
        <f t="shared" si="172"/>
        <v>IE-MN</v>
      </c>
    </row>
    <row r="409" spans="1:29">
      <c r="A409" s="459"/>
      <c r="B409" s="459" t="s">
        <v>717</v>
      </c>
      <c r="C409" s="36">
        <v>229657</v>
      </c>
      <c r="D409" s="36">
        <v>3711</v>
      </c>
      <c r="E409" s="36">
        <v>48144</v>
      </c>
      <c r="F409" s="36">
        <v>9597</v>
      </c>
      <c r="G409" s="36">
        <v>4919</v>
      </c>
      <c r="H409" s="36">
        <v>3043</v>
      </c>
      <c r="I409" s="36">
        <v>2475</v>
      </c>
      <c r="J409" s="36">
        <v>4988</v>
      </c>
      <c r="K409" s="36">
        <v>8559</v>
      </c>
      <c r="L409" s="36">
        <v>4284</v>
      </c>
      <c r="M409" s="36">
        <v>5530</v>
      </c>
      <c r="N409" s="36">
        <v>8717</v>
      </c>
      <c r="O409" s="36">
        <v>4898</v>
      </c>
      <c r="P409" s="36">
        <v>6532</v>
      </c>
      <c r="Q409" s="36">
        <v>28505</v>
      </c>
      <c r="R409" s="36">
        <v>8217</v>
      </c>
      <c r="S409" s="36">
        <v>7756</v>
      </c>
      <c r="T409" s="36">
        <v>8701</v>
      </c>
      <c r="U409" s="36">
        <v>5432</v>
      </c>
      <c r="V409" s="36">
        <v>14036</v>
      </c>
      <c r="W409" s="36">
        <v>2540</v>
      </c>
      <c r="X409" s="36">
        <v>9106</v>
      </c>
      <c r="Y409" s="36">
        <v>4418</v>
      </c>
      <c r="Z409" s="36">
        <v>4261</v>
      </c>
      <c r="AA409" s="36">
        <v>5521</v>
      </c>
      <c r="AB409" s="36">
        <v>10888</v>
      </c>
      <c r="AC409" s="36">
        <v>4878</v>
      </c>
    </row>
    <row r="410" spans="1:29">
      <c r="A410" s="459"/>
      <c r="B410" s="459" t="s">
        <v>718</v>
      </c>
      <c r="C410" s="36">
        <v>92117</v>
      </c>
      <c r="D410" s="36">
        <v>1561</v>
      </c>
      <c r="E410" s="36">
        <v>19530</v>
      </c>
      <c r="F410" s="36">
        <v>4829</v>
      </c>
      <c r="G410" s="36">
        <v>2340</v>
      </c>
      <c r="H410" s="36">
        <v>2319</v>
      </c>
      <c r="I410" s="36">
        <v>1054</v>
      </c>
      <c r="J410" s="36">
        <v>2166</v>
      </c>
      <c r="K410" s="36">
        <v>4322</v>
      </c>
      <c r="L410" s="36">
        <v>1753</v>
      </c>
      <c r="M410" s="36">
        <v>2065</v>
      </c>
      <c r="N410" s="36">
        <v>3492</v>
      </c>
      <c r="O410" s="36">
        <v>3935</v>
      </c>
      <c r="P410" s="36">
        <v>2286</v>
      </c>
      <c r="Q410" s="36">
        <v>9293</v>
      </c>
      <c r="R410" s="36">
        <v>2924</v>
      </c>
      <c r="S410" s="36">
        <v>4251</v>
      </c>
      <c r="T410" s="36">
        <v>3802</v>
      </c>
      <c r="U410" s="36">
        <v>2165</v>
      </c>
      <c r="V410" s="36">
        <v>4748</v>
      </c>
      <c r="W410" s="36">
        <v>655</v>
      </c>
      <c r="X410" s="36">
        <v>3424</v>
      </c>
      <c r="Y410" s="36">
        <v>1492</v>
      </c>
      <c r="Z410" s="36">
        <v>1348</v>
      </c>
      <c r="AA410" s="36">
        <v>1856</v>
      </c>
      <c r="AB410" s="36">
        <v>2709</v>
      </c>
      <c r="AC410" s="36">
        <v>1798</v>
      </c>
    </row>
    <row r="411" spans="1:29">
      <c r="A411" s="459"/>
      <c r="B411" s="459" t="s">
        <v>719</v>
      </c>
      <c r="C411" s="36">
        <v>4540</v>
      </c>
      <c r="D411" s="36">
        <v>61</v>
      </c>
      <c r="E411" s="36">
        <v>1127</v>
      </c>
      <c r="F411" s="36">
        <v>228</v>
      </c>
      <c r="G411" s="36">
        <v>101</v>
      </c>
      <c r="H411" s="36">
        <v>89</v>
      </c>
      <c r="I411" s="36">
        <v>51</v>
      </c>
      <c r="J411" s="36">
        <v>152</v>
      </c>
      <c r="K411" s="36">
        <v>179</v>
      </c>
      <c r="L411" s="36">
        <v>70</v>
      </c>
      <c r="M411" s="36">
        <v>86</v>
      </c>
      <c r="N411" s="36">
        <v>151</v>
      </c>
      <c r="O411" s="36">
        <v>108</v>
      </c>
      <c r="P411" s="36">
        <v>103</v>
      </c>
      <c r="Q411" s="36">
        <v>552</v>
      </c>
      <c r="R411" s="36">
        <v>112</v>
      </c>
      <c r="S411" s="36">
        <v>239</v>
      </c>
      <c r="T411" s="36">
        <v>201</v>
      </c>
      <c r="U411" s="36">
        <v>105</v>
      </c>
      <c r="V411" s="36">
        <v>254</v>
      </c>
      <c r="W411" s="36">
        <v>30</v>
      </c>
      <c r="X411" s="36">
        <v>113</v>
      </c>
      <c r="Y411" s="36">
        <v>56</v>
      </c>
      <c r="Z411" s="36">
        <v>99</v>
      </c>
      <c r="AA411" s="36">
        <v>73</v>
      </c>
      <c r="AB411" s="36">
        <v>134</v>
      </c>
      <c r="AC411" s="36">
        <v>68</v>
      </c>
    </row>
    <row r="412" spans="1:29">
      <c r="A412" s="459"/>
      <c r="B412" s="459" t="s">
        <v>720</v>
      </c>
      <c r="C412" s="36">
        <v>6494</v>
      </c>
      <c r="D412" s="36">
        <v>86</v>
      </c>
      <c r="E412" s="36">
        <v>1839</v>
      </c>
      <c r="F412" s="36">
        <v>325</v>
      </c>
      <c r="G412" s="36">
        <v>148</v>
      </c>
      <c r="H412" s="36">
        <v>128</v>
      </c>
      <c r="I412" s="36">
        <v>83</v>
      </c>
      <c r="J412" s="36">
        <v>220</v>
      </c>
      <c r="K412" s="36">
        <v>300</v>
      </c>
      <c r="L412" s="36">
        <v>96</v>
      </c>
      <c r="M412" s="36">
        <v>112</v>
      </c>
      <c r="N412" s="36">
        <v>238</v>
      </c>
      <c r="O412" s="36">
        <v>99</v>
      </c>
      <c r="P412" s="36">
        <v>117</v>
      </c>
      <c r="Q412" s="36">
        <v>615</v>
      </c>
      <c r="R412" s="36">
        <v>150</v>
      </c>
      <c r="S412" s="36">
        <v>461</v>
      </c>
      <c r="T412" s="36">
        <v>208</v>
      </c>
      <c r="U412" s="36">
        <v>102</v>
      </c>
      <c r="V412" s="36">
        <v>293</v>
      </c>
      <c r="W412" s="36">
        <v>44</v>
      </c>
      <c r="X412" s="36">
        <v>148</v>
      </c>
      <c r="Y412" s="36">
        <v>92</v>
      </c>
      <c r="Z412" s="36">
        <v>106</v>
      </c>
      <c r="AA412" s="36">
        <v>111</v>
      </c>
      <c r="AB412" s="36">
        <v>184</v>
      </c>
      <c r="AC412" s="36">
        <v>188</v>
      </c>
    </row>
    <row r="413" spans="1:29">
      <c r="A413" s="459"/>
      <c r="B413" s="459" t="s">
        <v>721</v>
      </c>
      <c r="C413" s="36">
        <v>8222</v>
      </c>
      <c r="D413" s="36">
        <v>137</v>
      </c>
      <c r="E413" s="36">
        <v>1618</v>
      </c>
      <c r="F413" s="36">
        <v>431</v>
      </c>
      <c r="G413" s="36">
        <v>252</v>
      </c>
      <c r="H413" s="36">
        <v>159</v>
      </c>
      <c r="I413" s="36">
        <v>83</v>
      </c>
      <c r="J413" s="36">
        <v>323</v>
      </c>
      <c r="K413" s="36">
        <v>592</v>
      </c>
      <c r="L413" s="36">
        <v>94</v>
      </c>
      <c r="M413" s="36">
        <v>118</v>
      </c>
      <c r="N413" s="36">
        <v>721</v>
      </c>
      <c r="O413" s="36">
        <v>134</v>
      </c>
      <c r="P413" s="36">
        <v>109</v>
      </c>
      <c r="Q413" s="36">
        <v>769</v>
      </c>
      <c r="R413" s="36">
        <v>139</v>
      </c>
      <c r="S413" s="36">
        <v>261</v>
      </c>
      <c r="T413" s="36">
        <v>301</v>
      </c>
      <c r="U413" s="36">
        <v>149</v>
      </c>
      <c r="V413" s="36">
        <v>329</v>
      </c>
      <c r="W413" s="36">
        <v>50</v>
      </c>
      <c r="X413" s="36">
        <v>212</v>
      </c>
      <c r="Y413" s="36">
        <v>129</v>
      </c>
      <c r="Z413" s="36">
        <v>87</v>
      </c>
      <c r="AA413" s="36">
        <v>262</v>
      </c>
      <c r="AB413" s="36">
        <v>332</v>
      </c>
      <c r="AC413" s="36">
        <v>430</v>
      </c>
    </row>
    <row r="414" spans="1:29">
      <c r="A414" s="459"/>
      <c r="B414" s="459" t="s">
        <v>722</v>
      </c>
      <c r="C414" s="36">
        <v>13429</v>
      </c>
      <c r="D414" s="36">
        <v>253</v>
      </c>
      <c r="E414" s="36">
        <v>2265</v>
      </c>
      <c r="F414" s="36">
        <v>681</v>
      </c>
      <c r="G414" s="36">
        <v>461</v>
      </c>
      <c r="H414" s="36">
        <v>296</v>
      </c>
      <c r="I414" s="36">
        <v>193</v>
      </c>
      <c r="J414" s="36">
        <v>294</v>
      </c>
      <c r="K414" s="36">
        <v>832</v>
      </c>
      <c r="L414" s="36">
        <v>229</v>
      </c>
      <c r="M414" s="36">
        <v>198</v>
      </c>
      <c r="N414" s="36">
        <v>669</v>
      </c>
      <c r="O414" s="36">
        <v>262</v>
      </c>
      <c r="P414" s="36">
        <v>288</v>
      </c>
      <c r="Q414" s="36">
        <v>1789</v>
      </c>
      <c r="R414" s="36">
        <v>377</v>
      </c>
      <c r="S414" s="36">
        <v>680</v>
      </c>
      <c r="T414" s="36">
        <v>749</v>
      </c>
      <c r="U414" s="36">
        <v>209</v>
      </c>
      <c r="V414" s="36">
        <v>697</v>
      </c>
      <c r="W414" s="36">
        <v>85</v>
      </c>
      <c r="X414" s="36">
        <v>358</v>
      </c>
      <c r="Y414" s="36">
        <v>197</v>
      </c>
      <c r="Z414" s="36">
        <v>145</v>
      </c>
      <c r="AA414" s="36">
        <v>226</v>
      </c>
      <c r="AB414" s="36">
        <v>388</v>
      </c>
      <c r="AC414" s="36">
        <v>606</v>
      </c>
    </row>
    <row r="415" spans="1:29">
      <c r="A415" s="501"/>
      <c r="B415" s="501" t="s">
        <v>16</v>
      </c>
      <c r="C415" s="524">
        <f>SUM(C409:C414)</f>
        <v>354459</v>
      </c>
      <c r="D415" s="524">
        <f t="shared" ref="D415" si="173">SUM(D409:D414)</f>
        <v>5809</v>
      </c>
      <c r="E415" s="524">
        <f t="shared" ref="E415" si="174">SUM(E409:E414)</f>
        <v>74523</v>
      </c>
      <c r="F415" s="524">
        <f t="shared" ref="F415" si="175">SUM(F409:F414)</f>
        <v>16091</v>
      </c>
      <c r="G415" s="524">
        <f t="shared" ref="G415" si="176">SUM(G409:G414)</f>
        <v>8221</v>
      </c>
      <c r="H415" s="524">
        <f t="shared" ref="H415" si="177">SUM(H409:H414)</f>
        <v>6034</v>
      </c>
      <c r="I415" s="524">
        <f t="shared" ref="I415" si="178">SUM(I409:I414)</f>
        <v>3939</v>
      </c>
      <c r="J415" s="524">
        <f t="shared" ref="J415" si="179">SUM(J409:J414)</f>
        <v>8143</v>
      </c>
      <c r="K415" s="524">
        <f t="shared" ref="K415" si="180">SUM(K409:K414)</f>
        <v>14784</v>
      </c>
      <c r="L415" s="524">
        <f t="shared" ref="L415" si="181">SUM(L409:L414)</f>
        <v>6526</v>
      </c>
      <c r="M415" s="524">
        <f t="shared" ref="M415" si="182">SUM(M409:M414)</f>
        <v>8109</v>
      </c>
      <c r="N415" s="524">
        <f t="shared" ref="N415" si="183">SUM(N409:N414)</f>
        <v>13988</v>
      </c>
      <c r="O415" s="524">
        <f t="shared" ref="O415" si="184">SUM(O409:O414)</f>
        <v>9436</v>
      </c>
      <c r="P415" s="524">
        <f t="shared" ref="P415" si="185">SUM(P409:P414)</f>
        <v>9435</v>
      </c>
      <c r="Q415" s="524">
        <f t="shared" ref="Q415" si="186">SUM(Q409:Q414)</f>
        <v>41523</v>
      </c>
      <c r="R415" s="524">
        <f t="shared" ref="R415" si="187">SUM(R409:R414)</f>
        <v>11919</v>
      </c>
      <c r="S415" s="524">
        <f t="shared" ref="S415" si="188">SUM(S409:S414)</f>
        <v>13648</v>
      </c>
      <c r="T415" s="524">
        <f t="shared" ref="T415" si="189">SUM(T409:T414)</f>
        <v>13962</v>
      </c>
      <c r="U415" s="524">
        <f t="shared" ref="U415" si="190">SUM(U409:U414)</f>
        <v>8162</v>
      </c>
      <c r="V415" s="524">
        <f t="shared" ref="V415" si="191">SUM(V409:V414)</f>
        <v>20357</v>
      </c>
      <c r="W415" s="524">
        <f t="shared" ref="W415" si="192">SUM(W409:W414)</f>
        <v>3404</v>
      </c>
      <c r="X415" s="524">
        <f t="shared" ref="X415" si="193">SUM(X409:X414)</f>
        <v>13361</v>
      </c>
      <c r="Y415" s="524">
        <f t="shared" ref="Y415" si="194">SUM(Y409:Y414)</f>
        <v>6384</v>
      </c>
      <c r="Z415" s="524">
        <f t="shared" ref="Z415" si="195">SUM(Z409:Z414)</f>
        <v>6046</v>
      </c>
      <c r="AA415" s="524">
        <f t="shared" ref="AA415" si="196">SUM(AA409:AA414)</f>
        <v>8049</v>
      </c>
      <c r="AB415" s="524">
        <f t="shared" ref="AB415" si="197">SUM(AB409:AB414)</f>
        <v>14635</v>
      </c>
      <c r="AC415" s="524">
        <f t="shared" ref="AC415" si="198">SUM(AC409:AC414)</f>
        <v>7968</v>
      </c>
    </row>
    <row r="416" spans="1:29">
      <c r="A416" s="459" t="s">
        <v>724</v>
      </c>
      <c r="B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c r="A417" s="459"/>
      <c r="B417" s="459"/>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20" spans="1:29" ht="15.6">
      <c r="A420" s="401" t="s">
        <v>726</v>
      </c>
    </row>
    <row r="421" spans="1:29" ht="17.399999999999999">
      <c r="A421" s="132"/>
      <c r="B421" s="132" t="s">
        <v>723</v>
      </c>
      <c r="C421" s="132" t="str">
        <f t="shared" ref="C421:AC421" si="199">C383</f>
        <v>IE</v>
      </c>
      <c r="D421" s="132" t="str">
        <f t="shared" si="199"/>
        <v>IE-CW</v>
      </c>
      <c r="E421" s="132" t="str">
        <f t="shared" si="199"/>
        <v>IE-D</v>
      </c>
      <c r="F421" s="132" t="str">
        <f t="shared" si="199"/>
        <v>IE-KE</v>
      </c>
      <c r="G421" s="132" t="str">
        <f t="shared" si="199"/>
        <v>IE-KK</v>
      </c>
      <c r="H421" s="132" t="str">
        <f t="shared" si="199"/>
        <v>IE-LS</v>
      </c>
      <c r="I421" s="132" t="str">
        <f t="shared" si="199"/>
        <v>IE-LD</v>
      </c>
      <c r="J421" s="132" t="str">
        <f t="shared" si="199"/>
        <v>IE-LH</v>
      </c>
      <c r="K421" s="132" t="str">
        <f t="shared" si="199"/>
        <v>IE-MH</v>
      </c>
      <c r="L421" s="132" t="str">
        <f t="shared" si="199"/>
        <v>IE-OY</v>
      </c>
      <c r="M421" s="132" t="str">
        <f t="shared" si="199"/>
        <v>IE-WH</v>
      </c>
      <c r="N421" s="132" t="str">
        <f t="shared" si="199"/>
        <v>IE-WX</v>
      </c>
      <c r="O421" s="132" t="str">
        <f t="shared" si="199"/>
        <v>IE-WW</v>
      </c>
      <c r="P421" s="132" t="str">
        <f t="shared" si="199"/>
        <v>IE-CE</v>
      </c>
      <c r="Q421" s="132" t="str">
        <f t="shared" si="199"/>
        <v>IE-CO</v>
      </c>
      <c r="R421" s="132" t="str">
        <f t="shared" si="199"/>
        <v>IE-KY</v>
      </c>
      <c r="S421" s="132" t="str">
        <f t="shared" si="199"/>
        <v>IE-LK</v>
      </c>
      <c r="T421" s="132" t="str">
        <f t="shared" si="199"/>
        <v>IE-TA</v>
      </c>
      <c r="U421" s="132" t="str">
        <f t="shared" si="199"/>
        <v>IE-WD</v>
      </c>
      <c r="V421" s="132" t="str">
        <f t="shared" si="199"/>
        <v>IE-G</v>
      </c>
      <c r="W421" s="132" t="str">
        <f t="shared" si="199"/>
        <v>IE-LM</v>
      </c>
      <c r="X421" s="132" t="str">
        <f t="shared" si="199"/>
        <v>IE-MO</v>
      </c>
      <c r="Y421" s="132" t="str">
        <f t="shared" si="199"/>
        <v>IE-RN</v>
      </c>
      <c r="Z421" s="132" t="str">
        <f t="shared" si="199"/>
        <v>IE-SO</v>
      </c>
      <c r="AA421" s="132" t="str">
        <f t="shared" si="199"/>
        <v>IE-CN</v>
      </c>
      <c r="AB421" s="132" t="str">
        <f t="shared" si="199"/>
        <v>IE-DL</v>
      </c>
      <c r="AC421" s="132" t="str">
        <f t="shared" si="199"/>
        <v>IE-MN</v>
      </c>
    </row>
    <row r="422" spans="1:29">
      <c r="B422" s="459" t="s">
        <v>717</v>
      </c>
      <c r="C422" s="459">
        <v>4320</v>
      </c>
      <c r="D422" s="459">
        <v>68</v>
      </c>
      <c r="E422" s="459">
        <v>1005</v>
      </c>
      <c r="F422" s="459">
        <v>189</v>
      </c>
      <c r="G422" s="459">
        <v>86</v>
      </c>
      <c r="H422" s="459">
        <v>56</v>
      </c>
      <c r="I422" s="459">
        <v>45</v>
      </c>
      <c r="J422" s="459">
        <v>96</v>
      </c>
      <c r="K422" s="459">
        <v>165</v>
      </c>
      <c r="L422" s="459">
        <v>80</v>
      </c>
      <c r="M422" s="459">
        <v>107</v>
      </c>
      <c r="N422" s="459">
        <v>165</v>
      </c>
      <c r="O422" s="459">
        <v>87</v>
      </c>
      <c r="P422" s="459">
        <v>121</v>
      </c>
      <c r="Q422" s="459">
        <v>507</v>
      </c>
      <c r="R422" s="459">
        <v>145</v>
      </c>
      <c r="S422" s="459">
        <v>145</v>
      </c>
      <c r="T422" s="459">
        <v>155</v>
      </c>
      <c r="U422" s="459">
        <v>96</v>
      </c>
      <c r="V422" s="459">
        <v>262</v>
      </c>
      <c r="W422" s="459">
        <v>46</v>
      </c>
      <c r="X422" s="459">
        <v>163</v>
      </c>
      <c r="Y422" s="459">
        <v>82</v>
      </c>
      <c r="Z422" s="459">
        <v>76</v>
      </c>
      <c r="AA422" s="459">
        <v>98</v>
      </c>
      <c r="AB422" s="459">
        <v>189</v>
      </c>
      <c r="AC422" s="459">
        <v>88</v>
      </c>
    </row>
    <row r="423" spans="1:29">
      <c r="B423" s="459" t="s">
        <v>718</v>
      </c>
      <c r="C423" s="459">
        <v>2098</v>
      </c>
      <c r="D423" s="459">
        <v>36</v>
      </c>
      <c r="E423" s="459">
        <v>466</v>
      </c>
      <c r="F423" s="459">
        <v>112</v>
      </c>
      <c r="G423" s="459">
        <v>53</v>
      </c>
      <c r="H423" s="459">
        <v>53</v>
      </c>
      <c r="I423" s="459">
        <v>24</v>
      </c>
      <c r="J423" s="459">
        <v>49</v>
      </c>
      <c r="K423" s="459">
        <v>107</v>
      </c>
      <c r="L423" s="459">
        <v>38</v>
      </c>
      <c r="M423" s="459">
        <v>45</v>
      </c>
      <c r="N423" s="459">
        <v>78</v>
      </c>
      <c r="O423" s="459">
        <v>87</v>
      </c>
      <c r="P423" s="459">
        <v>51</v>
      </c>
      <c r="Q423" s="459">
        <v>201</v>
      </c>
      <c r="R423" s="459">
        <v>65</v>
      </c>
      <c r="S423" s="459">
        <v>100</v>
      </c>
      <c r="T423" s="459">
        <v>84</v>
      </c>
      <c r="U423" s="459">
        <v>43</v>
      </c>
      <c r="V423" s="459">
        <v>105</v>
      </c>
      <c r="W423" s="459">
        <v>15</v>
      </c>
      <c r="X423" s="459">
        <v>78</v>
      </c>
      <c r="Y423" s="459">
        <v>34</v>
      </c>
      <c r="Z423" s="459">
        <v>29</v>
      </c>
      <c r="AA423" s="459">
        <v>45</v>
      </c>
      <c r="AB423" s="459">
        <v>58</v>
      </c>
      <c r="AC423" s="459">
        <v>43</v>
      </c>
    </row>
    <row r="424" spans="1:29">
      <c r="B424" s="459" t="s">
        <v>719</v>
      </c>
      <c r="C424" s="459">
        <v>113</v>
      </c>
      <c r="D424" s="459">
        <v>2</v>
      </c>
      <c r="E424" s="459">
        <v>33</v>
      </c>
      <c r="F424" s="459">
        <v>4</v>
      </c>
      <c r="G424" s="459">
        <v>2</v>
      </c>
      <c r="H424" s="459">
        <v>2</v>
      </c>
      <c r="I424" s="459">
        <v>1</v>
      </c>
      <c r="J424" s="459">
        <v>4</v>
      </c>
      <c r="K424" s="459">
        <v>4</v>
      </c>
      <c r="L424" s="459">
        <v>1</v>
      </c>
      <c r="M424" s="459">
        <v>2</v>
      </c>
      <c r="N424" s="459">
        <v>4</v>
      </c>
      <c r="O424" s="459">
        <v>2</v>
      </c>
      <c r="P424" s="459">
        <v>2</v>
      </c>
      <c r="Q424" s="459">
        <v>15</v>
      </c>
      <c r="R424" s="459">
        <v>2</v>
      </c>
      <c r="S424" s="459">
        <v>6</v>
      </c>
      <c r="T424" s="459">
        <v>5</v>
      </c>
      <c r="U424" s="459">
        <v>2</v>
      </c>
      <c r="V424" s="459">
        <v>6</v>
      </c>
      <c r="W424" s="459">
        <v>1</v>
      </c>
      <c r="X424" s="459">
        <v>2</v>
      </c>
      <c r="Y424" s="459">
        <v>2</v>
      </c>
      <c r="Z424" s="459">
        <v>2</v>
      </c>
      <c r="AA424" s="459">
        <v>2</v>
      </c>
      <c r="AB424" s="459">
        <v>3</v>
      </c>
      <c r="AC424" s="459">
        <v>2</v>
      </c>
    </row>
    <row r="425" spans="1:29">
      <c r="B425" s="459" t="s">
        <v>720</v>
      </c>
      <c r="C425" s="459">
        <v>220</v>
      </c>
      <c r="D425" s="459">
        <v>3</v>
      </c>
      <c r="E425" s="459">
        <v>69</v>
      </c>
      <c r="F425" s="459">
        <v>11</v>
      </c>
      <c r="G425" s="459">
        <v>4</v>
      </c>
      <c r="H425" s="459">
        <v>4</v>
      </c>
      <c r="I425" s="459">
        <v>2</v>
      </c>
      <c r="J425" s="459">
        <v>8</v>
      </c>
      <c r="K425" s="459">
        <v>10</v>
      </c>
      <c r="L425" s="459">
        <v>3</v>
      </c>
      <c r="M425" s="459">
        <v>4</v>
      </c>
      <c r="N425" s="459">
        <v>9</v>
      </c>
      <c r="O425" s="459">
        <v>3</v>
      </c>
      <c r="P425" s="459">
        <v>3</v>
      </c>
      <c r="Q425" s="459">
        <v>19</v>
      </c>
      <c r="R425" s="459">
        <v>5</v>
      </c>
      <c r="S425" s="459">
        <v>16</v>
      </c>
      <c r="T425" s="459">
        <v>6</v>
      </c>
      <c r="U425" s="459">
        <v>3</v>
      </c>
      <c r="V425" s="459">
        <v>9</v>
      </c>
      <c r="W425" s="459">
        <v>1</v>
      </c>
      <c r="X425" s="459">
        <v>5</v>
      </c>
      <c r="Y425" s="459">
        <v>4</v>
      </c>
      <c r="Z425" s="459">
        <v>3</v>
      </c>
      <c r="AA425" s="459">
        <v>4</v>
      </c>
      <c r="AB425" s="459">
        <v>5</v>
      </c>
      <c r="AC425" s="459">
        <v>6</v>
      </c>
    </row>
    <row r="426" spans="1:29">
      <c r="B426" s="459" t="s">
        <v>721</v>
      </c>
      <c r="C426" s="459">
        <v>360</v>
      </c>
      <c r="D426" s="459">
        <v>5</v>
      </c>
      <c r="E426" s="459">
        <v>71</v>
      </c>
      <c r="F426" s="459">
        <v>22</v>
      </c>
      <c r="G426" s="459">
        <v>13</v>
      </c>
      <c r="H426" s="459">
        <v>7</v>
      </c>
      <c r="I426" s="459">
        <v>3</v>
      </c>
      <c r="J426" s="459">
        <v>15</v>
      </c>
      <c r="K426" s="459">
        <v>30</v>
      </c>
      <c r="L426" s="459">
        <v>3</v>
      </c>
      <c r="M426" s="459">
        <v>5</v>
      </c>
      <c r="N426" s="459">
        <v>34</v>
      </c>
      <c r="O426" s="459">
        <v>5</v>
      </c>
      <c r="P426" s="459">
        <v>4</v>
      </c>
      <c r="Q426" s="459">
        <v>35</v>
      </c>
      <c r="R426" s="459">
        <v>5</v>
      </c>
      <c r="S426" s="459">
        <v>12</v>
      </c>
      <c r="T426" s="459">
        <v>10</v>
      </c>
      <c r="U426" s="459">
        <v>6</v>
      </c>
      <c r="V426" s="459">
        <v>11</v>
      </c>
      <c r="W426" s="459">
        <v>2</v>
      </c>
      <c r="X426" s="459">
        <v>6</v>
      </c>
      <c r="Y426" s="459">
        <v>5</v>
      </c>
      <c r="Z426" s="459">
        <v>3</v>
      </c>
      <c r="AA426" s="459">
        <v>14</v>
      </c>
      <c r="AB426" s="459">
        <v>12</v>
      </c>
      <c r="AC426" s="459">
        <v>20</v>
      </c>
    </row>
    <row r="427" spans="1:29">
      <c r="B427" s="459" t="s">
        <v>722</v>
      </c>
      <c r="C427" s="459">
        <v>780</v>
      </c>
      <c r="D427" s="459">
        <v>16</v>
      </c>
      <c r="E427" s="459">
        <v>126</v>
      </c>
      <c r="F427" s="459">
        <v>40</v>
      </c>
      <c r="G427" s="459">
        <v>30</v>
      </c>
      <c r="H427" s="459">
        <v>19</v>
      </c>
      <c r="I427" s="459">
        <v>12</v>
      </c>
      <c r="J427" s="459">
        <v>17</v>
      </c>
      <c r="K427" s="459">
        <v>42</v>
      </c>
      <c r="L427" s="459">
        <v>14</v>
      </c>
      <c r="M427" s="459">
        <v>11</v>
      </c>
      <c r="N427" s="459">
        <v>44</v>
      </c>
      <c r="O427" s="459">
        <v>16</v>
      </c>
      <c r="P427" s="459">
        <v>17</v>
      </c>
      <c r="Q427" s="459">
        <v>101</v>
      </c>
      <c r="R427" s="459">
        <v>21</v>
      </c>
      <c r="S427" s="459">
        <v>42</v>
      </c>
      <c r="T427" s="459">
        <v>42</v>
      </c>
      <c r="U427" s="459">
        <v>13</v>
      </c>
      <c r="V427" s="459">
        <v>35</v>
      </c>
      <c r="W427" s="459">
        <v>5</v>
      </c>
      <c r="X427" s="459">
        <v>16</v>
      </c>
      <c r="Y427" s="459">
        <v>11</v>
      </c>
      <c r="Z427" s="459">
        <v>8</v>
      </c>
      <c r="AA427" s="459">
        <v>16</v>
      </c>
      <c r="AB427" s="459">
        <v>23</v>
      </c>
      <c r="AC427" s="459">
        <v>41</v>
      </c>
    </row>
    <row r="428" spans="1:29">
      <c r="A428" s="501"/>
      <c r="B428" s="501" t="s">
        <v>16</v>
      </c>
      <c r="C428" s="523">
        <f>SUM(C422:C427)</f>
        <v>7891</v>
      </c>
      <c r="D428" s="523">
        <f t="shared" ref="D428:AC428" si="200">SUM(D422:D427)</f>
        <v>130</v>
      </c>
      <c r="E428" s="523">
        <f t="shared" si="200"/>
        <v>1770</v>
      </c>
      <c r="F428" s="523">
        <f t="shared" si="200"/>
        <v>378</v>
      </c>
      <c r="G428" s="523">
        <f t="shared" si="200"/>
        <v>188</v>
      </c>
      <c r="H428" s="523">
        <f t="shared" si="200"/>
        <v>141</v>
      </c>
      <c r="I428" s="523">
        <f t="shared" si="200"/>
        <v>87</v>
      </c>
      <c r="J428" s="523">
        <f t="shared" si="200"/>
        <v>189</v>
      </c>
      <c r="K428" s="523">
        <f t="shared" si="200"/>
        <v>358</v>
      </c>
      <c r="L428" s="523">
        <f t="shared" si="200"/>
        <v>139</v>
      </c>
      <c r="M428" s="523">
        <f t="shared" si="200"/>
        <v>174</v>
      </c>
      <c r="N428" s="523">
        <f t="shared" si="200"/>
        <v>334</v>
      </c>
      <c r="O428" s="523">
        <f t="shared" si="200"/>
        <v>200</v>
      </c>
      <c r="P428" s="523">
        <f t="shared" si="200"/>
        <v>198</v>
      </c>
      <c r="Q428" s="523">
        <f t="shared" si="200"/>
        <v>878</v>
      </c>
      <c r="R428" s="523">
        <f t="shared" si="200"/>
        <v>243</v>
      </c>
      <c r="S428" s="523">
        <f t="shared" si="200"/>
        <v>321</v>
      </c>
      <c r="T428" s="523">
        <f t="shared" si="200"/>
        <v>302</v>
      </c>
      <c r="U428" s="523">
        <f t="shared" si="200"/>
        <v>163</v>
      </c>
      <c r="V428" s="523">
        <f t="shared" si="200"/>
        <v>428</v>
      </c>
      <c r="W428" s="523">
        <f t="shared" si="200"/>
        <v>70</v>
      </c>
      <c r="X428" s="523">
        <f t="shared" si="200"/>
        <v>270</v>
      </c>
      <c r="Y428" s="523">
        <f t="shared" si="200"/>
        <v>138</v>
      </c>
      <c r="Z428" s="523">
        <f t="shared" si="200"/>
        <v>121</v>
      </c>
      <c r="AA428" s="523">
        <f t="shared" si="200"/>
        <v>179</v>
      </c>
      <c r="AB428" s="523">
        <f t="shared" si="200"/>
        <v>290</v>
      </c>
      <c r="AC428" s="523">
        <f t="shared" si="200"/>
        <v>200</v>
      </c>
    </row>
    <row r="429" spans="1:29">
      <c r="A429" t="s">
        <v>724</v>
      </c>
    </row>
    <row r="433" spans="1:12" ht="15.6">
      <c r="A433" s="401" t="s">
        <v>743</v>
      </c>
      <c r="B433" s="459"/>
      <c r="C433" s="459"/>
      <c r="D433" s="459"/>
      <c r="E433" s="459"/>
      <c r="F433" s="459"/>
      <c r="G433" s="459"/>
      <c r="H433" s="459"/>
      <c r="I433" s="459"/>
      <c r="J433" s="459"/>
      <c r="K433" s="459"/>
      <c r="L433" s="459"/>
    </row>
    <row r="434" spans="1:12" ht="15.6">
      <c r="A434" s="132" t="s">
        <v>346</v>
      </c>
      <c r="B434" s="793" t="s">
        <v>740</v>
      </c>
      <c r="C434" s="793"/>
      <c r="D434" s="793"/>
      <c r="E434" s="793"/>
      <c r="F434" s="793"/>
      <c r="G434" s="793"/>
      <c r="H434" s="793"/>
      <c r="I434" s="793"/>
      <c r="J434" s="793"/>
      <c r="K434" s="793"/>
      <c r="L434" s="793"/>
    </row>
    <row r="435" spans="1:12">
      <c r="A435" s="459"/>
      <c r="B435" s="526" t="s">
        <v>727</v>
      </c>
      <c r="C435" s="529" t="s">
        <v>728</v>
      </c>
      <c r="D435" s="532" t="s">
        <v>729</v>
      </c>
      <c r="E435" s="534" t="s">
        <v>730</v>
      </c>
      <c r="F435" s="43" t="s">
        <v>731</v>
      </c>
      <c r="G435" s="537" t="s">
        <v>732</v>
      </c>
      <c r="H435" s="459" t="s">
        <v>375</v>
      </c>
      <c r="I435" s="539" t="s">
        <v>733</v>
      </c>
      <c r="J435" s="540" t="s">
        <v>734</v>
      </c>
      <c r="K435" s="526" t="s">
        <v>735</v>
      </c>
      <c r="L435" s="526" t="s">
        <v>736</v>
      </c>
    </row>
    <row r="436" spans="1:12" ht="15.6">
      <c r="A436" s="528" t="s">
        <v>739</v>
      </c>
    </row>
    <row r="437" spans="1:12">
      <c r="A437" s="525" t="s">
        <v>737</v>
      </c>
      <c r="B437" s="459">
        <v>11537</v>
      </c>
      <c r="C437" s="459">
        <v>863</v>
      </c>
      <c r="D437" s="459">
        <v>913</v>
      </c>
      <c r="E437" s="459">
        <v>1054</v>
      </c>
      <c r="F437" s="459">
        <v>1180</v>
      </c>
      <c r="G437" s="459">
        <v>1840</v>
      </c>
      <c r="H437" s="459">
        <v>2185</v>
      </c>
      <c r="I437" s="459">
        <v>1266</v>
      </c>
      <c r="J437" s="459">
        <v>666</v>
      </c>
      <c r="K437" s="459">
        <v>401</v>
      </c>
      <c r="L437" s="459">
        <v>1169</v>
      </c>
    </row>
    <row r="438" spans="1:12">
      <c r="A438" s="525" t="s">
        <v>728</v>
      </c>
      <c r="B438" s="459">
        <v>1006</v>
      </c>
      <c r="C438" s="459">
        <v>302</v>
      </c>
      <c r="D438" s="459">
        <v>62</v>
      </c>
      <c r="E438" s="459">
        <v>34</v>
      </c>
      <c r="F438" s="459">
        <v>50</v>
      </c>
      <c r="G438" s="459">
        <v>65</v>
      </c>
      <c r="H438" s="459">
        <v>165</v>
      </c>
      <c r="I438" s="459">
        <v>110</v>
      </c>
      <c r="J438" s="459">
        <v>47</v>
      </c>
      <c r="K438" s="459">
        <v>77</v>
      </c>
      <c r="L438" s="459">
        <v>95</v>
      </c>
    </row>
    <row r="439" spans="1:12">
      <c r="A439" s="525" t="s">
        <v>729</v>
      </c>
      <c r="B439" s="459">
        <v>812</v>
      </c>
      <c r="C439" s="459">
        <v>44</v>
      </c>
      <c r="D439" s="459">
        <v>296</v>
      </c>
      <c r="E439" s="459">
        <v>62</v>
      </c>
      <c r="F439" s="459">
        <v>44</v>
      </c>
      <c r="G439" s="459">
        <v>53</v>
      </c>
      <c r="H439" s="459">
        <v>171</v>
      </c>
      <c r="I439" s="459">
        <v>41</v>
      </c>
      <c r="J439" s="459">
        <v>42</v>
      </c>
      <c r="K439" s="459">
        <v>14</v>
      </c>
      <c r="L439" s="459">
        <v>44</v>
      </c>
    </row>
    <row r="440" spans="1:12">
      <c r="A440" s="525" t="s">
        <v>730</v>
      </c>
      <c r="B440" s="459">
        <v>1086</v>
      </c>
      <c r="C440" s="459">
        <v>33</v>
      </c>
      <c r="D440" s="459">
        <v>83</v>
      </c>
      <c r="E440" s="459">
        <v>376</v>
      </c>
      <c r="F440" s="459">
        <v>106</v>
      </c>
      <c r="G440" s="459">
        <v>192</v>
      </c>
      <c r="H440" s="459">
        <v>147</v>
      </c>
      <c r="I440" s="459">
        <v>48</v>
      </c>
      <c r="J440" s="459">
        <v>47</v>
      </c>
      <c r="K440" s="459">
        <v>11</v>
      </c>
      <c r="L440" s="459">
        <v>42</v>
      </c>
    </row>
    <row r="441" spans="1:12">
      <c r="A441" s="525" t="s">
        <v>731</v>
      </c>
      <c r="B441" s="459">
        <v>1010</v>
      </c>
      <c r="C441" s="459">
        <v>25</v>
      </c>
      <c r="D441" s="459">
        <v>47</v>
      </c>
      <c r="E441" s="459">
        <v>66</v>
      </c>
      <c r="F441" s="459">
        <v>360</v>
      </c>
      <c r="G441" s="459">
        <v>113</v>
      </c>
      <c r="H441" s="459">
        <v>136</v>
      </c>
      <c r="I441" s="459">
        <v>90</v>
      </c>
      <c r="J441" s="459">
        <v>56</v>
      </c>
      <c r="K441" s="459">
        <v>37</v>
      </c>
      <c r="L441" s="459">
        <v>80</v>
      </c>
    </row>
    <row r="442" spans="1:12">
      <c r="A442" s="525" t="s">
        <v>732</v>
      </c>
      <c r="B442" s="459">
        <v>1518</v>
      </c>
      <c r="C442" s="459">
        <v>16</v>
      </c>
      <c r="D442" s="459">
        <v>30</v>
      </c>
      <c r="E442" s="459">
        <v>174</v>
      </c>
      <c r="F442" s="459">
        <v>156</v>
      </c>
      <c r="G442" s="459">
        <v>712</v>
      </c>
      <c r="H442" s="459">
        <v>249</v>
      </c>
      <c r="I442" s="459">
        <v>60</v>
      </c>
      <c r="J442" s="459">
        <v>53</v>
      </c>
      <c r="K442" s="459">
        <v>26</v>
      </c>
      <c r="L442" s="459">
        <v>43</v>
      </c>
    </row>
    <row r="443" spans="1:12">
      <c r="A443" s="525" t="s">
        <v>375</v>
      </c>
      <c r="B443" s="459">
        <v>2741</v>
      </c>
      <c r="C443" s="459">
        <v>190</v>
      </c>
      <c r="D443" s="459">
        <v>238</v>
      </c>
      <c r="E443" s="459">
        <v>228</v>
      </c>
      <c r="F443" s="459">
        <v>235</v>
      </c>
      <c r="G443" s="459">
        <v>490</v>
      </c>
      <c r="H443" s="459">
        <v>614</v>
      </c>
      <c r="I443" s="459">
        <v>374</v>
      </c>
      <c r="J443" s="459">
        <v>178</v>
      </c>
      <c r="K443" s="459">
        <v>108</v>
      </c>
      <c r="L443" s="459">
        <v>86</v>
      </c>
    </row>
    <row r="444" spans="1:12">
      <c r="A444" s="525" t="s">
        <v>733</v>
      </c>
      <c r="B444" s="459">
        <v>1308</v>
      </c>
      <c r="C444" s="459">
        <v>107</v>
      </c>
      <c r="D444" s="459">
        <v>48</v>
      </c>
      <c r="E444" s="459">
        <v>49</v>
      </c>
      <c r="F444" s="459">
        <v>120</v>
      </c>
      <c r="G444" s="459">
        <v>91</v>
      </c>
      <c r="H444" s="459">
        <v>300</v>
      </c>
      <c r="I444" s="459">
        <v>421</v>
      </c>
      <c r="J444" s="459">
        <v>73</v>
      </c>
      <c r="K444" s="459">
        <v>48</v>
      </c>
      <c r="L444" s="459">
        <v>51</v>
      </c>
    </row>
    <row r="445" spans="1:12">
      <c r="A445" s="525" t="s">
        <v>734</v>
      </c>
      <c r="B445" s="459">
        <v>697</v>
      </c>
      <c r="C445" s="459">
        <v>58</v>
      </c>
      <c r="D445" s="459">
        <v>73</v>
      </c>
      <c r="E445" s="459">
        <v>45</v>
      </c>
      <c r="F445" s="459">
        <v>64</v>
      </c>
      <c r="G445" s="459">
        <v>48</v>
      </c>
      <c r="H445" s="459">
        <v>122</v>
      </c>
      <c r="I445" s="459">
        <v>62</v>
      </c>
      <c r="J445" s="459">
        <v>156</v>
      </c>
      <c r="K445" s="459">
        <v>37</v>
      </c>
      <c r="L445" s="459">
        <v>31</v>
      </c>
    </row>
    <row r="446" spans="1:12">
      <c r="A446" s="525" t="s">
        <v>735</v>
      </c>
      <c r="B446" s="459">
        <v>231</v>
      </c>
      <c r="C446" s="459">
        <v>55</v>
      </c>
      <c r="D446" s="459">
        <v>12</v>
      </c>
      <c r="E446" s="459">
        <v>3</v>
      </c>
      <c r="F446" s="459">
        <v>12</v>
      </c>
      <c r="G446" s="459">
        <v>26</v>
      </c>
      <c r="H446" s="459">
        <v>51</v>
      </c>
      <c r="I446" s="459">
        <v>25</v>
      </c>
      <c r="J446" s="459">
        <v>5</v>
      </c>
      <c r="K446" s="459">
        <v>27</v>
      </c>
      <c r="L446" s="459">
        <v>15</v>
      </c>
    </row>
    <row r="447" spans="1:12">
      <c r="A447" s="527" t="s">
        <v>736</v>
      </c>
      <c r="B447" s="458">
        <v>1128</v>
      </c>
      <c r="C447" s="458">
        <v>32</v>
      </c>
      <c r="D447" s="458">
        <v>23</v>
      </c>
      <c r="E447" s="458">
        <v>18</v>
      </c>
      <c r="F447" s="458">
        <v>32</v>
      </c>
      <c r="G447" s="458">
        <v>50</v>
      </c>
      <c r="H447" s="458">
        <v>231</v>
      </c>
      <c r="I447" s="458">
        <v>35</v>
      </c>
      <c r="J447" s="458">
        <v>10</v>
      </c>
      <c r="K447" s="458">
        <v>15</v>
      </c>
      <c r="L447" s="458">
        <v>682</v>
      </c>
    </row>
    <row r="448" spans="1:12">
      <c r="A448" s="459" t="s">
        <v>738</v>
      </c>
      <c r="B448" s="448"/>
      <c r="C448" s="448"/>
      <c r="D448" s="448"/>
      <c r="E448" s="448"/>
      <c r="F448" s="448"/>
      <c r="G448" s="448"/>
      <c r="H448" s="448"/>
    </row>
    <row r="449" spans="1:30" s="459" customFormat="1"/>
    <row r="450" spans="1:30" s="459" customFormat="1"/>
    <row r="451" spans="1:30" s="459" customFormat="1"/>
    <row r="452" spans="1:30" s="459" customFormat="1">
      <c r="A452" s="132" t="s">
        <v>744</v>
      </c>
      <c r="B452" s="794" t="s">
        <v>745</v>
      </c>
      <c r="C452" s="794"/>
      <c r="D452" s="794"/>
      <c r="E452" s="794"/>
      <c r="F452" s="794"/>
      <c r="G452"/>
      <c r="H452"/>
      <c r="I452"/>
      <c r="J452"/>
      <c r="K452"/>
      <c r="L452"/>
      <c r="M452"/>
      <c r="N452"/>
      <c r="O452"/>
      <c r="P452"/>
      <c r="Q452"/>
      <c r="R452"/>
      <c r="S452"/>
      <c r="T452"/>
      <c r="U452"/>
      <c r="V452"/>
      <c r="W452"/>
      <c r="X452"/>
      <c r="Y452"/>
      <c r="Z452"/>
      <c r="AA452"/>
      <c r="AB452" s="42"/>
      <c r="AC452"/>
      <c r="AD452"/>
    </row>
    <row r="453" spans="1:30" s="459" customFormat="1">
      <c r="A453" s="529" t="s">
        <v>728</v>
      </c>
      <c r="B453" s="459" t="s">
        <v>398</v>
      </c>
      <c r="C453" t="s">
        <v>397</v>
      </c>
      <c r="D453" s="459" t="s">
        <v>399</v>
      </c>
      <c r="E453" s="459" t="s">
        <v>396</v>
      </c>
      <c r="F453" s="459" t="s">
        <v>393</v>
      </c>
      <c r="G453"/>
      <c r="H453"/>
      <c r="I453"/>
      <c r="J453"/>
      <c r="K453"/>
      <c r="L453"/>
      <c r="M453"/>
      <c r="N453"/>
      <c r="O453"/>
      <c r="P453"/>
      <c r="Q453"/>
      <c r="R453"/>
      <c r="S453"/>
      <c r="T453"/>
      <c r="U453"/>
      <c r="V453"/>
      <c r="W453"/>
      <c r="X453"/>
      <c r="Y453"/>
      <c r="Z453"/>
      <c r="AA453"/>
      <c r="AB453" s="42"/>
      <c r="AC453"/>
      <c r="AD453"/>
    </row>
    <row r="454" spans="1:30" s="459" customFormat="1">
      <c r="A454" s="532" t="s">
        <v>729</v>
      </c>
      <c r="B454" s="459" t="s">
        <v>394</v>
      </c>
      <c r="C454" t="s">
        <v>395</v>
      </c>
      <c r="D454" s="459" t="s">
        <v>392</v>
      </c>
      <c r="E454" s="24"/>
      <c r="F454"/>
      <c r="G454"/>
      <c r="H454"/>
      <c r="I454"/>
      <c r="J454"/>
      <c r="K454"/>
      <c r="L454"/>
      <c r="M454"/>
      <c r="N454"/>
      <c r="O454"/>
      <c r="P454"/>
      <c r="Q454"/>
      <c r="R454"/>
      <c r="S454"/>
      <c r="T454"/>
      <c r="U454"/>
      <c r="V454"/>
      <c r="W454"/>
      <c r="X454"/>
      <c r="Y454"/>
      <c r="Z454"/>
      <c r="AA454"/>
      <c r="AB454" s="42"/>
      <c r="AC454"/>
      <c r="AD454"/>
    </row>
    <row r="455" spans="1:30" s="459" customFormat="1">
      <c r="A455" s="534" t="s">
        <v>730</v>
      </c>
      <c r="B455" t="s">
        <v>386</v>
      </c>
      <c r="C455" s="459" t="s">
        <v>390</v>
      </c>
      <c r="D455" s="459" t="s">
        <v>389</v>
      </c>
      <c r="E455" s="24"/>
      <c r="F455"/>
      <c r="G455"/>
      <c r="H455"/>
      <c r="I455"/>
      <c r="J455"/>
      <c r="K455"/>
      <c r="L455"/>
      <c r="M455"/>
      <c r="N455"/>
      <c r="O455"/>
      <c r="P455"/>
      <c r="Q455"/>
      <c r="R455"/>
      <c r="S455"/>
      <c r="T455"/>
      <c r="U455"/>
      <c r="V455"/>
      <c r="W455"/>
      <c r="X455"/>
      <c r="Y455"/>
      <c r="Z455"/>
      <c r="AA455"/>
      <c r="AB455" s="42"/>
      <c r="AC455"/>
      <c r="AD455"/>
    </row>
    <row r="456" spans="1:30" s="459" customFormat="1">
      <c r="A456" s="43" t="s">
        <v>731</v>
      </c>
      <c r="B456" s="459" t="s">
        <v>374</v>
      </c>
      <c r="C456" t="s">
        <v>377</v>
      </c>
      <c r="D456" s="459" t="s">
        <v>384</v>
      </c>
      <c r="E456" s="459" t="s">
        <v>391</v>
      </c>
      <c r="F456"/>
      <c r="G456"/>
      <c r="H456"/>
      <c r="I456"/>
      <c r="J456"/>
      <c r="K456"/>
      <c r="L456"/>
      <c r="M456"/>
      <c r="N456"/>
      <c r="O456"/>
      <c r="P456"/>
      <c r="Q456"/>
      <c r="R456"/>
      <c r="S456"/>
      <c r="T456"/>
      <c r="U456"/>
      <c r="V456"/>
      <c r="W456"/>
      <c r="X456"/>
      <c r="Y456"/>
      <c r="Z456"/>
      <c r="AA456"/>
      <c r="AB456" s="42"/>
      <c r="AC456"/>
      <c r="AD456"/>
    </row>
    <row r="457" spans="1:30" s="459" customFormat="1">
      <c r="A457" s="537" t="s">
        <v>732</v>
      </c>
      <c r="B457" s="459" t="s">
        <v>388</v>
      </c>
      <c r="C457" t="s">
        <v>387</v>
      </c>
      <c r="D457" s="24"/>
      <c r="E457" s="24"/>
      <c r="F457"/>
      <c r="G457"/>
      <c r="H457"/>
      <c r="I457"/>
      <c r="J457"/>
      <c r="K457"/>
      <c r="L457"/>
      <c r="M457"/>
      <c r="N457"/>
      <c r="O457"/>
      <c r="P457"/>
      <c r="Q457"/>
      <c r="R457"/>
      <c r="S457"/>
      <c r="T457"/>
      <c r="U457"/>
      <c r="V457"/>
      <c r="W457"/>
      <c r="X457"/>
      <c r="Y457"/>
      <c r="Z457"/>
      <c r="AA457"/>
      <c r="AB457" s="42"/>
      <c r="AC457"/>
      <c r="AD457"/>
    </row>
    <row r="458" spans="1:30" s="459" customFormat="1">
      <c r="A458" s="459" t="s">
        <v>375</v>
      </c>
      <c r="B458" t="s">
        <v>375</v>
      </c>
      <c r="C458"/>
      <c r="D458" s="24"/>
      <c r="E458" s="24"/>
      <c r="F458"/>
      <c r="G458"/>
      <c r="H458"/>
      <c r="I458"/>
      <c r="J458"/>
      <c r="K458"/>
      <c r="L458"/>
      <c r="M458"/>
      <c r="N458"/>
      <c r="O458"/>
      <c r="P458"/>
      <c r="Q458"/>
      <c r="R458"/>
      <c r="S458"/>
      <c r="T458"/>
      <c r="U458"/>
      <c r="V458"/>
      <c r="W458"/>
      <c r="X458"/>
      <c r="Y458"/>
      <c r="Z458"/>
      <c r="AA458"/>
      <c r="AB458" s="42"/>
      <c r="AC458"/>
      <c r="AD458"/>
    </row>
    <row r="459" spans="1:30" s="459" customFormat="1">
      <c r="A459" s="539" t="s">
        <v>733</v>
      </c>
      <c r="B459" s="459" t="s">
        <v>376</v>
      </c>
      <c r="C459" s="459" t="s">
        <v>381</v>
      </c>
      <c r="D459" s="459" t="s">
        <v>746</v>
      </c>
      <c r="E459" s="24" t="s">
        <v>380</v>
      </c>
      <c r="F459"/>
      <c r="G459"/>
      <c r="H459"/>
      <c r="I459"/>
      <c r="J459"/>
      <c r="K459"/>
      <c r="L459"/>
      <c r="M459"/>
      <c r="N459"/>
      <c r="O459"/>
      <c r="P459"/>
      <c r="Q459"/>
      <c r="R459"/>
      <c r="S459"/>
      <c r="T459"/>
      <c r="U459"/>
      <c r="V459"/>
      <c r="W459"/>
      <c r="X459"/>
      <c r="Y459"/>
      <c r="Z459"/>
      <c r="AA459"/>
      <c r="AB459" s="42"/>
      <c r="AC459"/>
      <c r="AD459"/>
    </row>
    <row r="460" spans="1:30" s="459" customFormat="1">
      <c r="A460" s="540" t="s">
        <v>734</v>
      </c>
      <c r="B460" s="458" t="s">
        <v>378</v>
      </c>
      <c r="C460" s="458" t="s">
        <v>382</v>
      </c>
      <c r="D460" s="458" t="s">
        <v>747</v>
      </c>
      <c r="E460" s="458" t="s">
        <v>383</v>
      </c>
      <c r="F460" s="458"/>
      <c r="G460"/>
      <c r="H460"/>
      <c r="I460"/>
      <c r="J460"/>
      <c r="K460"/>
      <c r="L460"/>
      <c r="M460"/>
      <c r="N460"/>
      <c r="O460"/>
      <c r="P460"/>
      <c r="Q460"/>
      <c r="R460"/>
      <c r="S460"/>
      <c r="T460"/>
      <c r="U460"/>
      <c r="V460"/>
      <c r="W460"/>
      <c r="X460"/>
      <c r="Y460"/>
      <c r="Z460"/>
      <c r="AA460"/>
      <c r="AB460" s="42"/>
      <c r="AC460"/>
      <c r="AD460"/>
    </row>
    <row r="461" spans="1:30" s="459" customFormat="1">
      <c r="B461"/>
      <c r="C461"/>
      <c r="D461" s="24"/>
      <c r="E461" s="24"/>
      <c r="F461"/>
      <c r="G461"/>
      <c r="H461"/>
      <c r="I461"/>
      <c r="J461"/>
      <c r="K461"/>
      <c r="L461"/>
      <c r="M461"/>
      <c r="N461"/>
      <c r="O461"/>
      <c r="P461"/>
      <c r="Q461"/>
      <c r="R461"/>
      <c r="S461"/>
      <c r="T461"/>
      <c r="U461"/>
      <c r="V461"/>
      <c r="W461"/>
      <c r="X461"/>
      <c r="Y461"/>
      <c r="Z461"/>
      <c r="AA461"/>
      <c r="AB461" s="42"/>
      <c r="AC461"/>
      <c r="AD461"/>
    </row>
    <row r="462" spans="1:30" s="459" customFormat="1">
      <c r="B462"/>
      <c r="C462"/>
      <c r="D462" s="24"/>
      <c r="E462" s="24"/>
      <c r="F462"/>
      <c r="G462"/>
      <c r="H462"/>
      <c r="I462"/>
      <c r="J462"/>
      <c r="K462"/>
      <c r="L462"/>
      <c r="M462"/>
      <c r="N462"/>
      <c r="O462"/>
      <c r="P462"/>
      <c r="Q462"/>
      <c r="R462"/>
      <c r="S462"/>
      <c r="T462"/>
      <c r="U462"/>
      <c r="V462"/>
      <c r="W462"/>
      <c r="X462"/>
      <c r="Y462"/>
      <c r="Z462"/>
      <c r="AA462"/>
      <c r="AB462" s="42"/>
      <c r="AC462"/>
      <c r="AD462"/>
    </row>
    <row r="463" spans="1:30" s="459" customFormat="1">
      <c r="A463"/>
      <c r="B463"/>
      <c r="C463"/>
      <c r="D463" s="24"/>
      <c r="E463" s="24"/>
      <c r="F463"/>
      <c r="G463"/>
      <c r="H463"/>
      <c r="I463"/>
      <c r="J463"/>
      <c r="K463"/>
      <c r="L463"/>
      <c r="M463"/>
      <c r="N463"/>
      <c r="O463"/>
      <c r="P463"/>
      <c r="Q463"/>
      <c r="R463"/>
      <c r="S463"/>
      <c r="T463"/>
      <c r="U463"/>
      <c r="V463"/>
      <c r="W463"/>
      <c r="X463"/>
      <c r="Y463"/>
      <c r="Z463"/>
      <c r="AA463"/>
      <c r="AB463" s="42"/>
      <c r="AC463"/>
      <c r="AD463"/>
    </row>
    <row r="464" spans="1:30" s="459" customFormat="1">
      <c r="A464"/>
      <c r="B464"/>
      <c r="C464"/>
      <c r="D464" s="24"/>
      <c r="E464" s="24"/>
      <c r="F464"/>
      <c r="G464"/>
      <c r="H464"/>
      <c r="I464"/>
      <c r="J464"/>
      <c r="K464"/>
      <c r="L464"/>
      <c r="M464"/>
      <c r="N464"/>
      <c r="O464"/>
      <c r="P464"/>
      <c r="Q464"/>
      <c r="R464"/>
      <c r="S464"/>
      <c r="T464"/>
      <c r="U464"/>
      <c r="V464"/>
      <c r="W464"/>
      <c r="X464"/>
      <c r="Y464"/>
      <c r="Z464"/>
      <c r="AA464"/>
      <c r="AB464" s="42"/>
      <c r="AC464"/>
      <c r="AD464"/>
    </row>
    <row r="465" spans="1:30" s="459" customFormat="1" ht="15.6">
      <c r="A465" s="401" t="s">
        <v>748</v>
      </c>
      <c r="AD465"/>
    </row>
    <row r="466" spans="1:30" s="459" customFormat="1">
      <c r="A466" s="132"/>
      <c r="B466" s="132" t="s">
        <v>64</v>
      </c>
      <c r="C466" s="132" t="str">
        <f t="shared" ref="C466:AC466" si="201">C421</f>
        <v>IE</v>
      </c>
      <c r="D466" s="535" t="str">
        <f t="shared" si="201"/>
        <v>IE-CW</v>
      </c>
      <c r="E466" s="541" t="str">
        <f t="shared" si="201"/>
        <v>IE-D</v>
      </c>
      <c r="F466" s="538" t="str">
        <f t="shared" si="201"/>
        <v>IE-KE</v>
      </c>
      <c r="G466" s="535" t="str">
        <f t="shared" si="201"/>
        <v>IE-KK</v>
      </c>
      <c r="H466" s="132" t="str">
        <f t="shared" si="201"/>
        <v>IE-LS</v>
      </c>
      <c r="I466" s="132" t="str">
        <f t="shared" si="201"/>
        <v>IE-LD</v>
      </c>
      <c r="J466" s="538" t="str">
        <f t="shared" si="201"/>
        <v>IE-LH</v>
      </c>
      <c r="K466" s="538" t="str">
        <f t="shared" si="201"/>
        <v>IE-MH</v>
      </c>
      <c r="L466" s="132" t="str">
        <f t="shared" si="201"/>
        <v>IE-OY</v>
      </c>
      <c r="M466" s="132" t="str">
        <f t="shared" si="201"/>
        <v>IE-WH</v>
      </c>
      <c r="N466" s="535" t="str">
        <f t="shared" si="201"/>
        <v>IE-WX</v>
      </c>
      <c r="O466" s="538" t="str">
        <f t="shared" si="201"/>
        <v>IE-WW</v>
      </c>
      <c r="P466" s="533" t="str">
        <f t="shared" si="201"/>
        <v>IE-CE</v>
      </c>
      <c r="Q466" s="536" t="str">
        <f t="shared" si="201"/>
        <v>IE-CO</v>
      </c>
      <c r="R466" s="536" t="str">
        <f t="shared" si="201"/>
        <v>IE-KY</v>
      </c>
      <c r="S466" s="533" t="str">
        <f t="shared" si="201"/>
        <v>IE-LK</v>
      </c>
      <c r="T466" s="533" t="str">
        <f t="shared" si="201"/>
        <v>IE-TA</v>
      </c>
      <c r="U466" s="535" t="str">
        <f t="shared" si="201"/>
        <v>IE-WD</v>
      </c>
      <c r="V466" s="531" t="str">
        <f t="shared" si="201"/>
        <v>IE-G</v>
      </c>
      <c r="W466" s="530" t="str">
        <f t="shared" si="201"/>
        <v>IE-LM</v>
      </c>
      <c r="X466" s="531" t="str">
        <f t="shared" si="201"/>
        <v>IE-MO</v>
      </c>
      <c r="Y466" s="531" t="str">
        <f t="shared" si="201"/>
        <v>IE-RN</v>
      </c>
      <c r="Z466" s="530" t="str">
        <f t="shared" si="201"/>
        <v>IE-SO</v>
      </c>
      <c r="AA466" s="530" t="str">
        <f t="shared" si="201"/>
        <v>IE-CN</v>
      </c>
      <c r="AB466" s="530" t="str">
        <f t="shared" si="201"/>
        <v>IE-DL</v>
      </c>
      <c r="AC466" s="530" t="str">
        <f t="shared" si="201"/>
        <v>IE-MN</v>
      </c>
      <c r="AD466"/>
    </row>
    <row r="467" spans="1:30" s="459" customFormat="1">
      <c r="A467" s="459" t="s">
        <v>400</v>
      </c>
      <c r="B467" s="459" t="s">
        <v>750</v>
      </c>
      <c r="C467" s="542">
        <f t="shared" ref="C467:AC467" si="202">B179</f>
        <v>4857000.0000000037</v>
      </c>
      <c r="D467" s="542">
        <f t="shared" si="202"/>
        <v>58069.41691963128</v>
      </c>
      <c r="E467" s="542">
        <f t="shared" si="202"/>
        <v>1374277.23444491</v>
      </c>
      <c r="F467" s="542">
        <f t="shared" si="202"/>
        <v>226949.29990665423</v>
      </c>
      <c r="G467" s="542">
        <f t="shared" si="202"/>
        <v>101214.50818114332</v>
      </c>
      <c r="H467" s="542">
        <f t="shared" si="202"/>
        <v>86389.120439155668</v>
      </c>
      <c r="I467" s="542">
        <f t="shared" si="202"/>
        <v>41689.581918009018</v>
      </c>
      <c r="J467" s="542">
        <f t="shared" si="202"/>
        <v>131458.91116190821</v>
      </c>
      <c r="K467" s="542">
        <f t="shared" si="202"/>
        <v>198940.68983476012</v>
      </c>
      <c r="L467" s="542">
        <f t="shared" si="202"/>
        <v>79518.545149851998</v>
      </c>
      <c r="M467" s="542">
        <f t="shared" si="202"/>
        <v>90543.492938166033</v>
      </c>
      <c r="N467" s="542">
        <f t="shared" si="202"/>
        <v>152713.2234954162</v>
      </c>
      <c r="O467" s="542">
        <f t="shared" si="202"/>
        <v>145270.44025817615</v>
      </c>
      <c r="P467" s="542">
        <f t="shared" si="202"/>
        <v>121190.78743307506</v>
      </c>
      <c r="Q467" s="542">
        <f t="shared" si="202"/>
        <v>553713.69746937393</v>
      </c>
      <c r="R467" s="542">
        <f t="shared" si="202"/>
        <v>150657.96678402266</v>
      </c>
      <c r="S467" s="542">
        <f t="shared" si="202"/>
        <v>198792.79294982113</v>
      </c>
      <c r="T467" s="542">
        <f t="shared" si="202"/>
        <v>162740.63229427967</v>
      </c>
      <c r="U467" s="542">
        <f t="shared" si="202"/>
        <v>118497.02417015182</v>
      </c>
      <c r="V467" s="542">
        <f t="shared" si="202"/>
        <v>263213.61609369441</v>
      </c>
      <c r="W467" s="542">
        <f t="shared" si="202"/>
        <v>32684.191592999803</v>
      </c>
      <c r="X467" s="542">
        <f t="shared" si="202"/>
        <v>133114.33629470808</v>
      </c>
      <c r="Y467" s="542">
        <f t="shared" si="202"/>
        <v>65833.493389669806</v>
      </c>
      <c r="Z467" s="542">
        <f t="shared" si="202"/>
        <v>66844.292099839033</v>
      </c>
      <c r="AA467" s="542">
        <f t="shared" si="202"/>
        <v>77697.883497327202</v>
      </c>
      <c r="AB467" s="542">
        <f t="shared" si="202"/>
        <v>162372.42004970741</v>
      </c>
      <c r="AC467" s="542">
        <f t="shared" si="202"/>
        <v>62612.401233550299</v>
      </c>
      <c r="AD467"/>
    </row>
    <row r="468" spans="1:30" s="459" customFormat="1">
      <c r="A468" t="s">
        <v>751</v>
      </c>
      <c r="B468" t="s">
        <v>749</v>
      </c>
      <c r="C468" s="135">
        <f>SUM(D468:AC468)</f>
        <v>9966.9999999999982</v>
      </c>
      <c r="D468" s="135">
        <f>F437*D467/(D467+G467+N467+U467)</f>
        <v>159.1703588572295</v>
      </c>
      <c r="E468" s="135">
        <f>H437</f>
        <v>2185</v>
      </c>
      <c r="F468" s="135">
        <f>I437*F467/(F467+J467+K467+O467)</f>
        <v>408.92386083033193</v>
      </c>
      <c r="G468" s="135">
        <f>F437*G467/(D467+G467+N467+U467)</f>
        <v>277.43260468841072</v>
      </c>
      <c r="H468" s="135">
        <f>J437*H467/(H467+I467+L467+M467)</f>
        <v>192.97984611752955</v>
      </c>
      <c r="I468" s="135">
        <f>J437*I467/(H467+I467+L467+M467)</f>
        <v>93.128035826083391</v>
      </c>
      <c r="J468" s="135">
        <f>I437*J467/(F467+J467+K467+O467)</f>
        <v>236.86649623942267</v>
      </c>
      <c r="K468" s="135">
        <f>I437*K467/(F467+J467+K467+O467)</f>
        <v>358.45713116074887</v>
      </c>
      <c r="L468" s="135">
        <f>J437*L467/(H467+I467+L467+M467)</f>
        <v>177.63205052326197</v>
      </c>
      <c r="M468" s="135">
        <f>J437*M467/(H467+I467+L467+M467)</f>
        <v>202.2600675331251</v>
      </c>
      <c r="N468" s="135">
        <f>F437*N467/(D467+G467+N467+U467)</f>
        <v>418.5924342869057</v>
      </c>
      <c r="O468" s="135">
        <f>I437*O467/(F467+J467+K467+O467)</f>
        <v>261.75251176949638</v>
      </c>
      <c r="P468" s="135">
        <f>E437*P467/(P467+S467+T467)</f>
        <v>264.61297486207627</v>
      </c>
      <c r="Q468" s="135">
        <f>G437*Q467/(Q467+R467)</f>
        <v>1446.4426311407162</v>
      </c>
      <c r="R468" s="135">
        <f>G437*R467/(Q467+R467)</f>
        <v>393.55736885928394</v>
      </c>
      <c r="S468" s="135">
        <f>E437*S467/(P467+S467+T467)</f>
        <v>434.05240148837129</v>
      </c>
      <c r="T468" s="135">
        <f>E437*T467/(P467+S467+T467)</f>
        <v>355.33462364955238</v>
      </c>
      <c r="U468" s="135">
        <f>F437*U467/(D467+G467+N467+U467)</f>
        <v>324.80460216745405</v>
      </c>
      <c r="V468" s="135">
        <f>D437*V467/(V467+X467+Y467)</f>
        <v>519.97853496620019</v>
      </c>
      <c r="W468" s="135">
        <f>C437*W467/(W467+Z467+AA467+AB467+AC467)</f>
        <v>70.128475171999312</v>
      </c>
      <c r="X468" s="135">
        <f>D437*X467/(V467+X467+Y467)</f>
        <v>262.96738974507235</v>
      </c>
      <c r="Y468" s="135">
        <f>D437*Y467/(V467+X467+Y467)</f>
        <v>130.05407528872743</v>
      </c>
      <c r="Z468" s="135">
        <f>C437*Z467/(W467+Z467+AA467+AB467+AC467)</f>
        <v>143.42371802512091</v>
      </c>
      <c r="AA468" s="135">
        <f>C437*AA467/(W467+Z467+AA467+AB467+AC467)</f>
        <v>166.71160668774871</v>
      </c>
      <c r="AB468" s="135">
        <f>C437*AB467/(W467+Z467+AA467+AB467+AC467)</f>
        <v>348.39259204783781</v>
      </c>
      <c r="AC468" s="135">
        <f>C437*AC467/(W467+Z467+AA467+AB467+AC467)</f>
        <v>134.34360806729339</v>
      </c>
      <c r="AD468"/>
    </row>
    <row r="469" spans="1:30" s="459" customFormat="1">
      <c r="A469" t="s">
        <v>752</v>
      </c>
      <c r="B469" s="459" t="s">
        <v>749</v>
      </c>
      <c r="C469" s="135">
        <f>SUM(D469:AC469)</f>
        <v>1569.9999999999995</v>
      </c>
      <c r="D469" s="135">
        <f>(K437+L437)*D467/C467</f>
        <v>18.77063713482006</v>
      </c>
      <c r="E469" s="135">
        <f>(K437+L437)*E467/C467</f>
        <v>444.22797160356333</v>
      </c>
      <c r="F469" s="135">
        <f>(K437+L437)*F467/C467</f>
        <v>73.360181357514278</v>
      </c>
      <c r="G469" s="135">
        <f>(K437+L437)*G467/C467</f>
        <v>32.717063587480929</v>
      </c>
      <c r="H469" s="135">
        <f>(K437+L437)*H467/C467</f>
        <v>27.924834072364487</v>
      </c>
      <c r="I469" s="135">
        <f>(K437+L437)*I467/C467</f>
        <v>13.475940624104203</v>
      </c>
      <c r="J469" s="135">
        <f>(K437+L437)*J467/C467</f>
        <v>42.493409619970294</v>
      </c>
      <c r="K469" s="135">
        <f>(K437+L437)*K467/C467</f>
        <v>64.306543759640348</v>
      </c>
      <c r="L469" s="135">
        <f>(K437+L437)*L467/C467</f>
        <v>25.703956328035318</v>
      </c>
      <c r="M469" s="135">
        <f>(K437+L437)*M467/C467</f>
        <v>29.267713385406747</v>
      </c>
      <c r="N469" s="135">
        <f>(K437+L437)*N467/C467</f>
        <v>49.363755587359123</v>
      </c>
      <c r="O469" s="135">
        <f>(K437+L437)*O467/C467</f>
        <v>46.957914598586861</v>
      </c>
      <c r="P469" s="135">
        <f>(K437+L437)*P467/C467</f>
        <v>39.174292005338216</v>
      </c>
      <c r="Q469" s="135">
        <f>(K437+L437)*Q467/C467</f>
        <v>178.98507412536884</v>
      </c>
      <c r="R469" s="135">
        <f>(K437+L437)*R467/C467</f>
        <v>48.699404540027878</v>
      </c>
      <c r="S469" s="135">
        <f>(K437+L437)*S467/C467</f>
        <v>64.258736860452728</v>
      </c>
      <c r="T469" s="135">
        <f>(K437+L437)*T467/C467</f>
        <v>52.605063352278954</v>
      </c>
      <c r="U469" s="135">
        <f>(K437+L437)*U467/C467</f>
        <v>38.303547034617715</v>
      </c>
      <c r="V469" s="135">
        <f>(K437+L437)*V467/C467</f>
        <v>85.082433038315813</v>
      </c>
      <c r="W469" s="135">
        <f>(K437+L437)*W467/C467</f>
        <v>10.564995017708391</v>
      </c>
      <c r="X469" s="135">
        <f>(K437+L437)*X467/C467</f>
        <v>43.028517188118492</v>
      </c>
      <c r="Y469" s="135">
        <f>(K437+L437)*Y467/C467</f>
        <v>21.280334490792981</v>
      </c>
      <c r="Z469" s="135">
        <f>(K437+L437)*Z467/C467</f>
        <v>21.607069919033808</v>
      </c>
      <c r="AA469" s="135">
        <f>(K437+L437)*AA467/C467</f>
        <v>25.115436913898211</v>
      </c>
      <c r="AB469" s="135">
        <f>(K437+L437)*AB467/C467</f>
        <v>52.486040658439457</v>
      </c>
      <c r="AC469" s="135">
        <f>(K437+L437)*AC467/C467</f>
        <v>20.239133196762175</v>
      </c>
      <c r="AD469"/>
    </row>
    <row r="470" spans="1:30" s="1" customFormat="1">
      <c r="A470" s="1" t="s">
        <v>753</v>
      </c>
      <c r="B470" s="1" t="s">
        <v>749</v>
      </c>
      <c r="C470" s="135">
        <f>SUM(D470:AC470)</f>
        <v>11536.999999999998</v>
      </c>
      <c r="D470" s="2">
        <f>D468+D469</f>
        <v>177.94099599204955</v>
      </c>
      <c r="E470" s="2">
        <f>E468+E469</f>
        <v>2629.2279716035632</v>
      </c>
      <c r="F470" s="2">
        <f t="shared" ref="F470:AC470" si="203">F468+F469</f>
        <v>482.28404218784624</v>
      </c>
      <c r="G470" s="2">
        <f t="shared" si="203"/>
        <v>310.14966827589166</v>
      </c>
      <c r="H470" s="2">
        <f t="shared" si="203"/>
        <v>220.90468018989404</v>
      </c>
      <c r="I470" s="2">
        <f t="shared" si="203"/>
        <v>106.60397645018759</v>
      </c>
      <c r="J470" s="2">
        <f t="shared" si="203"/>
        <v>279.35990585939294</v>
      </c>
      <c r="K470" s="2">
        <f t="shared" si="203"/>
        <v>422.76367492038924</v>
      </c>
      <c r="L470" s="2">
        <f t="shared" si="203"/>
        <v>203.33600685129727</v>
      </c>
      <c r="M470" s="2">
        <f t="shared" si="203"/>
        <v>231.52778091853185</v>
      </c>
      <c r="N470" s="2">
        <f t="shared" si="203"/>
        <v>467.95618987426485</v>
      </c>
      <c r="O470" s="2">
        <f t="shared" si="203"/>
        <v>308.71042636808323</v>
      </c>
      <c r="P470" s="2">
        <f t="shared" si="203"/>
        <v>303.78726686741447</v>
      </c>
      <c r="Q470" s="2">
        <f t="shared" si="203"/>
        <v>1625.427705266085</v>
      </c>
      <c r="R470" s="2">
        <f t="shared" si="203"/>
        <v>442.25677339931184</v>
      </c>
      <c r="S470" s="2">
        <f t="shared" si="203"/>
        <v>498.31113834882399</v>
      </c>
      <c r="T470" s="2">
        <f t="shared" si="203"/>
        <v>407.93968700183132</v>
      </c>
      <c r="U470" s="2">
        <f t="shared" si="203"/>
        <v>363.10814920207179</v>
      </c>
      <c r="V470" s="2">
        <f t="shared" si="203"/>
        <v>605.06096800451598</v>
      </c>
      <c r="W470" s="2">
        <f t="shared" si="203"/>
        <v>80.69347018970771</v>
      </c>
      <c r="X470" s="2">
        <f t="shared" si="203"/>
        <v>305.99590693319084</v>
      </c>
      <c r="Y470" s="2">
        <f t="shared" si="203"/>
        <v>151.3344097795204</v>
      </c>
      <c r="Z470" s="2">
        <f t="shared" si="203"/>
        <v>165.03078794415472</v>
      </c>
      <c r="AA470" s="2">
        <f t="shared" si="203"/>
        <v>191.82704360164692</v>
      </c>
      <c r="AB470" s="2">
        <f t="shared" si="203"/>
        <v>400.87863270627724</v>
      </c>
      <c r="AC470" s="2">
        <f t="shared" si="203"/>
        <v>154.58274126405556</v>
      </c>
    </row>
    <row r="471" spans="1:30" s="1" customFormat="1">
      <c r="A471" s="21" t="s">
        <v>755</v>
      </c>
      <c r="B471" s="21" t="s">
        <v>652</v>
      </c>
      <c r="C471" s="34">
        <f>SUM(D471:AC471)</f>
        <v>1.0000000000000002</v>
      </c>
      <c r="D471" s="34">
        <f>D470/$C$470</f>
        <v>1.5423506630150782E-2</v>
      </c>
      <c r="E471" s="34">
        <f t="shared" ref="E471:AC471" si="204">E470/$C$470</f>
        <v>0.22789529094249489</v>
      </c>
      <c r="F471" s="34">
        <f t="shared" si="204"/>
        <v>4.1803245400697436E-2</v>
      </c>
      <c r="G471" s="34">
        <f t="shared" si="204"/>
        <v>2.6883043102703622E-2</v>
      </c>
      <c r="H471" s="34">
        <f t="shared" si="204"/>
        <v>1.914749763282431E-2</v>
      </c>
      <c r="I471" s="34">
        <f t="shared" si="204"/>
        <v>9.2401817153668717E-3</v>
      </c>
      <c r="J471" s="34">
        <f t="shared" si="204"/>
        <v>2.421425898061827E-2</v>
      </c>
      <c r="K471" s="34">
        <f t="shared" si="204"/>
        <v>3.664416008671139E-2</v>
      </c>
      <c r="L471" s="34">
        <f t="shared" si="204"/>
        <v>1.7624686387388167E-2</v>
      </c>
      <c r="M471" s="34">
        <f t="shared" si="204"/>
        <v>2.0068282995452186E-2</v>
      </c>
      <c r="N471" s="34">
        <f t="shared" si="204"/>
        <v>4.0561340892282652E-2</v>
      </c>
      <c r="O471" s="34">
        <f t="shared" si="204"/>
        <v>2.6758293002347514E-2</v>
      </c>
      <c r="P471" s="34">
        <f t="shared" si="204"/>
        <v>2.6331565126758646E-2</v>
      </c>
      <c r="Q471" s="34">
        <f t="shared" si="204"/>
        <v>0.14088824696767663</v>
      </c>
      <c r="R471" s="34">
        <f t="shared" si="204"/>
        <v>3.833377597289693E-2</v>
      </c>
      <c r="S471" s="34">
        <f t="shared" si="204"/>
        <v>4.3192436365504384E-2</v>
      </c>
      <c r="T471" s="34">
        <f t="shared" si="204"/>
        <v>3.5359251712042246E-2</v>
      </c>
      <c r="U471" s="34">
        <f t="shared" si="204"/>
        <v>3.1473359556390038E-2</v>
      </c>
      <c r="V471" s="34">
        <f t="shared" si="204"/>
        <v>5.2445260293361884E-2</v>
      </c>
      <c r="W471" s="34">
        <f t="shared" si="204"/>
        <v>6.9943200303118425E-3</v>
      </c>
      <c r="X471" s="34">
        <f t="shared" si="204"/>
        <v>2.6523004848157311E-2</v>
      </c>
      <c r="Y471" s="34">
        <f t="shared" si="204"/>
        <v>1.3117310373539085E-2</v>
      </c>
      <c r="Z471" s="34">
        <f t="shared" si="204"/>
        <v>1.4304480189317391E-2</v>
      </c>
      <c r="AA471" s="34">
        <f t="shared" si="204"/>
        <v>1.6627116546905345E-2</v>
      </c>
      <c r="AB471" s="34">
        <f t="shared" si="204"/>
        <v>3.474721614858952E-2</v>
      </c>
      <c r="AC471" s="34">
        <f t="shared" si="204"/>
        <v>1.3398868099510755E-2</v>
      </c>
    </row>
    <row r="472" spans="1:30" s="459" customFormat="1">
      <c r="A472" s="458" t="s">
        <v>756</v>
      </c>
      <c r="B472" s="458" t="s">
        <v>652</v>
      </c>
      <c r="C472" s="397">
        <f>SUM(D472:AC472)</f>
        <v>0.99999153639772187</v>
      </c>
      <c r="D472" s="397">
        <f>D415/$C$415</f>
        <v>1.6388355211745222E-2</v>
      </c>
      <c r="E472" s="397">
        <f t="shared" ref="E472:AC472" si="205">E415/$C$415</f>
        <v>0.21024434419777746</v>
      </c>
      <c r="F472" s="397">
        <f t="shared" si="205"/>
        <v>4.5395941420587428E-2</v>
      </c>
      <c r="G472" s="397">
        <f t="shared" si="205"/>
        <v>2.3193091443580217E-2</v>
      </c>
      <c r="H472" s="397">
        <f t="shared" si="205"/>
        <v>1.7023125382625352E-2</v>
      </c>
      <c r="I472" s="397">
        <f t="shared" si="205"/>
        <v>1.1112709791541477E-2</v>
      </c>
      <c r="J472" s="397">
        <f t="shared" si="205"/>
        <v>2.297303778434177E-2</v>
      </c>
      <c r="K472" s="397">
        <f t="shared" si="205"/>
        <v>4.1708632027963745E-2</v>
      </c>
      <c r="L472" s="397">
        <f t="shared" si="205"/>
        <v>1.8411156156283238E-2</v>
      </c>
      <c r="M472" s="397">
        <f t="shared" si="205"/>
        <v>2.2877116958519884E-2</v>
      </c>
      <c r="N472" s="397">
        <f t="shared" si="205"/>
        <v>3.9462956223427818E-2</v>
      </c>
      <c r="O472" s="397">
        <f t="shared" si="205"/>
        <v>2.662085036633292E-2</v>
      </c>
      <c r="P472" s="397">
        <f t="shared" si="205"/>
        <v>2.6618029165573452E-2</v>
      </c>
      <c r="Q472" s="397">
        <f t="shared" si="205"/>
        <v>0.11714471913535839</v>
      </c>
      <c r="R472" s="397">
        <f t="shared" si="205"/>
        <v>3.3625891852090084E-2</v>
      </c>
      <c r="S472" s="397">
        <f t="shared" si="205"/>
        <v>3.8503747965208952E-2</v>
      </c>
      <c r="T472" s="397">
        <f t="shared" si="205"/>
        <v>3.9389605003681667E-2</v>
      </c>
      <c r="U472" s="397">
        <f t="shared" si="205"/>
        <v>2.3026640598771648E-2</v>
      </c>
      <c r="V472" s="397">
        <f t="shared" si="205"/>
        <v>5.7431183860474695E-2</v>
      </c>
      <c r="W472" s="397">
        <f t="shared" si="205"/>
        <v>9.6033673852264998E-3</v>
      </c>
      <c r="X472" s="397">
        <f t="shared" si="205"/>
        <v>3.7694063347241853E-2</v>
      </c>
      <c r="Y472" s="397">
        <f t="shared" si="205"/>
        <v>1.8010545648438889E-2</v>
      </c>
      <c r="Z472" s="397">
        <f t="shared" si="205"/>
        <v>1.7056979791738959E-2</v>
      </c>
      <c r="AA472" s="397">
        <f t="shared" si="205"/>
        <v>2.2707844912951851E-2</v>
      </c>
      <c r="AB472" s="397">
        <f t="shared" si="205"/>
        <v>4.1288273114803126E-2</v>
      </c>
      <c r="AC472" s="397">
        <f t="shared" si="205"/>
        <v>2.2479327651435003E-2</v>
      </c>
    </row>
    <row r="473" spans="1:30" s="459" customFormat="1">
      <c r="A473" s="21" t="s">
        <v>754</v>
      </c>
    </row>
    <row r="474" spans="1:30" s="459" customFormat="1">
      <c r="D474" s="388"/>
      <c r="E474" s="388"/>
      <c r="F474" s="388"/>
      <c r="G474" s="388"/>
      <c r="H474" s="388"/>
      <c r="I474" s="388"/>
      <c r="J474" s="388"/>
      <c r="K474" s="388"/>
      <c r="L474" s="388"/>
      <c r="M474" s="388"/>
      <c r="N474" s="388"/>
      <c r="O474" s="388"/>
      <c r="P474" s="388"/>
      <c r="Q474" s="388"/>
      <c r="R474" s="388"/>
      <c r="S474" s="388"/>
      <c r="T474" s="388"/>
      <c r="U474" s="388"/>
      <c r="V474" s="388"/>
      <c r="W474" s="388"/>
      <c r="X474" s="388"/>
      <c r="Y474" s="388"/>
      <c r="Z474" s="388"/>
      <c r="AA474" s="388"/>
      <c r="AB474" s="388"/>
      <c r="AC474" s="388"/>
    </row>
    <row r="475" spans="1:30" s="459" customFormat="1">
      <c r="D475" s="388"/>
    </row>
    <row r="476" spans="1:30" s="459" customFormat="1"/>
    <row r="477" spans="1:30" s="459" customFormat="1" ht="15.6">
      <c r="A477" s="401" t="s">
        <v>741</v>
      </c>
    </row>
    <row r="478" spans="1:30" s="459" customFormat="1" ht="15.6">
      <c r="A478" s="132" t="s">
        <v>346</v>
      </c>
      <c r="B478" s="793" t="s">
        <v>740</v>
      </c>
      <c r="C478" s="793"/>
      <c r="D478" s="793"/>
      <c r="E478" s="793"/>
      <c r="F478" s="793"/>
      <c r="G478" s="793"/>
      <c r="H478" s="793"/>
      <c r="I478" s="793"/>
      <c r="J478" s="793"/>
      <c r="K478" s="793"/>
      <c r="L478" s="793"/>
    </row>
    <row r="479" spans="1:30" s="459" customFormat="1">
      <c r="B479" s="526" t="s">
        <v>727</v>
      </c>
      <c r="C479" s="526" t="s">
        <v>728</v>
      </c>
      <c r="D479" s="526" t="s">
        <v>729</v>
      </c>
      <c r="E479" s="526" t="s">
        <v>730</v>
      </c>
      <c r="F479" s="526" t="s">
        <v>731</v>
      </c>
      <c r="G479" s="526" t="s">
        <v>732</v>
      </c>
      <c r="H479" s="526" t="s">
        <v>375</v>
      </c>
      <c r="I479" s="526" t="s">
        <v>733</v>
      </c>
      <c r="J479" s="526" t="s">
        <v>734</v>
      </c>
      <c r="K479" s="526" t="s">
        <v>735</v>
      </c>
      <c r="L479" s="526" t="s">
        <v>736</v>
      </c>
    </row>
    <row r="480" spans="1:30" s="459" customFormat="1" ht="15.6">
      <c r="A480" s="528" t="s">
        <v>739</v>
      </c>
    </row>
    <row r="481" spans="1:12" s="459" customFormat="1">
      <c r="A481" s="525" t="s">
        <v>737</v>
      </c>
      <c r="B481" s="459">
        <v>150036</v>
      </c>
      <c r="C481" s="459">
        <v>12832</v>
      </c>
      <c r="D481" s="459">
        <v>11088</v>
      </c>
      <c r="E481" s="459">
        <v>15360</v>
      </c>
      <c r="F481" s="459">
        <v>16432</v>
      </c>
      <c r="G481" s="459">
        <v>22808</v>
      </c>
      <c r="H481" s="459">
        <v>33096</v>
      </c>
      <c r="I481" s="459">
        <v>24798</v>
      </c>
      <c r="J481" s="459">
        <v>8768</v>
      </c>
      <c r="K481" s="459">
        <v>2833</v>
      </c>
      <c r="L481" s="459">
        <v>2021</v>
      </c>
    </row>
    <row r="482" spans="1:12" s="459" customFormat="1">
      <c r="A482" s="525" t="s">
        <v>728</v>
      </c>
      <c r="B482" s="459">
        <v>12777</v>
      </c>
      <c r="C482" s="459">
        <v>7932</v>
      </c>
      <c r="D482" s="459">
        <v>509</v>
      </c>
      <c r="E482" s="459">
        <v>128</v>
      </c>
      <c r="F482" s="459">
        <v>221</v>
      </c>
      <c r="G482" s="459">
        <v>201</v>
      </c>
      <c r="H482" s="459">
        <v>1260</v>
      </c>
      <c r="I482" s="459">
        <v>1037</v>
      </c>
      <c r="J482" s="459">
        <v>472</v>
      </c>
      <c r="K482" s="459">
        <v>874</v>
      </c>
      <c r="L482" s="459">
        <v>144</v>
      </c>
    </row>
    <row r="483" spans="1:12" s="459" customFormat="1">
      <c r="A483" s="525" t="s">
        <v>729</v>
      </c>
      <c r="B483" s="459">
        <v>10377</v>
      </c>
      <c r="C483" s="459">
        <v>423</v>
      </c>
      <c r="D483" s="459">
        <v>7419</v>
      </c>
      <c r="E483" s="459">
        <v>507</v>
      </c>
      <c r="F483" s="459">
        <v>204</v>
      </c>
      <c r="G483" s="459">
        <v>266</v>
      </c>
      <c r="H483" s="459">
        <v>808</v>
      </c>
      <c r="I483" s="459">
        <v>209</v>
      </c>
      <c r="J483" s="459">
        <v>423</v>
      </c>
      <c r="K483" s="459">
        <v>76</v>
      </c>
      <c r="L483" s="459">
        <v>42</v>
      </c>
    </row>
    <row r="484" spans="1:12" s="459" customFormat="1">
      <c r="A484" s="525" t="s">
        <v>730</v>
      </c>
      <c r="B484" s="459">
        <v>16123</v>
      </c>
      <c r="C484" s="459">
        <v>157</v>
      </c>
      <c r="D484" s="459">
        <v>666</v>
      </c>
      <c r="E484" s="459">
        <v>10260</v>
      </c>
      <c r="F484" s="459">
        <v>1056</v>
      </c>
      <c r="G484" s="459">
        <v>2312</v>
      </c>
      <c r="H484" s="459">
        <v>802</v>
      </c>
      <c r="I484" s="459">
        <v>311</v>
      </c>
      <c r="J484" s="459">
        <v>460</v>
      </c>
      <c r="K484" s="459">
        <v>44</v>
      </c>
      <c r="L484" s="459">
        <v>53</v>
      </c>
    </row>
    <row r="485" spans="1:12" s="459" customFormat="1">
      <c r="A485" s="525" t="s">
        <v>731</v>
      </c>
      <c r="B485" s="459">
        <v>14354</v>
      </c>
      <c r="C485" s="459">
        <v>116</v>
      </c>
      <c r="D485" s="459">
        <v>214</v>
      </c>
      <c r="E485" s="459">
        <v>612</v>
      </c>
      <c r="F485" s="459">
        <v>9917</v>
      </c>
      <c r="G485" s="459">
        <v>875</v>
      </c>
      <c r="H485" s="459">
        <v>1006</v>
      </c>
      <c r="I485" s="459">
        <v>874</v>
      </c>
      <c r="J485" s="459">
        <v>534</v>
      </c>
      <c r="K485" s="459">
        <v>124</v>
      </c>
      <c r="L485" s="459">
        <v>83</v>
      </c>
    </row>
    <row r="486" spans="1:12" s="459" customFormat="1">
      <c r="A486" s="525" t="s">
        <v>732</v>
      </c>
      <c r="B486" s="459">
        <v>21387</v>
      </c>
      <c r="C486" s="459">
        <v>53</v>
      </c>
      <c r="D486" s="459">
        <v>135</v>
      </c>
      <c r="E486" s="459">
        <v>1943</v>
      </c>
      <c r="F486" s="459">
        <v>1173</v>
      </c>
      <c r="G486" s="459">
        <v>16468</v>
      </c>
      <c r="H486" s="459">
        <v>1001</v>
      </c>
      <c r="I486" s="459">
        <v>240</v>
      </c>
      <c r="J486" s="459">
        <v>266</v>
      </c>
      <c r="K486" s="459">
        <v>70</v>
      </c>
      <c r="L486" s="459">
        <v>37</v>
      </c>
    </row>
    <row r="487" spans="1:12" s="459" customFormat="1">
      <c r="A487" s="525" t="s">
        <v>375</v>
      </c>
      <c r="B487" s="459">
        <v>37815</v>
      </c>
      <c r="C487" s="459">
        <v>1334</v>
      </c>
      <c r="D487" s="459">
        <v>1109</v>
      </c>
      <c r="E487" s="459">
        <v>1141</v>
      </c>
      <c r="F487" s="459">
        <v>1754</v>
      </c>
      <c r="G487" s="459">
        <v>1952</v>
      </c>
      <c r="H487" s="459">
        <v>20253</v>
      </c>
      <c r="I487" s="459">
        <v>7895</v>
      </c>
      <c r="J487" s="459">
        <v>1556</v>
      </c>
      <c r="K487" s="459">
        <v>638</v>
      </c>
      <c r="L487" s="459">
        <v>182</v>
      </c>
    </row>
    <row r="488" spans="1:12" s="459" customFormat="1">
      <c r="A488" s="525" t="s">
        <v>733</v>
      </c>
      <c r="B488" s="459">
        <v>24113</v>
      </c>
      <c r="C488" s="459">
        <v>1251</v>
      </c>
      <c r="D488" s="459">
        <v>265</v>
      </c>
      <c r="E488" s="459">
        <v>288</v>
      </c>
      <c r="F488" s="459">
        <v>1378</v>
      </c>
      <c r="G488" s="459">
        <v>354</v>
      </c>
      <c r="H488" s="459">
        <v>6088</v>
      </c>
      <c r="I488" s="459">
        <v>13114</v>
      </c>
      <c r="J488" s="459">
        <v>906</v>
      </c>
      <c r="K488" s="459">
        <v>397</v>
      </c>
      <c r="L488" s="459">
        <v>71</v>
      </c>
    </row>
    <row r="489" spans="1:12" s="459" customFormat="1">
      <c r="A489" s="525" t="s">
        <v>734</v>
      </c>
      <c r="B489" s="459">
        <v>9093</v>
      </c>
      <c r="C489" s="459">
        <v>763</v>
      </c>
      <c r="D489" s="459">
        <v>679</v>
      </c>
      <c r="E489" s="459">
        <v>435</v>
      </c>
      <c r="F489" s="459">
        <v>636</v>
      </c>
      <c r="G489" s="459">
        <v>242</v>
      </c>
      <c r="H489" s="459">
        <v>1182</v>
      </c>
      <c r="I489" s="459">
        <v>796</v>
      </c>
      <c r="J489" s="459">
        <v>4097</v>
      </c>
      <c r="K489" s="459">
        <v>210</v>
      </c>
      <c r="L489" s="459">
        <v>54</v>
      </c>
    </row>
    <row r="490" spans="1:12" s="459" customFormat="1">
      <c r="A490" s="525" t="s">
        <v>735</v>
      </c>
      <c r="B490" s="459">
        <v>1932</v>
      </c>
      <c r="C490" s="459">
        <v>745</v>
      </c>
      <c r="D490" s="459">
        <v>53</v>
      </c>
      <c r="E490" s="459">
        <v>12</v>
      </c>
      <c r="F490" s="459">
        <v>46</v>
      </c>
      <c r="G490" s="459">
        <v>76</v>
      </c>
      <c r="H490" s="459">
        <v>316</v>
      </c>
      <c r="I490" s="459">
        <v>259</v>
      </c>
      <c r="J490" s="459">
        <v>30</v>
      </c>
      <c r="K490" s="459">
        <v>374</v>
      </c>
      <c r="L490" s="459">
        <v>21</v>
      </c>
    </row>
    <row r="491" spans="1:12" s="459" customFormat="1">
      <c r="A491" s="527" t="s">
        <v>736</v>
      </c>
      <c r="B491" s="458">
        <v>2066</v>
      </c>
      <c r="C491" s="458">
        <v>58</v>
      </c>
      <c r="D491" s="458">
        <v>38</v>
      </c>
      <c r="E491" s="458">
        <v>35</v>
      </c>
      <c r="F491" s="458">
        <v>46</v>
      </c>
      <c r="G491" s="458">
        <v>63</v>
      </c>
      <c r="H491" s="458">
        <v>380</v>
      </c>
      <c r="I491" s="458">
        <v>63</v>
      </c>
      <c r="J491" s="458">
        <v>24</v>
      </c>
      <c r="K491" s="458">
        <v>26</v>
      </c>
      <c r="L491" s="458">
        <v>1333</v>
      </c>
    </row>
    <row r="492" spans="1:12" s="459" customFormat="1">
      <c r="A492" s="459" t="s">
        <v>738</v>
      </c>
    </row>
    <row r="493" spans="1:12" s="459" customFormat="1"/>
    <row r="494" spans="1:12" s="459" customFormat="1"/>
    <row r="495" spans="1:12" s="459" customFormat="1"/>
    <row r="496" spans="1:12" s="459" customFormat="1" ht="15.6">
      <c r="A496" s="401" t="s">
        <v>742</v>
      </c>
    </row>
    <row r="497" spans="1:12" s="459" customFormat="1" ht="15.6">
      <c r="A497" s="132" t="s">
        <v>346</v>
      </c>
      <c r="B497" s="793" t="s">
        <v>740</v>
      </c>
      <c r="C497" s="793"/>
      <c r="D497" s="793"/>
      <c r="E497" s="793"/>
      <c r="F497" s="793"/>
      <c r="G497" s="793"/>
      <c r="H497" s="793"/>
      <c r="I497" s="793"/>
      <c r="J497" s="793"/>
      <c r="K497" s="793"/>
      <c r="L497" s="793"/>
    </row>
    <row r="498" spans="1:12" s="459" customFormat="1">
      <c r="B498" s="526" t="s">
        <v>727</v>
      </c>
      <c r="C498" s="526" t="s">
        <v>728</v>
      </c>
      <c r="D498" s="526" t="s">
        <v>729</v>
      </c>
      <c r="E498" s="526" t="s">
        <v>730</v>
      </c>
      <c r="F498" s="526" t="s">
        <v>731</v>
      </c>
      <c r="G498" s="526" t="s">
        <v>732</v>
      </c>
      <c r="H498" s="526" t="s">
        <v>375</v>
      </c>
      <c r="I498" s="526" t="s">
        <v>733</v>
      </c>
      <c r="J498" s="526" t="s">
        <v>734</v>
      </c>
      <c r="K498" s="526" t="s">
        <v>735</v>
      </c>
      <c r="L498" s="526" t="s">
        <v>736</v>
      </c>
    </row>
    <row r="499" spans="1:12" s="459" customFormat="1" ht="15.6">
      <c r="A499" s="528" t="s">
        <v>739</v>
      </c>
    </row>
    <row r="500" spans="1:12" s="459" customFormat="1">
      <c r="A500" s="525" t="s">
        <v>737</v>
      </c>
      <c r="B500" s="459">
        <v>1599</v>
      </c>
      <c r="C500" s="459">
        <v>130</v>
      </c>
      <c r="D500" s="459">
        <v>144</v>
      </c>
      <c r="E500" s="459">
        <v>160</v>
      </c>
      <c r="F500" s="459">
        <v>158</v>
      </c>
      <c r="G500" s="459">
        <v>228</v>
      </c>
      <c r="H500" s="459">
        <v>358</v>
      </c>
      <c r="I500" s="459">
        <v>192</v>
      </c>
      <c r="J500" s="459">
        <v>109</v>
      </c>
      <c r="K500" s="459">
        <v>35</v>
      </c>
      <c r="L500" s="459">
        <v>85</v>
      </c>
    </row>
    <row r="501" spans="1:12" s="459" customFormat="1">
      <c r="A501" s="525" t="s">
        <v>728</v>
      </c>
      <c r="B501" s="459">
        <v>136</v>
      </c>
      <c r="C501" s="459">
        <v>51</v>
      </c>
      <c r="D501" s="459">
        <v>11</v>
      </c>
      <c r="E501" s="459">
        <v>4</v>
      </c>
      <c r="F501" s="459">
        <v>4</v>
      </c>
      <c r="G501" s="459">
        <v>5</v>
      </c>
      <c r="H501" s="459">
        <v>25</v>
      </c>
      <c r="I501" s="459">
        <v>14</v>
      </c>
      <c r="J501" s="459">
        <v>9</v>
      </c>
      <c r="K501" s="459">
        <v>7</v>
      </c>
      <c r="L501" s="459">
        <v>6</v>
      </c>
    </row>
    <row r="502" spans="1:12" s="459" customFormat="1">
      <c r="A502" s="525" t="s">
        <v>729</v>
      </c>
      <c r="B502" s="459">
        <v>140</v>
      </c>
      <c r="C502" s="459">
        <v>10</v>
      </c>
      <c r="D502" s="459">
        <v>65</v>
      </c>
      <c r="E502" s="459">
        <v>10</v>
      </c>
      <c r="F502" s="459">
        <v>4</v>
      </c>
      <c r="G502" s="459">
        <v>5</v>
      </c>
      <c r="H502" s="459">
        <v>24</v>
      </c>
      <c r="I502" s="459">
        <v>6</v>
      </c>
      <c r="J502" s="459">
        <v>12</v>
      </c>
      <c r="K502" s="459">
        <v>1</v>
      </c>
      <c r="L502" s="459">
        <v>3</v>
      </c>
    </row>
    <row r="503" spans="1:12" s="459" customFormat="1">
      <c r="A503" s="525" t="s">
        <v>730</v>
      </c>
      <c r="B503" s="459">
        <v>159</v>
      </c>
      <c r="C503" s="459">
        <v>5</v>
      </c>
      <c r="D503" s="459">
        <v>10</v>
      </c>
      <c r="E503" s="459">
        <v>66</v>
      </c>
      <c r="F503" s="459">
        <v>10</v>
      </c>
      <c r="G503" s="459">
        <v>30</v>
      </c>
      <c r="H503" s="459">
        <v>21</v>
      </c>
      <c r="I503" s="459">
        <v>6</v>
      </c>
      <c r="J503" s="459">
        <v>6</v>
      </c>
      <c r="K503" s="459">
        <v>1</v>
      </c>
      <c r="L503" s="459">
        <v>4</v>
      </c>
    </row>
    <row r="504" spans="1:12" s="459" customFormat="1">
      <c r="A504" s="525" t="s">
        <v>731</v>
      </c>
      <c r="B504" s="459">
        <v>156</v>
      </c>
      <c r="C504" s="459">
        <v>3</v>
      </c>
      <c r="D504" s="459">
        <v>5</v>
      </c>
      <c r="E504" s="459">
        <v>10</v>
      </c>
      <c r="F504" s="459">
        <v>68</v>
      </c>
      <c r="G504" s="459">
        <v>15</v>
      </c>
      <c r="H504" s="459">
        <v>25</v>
      </c>
      <c r="I504" s="459">
        <v>14</v>
      </c>
      <c r="J504" s="459">
        <v>7</v>
      </c>
      <c r="K504" s="459">
        <v>2</v>
      </c>
      <c r="L504" s="459">
        <v>6</v>
      </c>
    </row>
    <row r="505" spans="1:12" s="459" customFormat="1">
      <c r="A505" s="525" t="s">
        <v>732</v>
      </c>
      <c r="B505" s="459">
        <v>227</v>
      </c>
      <c r="C505" s="459">
        <v>4</v>
      </c>
      <c r="D505" s="459">
        <v>6</v>
      </c>
      <c r="E505" s="459">
        <v>29</v>
      </c>
      <c r="F505" s="459">
        <v>17</v>
      </c>
      <c r="G505" s="459">
        <v>112</v>
      </c>
      <c r="H505" s="459">
        <v>37</v>
      </c>
      <c r="I505" s="459">
        <v>9</v>
      </c>
      <c r="J505" s="459">
        <v>7</v>
      </c>
      <c r="K505" s="459">
        <v>3</v>
      </c>
      <c r="L505" s="459">
        <v>3</v>
      </c>
    </row>
    <row r="506" spans="1:12" s="459" customFormat="1">
      <c r="A506" s="525" t="s">
        <v>375</v>
      </c>
      <c r="B506" s="459">
        <v>366</v>
      </c>
      <c r="C506" s="459">
        <v>25</v>
      </c>
      <c r="D506" s="459">
        <v>25</v>
      </c>
      <c r="E506" s="459">
        <v>23</v>
      </c>
      <c r="F506" s="459">
        <v>28</v>
      </c>
      <c r="G506" s="459">
        <v>39</v>
      </c>
      <c r="H506" s="459">
        <v>126</v>
      </c>
      <c r="I506" s="459">
        <v>58</v>
      </c>
      <c r="J506" s="459">
        <v>24</v>
      </c>
      <c r="K506" s="459">
        <v>9</v>
      </c>
      <c r="L506" s="459">
        <v>8</v>
      </c>
    </row>
    <row r="507" spans="1:12" s="459" customFormat="1">
      <c r="A507" s="525" t="s">
        <v>733</v>
      </c>
      <c r="B507" s="459">
        <v>193</v>
      </c>
      <c r="C507" s="459">
        <v>14</v>
      </c>
      <c r="D507" s="459">
        <v>6</v>
      </c>
      <c r="E507" s="459">
        <v>7</v>
      </c>
      <c r="F507" s="459">
        <v>15</v>
      </c>
      <c r="G507" s="459">
        <v>9</v>
      </c>
      <c r="H507" s="459">
        <v>55</v>
      </c>
      <c r="I507" s="459">
        <v>68</v>
      </c>
      <c r="J507" s="459">
        <v>12</v>
      </c>
      <c r="K507" s="459">
        <v>5</v>
      </c>
      <c r="L507" s="459">
        <v>3</v>
      </c>
    </row>
    <row r="508" spans="1:12" s="459" customFormat="1">
      <c r="A508" s="525" t="s">
        <v>734</v>
      </c>
      <c r="B508" s="459">
        <v>111</v>
      </c>
      <c r="C508" s="459">
        <v>9</v>
      </c>
      <c r="D508" s="459">
        <v>14</v>
      </c>
      <c r="E508" s="459">
        <v>7</v>
      </c>
      <c r="F508" s="459">
        <v>7</v>
      </c>
      <c r="G508" s="459">
        <v>7</v>
      </c>
      <c r="H508" s="459">
        <v>22</v>
      </c>
      <c r="I508" s="459">
        <v>12</v>
      </c>
      <c r="J508" s="459">
        <v>29</v>
      </c>
      <c r="K508" s="459">
        <v>3</v>
      </c>
      <c r="L508" s="459">
        <v>2</v>
      </c>
    </row>
    <row r="509" spans="1:12">
      <c r="A509" s="525" t="s">
        <v>735</v>
      </c>
      <c r="B509" s="459">
        <v>29</v>
      </c>
      <c r="C509" s="459">
        <v>6</v>
      </c>
      <c r="D509" s="459">
        <v>1</v>
      </c>
      <c r="E509" s="459">
        <v>1</v>
      </c>
      <c r="F509" s="459">
        <v>2</v>
      </c>
      <c r="G509" s="459">
        <v>3</v>
      </c>
      <c r="H509" s="459">
        <v>8</v>
      </c>
      <c r="I509" s="459">
        <v>4</v>
      </c>
      <c r="J509" s="459">
        <v>2</v>
      </c>
      <c r="K509" s="459">
        <v>2</v>
      </c>
      <c r="L509" s="459">
        <v>1</v>
      </c>
    </row>
    <row r="510" spans="1:12">
      <c r="A510" s="527" t="s">
        <v>736</v>
      </c>
      <c r="B510" s="458">
        <v>82</v>
      </c>
      <c r="C510" s="458">
        <v>2</v>
      </c>
      <c r="D510" s="458">
        <v>2</v>
      </c>
      <c r="E510" s="458">
        <v>2</v>
      </c>
      <c r="F510" s="458">
        <v>2</v>
      </c>
      <c r="G510" s="458">
        <v>3</v>
      </c>
      <c r="H510" s="458">
        <v>15</v>
      </c>
      <c r="I510" s="458">
        <v>3</v>
      </c>
      <c r="J510" s="458">
        <v>1</v>
      </c>
      <c r="K510" s="458">
        <v>1</v>
      </c>
      <c r="L510" s="458">
        <v>50</v>
      </c>
    </row>
    <row r="511" spans="1:12">
      <c r="A511" s="459" t="s">
        <v>738</v>
      </c>
      <c r="B511" s="459"/>
      <c r="C511" s="459"/>
      <c r="D511" s="459"/>
      <c r="E511" s="459"/>
      <c r="F511" s="459"/>
      <c r="G511" s="459"/>
      <c r="H511" s="459"/>
      <c r="I511" s="459"/>
      <c r="J511" s="459"/>
      <c r="K511" s="459"/>
      <c r="L511" s="459"/>
    </row>
    <row r="513" spans="1:7" s="459" customFormat="1"/>
    <row r="514" spans="1:7">
      <c r="A514" s="459"/>
    </row>
    <row r="515" spans="1:7">
      <c r="A515" s="775" t="s">
        <v>766</v>
      </c>
      <c r="B515" s="775"/>
      <c r="C515" s="775"/>
      <c r="D515" s="775"/>
      <c r="E515" s="775"/>
      <c r="F515" s="775"/>
      <c r="G515" s="775"/>
    </row>
    <row r="516" spans="1:7">
      <c r="A516" s="518"/>
      <c r="B516" s="518"/>
      <c r="C516" s="518"/>
      <c r="D516" s="518"/>
      <c r="E516" s="518"/>
      <c r="F516" s="518"/>
      <c r="G516" s="543" t="s">
        <v>763</v>
      </c>
    </row>
    <row r="517" spans="1:7">
      <c r="A517" s="544"/>
      <c r="B517" s="545">
        <v>2013</v>
      </c>
      <c r="C517" s="546">
        <v>2014</v>
      </c>
      <c r="D517" s="546">
        <v>2015</v>
      </c>
      <c r="E517" s="546">
        <v>2016</v>
      </c>
      <c r="F517" s="546">
        <v>2017</v>
      </c>
      <c r="G517" s="546">
        <v>2018</v>
      </c>
    </row>
    <row r="518" spans="1:7">
      <c r="A518" s="14" t="s">
        <v>21</v>
      </c>
      <c r="B518" s="13"/>
      <c r="C518" s="13"/>
      <c r="D518" s="13"/>
      <c r="E518" s="13"/>
      <c r="F518" s="13"/>
      <c r="G518" s="13"/>
    </row>
    <row r="519" spans="1:7">
      <c r="A519" s="547" t="s">
        <v>38</v>
      </c>
      <c r="B519" s="12">
        <v>8144</v>
      </c>
      <c r="C519" s="12">
        <v>10230</v>
      </c>
      <c r="D519" s="12">
        <v>10490</v>
      </c>
      <c r="E519" s="12">
        <v>10771.652254326058</v>
      </c>
      <c r="F519" s="12">
        <v>11557.033844917567</v>
      </c>
      <c r="G519" s="12">
        <v>12438</v>
      </c>
    </row>
    <row r="520" spans="1:7">
      <c r="A520" s="547" t="s">
        <v>39</v>
      </c>
      <c r="B520" s="12">
        <v>11730</v>
      </c>
      <c r="C520" s="12">
        <v>10584</v>
      </c>
      <c r="D520" s="12">
        <v>10962</v>
      </c>
      <c r="E520" s="12">
        <v>11953.521212477279</v>
      </c>
      <c r="F520" s="12">
        <v>12695.598551411398</v>
      </c>
      <c r="G520" s="12">
        <v>13299</v>
      </c>
    </row>
    <row r="521" spans="1:7">
      <c r="A521" s="547" t="s">
        <v>40</v>
      </c>
      <c r="B521" s="12">
        <v>15985</v>
      </c>
      <c r="C521" s="12">
        <v>15949</v>
      </c>
      <c r="D521" s="12">
        <v>17150</v>
      </c>
      <c r="E521" s="12">
        <v>18986.617545944344</v>
      </c>
      <c r="F521" s="12">
        <v>20077.245353236714</v>
      </c>
      <c r="G521" s="12">
        <v>20934</v>
      </c>
    </row>
    <row r="522" spans="1:7">
      <c r="A522" s="547" t="s">
        <v>41</v>
      </c>
      <c r="B522" s="12">
        <v>880</v>
      </c>
      <c r="C522" s="12">
        <v>1041</v>
      </c>
      <c r="D522" s="12">
        <v>1058</v>
      </c>
      <c r="E522" s="12">
        <v>1102.8053175033033</v>
      </c>
      <c r="F522" s="12">
        <v>1175.0163992303337</v>
      </c>
      <c r="G522" s="12">
        <v>1290</v>
      </c>
    </row>
    <row r="523" spans="1:7">
      <c r="A523" s="548" t="s">
        <v>1</v>
      </c>
      <c r="B523" s="549">
        <v>36739</v>
      </c>
      <c r="C523" s="549">
        <v>37804</v>
      </c>
      <c r="D523" s="549">
        <v>39660</v>
      </c>
      <c r="E523" s="549">
        <v>42815</v>
      </c>
      <c r="F523" s="549">
        <v>45505</v>
      </c>
      <c r="G523" s="549">
        <v>47960</v>
      </c>
    </row>
    <row r="524" spans="1:7">
      <c r="A524" s="14" t="s">
        <v>35</v>
      </c>
      <c r="B524" s="12">
        <v>1591851</v>
      </c>
      <c r="C524" s="12">
        <v>1862793</v>
      </c>
      <c r="D524" s="12">
        <v>1916722</v>
      </c>
      <c r="E524" s="12">
        <v>1989798</v>
      </c>
      <c r="F524" s="12">
        <v>2120987</v>
      </c>
      <c r="G524" s="12">
        <v>2281083</v>
      </c>
    </row>
    <row r="525" spans="1:7">
      <c r="A525" s="14" t="s">
        <v>42</v>
      </c>
      <c r="B525" s="12">
        <v>589</v>
      </c>
      <c r="C525" s="12">
        <v>578</v>
      </c>
      <c r="D525" s="12">
        <v>540</v>
      </c>
      <c r="E525" s="12">
        <v>581</v>
      </c>
      <c r="F525" s="12">
        <v>546</v>
      </c>
      <c r="G525" s="12">
        <v>516</v>
      </c>
    </row>
    <row r="526" spans="1:7">
      <c r="A526" s="550" t="s">
        <v>764</v>
      </c>
      <c r="B526" s="551">
        <v>98845</v>
      </c>
      <c r="C526" s="551">
        <v>99827</v>
      </c>
      <c r="D526" s="551">
        <v>96406</v>
      </c>
      <c r="E526" s="551">
        <v>101480</v>
      </c>
      <c r="F526" s="551">
        <v>100399</v>
      </c>
      <c r="G526" s="551">
        <v>88551</v>
      </c>
    </row>
    <row r="527" spans="1:7">
      <c r="A527" s="802" t="s">
        <v>765</v>
      </c>
      <c r="B527" s="802"/>
      <c r="C527" s="802"/>
      <c r="D527" s="802"/>
      <c r="E527" s="802"/>
      <c r="F527" s="802"/>
      <c r="G527" s="802"/>
    </row>
    <row r="528" spans="1:7">
      <c r="A528" s="803" t="s">
        <v>767</v>
      </c>
      <c r="B528" s="803"/>
      <c r="C528" s="803"/>
      <c r="D528" s="803"/>
      <c r="E528" s="803"/>
      <c r="F528" s="803"/>
      <c r="G528" s="803"/>
    </row>
    <row r="533" spans="1:32">
      <c r="A533" s="459"/>
      <c r="B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c r="AD533" s="459"/>
    </row>
    <row r="534" spans="1:32">
      <c r="A534" s="459"/>
      <c r="B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c r="AD534" s="459"/>
    </row>
    <row r="535" spans="1:32" ht="15.6">
      <c r="A535" s="401" t="s">
        <v>791</v>
      </c>
      <c r="B535" s="459"/>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c r="AD535" s="459"/>
    </row>
    <row r="536" spans="1:32" ht="15.6">
      <c r="A536" s="132" t="s">
        <v>346</v>
      </c>
      <c r="B536" s="793" t="s">
        <v>740</v>
      </c>
      <c r="C536" s="793"/>
      <c r="D536" s="793"/>
      <c r="E536" s="793"/>
      <c r="F536" s="793"/>
      <c r="G536" s="793"/>
      <c r="H536" s="793"/>
      <c r="I536" s="793"/>
      <c r="J536" s="793"/>
      <c r="K536" s="793"/>
      <c r="L536" s="793"/>
      <c r="M536" s="459"/>
      <c r="N536" s="459"/>
      <c r="O536" s="459"/>
      <c r="P536" s="459"/>
      <c r="Q536" s="459"/>
      <c r="R536" s="459"/>
      <c r="S536" s="459"/>
      <c r="T536" s="459"/>
      <c r="U536" s="459"/>
      <c r="V536" s="459"/>
      <c r="W536" s="459"/>
      <c r="X536" s="459"/>
      <c r="Y536" s="459"/>
      <c r="Z536" s="459"/>
      <c r="AA536" s="459"/>
      <c r="AB536" s="459"/>
      <c r="AC536" s="459"/>
      <c r="AD536" s="459"/>
      <c r="AE536" s="459"/>
      <c r="AF536" s="459"/>
    </row>
    <row r="537" spans="1:32">
      <c r="A537" s="459"/>
      <c r="B537" s="526" t="s">
        <v>727</v>
      </c>
      <c r="C537" s="529" t="s">
        <v>728</v>
      </c>
      <c r="D537" s="532" t="s">
        <v>729</v>
      </c>
      <c r="E537" s="534" t="s">
        <v>730</v>
      </c>
      <c r="F537" s="43" t="s">
        <v>731</v>
      </c>
      <c r="G537" s="537" t="s">
        <v>732</v>
      </c>
      <c r="H537" s="459" t="s">
        <v>375</v>
      </c>
      <c r="I537" s="539" t="s">
        <v>733</v>
      </c>
      <c r="J537" s="540" t="s">
        <v>734</v>
      </c>
      <c r="K537" s="526" t="s">
        <v>735</v>
      </c>
      <c r="L537" s="526" t="s">
        <v>736</v>
      </c>
      <c r="M537" s="459"/>
      <c r="N537" s="459"/>
      <c r="O537" s="459"/>
      <c r="P537" s="459"/>
      <c r="Q537" s="459"/>
      <c r="R537" s="459"/>
      <c r="S537" s="459"/>
      <c r="T537" s="459"/>
      <c r="U537" s="459"/>
      <c r="V537" s="459"/>
      <c r="W537" s="459"/>
      <c r="X537" s="459"/>
      <c r="Y537" s="459"/>
      <c r="Z537" s="459"/>
      <c r="AA537" s="459"/>
      <c r="AB537" s="459"/>
      <c r="AC537" s="459"/>
      <c r="AD537" s="459"/>
      <c r="AE537" s="459"/>
      <c r="AF537" s="459"/>
    </row>
    <row r="538" spans="1:32" ht="15.6">
      <c r="A538" s="528" t="s">
        <v>739</v>
      </c>
      <c r="B538" s="459"/>
      <c r="C538" s="459"/>
      <c r="D538" s="459"/>
      <c r="E538" s="459"/>
      <c r="F538" s="459"/>
      <c r="G538" s="459"/>
      <c r="H538" s="459"/>
      <c r="I538" s="459"/>
      <c r="J538" s="459"/>
      <c r="K538" s="459"/>
      <c r="L538" s="459"/>
      <c r="M538" s="459"/>
      <c r="N538" s="459"/>
      <c r="O538" s="459"/>
      <c r="P538" s="459"/>
      <c r="Q538" s="459"/>
      <c r="R538" s="459"/>
      <c r="S538" s="459"/>
      <c r="T538" s="459"/>
      <c r="U538" s="459"/>
      <c r="V538" s="459"/>
      <c r="W538" s="459"/>
      <c r="X538" s="459"/>
      <c r="Y538" s="459"/>
      <c r="Z538" s="459"/>
      <c r="AA538" s="459"/>
      <c r="AB538" s="459"/>
      <c r="AC538" s="459"/>
      <c r="AD538" s="459"/>
      <c r="AE538" s="459"/>
      <c r="AF538" s="459"/>
    </row>
    <row r="539" spans="1:32">
      <c r="A539" s="525" t="s">
        <v>737</v>
      </c>
      <c r="B539" s="6">
        <f>B437/B500</f>
        <v>7.2151344590368982</v>
      </c>
      <c r="C539" s="6">
        <f t="shared" ref="C539:L539" si="206">C437/C500</f>
        <v>6.6384615384615389</v>
      </c>
      <c r="D539" s="6">
        <f t="shared" si="206"/>
        <v>6.3402777777777777</v>
      </c>
      <c r="E539" s="6">
        <f t="shared" si="206"/>
        <v>6.5875000000000004</v>
      </c>
      <c r="F539" s="6">
        <f t="shared" si="206"/>
        <v>7.4683544303797467</v>
      </c>
      <c r="G539" s="6">
        <f t="shared" si="206"/>
        <v>8.0701754385964914</v>
      </c>
      <c r="H539" s="6">
        <f>H437/H500</f>
        <v>6.1033519553072626</v>
      </c>
      <c r="I539" s="6">
        <f t="shared" si="206"/>
        <v>6.59375</v>
      </c>
      <c r="J539" s="6">
        <f t="shared" si="206"/>
        <v>6.1100917431192663</v>
      </c>
      <c r="K539" s="6">
        <f t="shared" si="206"/>
        <v>11.457142857142857</v>
      </c>
      <c r="L539" s="6">
        <f t="shared" si="206"/>
        <v>13.752941176470589</v>
      </c>
      <c r="M539" s="459"/>
      <c r="N539" s="459"/>
      <c r="O539" s="459"/>
      <c r="P539" s="459"/>
      <c r="Q539" s="459"/>
      <c r="R539" s="459"/>
      <c r="S539" s="459"/>
      <c r="T539" s="459"/>
      <c r="U539" s="459"/>
      <c r="V539" s="459"/>
      <c r="W539" s="459"/>
      <c r="X539" s="459"/>
      <c r="Y539" s="459"/>
      <c r="Z539" s="459"/>
      <c r="AA539" s="459"/>
      <c r="AB539" s="459"/>
      <c r="AC539" s="459"/>
      <c r="AD539" s="459"/>
      <c r="AE539" s="459"/>
      <c r="AF539" s="459"/>
    </row>
    <row r="540" spans="1:32">
      <c r="A540" s="525" t="s">
        <v>728</v>
      </c>
      <c r="B540" s="6">
        <f t="shared" ref="B540:L549" si="207">B438/B501</f>
        <v>7.3970588235294121</v>
      </c>
      <c r="C540" s="6">
        <f t="shared" si="207"/>
        <v>5.9215686274509807</v>
      </c>
      <c r="D540" s="6">
        <f t="shared" si="207"/>
        <v>5.6363636363636367</v>
      </c>
      <c r="E540" s="6">
        <f t="shared" si="207"/>
        <v>8.5</v>
      </c>
      <c r="F540" s="6">
        <f t="shared" si="207"/>
        <v>12.5</v>
      </c>
      <c r="G540" s="6">
        <f t="shared" si="207"/>
        <v>13</v>
      </c>
      <c r="H540" s="6">
        <f t="shared" si="207"/>
        <v>6.6</v>
      </c>
      <c r="I540" s="6">
        <f t="shared" si="207"/>
        <v>7.8571428571428568</v>
      </c>
      <c r="J540" s="6">
        <f t="shared" si="207"/>
        <v>5.2222222222222223</v>
      </c>
      <c r="K540" s="6">
        <f t="shared" si="207"/>
        <v>11</v>
      </c>
      <c r="L540" s="6">
        <f t="shared" si="207"/>
        <v>15.833333333333334</v>
      </c>
      <c r="M540" s="459"/>
      <c r="N540" s="459"/>
      <c r="O540" s="459"/>
      <c r="P540" s="459"/>
      <c r="Q540" s="459"/>
      <c r="R540" s="459"/>
      <c r="S540" s="459"/>
      <c r="T540" s="459"/>
      <c r="U540" s="459"/>
      <c r="V540" s="459"/>
      <c r="W540" s="459"/>
      <c r="X540" s="459"/>
      <c r="Y540" s="459"/>
      <c r="Z540" s="459"/>
      <c r="AA540" s="459"/>
      <c r="AB540" s="459"/>
      <c r="AC540" s="459"/>
      <c r="AD540" s="459"/>
      <c r="AE540" s="459"/>
      <c r="AF540" s="459"/>
    </row>
    <row r="541" spans="1:32">
      <c r="A541" s="525" t="s">
        <v>729</v>
      </c>
      <c r="B541" s="6">
        <f t="shared" si="207"/>
        <v>5.8</v>
      </c>
      <c r="C541" s="6">
        <f t="shared" si="207"/>
        <v>4.4000000000000004</v>
      </c>
      <c r="D541" s="6">
        <f t="shared" si="207"/>
        <v>4.5538461538461537</v>
      </c>
      <c r="E541" s="6">
        <f t="shared" si="207"/>
        <v>6.2</v>
      </c>
      <c r="F541" s="6">
        <f t="shared" si="207"/>
        <v>11</v>
      </c>
      <c r="G541" s="6">
        <f t="shared" si="207"/>
        <v>10.6</v>
      </c>
      <c r="H541" s="6">
        <f t="shared" si="207"/>
        <v>7.125</v>
      </c>
      <c r="I541" s="6">
        <f t="shared" si="207"/>
        <v>6.833333333333333</v>
      </c>
      <c r="J541" s="6">
        <f t="shared" si="207"/>
        <v>3.5</v>
      </c>
      <c r="K541" s="6">
        <f t="shared" si="207"/>
        <v>14</v>
      </c>
      <c r="L541" s="6">
        <f t="shared" si="207"/>
        <v>14.666666666666666</v>
      </c>
      <c r="M541" s="459"/>
      <c r="N541" s="459"/>
      <c r="O541" s="459"/>
      <c r="P541" s="459"/>
      <c r="Q541" s="459"/>
      <c r="R541" s="459"/>
      <c r="S541" s="459"/>
      <c r="T541" s="459"/>
      <c r="U541" s="459"/>
      <c r="V541" s="459"/>
      <c r="W541" s="459"/>
      <c r="X541" s="459"/>
      <c r="Y541" s="459"/>
      <c r="Z541" s="459"/>
      <c r="AA541" s="459"/>
      <c r="AB541" s="459"/>
      <c r="AC541" s="459"/>
      <c r="AD541" s="459"/>
      <c r="AE541" s="459"/>
      <c r="AF541" s="459"/>
    </row>
    <row r="542" spans="1:32">
      <c r="A542" s="525" t="s">
        <v>730</v>
      </c>
      <c r="B542" s="6">
        <f t="shared" si="207"/>
        <v>6.8301886792452828</v>
      </c>
      <c r="C542" s="6">
        <f t="shared" si="207"/>
        <v>6.6</v>
      </c>
      <c r="D542" s="6">
        <f t="shared" si="207"/>
        <v>8.3000000000000007</v>
      </c>
      <c r="E542" s="6">
        <f t="shared" si="207"/>
        <v>5.6969696969696972</v>
      </c>
      <c r="F542" s="6">
        <f t="shared" si="207"/>
        <v>10.6</v>
      </c>
      <c r="G542" s="6">
        <f t="shared" si="207"/>
        <v>6.4</v>
      </c>
      <c r="H542" s="6">
        <f t="shared" si="207"/>
        <v>7</v>
      </c>
      <c r="I542" s="6">
        <f t="shared" si="207"/>
        <v>8</v>
      </c>
      <c r="J542" s="6">
        <f t="shared" si="207"/>
        <v>7.833333333333333</v>
      </c>
      <c r="K542" s="6">
        <f t="shared" si="207"/>
        <v>11</v>
      </c>
      <c r="L542" s="6">
        <f t="shared" si="207"/>
        <v>10.5</v>
      </c>
      <c r="M542" s="459"/>
      <c r="N542" s="459"/>
      <c r="O542" s="459"/>
      <c r="P542" s="459"/>
      <c r="Q542" s="459"/>
      <c r="R542" s="459"/>
      <c r="S542" s="459"/>
      <c r="T542" s="459"/>
      <c r="U542" s="459"/>
      <c r="V542" s="459"/>
      <c r="W542" s="459"/>
      <c r="X542" s="459"/>
      <c r="Y542" s="459"/>
      <c r="Z542" s="459"/>
      <c r="AA542" s="459"/>
      <c r="AB542" s="459"/>
      <c r="AC542" s="459"/>
      <c r="AD542" s="459"/>
      <c r="AE542" s="459"/>
      <c r="AF542" s="459"/>
    </row>
    <row r="543" spans="1:32">
      <c r="A543" s="525" t="s">
        <v>731</v>
      </c>
      <c r="B543" s="6">
        <f t="shared" si="207"/>
        <v>6.4743589743589745</v>
      </c>
      <c r="C543" s="6">
        <f t="shared" si="207"/>
        <v>8.3333333333333339</v>
      </c>
      <c r="D543" s="6">
        <f t="shared" si="207"/>
        <v>9.4</v>
      </c>
      <c r="E543" s="6">
        <f t="shared" si="207"/>
        <v>6.6</v>
      </c>
      <c r="F543" s="6">
        <f t="shared" si="207"/>
        <v>5.2941176470588234</v>
      </c>
      <c r="G543" s="6">
        <f t="shared" si="207"/>
        <v>7.5333333333333332</v>
      </c>
      <c r="H543" s="6">
        <f t="shared" si="207"/>
        <v>5.44</v>
      </c>
      <c r="I543" s="6">
        <f t="shared" si="207"/>
        <v>6.4285714285714288</v>
      </c>
      <c r="J543" s="6">
        <f t="shared" si="207"/>
        <v>8</v>
      </c>
      <c r="K543" s="6">
        <f t="shared" si="207"/>
        <v>18.5</v>
      </c>
      <c r="L543" s="6">
        <f t="shared" si="207"/>
        <v>13.333333333333334</v>
      </c>
      <c r="M543" s="459"/>
      <c r="N543" s="459"/>
      <c r="O543" s="459"/>
      <c r="P543" s="459"/>
      <c r="Q543" s="459"/>
      <c r="R543" s="459"/>
      <c r="S543" s="459"/>
      <c r="T543" s="459"/>
      <c r="U543" s="459"/>
      <c r="V543" s="459"/>
      <c r="W543" s="459"/>
      <c r="X543" s="459"/>
      <c r="Y543" s="459"/>
      <c r="Z543" s="459"/>
      <c r="AA543" s="459"/>
      <c r="AB543" s="459"/>
      <c r="AC543" s="459"/>
      <c r="AD543" s="459"/>
      <c r="AE543" s="459"/>
      <c r="AF543" s="459"/>
    </row>
    <row r="544" spans="1:32">
      <c r="A544" s="525" t="s">
        <v>732</v>
      </c>
      <c r="B544" s="6">
        <f t="shared" si="207"/>
        <v>6.6872246696035242</v>
      </c>
      <c r="C544" s="6">
        <f t="shared" si="207"/>
        <v>4</v>
      </c>
      <c r="D544" s="6">
        <f t="shared" si="207"/>
        <v>5</v>
      </c>
      <c r="E544" s="6">
        <f t="shared" si="207"/>
        <v>6</v>
      </c>
      <c r="F544" s="6">
        <f t="shared" si="207"/>
        <v>9.1764705882352935</v>
      </c>
      <c r="G544" s="6">
        <f t="shared" si="207"/>
        <v>6.3571428571428568</v>
      </c>
      <c r="H544" s="6">
        <f t="shared" si="207"/>
        <v>6.7297297297297298</v>
      </c>
      <c r="I544" s="6">
        <f t="shared" si="207"/>
        <v>6.666666666666667</v>
      </c>
      <c r="J544" s="6">
        <f t="shared" si="207"/>
        <v>7.5714285714285712</v>
      </c>
      <c r="K544" s="6">
        <f t="shared" si="207"/>
        <v>8.6666666666666661</v>
      </c>
      <c r="L544" s="6">
        <f t="shared" si="207"/>
        <v>14.333333333333334</v>
      </c>
      <c r="M544" s="459"/>
      <c r="N544" s="459"/>
      <c r="O544" s="459"/>
      <c r="P544" s="459"/>
      <c r="Q544" s="459"/>
      <c r="R544" s="459"/>
      <c r="S544" s="459"/>
      <c r="T544" s="459"/>
      <c r="U544" s="459"/>
      <c r="V544" s="459"/>
      <c r="W544" s="459"/>
      <c r="X544" s="459"/>
      <c r="Y544" s="459"/>
      <c r="Z544" s="459"/>
      <c r="AA544" s="459"/>
      <c r="AB544" s="459"/>
      <c r="AC544" s="459"/>
      <c r="AD544" s="459"/>
      <c r="AE544" s="459"/>
      <c r="AF544" s="459"/>
    </row>
    <row r="545" spans="1:32">
      <c r="A545" s="525" t="s">
        <v>375</v>
      </c>
      <c r="B545" s="6">
        <f t="shared" si="207"/>
        <v>7.4890710382513666</v>
      </c>
      <c r="C545" s="6">
        <f t="shared" si="207"/>
        <v>7.6</v>
      </c>
      <c r="D545" s="6">
        <f t="shared" si="207"/>
        <v>9.52</v>
      </c>
      <c r="E545" s="6">
        <f t="shared" si="207"/>
        <v>9.9130434782608692</v>
      </c>
      <c r="F545" s="6">
        <f t="shared" si="207"/>
        <v>8.3928571428571423</v>
      </c>
      <c r="G545" s="6">
        <f t="shared" si="207"/>
        <v>12.564102564102564</v>
      </c>
      <c r="H545" s="6">
        <f t="shared" si="207"/>
        <v>4.8730158730158726</v>
      </c>
      <c r="I545" s="6">
        <f t="shared" si="207"/>
        <v>6.4482758620689653</v>
      </c>
      <c r="J545" s="6">
        <f t="shared" si="207"/>
        <v>7.416666666666667</v>
      </c>
      <c r="K545" s="6">
        <f t="shared" si="207"/>
        <v>12</v>
      </c>
      <c r="L545" s="6">
        <f t="shared" si="207"/>
        <v>10.75</v>
      </c>
      <c r="M545" s="459"/>
      <c r="N545" s="459"/>
      <c r="O545" s="459"/>
      <c r="P545" s="459"/>
      <c r="Q545" s="459"/>
      <c r="R545" s="459"/>
      <c r="S545" s="459"/>
      <c r="T545" s="459"/>
      <c r="U545" s="459"/>
      <c r="V545" s="459"/>
      <c r="W545" s="459"/>
      <c r="X545" s="459"/>
      <c r="Y545" s="459"/>
      <c r="Z545" s="459"/>
      <c r="AA545" s="459"/>
      <c r="AB545" s="459"/>
      <c r="AC545" s="459"/>
      <c r="AD545" s="459"/>
      <c r="AE545" s="459"/>
      <c r="AF545" s="459"/>
    </row>
    <row r="546" spans="1:32">
      <c r="A546" s="525" t="s">
        <v>733</v>
      </c>
      <c r="B546" s="6">
        <f t="shared" si="207"/>
        <v>6.7772020725388602</v>
      </c>
      <c r="C546" s="6">
        <f t="shared" si="207"/>
        <v>7.6428571428571432</v>
      </c>
      <c r="D546" s="6">
        <f t="shared" si="207"/>
        <v>8</v>
      </c>
      <c r="E546" s="6">
        <f t="shared" si="207"/>
        <v>7</v>
      </c>
      <c r="F546" s="6">
        <f t="shared" si="207"/>
        <v>8</v>
      </c>
      <c r="G546" s="6">
        <f t="shared" si="207"/>
        <v>10.111111111111111</v>
      </c>
      <c r="H546" s="6">
        <f t="shared" si="207"/>
        <v>5.4545454545454541</v>
      </c>
      <c r="I546" s="6">
        <f t="shared" si="207"/>
        <v>6.1911764705882355</v>
      </c>
      <c r="J546" s="6">
        <f t="shared" si="207"/>
        <v>6.083333333333333</v>
      </c>
      <c r="K546" s="6">
        <f t="shared" si="207"/>
        <v>9.6</v>
      </c>
      <c r="L546" s="6">
        <f t="shared" si="207"/>
        <v>17</v>
      </c>
      <c r="M546" s="459"/>
      <c r="N546" s="459"/>
      <c r="O546" s="459"/>
      <c r="P546" s="459"/>
      <c r="Q546" s="459"/>
      <c r="R546" s="459"/>
      <c r="S546" s="459"/>
      <c r="T546" s="459"/>
      <c r="U546" s="459"/>
      <c r="V546" s="459"/>
      <c r="W546" s="459"/>
      <c r="X546" s="459"/>
      <c r="Y546" s="459"/>
      <c r="Z546" s="459"/>
      <c r="AA546" s="459"/>
      <c r="AB546" s="459"/>
      <c r="AC546" s="459"/>
      <c r="AD546" s="459"/>
      <c r="AE546" s="459"/>
      <c r="AF546" s="459"/>
    </row>
    <row r="547" spans="1:32">
      <c r="A547" s="525" t="s">
        <v>734</v>
      </c>
      <c r="B547" s="6">
        <f t="shared" si="207"/>
        <v>6.2792792792792795</v>
      </c>
      <c r="C547" s="6">
        <f t="shared" si="207"/>
        <v>6.4444444444444446</v>
      </c>
      <c r="D547" s="6">
        <f t="shared" si="207"/>
        <v>5.2142857142857144</v>
      </c>
      <c r="E547" s="6">
        <f t="shared" si="207"/>
        <v>6.4285714285714288</v>
      </c>
      <c r="F547" s="6">
        <f t="shared" si="207"/>
        <v>9.1428571428571423</v>
      </c>
      <c r="G547" s="6">
        <f t="shared" si="207"/>
        <v>6.8571428571428568</v>
      </c>
      <c r="H547" s="6">
        <f t="shared" si="207"/>
        <v>5.5454545454545459</v>
      </c>
      <c r="I547" s="6">
        <f t="shared" si="207"/>
        <v>5.166666666666667</v>
      </c>
      <c r="J547" s="6">
        <f t="shared" si="207"/>
        <v>5.3793103448275863</v>
      </c>
      <c r="K547" s="6">
        <f t="shared" si="207"/>
        <v>12.333333333333334</v>
      </c>
      <c r="L547" s="6">
        <f t="shared" si="207"/>
        <v>15.5</v>
      </c>
      <c r="M547" s="459"/>
      <c r="N547" s="459"/>
      <c r="O547" s="459"/>
      <c r="P547" s="459"/>
      <c r="Q547" s="459"/>
      <c r="R547" s="459"/>
      <c r="S547" s="459"/>
      <c r="T547" s="459"/>
      <c r="U547" s="459"/>
      <c r="V547" s="459"/>
      <c r="W547" s="459"/>
      <c r="X547" s="459"/>
      <c r="Y547" s="459"/>
      <c r="Z547" s="459"/>
      <c r="AA547" s="459"/>
      <c r="AB547" s="459"/>
      <c r="AC547" s="459"/>
      <c r="AD547" s="459"/>
      <c r="AE547" s="459"/>
      <c r="AF547" s="459"/>
    </row>
    <row r="548" spans="1:32">
      <c r="A548" s="525" t="s">
        <v>735</v>
      </c>
      <c r="B548" s="6">
        <f t="shared" si="207"/>
        <v>7.9655172413793105</v>
      </c>
      <c r="C548" s="6">
        <f t="shared" si="207"/>
        <v>9.1666666666666661</v>
      </c>
      <c r="D548" s="6">
        <f t="shared" si="207"/>
        <v>12</v>
      </c>
      <c r="E548" s="6">
        <f t="shared" si="207"/>
        <v>3</v>
      </c>
      <c r="F548" s="6">
        <f t="shared" si="207"/>
        <v>6</v>
      </c>
      <c r="G548" s="6">
        <f t="shared" si="207"/>
        <v>8.6666666666666661</v>
      </c>
      <c r="H548" s="6">
        <f t="shared" si="207"/>
        <v>6.375</v>
      </c>
      <c r="I548" s="6">
        <f t="shared" si="207"/>
        <v>6.25</v>
      </c>
      <c r="J548" s="6">
        <f t="shared" si="207"/>
        <v>2.5</v>
      </c>
      <c r="K548" s="6">
        <f t="shared" si="207"/>
        <v>13.5</v>
      </c>
      <c r="L548" s="6">
        <f t="shared" si="207"/>
        <v>15</v>
      </c>
      <c r="M548" s="459"/>
      <c r="N548" s="459"/>
      <c r="O548" s="459"/>
      <c r="P548" s="459"/>
      <c r="Q548" s="459"/>
      <c r="R548" s="459"/>
      <c r="S548" s="459"/>
      <c r="T548" s="459"/>
      <c r="U548" s="459"/>
      <c r="V548" s="459"/>
      <c r="W548" s="459"/>
      <c r="X548" s="459"/>
      <c r="Y548" s="459"/>
      <c r="Z548" s="459"/>
      <c r="AA548" s="459"/>
      <c r="AB548" s="459"/>
      <c r="AC548" s="459"/>
      <c r="AD548" s="459"/>
      <c r="AE548" s="459"/>
      <c r="AF548" s="459"/>
    </row>
    <row r="549" spans="1:32">
      <c r="A549" s="527" t="s">
        <v>736</v>
      </c>
      <c r="B549" s="516">
        <f t="shared" si="207"/>
        <v>13.75609756097561</v>
      </c>
      <c r="C549" s="516">
        <f t="shared" si="207"/>
        <v>16</v>
      </c>
      <c r="D549" s="516">
        <f t="shared" si="207"/>
        <v>11.5</v>
      </c>
      <c r="E549" s="516">
        <f t="shared" si="207"/>
        <v>9</v>
      </c>
      <c r="F549" s="516">
        <f t="shared" si="207"/>
        <v>16</v>
      </c>
      <c r="G549" s="516">
        <f t="shared" si="207"/>
        <v>16.666666666666668</v>
      </c>
      <c r="H549" s="516">
        <f t="shared" si="207"/>
        <v>15.4</v>
      </c>
      <c r="I549" s="516">
        <f t="shared" si="207"/>
        <v>11.666666666666666</v>
      </c>
      <c r="J549" s="516">
        <f t="shared" si="207"/>
        <v>10</v>
      </c>
      <c r="K549" s="516">
        <f t="shared" si="207"/>
        <v>15</v>
      </c>
      <c r="L549" s="516">
        <f t="shared" si="207"/>
        <v>13.64</v>
      </c>
      <c r="M549" s="459"/>
      <c r="N549" s="459"/>
      <c r="O549" s="459"/>
      <c r="P549" s="459"/>
      <c r="Q549" s="459"/>
      <c r="R549" s="459"/>
      <c r="S549" s="459"/>
      <c r="T549" s="459"/>
      <c r="U549" s="459"/>
      <c r="V549" s="459"/>
      <c r="W549" s="459"/>
      <c r="X549" s="459"/>
      <c r="Y549" s="459"/>
      <c r="Z549" s="459"/>
      <c r="AA549" s="459"/>
      <c r="AB549" s="459"/>
      <c r="AC549" s="459"/>
      <c r="AD549" s="459"/>
      <c r="AE549" s="459"/>
      <c r="AF549" s="459"/>
    </row>
    <row r="550" spans="1:32">
      <c r="A550" s="459" t="s">
        <v>793</v>
      </c>
      <c r="B550" s="459"/>
      <c r="C550" s="459"/>
      <c r="D550" s="459"/>
      <c r="E550" s="459"/>
      <c r="F550" s="459"/>
      <c r="G550" s="459"/>
      <c r="H550" s="459"/>
      <c r="I550" s="459"/>
      <c r="J550" s="459"/>
      <c r="K550" s="459"/>
      <c r="L550" s="459"/>
      <c r="M550" s="459"/>
      <c r="N550" s="459"/>
      <c r="O550" s="459"/>
      <c r="P550" s="459"/>
      <c r="Q550" s="459"/>
      <c r="R550" s="459"/>
      <c r="S550" s="459"/>
      <c r="T550" s="459"/>
      <c r="U550" s="459"/>
      <c r="V550" s="459"/>
      <c r="W550" s="459"/>
      <c r="X550" s="459"/>
      <c r="Y550" s="459"/>
      <c r="Z550" s="459"/>
      <c r="AA550" s="459"/>
      <c r="AB550" s="459"/>
      <c r="AC550" s="459"/>
      <c r="AD550" s="459"/>
      <c r="AE550" s="459"/>
      <c r="AF550" s="459"/>
    </row>
    <row r="551" spans="1:32">
      <c r="A551" s="459"/>
      <c r="B551" s="459"/>
      <c r="C551" s="459"/>
      <c r="D551" s="459"/>
      <c r="E551" s="459"/>
      <c r="F551" s="459"/>
      <c r="G551" s="459"/>
      <c r="H551" s="459"/>
      <c r="I551" s="459"/>
      <c r="J551" s="459"/>
      <c r="K551" s="459"/>
      <c r="L551" s="459"/>
      <c r="M551" s="459"/>
      <c r="N551" s="459"/>
      <c r="O551" s="459"/>
      <c r="P551" s="459"/>
      <c r="Q551" s="459"/>
      <c r="R551" s="459"/>
      <c r="S551" s="459"/>
      <c r="T551" s="459"/>
      <c r="U551" s="459"/>
      <c r="V551" s="459"/>
      <c r="W551" s="459"/>
      <c r="X551" s="459"/>
      <c r="Y551" s="459"/>
      <c r="Z551" s="459"/>
      <c r="AA551" s="459"/>
      <c r="AB551" s="459"/>
      <c r="AC551" s="459"/>
      <c r="AD551" s="459"/>
      <c r="AE551" s="459"/>
      <c r="AF551" s="459"/>
    </row>
    <row r="552" spans="1:32">
      <c r="A552" s="459"/>
      <c r="B552" s="459"/>
      <c r="C552" s="459"/>
      <c r="D552" s="459"/>
      <c r="E552" s="459"/>
      <c r="F552" s="459"/>
      <c r="G552" s="459"/>
      <c r="H552" s="459"/>
      <c r="I552" s="459"/>
      <c r="J552" s="459"/>
      <c r="K552" s="459"/>
      <c r="L552" s="459"/>
      <c r="M552" s="459"/>
      <c r="N552" s="459"/>
      <c r="O552" s="459"/>
      <c r="P552" s="459"/>
      <c r="Q552" s="459"/>
      <c r="R552" s="459"/>
      <c r="S552" s="459"/>
      <c r="T552" s="459"/>
      <c r="U552" s="459"/>
      <c r="V552" s="459"/>
      <c r="W552" s="459"/>
      <c r="X552" s="459"/>
      <c r="Y552" s="459"/>
      <c r="Z552" s="459"/>
      <c r="AA552" s="459"/>
      <c r="AB552" s="459"/>
      <c r="AC552" s="459"/>
      <c r="AD552" s="459"/>
      <c r="AE552" s="459"/>
      <c r="AF552" s="459"/>
    </row>
    <row r="553" spans="1:32">
      <c r="A553" s="459"/>
      <c r="B553" s="459"/>
      <c r="C553" s="459"/>
      <c r="D553" s="459"/>
      <c r="E553" s="459"/>
      <c r="F553" s="459"/>
      <c r="G553" s="459"/>
      <c r="H553" s="459"/>
      <c r="I553" s="459"/>
      <c r="J553" s="459"/>
      <c r="K553" s="459"/>
      <c r="L553" s="459"/>
      <c r="M553" s="459"/>
      <c r="N553" s="459"/>
      <c r="O553" s="459"/>
      <c r="P553" s="459"/>
      <c r="Q553" s="459"/>
      <c r="R553" s="459"/>
      <c r="S553" s="459"/>
      <c r="T553" s="459"/>
      <c r="U553" s="459"/>
      <c r="V553" s="459"/>
      <c r="W553" s="459"/>
      <c r="X553" s="459"/>
      <c r="Y553" s="459"/>
      <c r="Z553" s="459"/>
      <c r="AA553" s="459"/>
      <c r="AB553" s="459"/>
      <c r="AC553" s="459"/>
      <c r="AD553" s="459"/>
      <c r="AE553" s="459"/>
      <c r="AF553" s="459"/>
    </row>
    <row r="554" spans="1:32">
      <c r="A554" s="132" t="s">
        <v>744</v>
      </c>
      <c r="B554" s="794" t="s">
        <v>745</v>
      </c>
      <c r="C554" s="794"/>
      <c r="D554" s="794"/>
      <c r="E554" s="794"/>
      <c r="F554" s="794"/>
      <c r="G554" s="459"/>
      <c r="H554" s="459"/>
      <c r="I554" s="459"/>
      <c r="J554" s="459"/>
      <c r="K554" s="459"/>
      <c r="L554" s="459"/>
      <c r="M554" s="459"/>
      <c r="N554" s="459"/>
      <c r="O554" s="459"/>
      <c r="P554" s="459"/>
      <c r="Q554" s="459"/>
      <c r="R554" s="459"/>
      <c r="S554" s="459"/>
      <c r="T554" s="459"/>
      <c r="U554" s="459"/>
      <c r="V554" s="459"/>
      <c r="W554" s="459"/>
      <c r="X554" s="459"/>
      <c r="Y554" s="459"/>
      <c r="Z554" s="459"/>
      <c r="AA554" s="459"/>
      <c r="AB554" s="459"/>
      <c r="AC554" s="459"/>
      <c r="AD554" s="459"/>
      <c r="AE554" s="459"/>
      <c r="AF554" s="459"/>
    </row>
    <row r="555" spans="1:32">
      <c r="A555" s="529" t="s">
        <v>728</v>
      </c>
      <c r="B555" s="459" t="s">
        <v>398</v>
      </c>
      <c r="C555" s="459" t="s">
        <v>397</v>
      </c>
      <c r="D555" s="459" t="s">
        <v>399</v>
      </c>
      <c r="E555" s="459" t="s">
        <v>396</v>
      </c>
      <c r="F555" s="459" t="s">
        <v>393</v>
      </c>
      <c r="G555" s="459"/>
      <c r="H555" s="459"/>
      <c r="I555" s="459"/>
      <c r="J555" s="459"/>
      <c r="K555" s="459"/>
      <c r="L555" s="459"/>
      <c r="M555" s="459"/>
      <c r="N555" s="459"/>
      <c r="O555" s="459"/>
      <c r="P555" s="459"/>
      <c r="Q555" s="459"/>
      <c r="R555" s="459"/>
      <c r="S555" s="459"/>
      <c r="T555" s="459"/>
      <c r="U555" s="459"/>
      <c r="V555" s="459"/>
      <c r="W555" s="459"/>
      <c r="X555" s="459"/>
      <c r="Y555" s="459"/>
      <c r="Z555" s="459"/>
      <c r="AA555" s="459"/>
      <c r="AB555" s="459"/>
      <c r="AC555" s="459"/>
      <c r="AD555" s="459"/>
      <c r="AE555" s="459"/>
      <c r="AF555" s="459"/>
    </row>
    <row r="556" spans="1:32">
      <c r="A556" s="532" t="s">
        <v>729</v>
      </c>
      <c r="B556" s="459" t="s">
        <v>394</v>
      </c>
      <c r="C556" s="459" t="s">
        <v>395</v>
      </c>
      <c r="D556" s="459" t="s">
        <v>392</v>
      </c>
      <c r="E556" s="459"/>
      <c r="F556" s="459"/>
      <c r="G556" s="459"/>
      <c r="H556" s="459"/>
      <c r="I556" s="459"/>
      <c r="J556" s="459"/>
      <c r="K556" s="459"/>
      <c r="L556" s="459"/>
      <c r="M556" s="459"/>
      <c r="N556" s="459"/>
      <c r="O556" s="459"/>
      <c r="P556" s="459"/>
      <c r="Q556" s="459"/>
      <c r="R556" s="459"/>
      <c r="S556" s="459"/>
      <c r="T556" s="459"/>
      <c r="U556" s="459"/>
      <c r="V556" s="459"/>
      <c r="W556" s="459"/>
      <c r="X556" s="459"/>
      <c r="Y556" s="459"/>
      <c r="Z556" s="459"/>
      <c r="AA556" s="459"/>
      <c r="AB556" s="459"/>
      <c r="AC556" s="459"/>
      <c r="AD556" s="459"/>
      <c r="AE556" s="459"/>
      <c r="AF556" s="459"/>
    </row>
    <row r="557" spans="1:32">
      <c r="A557" s="534" t="s">
        <v>730</v>
      </c>
      <c r="B557" s="459" t="s">
        <v>386</v>
      </c>
      <c r="C557" s="459" t="s">
        <v>390</v>
      </c>
      <c r="D557" s="459" t="s">
        <v>389</v>
      </c>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c r="AD557" s="459"/>
      <c r="AE557" s="459"/>
      <c r="AF557" s="459"/>
    </row>
    <row r="558" spans="1:32">
      <c r="A558" s="43" t="s">
        <v>731</v>
      </c>
      <c r="B558" s="459" t="s">
        <v>374</v>
      </c>
      <c r="C558" s="459" t="s">
        <v>377</v>
      </c>
      <c r="D558" s="459" t="s">
        <v>384</v>
      </c>
      <c r="E558" s="459" t="s">
        <v>391</v>
      </c>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c r="AD558" s="459"/>
      <c r="AE558" s="459"/>
      <c r="AF558" s="459"/>
    </row>
    <row r="559" spans="1:32">
      <c r="A559" s="537" t="s">
        <v>732</v>
      </c>
      <c r="B559" s="459" t="s">
        <v>388</v>
      </c>
      <c r="C559" s="459" t="s">
        <v>387</v>
      </c>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c r="AD559" s="459"/>
      <c r="AE559" s="459"/>
      <c r="AF559" s="459"/>
    </row>
    <row r="560" spans="1:32">
      <c r="A560" s="459" t="s">
        <v>375</v>
      </c>
      <c r="B560" s="459" t="s">
        <v>375</v>
      </c>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c r="AD560" s="459"/>
      <c r="AE560" s="459"/>
      <c r="AF560" s="459"/>
    </row>
    <row r="561" spans="1:32">
      <c r="A561" s="539" t="s">
        <v>733</v>
      </c>
      <c r="B561" s="459" t="s">
        <v>376</v>
      </c>
      <c r="C561" s="459" t="s">
        <v>381</v>
      </c>
      <c r="D561" s="459" t="s">
        <v>746</v>
      </c>
      <c r="E561" s="459" t="s">
        <v>380</v>
      </c>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c r="AD561" s="459"/>
      <c r="AE561" s="459"/>
      <c r="AF561" s="459"/>
    </row>
    <row r="562" spans="1:32">
      <c r="A562" s="540" t="s">
        <v>734</v>
      </c>
      <c r="B562" s="458" t="s">
        <v>378</v>
      </c>
      <c r="C562" s="458" t="s">
        <v>382</v>
      </c>
      <c r="D562" s="458" t="s">
        <v>747</v>
      </c>
      <c r="E562" s="458" t="s">
        <v>383</v>
      </c>
      <c r="F562" s="458"/>
      <c r="G562" s="459"/>
      <c r="H562" s="459"/>
      <c r="I562" s="459"/>
      <c r="J562" s="459"/>
      <c r="K562" s="459"/>
      <c r="L562" s="459"/>
      <c r="M562" s="459"/>
      <c r="N562" s="459"/>
      <c r="O562" s="459"/>
      <c r="P562" s="459"/>
      <c r="Q562" s="459"/>
      <c r="R562" s="459"/>
      <c r="S562" s="459"/>
      <c r="T562" s="459"/>
      <c r="U562" s="459"/>
      <c r="V562" s="459"/>
      <c r="W562" s="459"/>
      <c r="X562" s="459"/>
      <c r="Y562" s="459"/>
      <c r="Z562" s="459"/>
      <c r="AA562" s="459"/>
      <c r="AB562" s="459"/>
      <c r="AC562" s="459"/>
      <c r="AD562" s="459"/>
      <c r="AE562" s="459"/>
      <c r="AF562" s="459"/>
    </row>
    <row r="563" spans="1:32">
      <c r="A563" s="459"/>
      <c r="B563" s="459"/>
      <c r="C563" s="459"/>
      <c r="D563" s="459"/>
      <c r="E563" s="459"/>
      <c r="F563" s="459"/>
      <c r="G563" s="459"/>
      <c r="H563" s="459"/>
      <c r="I563" s="459"/>
      <c r="J563" s="459"/>
      <c r="K563" s="459"/>
      <c r="L563" s="459"/>
      <c r="M563" s="459"/>
      <c r="N563" s="459"/>
      <c r="O563" s="459"/>
      <c r="P563" s="459"/>
      <c r="Q563" s="459"/>
      <c r="R563" s="459"/>
      <c r="S563" s="459"/>
      <c r="T563" s="459"/>
      <c r="U563" s="459"/>
      <c r="V563" s="459"/>
      <c r="W563" s="459"/>
      <c r="X563" s="459"/>
      <c r="Y563" s="459"/>
      <c r="Z563" s="459"/>
      <c r="AA563" s="459"/>
      <c r="AB563" s="459"/>
      <c r="AC563" s="459"/>
      <c r="AD563" s="459"/>
      <c r="AE563" s="459"/>
      <c r="AF563" s="459"/>
    </row>
    <row r="564" spans="1:32">
      <c r="A564" s="459"/>
      <c r="B564" s="459"/>
      <c r="C564" s="459"/>
      <c r="D564" s="459"/>
      <c r="E564" s="459"/>
      <c r="F564" s="459"/>
      <c r="G564" s="459"/>
      <c r="H564" s="459"/>
      <c r="I564" s="459"/>
      <c r="J564" s="459"/>
      <c r="K564" s="459"/>
      <c r="L564" s="459"/>
      <c r="M564" s="459"/>
      <c r="N564" s="459"/>
      <c r="O564" s="459"/>
      <c r="P564" s="459"/>
      <c r="Q564" s="459"/>
      <c r="R564" s="459"/>
      <c r="S564" s="459"/>
      <c r="T564" s="459"/>
      <c r="U564" s="459"/>
      <c r="V564" s="459"/>
      <c r="W564" s="459"/>
      <c r="X564" s="459"/>
      <c r="Y564" s="459"/>
      <c r="Z564" s="459"/>
      <c r="AA564" s="459"/>
      <c r="AB564" s="459"/>
      <c r="AC564" s="459"/>
      <c r="AD564" s="459"/>
      <c r="AE564" s="459"/>
      <c r="AF564" s="459"/>
    </row>
    <row r="565" spans="1:32">
      <c r="A565" s="459"/>
      <c r="B565" s="459"/>
      <c r="C565" s="459"/>
      <c r="D565" s="459"/>
      <c r="E565" s="459"/>
      <c r="F565" s="459"/>
      <c r="G565" s="459"/>
      <c r="H565" s="459"/>
      <c r="I565" s="459"/>
      <c r="J565" s="459"/>
      <c r="K565" s="459"/>
      <c r="L565" s="459"/>
      <c r="M565" s="459"/>
      <c r="N565" s="459"/>
      <c r="O565" s="459"/>
      <c r="P565" s="459"/>
      <c r="Q565" s="459"/>
      <c r="R565" s="459"/>
      <c r="S565" s="459"/>
      <c r="T565" s="459"/>
      <c r="U565" s="459"/>
      <c r="V565" s="459"/>
      <c r="W565" s="459"/>
      <c r="X565" s="459"/>
      <c r="Y565" s="459"/>
      <c r="Z565" s="459"/>
      <c r="AA565" s="459"/>
      <c r="AB565" s="459"/>
      <c r="AC565" s="459"/>
      <c r="AD565" s="459"/>
      <c r="AE565" s="459"/>
      <c r="AF565" s="459"/>
    </row>
    <row r="566" spans="1:32">
      <c r="A566" s="459"/>
      <c r="B566" s="459"/>
      <c r="C566" s="459"/>
      <c r="D566" s="459"/>
      <c r="E566" s="459"/>
      <c r="F566" s="459"/>
      <c r="G566" s="459"/>
      <c r="H566" s="459"/>
      <c r="I566" s="459"/>
      <c r="J566" s="459"/>
      <c r="K566" s="459"/>
      <c r="L566" s="459"/>
      <c r="M566" s="459"/>
      <c r="N566" s="459"/>
      <c r="O566" s="459"/>
      <c r="P566" s="459"/>
      <c r="Q566" s="459"/>
      <c r="R566" s="459"/>
      <c r="S566" s="459"/>
      <c r="T566" s="459"/>
      <c r="U566" s="459"/>
      <c r="V566" s="459"/>
      <c r="W566" s="459"/>
      <c r="X566" s="459"/>
      <c r="Y566" s="459"/>
      <c r="Z566" s="459"/>
      <c r="AA566" s="459"/>
      <c r="AB566" s="459"/>
      <c r="AC566" s="459"/>
      <c r="AD566" s="459"/>
      <c r="AE566" s="459"/>
      <c r="AF566" s="459"/>
    </row>
    <row r="567" spans="1:32" ht="15.6">
      <c r="A567" s="401" t="s">
        <v>791</v>
      </c>
      <c r="B567" s="459"/>
      <c r="C567" s="459"/>
      <c r="D567" s="459"/>
      <c r="E567" s="459"/>
      <c r="F567" s="459"/>
      <c r="G567" s="459"/>
      <c r="H567" s="459"/>
      <c r="I567" s="459"/>
      <c r="J567" s="459"/>
      <c r="K567" s="459"/>
      <c r="L567" s="459"/>
      <c r="M567" s="459"/>
      <c r="N567" s="459"/>
      <c r="O567" s="459"/>
      <c r="P567" s="459"/>
      <c r="Q567" s="459"/>
      <c r="R567" s="459"/>
      <c r="S567" s="459"/>
      <c r="T567" s="459"/>
      <c r="U567" s="459"/>
      <c r="V567" s="459"/>
      <c r="W567" s="459"/>
      <c r="X567" s="459"/>
      <c r="Y567" s="459"/>
      <c r="Z567" s="459"/>
      <c r="AA567" s="459"/>
      <c r="AB567" s="459"/>
      <c r="AC567" s="459"/>
      <c r="AD567" s="459"/>
      <c r="AE567" s="459"/>
      <c r="AF567" s="459"/>
    </row>
    <row r="568" spans="1:32">
      <c r="A568" s="132"/>
      <c r="B568" s="132" t="s">
        <v>64</v>
      </c>
      <c r="C568" s="132" t="str">
        <f>C466</f>
        <v>IE</v>
      </c>
      <c r="D568" s="132" t="str">
        <f t="shared" ref="D568:AC568" si="208">D466</f>
        <v>IE-CW</v>
      </c>
      <c r="E568" s="132" t="str">
        <f t="shared" si="208"/>
        <v>IE-D</v>
      </c>
      <c r="F568" s="132" t="str">
        <f t="shared" si="208"/>
        <v>IE-KE</v>
      </c>
      <c r="G568" s="132" t="str">
        <f t="shared" si="208"/>
        <v>IE-KK</v>
      </c>
      <c r="H568" s="132" t="str">
        <f t="shared" si="208"/>
        <v>IE-LS</v>
      </c>
      <c r="I568" s="132" t="str">
        <f t="shared" si="208"/>
        <v>IE-LD</v>
      </c>
      <c r="J568" s="132" t="str">
        <f t="shared" si="208"/>
        <v>IE-LH</v>
      </c>
      <c r="K568" s="132" t="str">
        <f t="shared" si="208"/>
        <v>IE-MH</v>
      </c>
      <c r="L568" s="132" t="str">
        <f t="shared" si="208"/>
        <v>IE-OY</v>
      </c>
      <c r="M568" s="132" t="str">
        <f t="shared" si="208"/>
        <v>IE-WH</v>
      </c>
      <c r="N568" s="132" t="str">
        <f t="shared" si="208"/>
        <v>IE-WX</v>
      </c>
      <c r="O568" s="132" t="str">
        <f t="shared" si="208"/>
        <v>IE-WW</v>
      </c>
      <c r="P568" s="132" t="str">
        <f t="shared" si="208"/>
        <v>IE-CE</v>
      </c>
      <c r="Q568" s="132" t="str">
        <f t="shared" si="208"/>
        <v>IE-CO</v>
      </c>
      <c r="R568" s="132" t="str">
        <f t="shared" si="208"/>
        <v>IE-KY</v>
      </c>
      <c r="S568" s="132" t="str">
        <f t="shared" si="208"/>
        <v>IE-LK</v>
      </c>
      <c r="T568" s="132" t="str">
        <f t="shared" si="208"/>
        <v>IE-TA</v>
      </c>
      <c r="U568" s="132" t="str">
        <f t="shared" si="208"/>
        <v>IE-WD</v>
      </c>
      <c r="V568" s="132" t="str">
        <f t="shared" si="208"/>
        <v>IE-G</v>
      </c>
      <c r="W568" s="132" t="str">
        <f t="shared" si="208"/>
        <v>IE-LM</v>
      </c>
      <c r="X568" s="132" t="str">
        <f t="shared" si="208"/>
        <v>IE-MO</v>
      </c>
      <c r="Y568" s="132" t="str">
        <f t="shared" si="208"/>
        <v>IE-RN</v>
      </c>
      <c r="Z568" s="132" t="str">
        <f t="shared" si="208"/>
        <v>IE-SO</v>
      </c>
      <c r="AA568" s="132" t="str">
        <f t="shared" si="208"/>
        <v>IE-CN</v>
      </c>
      <c r="AB568" s="132" t="str">
        <f t="shared" si="208"/>
        <v>IE-DL</v>
      </c>
      <c r="AC568" s="132" t="str">
        <f t="shared" si="208"/>
        <v>IE-MN</v>
      </c>
      <c r="AD568" s="459"/>
      <c r="AE568" s="459"/>
      <c r="AF568" s="459"/>
    </row>
    <row r="569" spans="1:32">
      <c r="A569" s="459" t="s">
        <v>400</v>
      </c>
      <c r="B569" s="459" t="s">
        <v>750</v>
      </c>
      <c r="C569" s="542">
        <f t="shared" ref="C569:AC569" si="209">B179</f>
        <v>4857000.0000000037</v>
      </c>
      <c r="D569" s="542">
        <f t="shared" si="209"/>
        <v>58069.41691963128</v>
      </c>
      <c r="E569" s="542">
        <f t="shared" si="209"/>
        <v>1374277.23444491</v>
      </c>
      <c r="F569" s="542">
        <f t="shared" si="209"/>
        <v>226949.29990665423</v>
      </c>
      <c r="G569" s="542">
        <f t="shared" si="209"/>
        <v>101214.50818114332</v>
      </c>
      <c r="H569" s="542">
        <f t="shared" si="209"/>
        <v>86389.120439155668</v>
      </c>
      <c r="I569" s="542">
        <f t="shared" si="209"/>
        <v>41689.581918009018</v>
      </c>
      <c r="J569" s="542">
        <f t="shared" si="209"/>
        <v>131458.91116190821</v>
      </c>
      <c r="K569" s="542">
        <f t="shared" si="209"/>
        <v>198940.68983476012</v>
      </c>
      <c r="L569" s="542">
        <f t="shared" si="209"/>
        <v>79518.545149851998</v>
      </c>
      <c r="M569" s="542">
        <f t="shared" si="209"/>
        <v>90543.492938166033</v>
      </c>
      <c r="N569" s="542">
        <f t="shared" si="209"/>
        <v>152713.2234954162</v>
      </c>
      <c r="O569" s="542">
        <f t="shared" si="209"/>
        <v>145270.44025817615</v>
      </c>
      <c r="P569" s="542">
        <f t="shared" si="209"/>
        <v>121190.78743307506</v>
      </c>
      <c r="Q569" s="542">
        <f t="shared" si="209"/>
        <v>553713.69746937393</v>
      </c>
      <c r="R569" s="542">
        <f t="shared" si="209"/>
        <v>150657.96678402266</v>
      </c>
      <c r="S569" s="542">
        <f t="shared" si="209"/>
        <v>198792.79294982113</v>
      </c>
      <c r="T569" s="542">
        <f t="shared" si="209"/>
        <v>162740.63229427967</v>
      </c>
      <c r="U569" s="542">
        <f t="shared" si="209"/>
        <v>118497.02417015182</v>
      </c>
      <c r="V569" s="542">
        <f t="shared" si="209"/>
        <v>263213.61609369441</v>
      </c>
      <c r="W569" s="542">
        <f t="shared" si="209"/>
        <v>32684.191592999803</v>
      </c>
      <c r="X569" s="542">
        <f t="shared" si="209"/>
        <v>133114.33629470808</v>
      </c>
      <c r="Y569" s="542">
        <f t="shared" si="209"/>
        <v>65833.493389669806</v>
      </c>
      <c r="Z569" s="542">
        <f t="shared" si="209"/>
        <v>66844.292099839033</v>
      </c>
      <c r="AA569" s="542">
        <f t="shared" si="209"/>
        <v>77697.883497327202</v>
      </c>
      <c r="AB569" s="542">
        <f t="shared" si="209"/>
        <v>162372.42004970741</v>
      </c>
      <c r="AC569" s="542">
        <f t="shared" si="209"/>
        <v>62612.401233550299</v>
      </c>
      <c r="AD569" s="459"/>
      <c r="AE569" s="459"/>
      <c r="AF569" s="459"/>
    </row>
    <row r="570" spans="1:32">
      <c r="A570" s="459" t="s">
        <v>751</v>
      </c>
      <c r="B570" s="1" t="s">
        <v>792</v>
      </c>
      <c r="C570" s="6">
        <f>AVERAGE(D570:AC570)</f>
        <v>2.0735370339862342</v>
      </c>
      <c r="D570" s="6">
        <f>F539*D569/(D569+G569+N569+U569)</f>
        <v>1.0074073345394272</v>
      </c>
      <c r="E570" s="6">
        <f>H539</f>
        <v>6.1033519553072626</v>
      </c>
      <c r="F570" s="6">
        <f>I539*F569/(F569+J569+K569+O569)</f>
        <v>2.1298117751579788</v>
      </c>
      <c r="G570" s="6">
        <f>F539*G569/(D569+G569+N569+U569)</f>
        <v>1.7559025613190551</v>
      </c>
      <c r="H570" s="6">
        <f>J539*H569/(H569+I569+L569+M569)</f>
        <v>1.7704573038305462</v>
      </c>
      <c r="I570" s="6">
        <f>J539*I569/(H569+I569+L569+M569)</f>
        <v>0.85438564978058162</v>
      </c>
      <c r="J570" s="6">
        <f>I539*J569/(F569+J569+K569+O569)</f>
        <v>1.2336796679136599</v>
      </c>
      <c r="K570" s="6">
        <f>I539*K569/(F569+J569+K569+O569)</f>
        <v>1.8669642247955669</v>
      </c>
      <c r="L570" s="6">
        <f>J539*L569/(H569+I569+L569+M569)</f>
        <v>1.6296518396629538</v>
      </c>
      <c r="M570" s="6">
        <f>J539*M569/(H569+I569+L569+M569)</f>
        <v>1.8555969498451843</v>
      </c>
      <c r="N570" s="6">
        <f>F539*N569/(D569+G569+N569+U569)</f>
        <v>2.6493192043475045</v>
      </c>
      <c r="O570" s="6">
        <f>I539*O569/(F569+J569+K569+O569)</f>
        <v>1.3632943321327937</v>
      </c>
      <c r="P570" s="6">
        <f>E539*P569/(P569+S569+T569)</f>
        <v>1.6538310928879769</v>
      </c>
      <c r="Q570" s="6">
        <f>G539*Q569/(Q569+R569)</f>
        <v>6.344046627810159</v>
      </c>
      <c r="R570" s="6">
        <f>G539*R569/(Q569+R569)</f>
        <v>1.7261288107863333</v>
      </c>
      <c r="S570" s="6">
        <f>E539*S569/(P569+S569+T569)</f>
        <v>2.7128275093023206</v>
      </c>
      <c r="T570" s="6">
        <f>E539*T569/(P569+S569+T569)</f>
        <v>2.2208413978097026</v>
      </c>
      <c r="U570" s="6">
        <f>F539*U569/(D569+G569+N569+U569)</f>
        <v>2.0557253301737597</v>
      </c>
      <c r="V570" s="6">
        <f>D539*V569/(V569+X569+Y569)</f>
        <v>3.6109620483763902</v>
      </c>
      <c r="W570" s="6">
        <f>C539*W569/(W569+Z569+AA569+AB569+AC569)</f>
        <v>0.53944980901537942</v>
      </c>
      <c r="X570" s="6">
        <f>D539*X569/(V569+X569+Y569)</f>
        <v>1.8261624287852249</v>
      </c>
      <c r="Y570" s="6">
        <f>D539*Y569/(V569+X569+Y569)</f>
        <v>0.90315330061616272</v>
      </c>
      <c r="Z570" s="6">
        <f>C539*Z569/(W569+Z569+AA569+AB569+AC569)</f>
        <v>1.1032593694240072</v>
      </c>
      <c r="AA570" s="6">
        <f>C539*AA569/(W569+Z569+AA569+AB569+AC569)</f>
        <v>1.2823969745211439</v>
      </c>
      <c r="AB570" s="6">
        <f>C539*AB569/(W569+Z569+AA569+AB569+AC569)</f>
        <v>2.6799430157525985</v>
      </c>
      <c r="AC570" s="6">
        <f>C539*AC569/(W569+Z569+AA569+AB569+AC569)</f>
        <v>1.0334123697484108</v>
      </c>
      <c r="AD570" s="459"/>
      <c r="AE570" s="459"/>
      <c r="AF570" s="459"/>
    </row>
    <row r="571" spans="1:32">
      <c r="A571" s="459" t="s">
        <v>752</v>
      </c>
      <c r="B571" s="1" t="s">
        <v>792</v>
      </c>
      <c r="C571" s="6">
        <f>AVERAGE(D571:AC571)</f>
        <v>0.96961861667744009</v>
      </c>
      <c r="D571" s="6">
        <f>(K539+L539)*D569/C569</f>
        <v>0.30140722263266173</v>
      </c>
      <c r="E571" s="6">
        <f>(K539+L539)*E569/C569</f>
        <v>7.1331366205143176</v>
      </c>
      <c r="F571" s="6">
        <f>(K539+L539)*F569/C569</f>
        <v>1.1779721890089541</v>
      </c>
      <c r="G571" s="6">
        <f>(K539+L539)*G569/C569</f>
        <v>0.52535026902768722</v>
      </c>
      <c r="H571" s="6">
        <f>(K539+L539)*H569/C569</f>
        <v>0.44839962648982212</v>
      </c>
      <c r="I571" s="6">
        <f>(K539+L539)*I569/C569</f>
        <v>0.21638827743035172</v>
      </c>
      <c r="J571" s="6">
        <f>(K539+L539)*J569/C569</f>
        <v>0.68233275630204415</v>
      </c>
      <c r="K571" s="6">
        <f>(K539+L539)*K569/C569</f>
        <v>1.0325945045170533</v>
      </c>
      <c r="L571" s="6">
        <f>(K539+L539)*L569/C569</f>
        <v>0.41273815224592386</v>
      </c>
      <c r="M571" s="6">
        <f>(K539+L539)*M569/C569</f>
        <v>0.46996274771835495</v>
      </c>
      <c r="N571" s="6">
        <f>(K539+L539)*N569/C569</f>
        <v>0.79265250100132401</v>
      </c>
      <c r="O571" s="6">
        <f>(K539+L539)*O569/C569</f>
        <v>0.75402100195771871</v>
      </c>
      <c r="P571" s="6">
        <f>(K539+L539)*P569/C569</f>
        <v>0.6290364289247693</v>
      </c>
      <c r="Q571" s="6">
        <f>(K539+L539)*Q569/C569</f>
        <v>2.8740310569828535</v>
      </c>
      <c r="R571" s="6">
        <f>(K539+L539)*R569/C569</f>
        <v>0.78198476486690383</v>
      </c>
      <c r="S571" s="6">
        <f>(K539+L539)*S569/C569</f>
        <v>1.0318268510483233</v>
      </c>
      <c r="T571" s="6">
        <f>(K539+L539)*T569/C569</f>
        <v>0.84469940618121753</v>
      </c>
      <c r="U571" s="6">
        <f>(K539+L539)*U569/C569</f>
        <v>0.61505454747017685</v>
      </c>
      <c r="V571" s="6">
        <f>(K539+L539)*V569/C569</f>
        <v>1.3662008195415483</v>
      </c>
      <c r="W571" s="6">
        <f>(K539+L539)*W569/C569</f>
        <v>0.16964612242747509</v>
      </c>
      <c r="X571" s="6">
        <f>(K539+L539)*X569/C569</f>
        <v>0.6909251809899668</v>
      </c>
      <c r="Y571" s="6">
        <f>(K539+L539)*Y569/C569</f>
        <v>0.3417063826600597</v>
      </c>
      <c r="Z571" s="6">
        <f>(K539+L539)*Z569/C569</f>
        <v>0.34695289705669019</v>
      </c>
      <c r="AA571" s="6">
        <f>(K539+L539)*AA569/C569</f>
        <v>0.40328807333776506</v>
      </c>
      <c r="AB571" s="6">
        <f>(K539+L539)*AB569/C569</f>
        <v>0.8427882137521725</v>
      </c>
      <c r="AC571" s="6">
        <f>(K539+L539)*AC569/C569</f>
        <v>0.32498741952730581</v>
      </c>
      <c r="AD571" s="459"/>
      <c r="AE571" s="459"/>
      <c r="AF571" s="459"/>
    </row>
    <row r="572" spans="1:32">
      <c r="A572" s="458" t="s">
        <v>753</v>
      </c>
      <c r="B572" s="458" t="s">
        <v>792</v>
      </c>
      <c r="C572" s="516">
        <f>AVERAGE(C570:C571)</f>
        <v>1.5215778253318373</v>
      </c>
      <c r="D572" s="516">
        <f>D570+D571</f>
        <v>1.3088145571720888</v>
      </c>
      <c r="E572" s="516">
        <f>E570+E571</f>
        <v>13.23648857582158</v>
      </c>
      <c r="F572" s="516">
        <f t="shared" ref="F572:AC572" si="210">F570+F571</f>
        <v>3.3077839641669327</v>
      </c>
      <c r="G572" s="516">
        <f t="shared" si="210"/>
        <v>2.2812528303467423</v>
      </c>
      <c r="H572" s="516">
        <f t="shared" si="210"/>
        <v>2.2188569303203685</v>
      </c>
      <c r="I572" s="516">
        <f t="shared" si="210"/>
        <v>1.0707739272109333</v>
      </c>
      <c r="J572" s="516">
        <f t="shared" si="210"/>
        <v>1.9160124242157042</v>
      </c>
      <c r="K572" s="516">
        <f t="shared" si="210"/>
        <v>2.8995587293126199</v>
      </c>
      <c r="L572" s="516">
        <f t="shared" si="210"/>
        <v>2.0423899919088777</v>
      </c>
      <c r="M572" s="516">
        <f t="shared" si="210"/>
        <v>2.3255596975635391</v>
      </c>
      <c r="N572" s="516">
        <f t="shared" si="210"/>
        <v>3.4419717053488283</v>
      </c>
      <c r="O572" s="516">
        <f t="shared" si="210"/>
        <v>2.1173153340905122</v>
      </c>
      <c r="P572" s="516">
        <f t="shared" si="210"/>
        <v>2.2828675218127463</v>
      </c>
      <c r="Q572" s="516">
        <f t="shared" si="210"/>
        <v>9.2180776847930126</v>
      </c>
      <c r="R572" s="516">
        <f t="shared" si="210"/>
        <v>2.5081135756532369</v>
      </c>
      <c r="S572" s="516">
        <f t="shared" si="210"/>
        <v>3.7446543603506441</v>
      </c>
      <c r="T572" s="516">
        <f t="shared" si="210"/>
        <v>3.06554080399092</v>
      </c>
      <c r="U572" s="516">
        <f t="shared" si="210"/>
        <v>2.6707798776439367</v>
      </c>
      <c r="V572" s="516">
        <f t="shared" si="210"/>
        <v>4.9771628679179383</v>
      </c>
      <c r="W572" s="516">
        <f t="shared" si="210"/>
        <v>0.70909593144285454</v>
      </c>
      <c r="X572" s="516">
        <f t="shared" si="210"/>
        <v>2.5170876097751917</v>
      </c>
      <c r="Y572" s="516">
        <f t="shared" si="210"/>
        <v>1.2448596832762224</v>
      </c>
      <c r="Z572" s="516">
        <f t="shared" si="210"/>
        <v>1.4502122664806973</v>
      </c>
      <c r="AA572" s="516">
        <f t="shared" si="210"/>
        <v>1.6856850478589089</v>
      </c>
      <c r="AB572" s="516">
        <f t="shared" si="210"/>
        <v>3.522731229504771</v>
      </c>
      <c r="AC572" s="516">
        <f t="shared" si="210"/>
        <v>1.3583997892757167</v>
      </c>
      <c r="AD572" s="1"/>
      <c r="AE572" s="459"/>
      <c r="AF572" s="459"/>
    </row>
    <row r="573" spans="1:32">
      <c r="A573" s="21" t="s">
        <v>754</v>
      </c>
      <c r="B573" s="459"/>
      <c r="C573" s="459"/>
      <c r="D573" s="459"/>
      <c r="E573" s="459"/>
      <c r="F573" s="459"/>
      <c r="G573" s="459"/>
      <c r="H573" s="459"/>
      <c r="I573" s="459"/>
      <c r="J573" s="459"/>
      <c r="K573" s="459"/>
      <c r="L573" s="459"/>
      <c r="M573" s="459"/>
      <c r="N573" s="459"/>
      <c r="O573" s="459"/>
      <c r="P573" s="459"/>
      <c r="Q573" s="459"/>
      <c r="R573" s="459"/>
      <c r="S573" s="459"/>
      <c r="T573" s="459"/>
      <c r="U573" s="459"/>
      <c r="V573" s="459"/>
      <c r="W573" s="459"/>
      <c r="X573" s="459"/>
      <c r="Y573" s="459"/>
      <c r="Z573" s="459"/>
      <c r="AA573" s="459"/>
      <c r="AB573" s="459"/>
      <c r="AC573" s="459"/>
      <c r="AD573" s="459"/>
      <c r="AE573" s="459"/>
      <c r="AF573" s="459"/>
    </row>
    <row r="574" spans="1:32">
      <c r="A574" s="459"/>
      <c r="B574" s="459"/>
      <c r="C574" s="459"/>
      <c r="D574" s="388"/>
      <c r="E574" s="388"/>
      <c r="F574" s="388"/>
      <c r="G574" s="388"/>
      <c r="H574" s="388"/>
      <c r="I574" s="388"/>
      <c r="J574" s="388"/>
      <c r="K574" s="388"/>
      <c r="L574" s="388"/>
      <c r="M574" s="388"/>
      <c r="N574" s="388"/>
      <c r="O574" s="388"/>
      <c r="P574" s="388"/>
      <c r="Q574" s="388"/>
      <c r="R574" s="388"/>
      <c r="S574" s="388"/>
      <c r="T574" s="388"/>
      <c r="U574" s="388"/>
      <c r="V574" s="388"/>
      <c r="W574" s="388"/>
      <c r="X574" s="388"/>
      <c r="Y574" s="388"/>
      <c r="Z574" s="388"/>
      <c r="AA574" s="388"/>
      <c r="AB574" s="388"/>
      <c r="AC574" s="388"/>
      <c r="AD574" s="459"/>
      <c r="AE574" s="459"/>
      <c r="AF574" s="459"/>
    </row>
    <row r="575" spans="1:32" s="459" customFormat="1">
      <c r="D575" s="388"/>
      <c r="E575" s="388"/>
      <c r="F575" s="388"/>
      <c r="G575" s="388"/>
      <c r="H575" s="388"/>
      <c r="I575" s="388"/>
      <c r="J575" s="388"/>
      <c r="K575" s="388"/>
      <c r="L575" s="388"/>
      <c r="M575" s="388"/>
      <c r="N575" s="388"/>
      <c r="O575" s="388"/>
      <c r="P575" s="388"/>
      <c r="Q575" s="388"/>
      <c r="R575" s="388"/>
      <c r="S575" s="388"/>
      <c r="T575" s="388"/>
      <c r="U575" s="388"/>
      <c r="V575" s="388"/>
      <c r="W575" s="388"/>
      <c r="X575" s="388"/>
      <c r="Y575" s="388"/>
      <c r="Z575" s="388"/>
      <c r="AA575" s="388"/>
      <c r="AB575" s="388"/>
      <c r="AC575" s="388"/>
    </row>
    <row r="576" spans="1:32" s="459" customFormat="1">
      <c r="D576" s="388"/>
      <c r="E576" s="388"/>
      <c r="F576" s="388"/>
      <c r="G576" s="388"/>
      <c r="H576" s="388"/>
      <c r="I576" s="388"/>
      <c r="J576" s="388"/>
      <c r="K576" s="388"/>
      <c r="L576" s="388"/>
      <c r="M576" s="388"/>
      <c r="N576" s="388"/>
      <c r="O576" s="388"/>
      <c r="P576" s="388"/>
      <c r="Q576" s="388"/>
      <c r="R576" s="388"/>
      <c r="S576" s="388"/>
      <c r="T576" s="388"/>
      <c r="U576" s="388"/>
      <c r="V576" s="388"/>
      <c r="W576" s="388"/>
      <c r="X576" s="388"/>
      <c r="Y576" s="388"/>
      <c r="Z576" s="388"/>
      <c r="AA576" s="388"/>
      <c r="AB576" s="388"/>
      <c r="AC576" s="388"/>
    </row>
    <row r="577" spans="1:32" s="459" customFormat="1" ht="15.6">
      <c r="A577" s="401" t="s">
        <v>856</v>
      </c>
    </row>
    <row r="578" spans="1:32" s="459" customFormat="1">
      <c r="A578" s="132"/>
      <c r="B578" s="132" t="s">
        <v>64</v>
      </c>
      <c r="C578" s="132" t="str">
        <f>C568</f>
        <v>IE</v>
      </c>
      <c r="D578" s="132" t="str">
        <f t="shared" ref="D578:AC578" si="211">D568</f>
        <v>IE-CW</v>
      </c>
      <c r="E578" s="132" t="str">
        <f t="shared" si="211"/>
        <v>IE-D</v>
      </c>
      <c r="F578" s="132" t="str">
        <f t="shared" si="211"/>
        <v>IE-KE</v>
      </c>
      <c r="G578" s="132" t="str">
        <f t="shared" si="211"/>
        <v>IE-KK</v>
      </c>
      <c r="H578" s="132" t="str">
        <f t="shared" si="211"/>
        <v>IE-LS</v>
      </c>
      <c r="I578" s="132" t="str">
        <f t="shared" si="211"/>
        <v>IE-LD</v>
      </c>
      <c r="J578" s="132" t="str">
        <f t="shared" si="211"/>
        <v>IE-LH</v>
      </c>
      <c r="K578" s="132" t="str">
        <f t="shared" si="211"/>
        <v>IE-MH</v>
      </c>
      <c r="L578" s="132" t="str">
        <f t="shared" si="211"/>
        <v>IE-OY</v>
      </c>
      <c r="M578" s="132" t="str">
        <f t="shared" si="211"/>
        <v>IE-WH</v>
      </c>
      <c r="N578" s="132" t="str">
        <f t="shared" si="211"/>
        <v>IE-WX</v>
      </c>
      <c r="O578" s="132" t="str">
        <f t="shared" si="211"/>
        <v>IE-WW</v>
      </c>
      <c r="P578" s="132" t="str">
        <f t="shared" si="211"/>
        <v>IE-CE</v>
      </c>
      <c r="Q578" s="132" t="str">
        <f t="shared" si="211"/>
        <v>IE-CO</v>
      </c>
      <c r="R578" s="132" t="str">
        <f t="shared" si="211"/>
        <v>IE-KY</v>
      </c>
      <c r="S578" s="132" t="str">
        <f t="shared" si="211"/>
        <v>IE-LK</v>
      </c>
      <c r="T578" s="132" t="str">
        <f t="shared" si="211"/>
        <v>IE-TA</v>
      </c>
      <c r="U578" s="132" t="str">
        <f t="shared" si="211"/>
        <v>IE-WD</v>
      </c>
      <c r="V578" s="132" t="str">
        <f t="shared" si="211"/>
        <v>IE-G</v>
      </c>
      <c r="W578" s="132" t="str">
        <f t="shared" si="211"/>
        <v>IE-LM</v>
      </c>
      <c r="X578" s="132" t="str">
        <f t="shared" si="211"/>
        <v>IE-MO</v>
      </c>
      <c r="Y578" s="132" t="str">
        <f t="shared" si="211"/>
        <v>IE-RN</v>
      </c>
      <c r="Z578" s="132" t="str">
        <f t="shared" si="211"/>
        <v>IE-SO</v>
      </c>
      <c r="AA578" s="132" t="str">
        <f t="shared" si="211"/>
        <v>IE-CN</v>
      </c>
      <c r="AB578" s="132" t="str">
        <f t="shared" si="211"/>
        <v>IE-DL</v>
      </c>
      <c r="AC578" s="132" t="str">
        <f t="shared" si="211"/>
        <v>IE-MN</v>
      </c>
    </row>
    <row r="579" spans="1:32" s="459" customFormat="1">
      <c r="A579" s="459" t="s">
        <v>857</v>
      </c>
      <c r="B579" s="459" t="s">
        <v>220</v>
      </c>
      <c r="C579" s="459">
        <v>7891</v>
      </c>
      <c r="D579" s="459">
        <v>129</v>
      </c>
      <c r="E579" s="459">
        <v>1769</v>
      </c>
      <c r="F579" s="459">
        <v>378</v>
      </c>
      <c r="G579" s="459">
        <v>189</v>
      </c>
      <c r="H579" s="459">
        <v>140</v>
      </c>
      <c r="I579" s="459">
        <v>88</v>
      </c>
      <c r="J579" s="459">
        <v>188</v>
      </c>
      <c r="K579" s="459">
        <v>357</v>
      </c>
      <c r="L579" s="459">
        <v>139</v>
      </c>
      <c r="M579" s="459">
        <v>174</v>
      </c>
      <c r="N579" s="459">
        <v>334</v>
      </c>
      <c r="O579" s="459">
        <v>200</v>
      </c>
      <c r="P579" s="459">
        <v>198</v>
      </c>
      <c r="Q579" s="459">
        <v>879</v>
      </c>
      <c r="R579" s="459">
        <v>245</v>
      </c>
      <c r="S579" s="459">
        <v>322</v>
      </c>
      <c r="T579" s="459">
        <v>302</v>
      </c>
      <c r="U579" s="459">
        <v>163</v>
      </c>
      <c r="V579" s="459">
        <v>429</v>
      </c>
      <c r="W579" s="459">
        <v>70</v>
      </c>
      <c r="X579" s="459">
        <v>271</v>
      </c>
      <c r="Y579" s="459">
        <v>138</v>
      </c>
      <c r="Z579" s="459">
        <v>121</v>
      </c>
      <c r="AA579" s="459">
        <v>178</v>
      </c>
      <c r="AB579" s="459">
        <v>289</v>
      </c>
      <c r="AC579" s="459">
        <v>199</v>
      </c>
    </row>
    <row r="580" spans="1:32" s="459" customFormat="1">
      <c r="A580" s="459" t="s">
        <v>858</v>
      </c>
      <c r="B580" s="1" t="s">
        <v>92</v>
      </c>
      <c r="C580" s="135">
        <f>C470</f>
        <v>11536.999999999998</v>
      </c>
      <c r="D580" s="135">
        <f t="shared" ref="D580:AC580" si="212">D470</f>
        <v>177.94099599204955</v>
      </c>
      <c r="E580" s="135">
        <f t="shared" si="212"/>
        <v>2629.2279716035632</v>
      </c>
      <c r="F580" s="135">
        <f t="shared" si="212"/>
        <v>482.28404218784624</v>
      </c>
      <c r="G580" s="135">
        <f t="shared" si="212"/>
        <v>310.14966827589166</v>
      </c>
      <c r="H580" s="135">
        <f t="shared" si="212"/>
        <v>220.90468018989404</v>
      </c>
      <c r="I580" s="135">
        <f t="shared" si="212"/>
        <v>106.60397645018759</v>
      </c>
      <c r="J580" s="135">
        <f t="shared" si="212"/>
        <v>279.35990585939294</v>
      </c>
      <c r="K580" s="135">
        <f t="shared" si="212"/>
        <v>422.76367492038924</v>
      </c>
      <c r="L580" s="135">
        <f t="shared" si="212"/>
        <v>203.33600685129727</v>
      </c>
      <c r="M580" s="135">
        <f t="shared" si="212"/>
        <v>231.52778091853185</v>
      </c>
      <c r="N580" s="135">
        <f t="shared" si="212"/>
        <v>467.95618987426485</v>
      </c>
      <c r="O580" s="135">
        <f t="shared" si="212"/>
        <v>308.71042636808323</v>
      </c>
      <c r="P580" s="135">
        <f t="shared" si="212"/>
        <v>303.78726686741447</v>
      </c>
      <c r="Q580" s="135">
        <f t="shared" si="212"/>
        <v>1625.427705266085</v>
      </c>
      <c r="R580" s="135">
        <f t="shared" si="212"/>
        <v>442.25677339931184</v>
      </c>
      <c r="S580" s="135">
        <f t="shared" si="212"/>
        <v>498.31113834882399</v>
      </c>
      <c r="T580" s="135">
        <f t="shared" si="212"/>
        <v>407.93968700183132</v>
      </c>
      <c r="U580" s="135">
        <f t="shared" si="212"/>
        <v>363.10814920207179</v>
      </c>
      <c r="V580" s="135">
        <f t="shared" si="212"/>
        <v>605.06096800451598</v>
      </c>
      <c r="W580" s="135">
        <f t="shared" si="212"/>
        <v>80.69347018970771</v>
      </c>
      <c r="X580" s="135">
        <f t="shared" si="212"/>
        <v>305.99590693319084</v>
      </c>
      <c r="Y580" s="135">
        <f t="shared" si="212"/>
        <v>151.3344097795204</v>
      </c>
      <c r="Z580" s="135">
        <f t="shared" si="212"/>
        <v>165.03078794415472</v>
      </c>
      <c r="AA580" s="135">
        <f t="shared" si="212"/>
        <v>191.82704360164692</v>
      </c>
      <c r="AB580" s="135">
        <f t="shared" si="212"/>
        <v>400.87863270627724</v>
      </c>
      <c r="AC580" s="135">
        <f t="shared" si="212"/>
        <v>154.58274126405556</v>
      </c>
    </row>
    <row r="581" spans="1:32" s="459" customFormat="1">
      <c r="A581" s="458" t="s">
        <v>855</v>
      </c>
      <c r="B581" s="458" t="s">
        <v>792</v>
      </c>
      <c r="C581" s="602">
        <f>C580/C579</f>
        <v>1.4620453681409198</v>
      </c>
      <c r="D581" s="602">
        <f t="shared" ref="D581:AC581" si="213">D580/D579</f>
        <v>1.3793875658298416</v>
      </c>
      <c r="E581" s="602">
        <f t="shared" si="213"/>
        <v>1.4862792377634615</v>
      </c>
      <c r="F581" s="602">
        <f t="shared" si="213"/>
        <v>1.2758837094916566</v>
      </c>
      <c r="G581" s="602">
        <f t="shared" si="213"/>
        <v>1.6410035358512787</v>
      </c>
      <c r="H581" s="602">
        <f t="shared" si="213"/>
        <v>1.5778905727849575</v>
      </c>
      <c r="I581" s="602">
        <f t="shared" si="213"/>
        <v>1.2114088232975861</v>
      </c>
      <c r="J581" s="602">
        <f t="shared" si="213"/>
        <v>1.4859569460606008</v>
      </c>
      <c r="K581" s="602">
        <f t="shared" si="213"/>
        <v>1.1842119745669166</v>
      </c>
      <c r="L581" s="602">
        <f t="shared" si="213"/>
        <v>1.4628489701532177</v>
      </c>
      <c r="M581" s="602">
        <f t="shared" si="213"/>
        <v>1.3306194305662751</v>
      </c>
      <c r="N581" s="602">
        <f t="shared" si="213"/>
        <v>1.401066436749296</v>
      </c>
      <c r="O581" s="602">
        <f t="shared" si="213"/>
        <v>1.5435521318404162</v>
      </c>
      <c r="P581" s="602">
        <f t="shared" si="213"/>
        <v>1.5342791255930024</v>
      </c>
      <c r="Q581" s="602">
        <f t="shared" si="213"/>
        <v>1.8491782767532252</v>
      </c>
      <c r="R581" s="602">
        <f t="shared" si="213"/>
        <v>1.80512968734413</v>
      </c>
      <c r="S581" s="602">
        <f t="shared" si="213"/>
        <v>1.5475501190957266</v>
      </c>
      <c r="T581" s="602">
        <f t="shared" si="213"/>
        <v>1.3507936655689778</v>
      </c>
      <c r="U581" s="602">
        <f t="shared" si="213"/>
        <v>2.2276573570679252</v>
      </c>
      <c r="V581" s="602">
        <f t="shared" si="213"/>
        <v>1.4103985268170536</v>
      </c>
      <c r="W581" s="602">
        <f t="shared" si="213"/>
        <v>1.1527638598529673</v>
      </c>
      <c r="X581" s="602">
        <f t="shared" si="213"/>
        <v>1.1291361879453536</v>
      </c>
      <c r="Y581" s="602">
        <f t="shared" si="213"/>
        <v>1.0966261578226115</v>
      </c>
      <c r="Z581" s="602">
        <f t="shared" si="213"/>
        <v>1.3638908094558242</v>
      </c>
      <c r="AA581" s="602">
        <f t="shared" si="213"/>
        <v>1.0776800202339714</v>
      </c>
      <c r="AB581" s="602">
        <f t="shared" si="213"/>
        <v>1.387123296561513</v>
      </c>
      <c r="AC581" s="602">
        <f t="shared" si="213"/>
        <v>0.77679769479424898</v>
      </c>
    </row>
    <row r="582" spans="1:32" s="459" customFormat="1">
      <c r="A582" s="21"/>
    </row>
    <row r="583" spans="1:32" s="459" customFormat="1">
      <c r="D583" s="388"/>
      <c r="E583" s="388"/>
      <c r="F583" s="388"/>
      <c r="G583" s="388"/>
      <c r="H583" s="388"/>
      <c r="I583" s="388"/>
      <c r="J583" s="388"/>
      <c r="K583" s="388"/>
      <c r="L583" s="388"/>
      <c r="M583" s="388"/>
      <c r="N583" s="388"/>
      <c r="O583" s="388"/>
      <c r="P583" s="388"/>
      <c r="Q583" s="388"/>
      <c r="R583" s="388"/>
      <c r="S583" s="388"/>
      <c r="T583" s="388"/>
      <c r="U583" s="388"/>
      <c r="V583" s="388"/>
      <c r="W583" s="388"/>
      <c r="X583" s="388"/>
      <c r="Y583" s="388"/>
      <c r="Z583" s="388"/>
      <c r="AA583" s="388"/>
      <c r="AB583" s="388"/>
      <c r="AC583" s="388"/>
    </row>
    <row r="584" spans="1:32">
      <c r="A584" s="459"/>
      <c r="B584" s="459"/>
      <c r="C584" s="459"/>
      <c r="D584" s="459"/>
      <c r="E584" s="459"/>
      <c r="F584" s="459"/>
      <c r="G584" s="459"/>
      <c r="H584" s="459"/>
      <c r="I584" s="459"/>
      <c r="J584" s="459"/>
      <c r="K584" s="459"/>
      <c r="L584" s="459"/>
      <c r="M584" s="459"/>
      <c r="N584" s="459"/>
      <c r="O584" s="459"/>
      <c r="P584" s="459"/>
      <c r="Q584" s="459"/>
      <c r="R584" s="459"/>
      <c r="S584" s="459"/>
      <c r="T584" s="459"/>
      <c r="U584" s="459"/>
      <c r="V584" s="459"/>
      <c r="W584" s="459"/>
      <c r="X584" s="459"/>
      <c r="Y584" s="459"/>
      <c r="Z584" s="459"/>
      <c r="AA584" s="459"/>
      <c r="AB584" s="459"/>
      <c r="AC584" s="459"/>
      <c r="AD584" s="459"/>
      <c r="AE584" s="459"/>
      <c r="AF584" s="459"/>
    </row>
    <row r="585" spans="1:32" s="520" customFormat="1" ht="18">
      <c r="A585" s="522" t="s">
        <v>797</v>
      </c>
    </row>
    <row r="586" spans="1:32">
      <c r="A586" s="459"/>
      <c r="B586" s="459"/>
      <c r="C586" s="459"/>
      <c r="D586" s="459"/>
      <c r="E586" s="459"/>
      <c r="F586" s="459"/>
      <c r="G586" s="459"/>
      <c r="H586" s="459"/>
      <c r="I586" s="459"/>
      <c r="J586" s="459"/>
      <c r="K586" s="459"/>
      <c r="L586" s="459"/>
      <c r="M586" s="459"/>
      <c r="N586" s="459"/>
      <c r="O586" s="459"/>
      <c r="P586" s="459"/>
      <c r="Q586" s="459"/>
      <c r="R586" s="459"/>
      <c r="S586" s="459"/>
      <c r="T586" s="459"/>
      <c r="U586" s="459"/>
      <c r="V586" s="459"/>
      <c r="W586" s="459"/>
      <c r="X586" s="459"/>
      <c r="Y586" s="459"/>
      <c r="Z586" s="459"/>
      <c r="AA586" s="459"/>
      <c r="AB586" s="459"/>
      <c r="AC586" s="459"/>
      <c r="AD586" s="459"/>
      <c r="AE586" s="459"/>
      <c r="AF586" s="459"/>
    </row>
    <row r="587" spans="1:32">
      <c r="A587" s="459"/>
      <c r="B587" s="459"/>
      <c r="C587" s="459"/>
      <c r="D587" s="459"/>
      <c r="E587" s="459"/>
      <c r="F587" s="459"/>
      <c r="G587" s="459"/>
      <c r="H587" s="459"/>
      <c r="I587" s="459"/>
      <c r="J587" s="459"/>
      <c r="K587" s="459"/>
      <c r="L587" s="459"/>
      <c r="M587" s="459"/>
      <c r="N587" s="459"/>
      <c r="O587" s="459"/>
      <c r="P587" s="459"/>
      <c r="Q587" s="459"/>
      <c r="R587" s="459"/>
      <c r="S587" s="459"/>
      <c r="T587" s="459"/>
      <c r="U587" s="459"/>
      <c r="V587" s="459"/>
      <c r="W587" s="459"/>
      <c r="X587" s="459"/>
      <c r="Y587" s="459"/>
      <c r="Z587" s="459"/>
      <c r="AA587" s="459"/>
      <c r="AB587" s="459"/>
      <c r="AC587" s="459"/>
      <c r="AD587" s="459"/>
      <c r="AE587" s="459"/>
      <c r="AF587" s="459"/>
    </row>
    <row r="588" spans="1:32" ht="15.6">
      <c r="A588" s="401" t="s">
        <v>798</v>
      </c>
      <c r="B588" s="459"/>
      <c r="C588" s="459"/>
      <c r="D588" s="459"/>
      <c r="E588" s="459"/>
      <c r="F588" s="459"/>
      <c r="G588" s="459"/>
      <c r="H588" s="459"/>
      <c r="I588" s="459"/>
      <c r="J588" s="459"/>
      <c r="K588" s="459"/>
      <c r="L588" s="459"/>
      <c r="M588" s="459"/>
      <c r="N588" s="459"/>
      <c r="O588" s="459"/>
      <c r="P588" s="459"/>
      <c r="Q588" s="459"/>
      <c r="R588" s="459"/>
      <c r="S588" s="459"/>
      <c r="T588" s="459"/>
      <c r="U588" s="459"/>
      <c r="V588" s="459"/>
      <c r="W588" s="459"/>
      <c r="X588" s="459"/>
      <c r="Y588" s="459"/>
      <c r="Z588" s="459"/>
      <c r="AA588" s="459"/>
      <c r="AB588" s="459"/>
      <c r="AC588" s="459"/>
      <c r="AD588" s="459"/>
      <c r="AE588" s="459"/>
      <c r="AF588" s="459"/>
    </row>
    <row r="589" spans="1:32">
      <c r="A589" s="132" t="s">
        <v>118</v>
      </c>
      <c r="B589" s="132" t="str">
        <f t="shared" ref="B589:AC589" si="214">B466</f>
        <v>Unit</v>
      </c>
      <c r="C589" s="132" t="str">
        <f t="shared" si="214"/>
        <v>IE</v>
      </c>
      <c r="D589" s="132" t="str">
        <f t="shared" si="214"/>
        <v>IE-CW</v>
      </c>
      <c r="E589" s="132" t="str">
        <f t="shared" si="214"/>
        <v>IE-D</v>
      </c>
      <c r="F589" s="132" t="str">
        <f t="shared" si="214"/>
        <v>IE-KE</v>
      </c>
      <c r="G589" s="132" t="str">
        <f t="shared" si="214"/>
        <v>IE-KK</v>
      </c>
      <c r="H589" s="132" t="str">
        <f t="shared" si="214"/>
        <v>IE-LS</v>
      </c>
      <c r="I589" s="132" t="str">
        <f t="shared" si="214"/>
        <v>IE-LD</v>
      </c>
      <c r="J589" s="132" t="str">
        <f t="shared" si="214"/>
        <v>IE-LH</v>
      </c>
      <c r="K589" s="132" t="str">
        <f t="shared" si="214"/>
        <v>IE-MH</v>
      </c>
      <c r="L589" s="132" t="str">
        <f t="shared" si="214"/>
        <v>IE-OY</v>
      </c>
      <c r="M589" s="132" t="str">
        <f t="shared" si="214"/>
        <v>IE-WH</v>
      </c>
      <c r="N589" s="132" t="str">
        <f t="shared" si="214"/>
        <v>IE-WX</v>
      </c>
      <c r="O589" s="132" t="str">
        <f t="shared" si="214"/>
        <v>IE-WW</v>
      </c>
      <c r="P589" s="132" t="str">
        <f t="shared" si="214"/>
        <v>IE-CE</v>
      </c>
      <c r="Q589" s="132" t="str">
        <f t="shared" si="214"/>
        <v>IE-CO</v>
      </c>
      <c r="R589" s="132" t="str">
        <f t="shared" si="214"/>
        <v>IE-KY</v>
      </c>
      <c r="S589" s="132" t="str">
        <f t="shared" si="214"/>
        <v>IE-LK</v>
      </c>
      <c r="T589" s="132" t="str">
        <f t="shared" si="214"/>
        <v>IE-TA</v>
      </c>
      <c r="U589" s="132" t="str">
        <f t="shared" si="214"/>
        <v>IE-WD</v>
      </c>
      <c r="V589" s="132" t="str">
        <f t="shared" si="214"/>
        <v>IE-G</v>
      </c>
      <c r="W589" s="132" t="str">
        <f t="shared" si="214"/>
        <v>IE-LM</v>
      </c>
      <c r="X589" s="132" t="str">
        <f t="shared" si="214"/>
        <v>IE-MO</v>
      </c>
      <c r="Y589" s="132" t="str">
        <f t="shared" si="214"/>
        <v>IE-RN</v>
      </c>
      <c r="Z589" s="132" t="str">
        <f t="shared" si="214"/>
        <v>IE-SO</v>
      </c>
      <c r="AA589" s="132" t="str">
        <f t="shared" si="214"/>
        <v>IE-CN</v>
      </c>
      <c r="AB589" s="132" t="str">
        <f t="shared" si="214"/>
        <v>IE-DL</v>
      </c>
      <c r="AC589" s="132" t="str">
        <f t="shared" si="214"/>
        <v>IE-MN</v>
      </c>
      <c r="AD589" s="459"/>
      <c r="AE589" s="459"/>
      <c r="AF589" s="459"/>
    </row>
    <row r="590" spans="1:32">
      <c r="A590" s="459" t="str">
        <f>Commodities!C27</f>
        <v xml:space="preserve">Transport Demand: Turism fuel </v>
      </c>
      <c r="B590" s="459" t="s">
        <v>88</v>
      </c>
      <c r="C590" s="572">
        <f>'EB2018'!AM53*0.041868</f>
        <v>7.7245727925227738</v>
      </c>
      <c r="D590" s="6">
        <f t="shared" ref="D590:AC590" si="215">$C$590*C180</f>
        <v>9.2353600579585152E-2</v>
      </c>
      <c r="E590" s="6">
        <f t="shared" si="215"/>
        <v>2.1856505115455191</v>
      </c>
      <c r="F590" s="6">
        <f t="shared" si="215"/>
        <v>0.36094016622215996</v>
      </c>
      <c r="G590" s="6">
        <f t="shared" si="215"/>
        <v>0.16097155365547308</v>
      </c>
      <c r="H590" s="6">
        <f t="shared" si="215"/>
        <v>0.13739325701343924</v>
      </c>
      <c r="I590" s="6">
        <f t="shared" si="215"/>
        <v>6.6303111018221464E-2</v>
      </c>
      <c r="J590" s="6">
        <f t="shared" si="215"/>
        <v>0.20907225210952107</v>
      </c>
      <c r="K590" s="6">
        <f t="shared" si="215"/>
        <v>0.31639527280693819</v>
      </c>
      <c r="L590" s="6">
        <f t="shared" si="215"/>
        <v>0.12646629408390778</v>
      </c>
      <c r="M590" s="6">
        <f t="shared" si="215"/>
        <v>0.14400037102946978</v>
      </c>
      <c r="N590" s="6">
        <f t="shared" si="215"/>
        <v>0.24287511041201165</v>
      </c>
      <c r="O590" s="6">
        <f t="shared" si="215"/>
        <v>0.23103810796296309</v>
      </c>
      <c r="P590" s="6">
        <f t="shared" si="215"/>
        <v>0.19274182814699234</v>
      </c>
      <c r="Q590" s="6">
        <f t="shared" si="215"/>
        <v>0.88062626360286367</v>
      </c>
      <c r="R590" s="6">
        <f t="shared" si="215"/>
        <v>0.23960643014137542</v>
      </c>
      <c r="S590" s="6">
        <f t="shared" si="215"/>
        <v>0.3161600576013589</v>
      </c>
      <c r="T590" s="6">
        <f t="shared" si="215"/>
        <v>0.25882270135028718</v>
      </c>
      <c r="U590" s="6">
        <f t="shared" si="215"/>
        <v>0.18845766705778619</v>
      </c>
      <c r="V590" s="6">
        <f t="shared" si="215"/>
        <v>0.41861493463020066</v>
      </c>
      <c r="W590" s="6">
        <f t="shared" si="215"/>
        <v>5.1980938259190375E-2</v>
      </c>
      <c r="X590" s="6">
        <f t="shared" si="215"/>
        <v>0.21170504023817749</v>
      </c>
      <c r="Y590" s="6">
        <f t="shared" si="215"/>
        <v>0.10470158778558181</v>
      </c>
      <c r="Z590" s="6">
        <f t="shared" si="215"/>
        <v>0.10630916205267886</v>
      </c>
      <c r="AA590" s="6">
        <f t="shared" si="215"/>
        <v>0.1235707137945352</v>
      </c>
      <c r="AB590" s="6">
        <f t="shared" si="215"/>
        <v>0.25823709659708632</v>
      </c>
      <c r="AC590" s="6">
        <f t="shared" si="215"/>
        <v>9.9578762825448142E-2</v>
      </c>
      <c r="AD590" s="459"/>
      <c r="AE590" s="459"/>
      <c r="AF590" s="459"/>
    </row>
    <row r="591" spans="1:32">
      <c r="A591" s="459" t="str">
        <f>Commodities!C28</f>
        <v xml:space="preserve">Transport Demand: Navigation fuel </v>
      </c>
      <c r="B591" s="459" t="s">
        <v>88</v>
      </c>
      <c r="C591" s="572">
        <f>'EB2018'!AM54*0.041868</f>
        <v>3.513299808727715</v>
      </c>
      <c r="D591" s="6">
        <f t="shared" ref="D591:AC591" si="216">$C$591*C180</f>
        <v>4.2004379525771122E-2</v>
      </c>
      <c r="E591" s="6">
        <f t="shared" si="216"/>
        <v>0.99408028513777069</v>
      </c>
      <c r="F591" s="6">
        <f t="shared" si="216"/>
        <v>0.16416325549782509</v>
      </c>
      <c r="G591" s="6">
        <f t="shared" si="216"/>
        <v>7.3213282321037743E-2</v>
      </c>
      <c r="H591" s="6">
        <f t="shared" si="216"/>
        <v>6.2489372105217399E-2</v>
      </c>
      <c r="I591" s="6">
        <f t="shared" si="216"/>
        <v>3.0156063450376649E-2</v>
      </c>
      <c r="J591" s="6">
        <f t="shared" si="216"/>
        <v>9.5090501840783506E-2</v>
      </c>
      <c r="K591" s="6">
        <f t="shared" si="216"/>
        <v>0.14390329165011773</v>
      </c>
      <c r="L591" s="6">
        <f t="shared" si="216"/>
        <v>5.7519557229829314E-2</v>
      </c>
      <c r="M591" s="6">
        <f t="shared" si="216"/>
        <v>6.5494427922832554E-2</v>
      </c>
      <c r="N591" s="6">
        <f t="shared" si="216"/>
        <v>0.11046475991283469</v>
      </c>
      <c r="O591" s="6">
        <f t="shared" si="216"/>
        <v>0.10508103973087109</v>
      </c>
      <c r="P591" s="6">
        <f t="shared" si="216"/>
        <v>8.766307809515822E-2</v>
      </c>
      <c r="Q591" s="6">
        <f t="shared" si="216"/>
        <v>0.40052753292342302</v>
      </c>
      <c r="R591" s="6">
        <f t="shared" si="216"/>
        <v>0.10897809468511692</v>
      </c>
      <c r="S591" s="6">
        <f t="shared" si="216"/>
        <v>0.1437963107776517</v>
      </c>
      <c r="T591" s="6">
        <f t="shared" si="216"/>
        <v>0.11771806306603248</v>
      </c>
      <c r="U591" s="6">
        <f t="shared" si="216"/>
        <v>8.5714550618035304E-2</v>
      </c>
      <c r="V591" s="6">
        <f t="shared" si="216"/>
        <v>0.19039496542649909</v>
      </c>
      <c r="W591" s="6">
        <f t="shared" si="216"/>
        <v>2.3642035015875255E-2</v>
      </c>
      <c r="X591" s="6">
        <f t="shared" si="216"/>
        <v>9.6287949813282744E-2</v>
      </c>
      <c r="Y591" s="6">
        <f t="shared" si="216"/>
        <v>4.7620506430678201E-2</v>
      </c>
      <c r="Z591" s="6">
        <f t="shared" si="216"/>
        <v>4.8351665359049577E-2</v>
      </c>
      <c r="AA591" s="6">
        <f t="shared" si="216"/>
        <v>5.6202585799816289E-2</v>
      </c>
      <c r="AB591" s="6">
        <f t="shared" si="216"/>
        <v>0.11745171758354803</v>
      </c>
      <c r="AC591" s="6">
        <f t="shared" si="216"/>
        <v>4.529053680827981E-2</v>
      </c>
      <c r="AD591" s="459"/>
      <c r="AE591" s="459"/>
      <c r="AF591" s="459"/>
    </row>
    <row r="592" spans="1:32">
      <c r="A592" s="458" t="str">
        <f>Commodities!C29</f>
        <v>Transport Demand: Unspecified fuel</v>
      </c>
      <c r="B592" s="458" t="s">
        <v>88</v>
      </c>
      <c r="C592" s="576">
        <f>'EB2018'!AM55*0.041868</f>
        <v>22.296388375177408</v>
      </c>
      <c r="D592" s="516">
        <f t="shared" ref="D592:AC592" si="217">$C$592*C180</f>
        <v>0.26657160229775501</v>
      </c>
      <c r="E592" s="516">
        <f t="shared" si="217"/>
        <v>6.3087129821594452</v>
      </c>
      <c r="F592" s="516">
        <f t="shared" si="217"/>
        <v>1.0418261750449602</v>
      </c>
      <c r="G592" s="516">
        <f t="shared" si="217"/>
        <v>0.46463207403939483</v>
      </c>
      <c r="H592" s="516">
        <f t="shared" si="217"/>
        <v>0.39657512470689521</v>
      </c>
      <c r="I592" s="516">
        <f t="shared" si="217"/>
        <v>0.19137885724576939</v>
      </c>
      <c r="J592" s="516">
        <f t="shared" si="217"/>
        <v>0.60347106004608764</v>
      </c>
      <c r="K592" s="516">
        <f t="shared" si="217"/>
        <v>0.91325074823584851</v>
      </c>
      <c r="L592" s="516">
        <f t="shared" si="217"/>
        <v>0.36503528220921938</v>
      </c>
      <c r="M592" s="516">
        <f t="shared" si="217"/>
        <v>0.41564605381809372</v>
      </c>
      <c r="N592" s="516">
        <f t="shared" si="217"/>
        <v>0.7010404243522883</v>
      </c>
      <c r="O592" s="516">
        <f t="shared" si="217"/>
        <v>0.66687382240669146</v>
      </c>
      <c r="P592" s="516">
        <f t="shared" si="217"/>
        <v>0.55633454068383958</v>
      </c>
      <c r="Q592" s="516">
        <f t="shared" si="217"/>
        <v>2.5418603350695159</v>
      </c>
      <c r="R592" s="516">
        <f t="shared" si="217"/>
        <v>0.69160562883078947</v>
      </c>
      <c r="S592" s="516">
        <f t="shared" si="217"/>
        <v>0.91257181754075312</v>
      </c>
      <c r="T592" s="516">
        <f t="shared" si="217"/>
        <v>0.74707192547976031</v>
      </c>
      <c r="U592" s="516">
        <f t="shared" si="217"/>
        <v>0.54396863747179069</v>
      </c>
      <c r="V592" s="516">
        <f t="shared" si="217"/>
        <v>1.2082999814823661</v>
      </c>
      <c r="W592" s="516">
        <f t="shared" si="217"/>
        <v>0.15003900133543985</v>
      </c>
      <c r="X592" s="516">
        <f t="shared" si="217"/>
        <v>0.61107040155050096</v>
      </c>
      <c r="Y592" s="516">
        <f t="shared" si="217"/>
        <v>0.30221312264993849</v>
      </c>
      <c r="Z592" s="516">
        <f t="shared" si="217"/>
        <v>0.3068532627798668</v>
      </c>
      <c r="AA592" s="516">
        <f t="shared" si="217"/>
        <v>0.35667741123856156</v>
      </c>
      <c r="AB592" s="516">
        <f t="shared" si="217"/>
        <v>0.74538162216300519</v>
      </c>
      <c r="AC592" s="516">
        <f t="shared" si="217"/>
        <v>0.28742648033882506</v>
      </c>
      <c r="AD592" s="459"/>
      <c r="AE592" s="459"/>
      <c r="AF592" s="459"/>
    </row>
    <row r="593" spans="1:32">
      <c r="A593" s="577" t="s">
        <v>819</v>
      </c>
      <c r="B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c r="AD593" s="459"/>
      <c r="AE593" s="459"/>
      <c r="AF593" s="459"/>
    </row>
    <row r="594" spans="1:32">
      <c r="A594" s="459"/>
      <c r="B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c r="AD594" s="459"/>
      <c r="AE594" s="459"/>
      <c r="AF594" s="459"/>
    </row>
    <row r="595" spans="1:32">
      <c r="A595" s="459"/>
      <c r="B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c r="AD595" s="459"/>
      <c r="AE595" s="459"/>
      <c r="AF595" s="459"/>
    </row>
    <row r="596" spans="1:32">
      <c r="A596" s="459"/>
      <c r="B596" s="459"/>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c r="AD596" s="459"/>
      <c r="AE596" s="459"/>
      <c r="AF596" s="459"/>
    </row>
    <row r="597" spans="1:32">
      <c r="A597" s="459"/>
      <c r="B597" s="459"/>
      <c r="C597" s="459"/>
      <c r="D597" s="459"/>
      <c r="E597" s="459"/>
      <c r="F597" s="459"/>
      <c r="G597" s="459"/>
      <c r="H597" s="459"/>
      <c r="I597" s="459"/>
      <c r="J597" s="459"/>
      <c r="K597" s="459"/>
      <c r="L597" s="459"/>
      <c r="M597" s="459"/>
      <c r="N597" s="459"/>
      <c r="O597" s="459"/>
      <c r="P597" s="459"/>
      <c r="Q597" s="459"/>
      <c r="R597" s="459"/>
      <c r="S597" s="459"/>
      <c r="T597" s="459"/>
      <c r="U597" s="459"/>
      <c r="V597" s="459"/>
      <c r="W597" s="459"/>
      <c r="X597" s="459"/>
      <c r="Y597" s="459"/>
      <c r="Z597" s="459"/>
      <c r="AA597" s="459"/>
      <c r="AB597" s="459"/>
      <c r="AC597" s="459"/>
      <c r="AD597" s="459"/>
      <c r="AE597" s="459"/>
      <c r="AF597" s="459"/>
    </row>
    <row r="598" spans="1:32" ht="18">
      <c r="A598" s="522" t="s">
        <v>95</v>
      </c>
      <c r="B598" s="520"/>
      <c r="C598" s="520"/>
      <c r="D598" s="520"/>
      <c r="E598" s="520"/>
      <c r="F598" s="520"/>
      <c r="G598" s="520"/>
      <c r="H598" s="520"/>
      <c r="I598" s="520"/>
      <c r="J598" s="520"/>
      <c r="K598" s="520"/>
      <c r="L598" s="520"/>
      <c r="M598" s="520"/>
      <c r="N598" s="520"/>
      <c r="O598" s="520"/>
      <c r="P598" s="520"/>
      <c r="Q598" s="520"/>
      <c r="R598" s="520"/>
      <c r="S598" s="520"/>
      <c r="T598" s="520"/>
      <c r="U598" s="520"/>
      <c r="V598" s="520"/>
      <c r="W598" s="520"/>
      <c r="X598" s="520"/>
      <c r="Y598" s="520"/>
      <c r="Z598" s="520"/>
      <c r="AA598" s="520"/>
      <c r="AB598" s="520"/>
      <c r="AC598" s="520"/>
      <c r="AD598" s="459"/>
      <c r="AE598" s="459"/>
      <c r="AF598" s="459"/>
    </row>
    <row r="599" spans="1:32">
      <c r="A599" s="459"/>
      <c r="B599" s="459"/>
      <c r="C599" s="459"/>
      <c r="D599" s="459"/>
      <c r="E599" s="459"/>
      <c r="F599" s="459"/>
      <c r="G599" s="459"/>
      <c r="H599" s="459"/>
      <c r="I599" s="459"/>
      <c r="J599" s="459"/>
      <c r="K599" s="459"/>
      <c r="L599" s="459"/>
      <c r="M599" s="459"/>
      <c r="N599" s="459"/>
      <c r="O599" s="459"/>
      <c r="P599" s="459"/>
      <c r="Q599" s="459"/>
      <c r="R599" s="459"/>
      <c r="S599" s="459"/>
      <c r="T599" s="459"/>
      <c r="U599" s="459"/>
      <c r="V599" s="459"/>
      <c r="W599" s="459"/>
      <c r="X599" s="459"/>
      <c r="Y599" s="459"/>
      <c r="Z599" s="459"/>
      <c r="AA599" s="459"/>
      <c r="AB599" s="459"/>
      <c r="AC599" s="459"/>
      <c r="AD599" s="459"/>
      <c r="AE599" s="459"/>
      <c r="AF599" s="459"/>
    </row>
    <row r="600" spans="1:32">
      <c r="A600" s="459"/>
      <c r="B600" s="459"/>
      <c r="C600" s="459"/>
      <c r="D600" s="459"/>
      <c r="E600" s="459"/>
      <c r="F600" s="459"/>
      <c r="G600" s="459"/>
      <c r="H600" s="459"/>
      <c r="I600" s="459"/>
      <c r="J600" s="459"/>
      <c r="K600" s="459"/>
      <c r="L600" s="459"/>
      <c r="M600" s="459"/>
      <c r="N600" s="459"/>
      <c r="O600" s="459"/>
      <c r="P600" s="459"/>
      <c r="Q600" s="459"/>
      <c r="R600" s="459"/>
      <c r="S600" s="459"/>
      <c r="T600" s="459"/>
      <c r="U600" s="459"/>
      <c r="V600" s="459"/>
      <c r="W600" s="459"/>
      <c r="X600" s="459"/>
      <c r="Y600" s="459"/>
      <c r="Z600" s="459"/>
      <c r="AA600" s="459"/>
      <c r="AB600" s="459"/>
      <c r="AC600" s="459"/>
      <c r="AD600" s="459"/>
      <c r="AE600" s="459"/>
      <c r="AF600" s="459"/>
    </row>
    <row r="601" spans="1:32" ht="15.6">
      <c r="A601" s="401" t="s">
        <v>798</v>
      </c>
      <c r="B601" s="459"/>
      <c r="C601" s="459"/>
      <c r="D601" s="459"/>
      <c r="E601" s="459"/>
      <c r="F601" s="459"/>
      <c r="G601" s="459"/>
      <c r="H601" s="459"/>
      <c r="I601" s="459"/>
      <c r="J601" s="459"/>
      <c r="K601" s="459"/>
      <c r="L601" s="459"/>
      <c r="M601" s="459"/>
      <c r="N601" s="459"/>
      <c r="O601" s="459"/>
      <c r="P601" s="459"/>
      <c r="Q601" s="459"/>
      <c r="R601" s="459"/>
      <c r="S601" s="459"/>
      <c r="T601" s="459"/>
      <c r="U601" s="459"/>
      <c r="V601" s="459"/>
      <c r="W601" s="459"/>
      <c r="X601" s="459"/>
      <c r="Y601" s="459"/>
      <c r="Z601" s="459"/>
      <c r="AA601" s="459"/>
      <c r="AB601" s="459"/>
      <c r="AC601" s="459"/>
      <c r="AD601" s="459"/>
      <c r="AE601" s="459"/>
      <c r="AF601" s="459"/>
    </row>
    <row r="602" spans="1:32">
      <c r="A602" s="132" t="s">
        <v>118</v>
      </c>
      <c r="B602" s="132" t="str">
        <f>B589</f>
        <v>Unit</v>
      </c>
      <c r="C602" s="132" t="str">
        <f t="shared" ref="C602:AC602" si="218">C589</f>
        <v>IE</v>
      </c>
      <c r="D602" s="132" t="str">
        <f t="shared" si="218"/>
        <v>IE-CW</v>
      </c>
      <c r="E602" s="535" t="str">
        <f t="shared" si="218"/>
        <v>IE-D</v>
      </c>
      <c r="F602" s="132" t="str">
        <f t="shared" si="218"/>
        <v>IE-KE</v>
      </c>
      <c r="G602" s="132" t="str">
        <f t="shared" si="218"/>
        <v>IE-KK</v>
      </c>
      <c r="H602" s="132" t="str">
        <f t="shared" si="218"/>
        <v>IE-LS</v>
      </c>
      <c r="I602" s="132" t="str">
        <f t="shared" si="218"/>
        <v>IE-LD</v>
      </c>
      <c r="J602" s="132" t="str">
        <f t="shared" si="218"/>
        <v>IE-LH</v>
      </c>
      <c r="K602" s="132" t="str">
        <f t="shared" si="218"/>
        <v>IE-MH</v>
      </c>
      <c r="L602" s="132" t="str">
        <f t="shared" si="218"/>
        <v>IE-OY</v>
      </c>
      <c r="M602" s="132" t="str">
        <f t="shared" si="218"/>
        <v>IE-WH</v>
      </c>
      <c r="N602" s="132" t="str">
        <f t="shared" si="218"/>
        <v>IE-WX</v>
      </c>
      <c r="O602" s="132" t="str">
        <f t="shared" si="218"/>
        <v>IE-WW</v>
      </c>
      <c r="P602" s="535" t="str">
        <f t="shared" si="218"/>
        <v>IE-CE</v>
      </c>
      <c r="Q602" s="535" t="str">
        <f t="shared" si="218"/>
        <v>IE-CO</v>
      </c>
      <c r="R602" s="535" t="str">
        <f t="shared" si="218"/>
        <v>IE-KY</v>
      </c>
      <c r="S602" s="132" t="str">
        <f t="shared" si="218"/>
        <v>IE-LK</v>
      </c>
      <c r="T602" s="132" t="str">
        <f t="shared" si="218"/>
        <v>IE-TA</v>
      </c>
      <c r="U602" s="132" t="str">
        <f t="shared" si="218"/>
        <v>IE-WD</v>
      </c>
      <c r="V602" s="132" t="str">
        <f t="shared" si="218"/>
        <v>IE-G</v>
      </c>
      <c r="W602" s="132" t="str">
        <f t="shared" si="218"/>
        <v>IE-LM</v>
      </c>
      <c r="X602" s="535" t="str">
        <f t="shared" si="218"/>
        <v>IE-MO</v>
      </c>
      <c r="Y602" s="132" t="str">
        <f t="shared" si="218"/>
        <v>IE-RN</v>
      </c>
      <c r="Z602" s="132" t="str">
        <f t="shared" si="218"/>
        <v>IE-SO</v>
      </c>
      <c r="AA602" s="132" t="str">
        <f t="shared" si="218"/>
        <v>IE-CN</v>
      </c>
      <c r="AB602" s="132" t="str">
        <f t="shared" si="218"/>
        <v>IE-DL</v>
      </c>
      <c r="AC602" s="132" t="str">
        <f t="shared" si="218"/>
        <v>IE-MN</v>
      </c>
      <c r="AD602" s="459"/>
      <c r="AE602" s="459"/>
      <c r="AF602" s="459"/>
    </row>
    <row r="603" spans="1:32">
      <c r="A603" s="507" t="str">
        <f>Commodities!C30</f>
        <v>Transport Demand: Aviation domestic</v>
      </c>
      <c r="B603" s="459" t="s">
        <v>88</v>
      </c>
      <c r="C603" s="586">
        <f>'EB2018'!AM51*0.041868</f>
        <v>0.2334932002865788</v>
      </c>
      <c r="D603" s="135">
        <v>0</v>
      </c>
      <c r="E603" s="5">
        <f>C603*D623</f>
        <v>0.13599128494106466</v>
      </c>
      <c r="F603" s="135">
        <v>0</v>
      </c>
      <c r="G603" s="135">
        <v>0</v>
      </c>
      <c r="H603" s="135">
        <v>0</v>
      </c>
      <c r="I603" s="135">
        <v>0</v>
      </c>
      <c r="J603" s="135">
        <v>0</v>
      </c>
      <c r="K603" s="135">
        <v>0</v>
      </c>
      <c r="L603" s="135">
        <v>0</v>
      </c>
      <c r="M603" s="135">
        <v>0</v>
      </c>
      <c r="N603" s="135">
        <v>0</v>
      </c>
      <c r="O603" s="135">
        <v>0</v>
      </c>
      <c r="P603" s="5">
        <f>C603*G623</f>
        <v>4.7489540821759567E-2</v>
      </c>
      <c r="Q603" s="10">
        <f>C603*C623</f>
        <v>4.7056267691773237E-4</v>
      </c>
      <c r="R603" s="38">
        <f>C603*E623</f>
        <v>4.7235778638893708E-2</v>
      </c>
      <c r="S603" s="135">
        <v>0</v>
      </c>
      <c r="T603" s="135">
        <v>0</v>
      </c>
      <c r="U603" s="135">
        <v>0</v>
      </c>
      <c r="V603" s="135">
        <v>0</v>
      </c>
      <c r="W603" s="135">
        <v>0</v>
      </c>
      <c r="X603" s="10">
        <f>C603*F623</f>
        <v>9.4112535383546466E-5</v>
      </c>
      <c r="Y603" s="135">
        <v>0</v>
      </c>
      <c r="Z603" s="135">
        <v>0</v>
      </c>
      <c r="AA603" s="135">
        <v>0</v>
      </c>
      <c r="AB603" s="135">
        <v>0</v>
      </c>
      <c r="AC603" s="135">
        <v>0</v>
      </c>
      <c r="AD603" s="459"/>
      <c r="AE603" s="459"/>
      <c r="AF603" s="459"/>
    </row>
    <row r="604" spans="1:32">
      <c r="A604" s="458" t="str">
        <f>Commodities!C31</f>
        <v>Transport Demand: Aviation international</v>
      </c>
      <c r="B604" s="458" t="s">
        <v>88</v>
      </c>
      <c r="C604" s="576">
        <f>'EB2018'!AM52*0.041868</f>
        <v>45.935836654432045</v>
      </c>
      <c r="D604" s="508">
        <v>0</v>
      </c>
      <c r="E604" s="516">
        <f>$C$604*D651</f>
        <v>40.411547456014475</v>
      </c>
      <c r="F604" s="508">
        <v>0</v>
      </c>
      <c r="G604" s="508">
        <v>0</v>
      </c>
      <c r="H604" s="508">
        <v>0</v>
      </c>
      <c r="I604" s="508">
        <v>0</v>
      </c>
      <c r="J604" s="508">
        <v>0</v>
      </c>
      <c r="K604" s="508">
        <v>0</v>
      </c>
      <c r="L604" s="508">
        <v>0</v>
      </c>
      <c r="M604" s="508">
        <v>0</v>
      </c>
      <c r="N604" s="508">
        <v>0</v>
      </c>
      <c r="O604" s="508">
        <v>0</v>
      </c>
      <c r="P604" s="516">
        <f>$C$604*G651</f>
        <v>2.3928132767411885</v>
      </c>
      <c r="Q604" s="516">
        <f>$C$604*C651</f>
        <v>2.2124403851853933</v>
      </c>
      <c r="R604" s="516">
        <f>$C$604*E651</f>
        <v>0.2411025265315139</v>
      </c>
      <c r="S604" s="508">
        <v>0</v>
      </c>
      <c r="T604" s="508">
        <v>0</v>
      </c>
      <c r="U604" s="508">
        <v>0</v>
      </c>
      <c r="V604" s="508">
        <v>0</v>
      </c>
      <c r="W604" s="508">
        <v>0</v>
      </c>
      <c r="X604" s="516">
        <f>$C$604*F651</f>
        <v>0.68832808501139164</v>
      </c>
      <c r="Y604" s="508">
        <v>0</v>
      </c>
      <c r="Z604" s="508">
        <v>0</v>
      </c>
      <c r="AA604" s="508">
        <v>0</v>
      </c>
      <c r="AB604" s="508">
        <v>0</v>
      </c>
      <c r="AC604" s="508">
        <v>0</v>
      </c>
      <c r="AD604" s="459"/>
      <c r="AE604" s="459"/>
      <c r="AF604" s="459"/>
    </row>
    <row r="605" spans="1:32">
      <c r="A605" s="577" t="s">
        <v>835</v>
      </c>
      <c r="B605" s="459"/>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c r="AD605" s="459"/>
      <c r="AE605" s="459"/>
      <c r="AF605" s="459"/>
    </row>
    <row r="606" spans="1:32" s="459" customFormat="1">
      <c r="A606" s="577"/>
    </row>
    <row r="607" spans="1:32">
      <c r="A607" s="459"/>
      <c r="B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c r="AD607" s="459"/>
      <c r="AE607" s="459"/>
      <c r="AF607" s="459"/>
    </row>
    <row r="608" spans="1:32">
      <c r="A608" s="459"/>
      <c r="B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c r="AD608" s="459"/>
      <c r="AE608" s="459"/>
      <c r="AF608" s="459"/>
    </row>
    <row r="609" spans="1:32">
      <c r="A609" s="459" t="s">
        <v>826</v>
      </c>
      <c r="B609" s="459"/>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c r="AD609" s="459"/>
      <c r="AE609" s="459"/>
      <c r="AF609" s="459"/>
    </row>
    <row r="610" spans="1:32">
      <c r="A610" s="132" t="s">
        <v>827</v>
      </c>
      <c r="B610" s="132" t="s">
        <v>820</v>
      </c>
      <c r="C610" s="132" t="s">
        <v>387</v>
      </c>
      <c r="D610" s="132" t="s">
        <v>375</v>
      </c>
      <c r="E610" s="132" t="s">
        <v>388</v>
      </c>
      <c r="F610" s="132" t="s">
        <v>821</v>
      </c>
      <c r="G610" s="132" t="s">
        <v>822</v>
      </c>
      <c r="H610" s="459"/>
      <c r="I610" s="459"/>
      <c r="J610" s="459"/>
      <c r="K610" s="459"/>
      <c r="L610" s="459"/>
      <c r="M610" s="459"/>
      <c r="N610" s="459"/>
      <c r="O610" s="459"/>
      <c r="P610" s="459"/>
      <c r="Q610" s="459"/>
      <c r="R610" s="459"/>
      <c r="S610" s="459"/>
      <c r="T610" s="459"/>
      <c r="U610" s="459"/>
      <c r="V610" s="459"/>
      <c r="W610" s="459"/>
      <c r="X610" s="459"/>
      <c r="Y610" s="459"/>
      <c r="Z610" s="459"/>
      <c r="AA610" s="459"/>
      <c r="AB610" s="459"/>
      <c r="AC610" s="459"/>
      <c r="AD610" s="459"/>
      <c r="AE610" s="459"/>
      <c r="AF610" s="459"/>
    </row>
    <row r="611" spans="1:32">
      <c r="A611" s="459" t="s">
        <v>823</v>
      </c>
      <c r="B611" s="39">
        <v>165.4</v>
      </c>
      <c r="C611" s="579">
        <v>1</v>
      </c>
      <c r="D611" s="39">
        <v>99.7</v>
      </c>
      <c r="E611" s="39">
        <v>57.5</v>
      </c>
      <c r="F611" s="39">
        <v>0.2</v>
      </c>
      <c r="G611" s="39">
        <v>7</v>
      </c>
      <c r="H611" s="459"/>
      <c r="I611" s="459"/>
      <c r="J611" s="459"/>
      <c r="K611" s="459"/>
      <c r="L611" s="459"/>
      <c r="M611" s="459"/>
      <c r="N611" s="459"/>
      <c r="O611" s="459"/>
      <c r="P611" s="459"/>
      <c r="Q611" s="459"/>
      <c r="R611" s="459"/>
      <c r="S611" s="459"/>
      <c r="T611" s="459"/>
      <c r="U611" s="459"/>
      <c r="V611" s="459"/>
      <c r="W611" s="459"/>
      <c r="X611" s="459"/>
      <c r="Y611" s="459"/>
      <c r="Z611" s="459"/>
      <c r="AA611" s="459"/>
      <c r="AB611" s="459"/>
      <c r="AC611" s="459"/>
      <c r="AD611" s="459"/>
      <c r="AE611" s="459"/>
      <c r="AF611" s="459"/>
    </row>
    <row r="612" spans="1:32">
      <c r="A612" s="459" t="s">
        <v>824</v>
      </c>
      <c r="B612" s="39">
        <v>10.1</v>
      </c>
      <c r="C612" s="39">
        <v>0</v>
      </c>
      <c r="D612" s="39">
        <v>5.2</v>
      </c>
      <c r="E612" s="39">
        <v>0</v>
      </c>
      <c r="F612" s="578">
        <v>0</v>
      </c>
      <c r="G612" s="39">
        <v>4.8</v>
      </c>
      <c r="H612" s="459"/>
      <c r="I612" s="459"/>
      <c r="J612" s="459"/>
      <c r="K612" s="459"/>
      <c r="L612" s="459"/>
      <c r="M612" s="459"/>
      <c r="N612" s="459"/>
      <c r="O612" s="459"/>
      <c r="P612" s="459"/>
      <c r="Q612" s="459"/>
      <c r="R612" s="459"/>
      <c r="S612" s="459"/>
      <c r="T612" s="459"/>
      <c r="U612" s="459"/>
      <c r="V612" s="459"/>
      <c r="W612" s="459"/>
      <c r="X612" s="459"/>
      <c r="Y612" s="459"/>
      <c r="Z612" s="459"/>
      <c r="AA612" s="459"/>
      <c r="AB612" s="459"/>
      <c r="AC612" s="459"/>
      <c r="AD612" s="459"/>
      <c r="AE612" s="459"/>
      <c r="AF612" s="459"/>
    </row>
    <row r="613" spans="1:32">
      <c r="A613" s="458" t="s">
        <v>825</v>
      </c>
      <c r="B613" s="457">
        <v>5.4</v>
      </c>
      <c r="C613" s="457">
        <v>0</v>
      </c>
      <c r="D613" s="457">
        <v>3.4</v>
      </c>
      <c r="E613" s="457">
        <v>1.4</v>
      </c>
      <c r="F613" s="457">
        <v>0</v>
      </c>
      <c r="G613" s="457">
        <v>0.5</v>
      </c>
      <c r="H613" s="459"/>
      <c r="I613" s="459"/>
      <c r="J613" s="459"/>
      <c r="K613" s="459"/>
      <c r="L613" s="459"/>
      <c r="M613" s="459"/>
      <c r="N613" s="459"/>
      <c r="O613" s="459"/>
      <c r="P613" s="459"/>
      <c r="Q613" s="459"/>
      <c r="R613" s="459"/>
      <c r="S613" s="459"/>
      <c r="T613" s="459"/>
      <c r="U613" s="459"/>
      <c r="V613" s="459"/>
      <c r="W613" s="459"/>
      <c r="X613" s="459"/>
      <c r="Y613" s="459"/>
      <c r="Z613" s="459"/>
      <c r="AA613" s="459"/>
      <c r="AB613" s="459"/>
      <c r="AC613" s="459"/>
      <c r="AD613" s="459"/>
      <c r="AE613" s="459"/>
      <c r="AF613" s="459"/>
    </row>
    <row r="614" spans="1:32">
      <c r="A614" s="21" t="s">
        <v>828</v>
      </c>
      <c r="B614" s="459"/>
      <c r="C614" s="459"/>
      <c r="D614" s="459"/>
      <c r="E614" s="459"/>
      <c r="F614" s="459"/>
      <c r="G614" s="459"/>
      <c r="H614" s="459"/>
      <c r="I614" s="459"/>
      <c r="J614" s="459"/>
      <c r="K614" s="459"/>
      <c r="L614" s="459"/>
      <c r="M614" s="459"/>
      <c r="N614" s="459"/>
      <c r="O614" s="459"/>
      <c r="P614" s="459"/>
      <c r="Q614" s="459"/>
      <c r="R614" s="459"/>
      <c r="S614" s="459"/>
      <c r="T614" s="459"/>
      <c r="U614" s="459"/>
      <c r="V614" s="459"/>
      <c r="W614" s="459"/>
      <c r="X614" s="459"/>
      <c r="Y614" s="459"/>
      <c r="Z614" s="459"/>
      <c r="AA614" s="459"/>
      <c r="AB614" s="459"/>
      <c r="AC614" s="459"/>
      <c r="AD614" s="459"/>
      <c r="AE614" s="459"/>
      <c r="AF614" s="459"/>
    </row>
    <row r="615" spans="1:32" s="459" customFormat="1">
      <c r="A615" s="21"/>
    </row>
    <row r="616" spans="1:32" s="459" customFormat="1">
      <c r="A616" s="21"/>
    </row>
    <row r="617" spans="1:32" s="459" customFormat="1">
      <c r="A617" s="21"/>
    </row>
    <row r="618" spans="1:32" s="459" customFormat="1">
      <c r="A618" s="459" t="s">
        <v>831</v>
      </c>
    </row>
    <row r="619" spans="1:32" s="459" customFormat="1">
      <c r="A619" s="132" t="s">
        <v>827</v>
      </c>
      <c r="B619" s="132" t="s">
        <v>820</v>
      </c>
      <c r="C619" s="132" t="s">
        <v>387</v>
      </c>
      <c r="D619" s="132" t="s">
        <v>375</v>
      </c>
      <c r="E619" s="132" t="s">
        <v>388</v>
      </c>
      <c r="F619" s="132" t="s">
        <v>821</v>
      </c>
      <c r="G619" s="132" t="s">
        <v>822</v>
      </c>
    </row>
    <row r="620" spans="1:32" s="459" customFormat="1">
      <c r="A620" s="459" t="s">
        <v>823</v>
      </c>
      <c r="B620" s="580">
        <f>B611/$B611</f>
        <v>1</v>
      </c>
      <c r="C620" s="580">
        <f>C611/$B611</f>
        <v>6.0459492140266021E-3</v>
      </c>
      <c r="D620" s="580">
        <f t="shared" ref="D620:G620" si="219">D611/$B611</f>
        <v>0.60278113663845223</v>
      </c>
      <c r="E620" s="580">
        <f t="shared" si="219"/>
        <v>0.34764207980652961</v>
      </c>
      <c r="F620" s="582">
        <f t="shared" si="219"/>
        <v>1.2091898428053204E-3</v>
      </c>
      <c r="G620" s="580">
        <f t="shared" si="219"/>
        <v>4.2321644498186213E-2</v>
      </c>
    </row>
    <row r="621" spans="1:32" s="459" customFormat="1">
      <c r="A621" s="459" t="s">
        <v>824</v>
      </c>
      <c r="B621" s="580">
        <f t="shared" ref="B621" si="220">B612/$B612</f>
        <v>1</v>
      </c>
      <c r="C621" s="580">
        <f t="shared" ref="C621:G621" si="221">C612/$B612</f>
        <v>0</v>
      </c>
      <c r="D621" s="580">
        <f t="shared" si="221"/>
        <v>0.51485148514851486</v>
      </c>
      <c r="E621" s="580">
        <f t="shared" si="221"/>
        <v>0</v>
      </c>
      <c r="F621" s="580">
        <f t="shared" si="221"/>
        <v>0</v>
      </c>
      <c r="G621" s="580">
        <f t="shared" si="221"/>
        <v>0.47524752475247523</v>
      </c>
    </row>
    <row r="622" spans="1:32" s="459" customFormat="1">
      <c r="A622" s="1" t="s">
        <v>825</v>
      </c>
      <c r="B622" s="585">
        <f t="shared" ref="B622" si="222">B613/$B613</f>
        <v>1</v>
      </c>
      <c r="C622" s="585">
        <f t="shared" ref="C622:G622" si="223">C613/$B613</f>
        <v>0</v>
      </c>
      <c r="D622" s="585">
        <f>D613/$B613</f>
        <v>0.62962962962962954</v>
      </c>
      <c r="E622" s="585">
        <f t="shared" si="223"/>
        <v>0.25925925925925924</v>
      </c>
      <c r="F622" s="585">
        <f t="shared" si="223"/>
        <v>0</v>
      </c>
      <c r="G622" s="585">
        <f t="shared" si="223"/>
        <v>9.2592592592592587E-2</v>
      </c>
    </row>
    <row r="623" spans="1:32" s="459" customFormat="1">
      <c r="A623" s="458" t="s">
        <v>834</v>
      </c>
      <c r="B623" s="581"/>
      <c r="C623" s="407">
        <f>AVERAGE(C620:C622)</f>
        <v>2.015316404675534E-3</v>
      </c>
      <c r="D623" s="407">
        <f t="shared" ref="D623:G623" si="224">AVERAGE(D620:D622)</f>
        <v>0.58242075047219888</v>
      </c>
      <c r="E623" s="407">
        <f t="shared" si="224"/>
        <v>0.20230044635526298</v>
      </c>
      <c r="F623" s="407">
        <f t="shared" si="224"/>
        <v>4.0306328093510677E-4</v>
      </c>
      <c r="G623" s="407">
        <f t="shared" si="224"/>
        <v>0.20338725394775134</v>
      </c>
    </row>
    <row r="624" spans="1:32">
      <c r="A624" s="21" t="s">
        <v>832</v>
      </c>
      <c r="B624" s="459"/>
      <c r="C624" s="7"/>
      <c r="D624" s="7"/>
      <c r="E624" s="7"/>
      <c r="F624" s="7"/>
      <c r="G624" s="7"/>
      <c r="H624" s="459"/>
      <c r="I624" s="459"/>
      <c r="J624" s="459"/>
      <c r="K624" s="459"/>
      <c r="L624" s="459"/>
      <c r="M624" s="459"/>
      <c r="N624" s="459"/>
      <c r="O624" s="459"/>
      <c r="P624" s="459"/>
      <c r="Q624" s="459"/>
      <c r="R624" s="459"/>
      <c r="S624" s="459"/>
      <c r="T624" s="459"/>
      <c r="U624" s="459"/>
      <c r="V624" s="459"/>
      <c r="W624" s="459"/>
      <c r="X624" s="459"/>
      <c r="Y624" s="459"/>
      <c r="Z624" s="459"/>
      <c r="AA624" s="459"/>
      <c r="AB624" s="459"/>
      <c r="AC624" s="459"/>
      <c r="AD624" s="459"/>
      <c r="AE624" s="459"/>
      <c r="AF624" s="459"/>
    </row>
    <row r="626" spans="1:7" s="459" customFormat="1"/>
    <row r="628" spans="1:7">
      <c r="A628" s="459" t="s">
        <v>829</v>
      </c>
      <c r="B628" s="459"/>
      <c r="C628" s="459"/>
      <c r="D628" s="459"/>
      <c r="E628" s="459"/>
      <c r="F628" s="459"/>
      <c r="G628" s="459"/>
    </row>
    <row r="629" spans="1:7">
      <c r="A629" s="132" t="s">
        <v>827</v>
      </c>
      <c r="B629" s="132" t="s">
        <v>820</v>
      </c>
      <c r="C629" s="132" t="s">
        <v>387</v>
      </c>
      <c r="D629" s="132" t="s">
        <v>375</v>
      </c>
      <c r="E629" s="132" t="s">
        <v>388</v>
      </c>
      <c r="F629" s="132" t="s">
        <v>821</v>
      </c>
      <c r="G629" s="132" t="s">
        <v>822</v>
      </c>
    </row>
    <row r="630" spans="1:7">
      <c r="A630" s="459" t="s">
        <v>823</v>
      </c>
      <c r="B630" s="459">
        <v>36521.1</v>
      </c>
      <c r="C630" s="459">
        <v>2387.8000000000002</v>
      </c>
      <c r="D630" s="459">
        <v>31319.4</v>
      </c>
      <c r="E630" s="459">
        <v>365.3</v>
      </c>
      <c r="F630" s="459">
        <v>770.9</v>
      </c>
      <c r="G630" s="459">
        <v>1677.7</v>
      </c>
    </row>
    <row r="631" spans="1:7">
      <c r="A631" s="459" t="s">
        <v>824</v>
      </c>
      <c r="B631" s="459">
        <v>157.4</v>
      </c>
      <c r="C631" s="459">
        <v>0.1</v>
      </c>
      <c r="D631" s="459">
        <v>143.69999999999999</v>
      </c>
      <c r="E631" s="459">
        <v>0</v>
      </c>
      <c r="F631" s="459">
        <v>0</v>
      </c>
      <c r="G631" s="459">
        <v>13.6</v>
      </c>
    </row>
    <row r="632" spans="1:7">
      <c r="A632" s="458" t="s">
        <v>825</v>
      </c>
      <c r="B632" s="458">
        <v>266.39999999999998</v>
      </c>
      <c r="C632" s="458">
        <v>20.399999999999999</v>
      </c>
      <c r="D632" s="458">
        <v>222.7</v>
      </c>
      <c r="E632" s="458">
        <v>3.3</v>
      </c>
      <c r="F632" s="458">
        <v>6.2</v>
      </c>
      <c r="G632" s="458">
        <v>13.7</v>
      </c>
    </row>
    <row r="633" spans="1:7">
      <c r="A633" s="21" t="s">
        <v>828</v>
      </c>
      <c r="B633" s="459"/>
      <c r="C633" s="459"/>
      <c r="D633" s="459"/>
      <c r="E633" s="459"/>
      <c r="F633" s="459"/>
      <c r="G633" s="459"/>
    </row>
    <row r="637" spans="1:7">
      <c r="A637" s="459" t="s">
        <v>830</v>
      </c>
      <c r="B637" s="459"/>
      <c r="C637" s="459"/>
      <c r="D637" s="459"/>
      <c r="E637" s="459"/>
      <c r="F637" s="459"/>
      <c r="G637" s="459"/>
    </row>
    <row r="638" spans="1:7">
      <c r="A638" s="132" t="s">
        <v>827</v>
      </c>
      <c r="B638" s="132" t="s">
        <v>820</v>
      </c>
      <c r="C638" s="132" t="s">
        <v>387</v>
      </c>
      <c r="D638" s="132" t="s">
        <v>375</v>
      </c>
      <c r="E638" s="132" t="s">
        <v>388</v>
      </c>
      <c r="F638" s="132" t="s">
        <v>821</v>
      </c>
      <c r="G638" s="132" t="s">
        <v>822</v>
      </c>
    </row>
    <row r="639" spans="1:7">
      <c r="A639" s="459" t="s">
        <v>823</v>
      </c>
      <c r="B639" s="459">
        <f>B630-B611</f>
        <v>36355.699999999997</v>
      </c>
      <c r="C639" s="459">
        <f t="shared" ref="C639:G639" si="225">C630-C611</f>
        <v>2386.8000000000002</v>
      </c>
      <c r="D639" s="459">
        <f t="shared" si="225"/>
        <v>31219.7</v>
      </c>
      <c r="E639" s="459">
        <f t="shared" si="225"/>
        <v>307.8</v>
      </c>
      <c r="F639" s="459">
        <f t="shared" si="225"/>
        <v>770.69999999999993</v>
      </c>
      <c r="G639" s="459">
        <f t="shared" si="225"/>
        <v>1670.7</v>
      </c>
    </row>
    <row r="640" spans="1:7">
      <c r="A640" s="459" t="s">
        <v>824</v>
      </c>
      <c r="B640" s="459">
        <f>B631-B612</f>
        <v>147.30000000000001</v>
      </c>
      <c r="C640" s="459">
        <f t="shared" ref="C640:G641" si="226">C631-C612</f>
        <v>0.1</v>
      </c>
      <c r="D640" s="459">
        <f t="shared" si="226"/>
        <v>138.5</v>
      </c>
      <c r="E640" s="459">
        <f t="shared" si="226"/>
        <v>0</v>
      </c>
      <c r="F640" s="459">
        <f t="shared" si="226"/>
        <v>0</v>
      </c>
      <c r="G640" s="459">
        <f t="shared" si="226"/>
        <v>8.8000000000000007</v>
      </c>
    </row>
    <row r="641" spans="1:7">
      <c r="A641" s="458" t="s">
        <v>825</v>
      </c>
      <c r="B641" s="458">
        <f>B632-B613</f>
        <v>261</v>
      </c>
      <c r="C641" s="458">
        <f t="shared" si="226"/>
        <v>20.399999999999999</v>
      </c>
      <c r="D641" s="458">
        <f t="shared" si="226"/>
        <v>219.29999999999998</v>
      </c>
      <c r="E641" s="458">
        <f t="shared" si="226"/>
        <v>1.9</v>
      </c>
      <c r="F641" s="458">
        <f t="shared" si="226"/>
        <v>6.2</v>
      </c>
      <c r="G641" s="458">
        <f t="shared" si="226"/>
        <v>13.2</v>
      </c>
    </row>
    <row r="642" spans="1:7">
      <c r="A642" s="21" t="s">
        <v>828</v>
      </c>
      <c r="B642" s="459"/>
      <c r="C642" s="459"/>
      <c r="D642" s="459"/>
      <c r="E642" s="459"/>
      <c r="F642" s="459"/>
      <c r="G642" s="459"/>
    </row>
    <row r="643" spans="1:7">
      <c r="C643" s="357"/>
      <c r="D643" s="357"/>
      <c r="E643" s="357"/>
      <c r="F643" s="357"/>
      <c r="G643" s="357"/>
    </row>
    <row r="644" spans="1:7">
      <c r="C644" s="357"/>
      <c r="D644" s="357"/>
      <c r="E644" s="357"/>
      <c r="F644" s="357"/>
      <c r="G644" s="357"/>
    </row>
    <row r="646" spans="1:7">
      <c r="A646" s="459" t="s">
        <v>833</v>
      </c>
      <c r="B646" s="459"/>
      <c r="C646" s="459"/>
      <c r="D646" s="459"/>
      <c r="E646" s="459"/>
      <c r="F646" s="459"/>
      <c r="G646" s="459"/>
    </row>
    <row r="647" spans="1:7">
      <c r="A647" s="132" t="s">
        <v>827</v>
      </c>
      <c r="B647" s="132" t="s">
        <v>820</v>
      </c>
      <c r="C647" s="132" t="s">
        <v>387</v>
      </c>
      <c r="D647" s="132" t="s">
        <v>375</v>
      </c>
      <c r="E647" s="132" t="s">
        <v>388</v>
      </c>
      <c r="F647" s="132" t="s">
        <v>821</v>
      </c>
      <c r="G647" s="132" t="s">
        <v>822</v>
      </c>
    </row>
    <row r="648" spans="1:7">
      <c r="A648" s="459" t="s">
        <v>823</v>
      </c>
      <c r="B648" s="580">
        <f>B639/$B639</f>
        <v>1</v>
      </c>
      <c r="C648" s="580">
        <f>C639/$B639</f>
        <v>6.5651328402423839E-2</v>
      </c>
      <c r="D648" s="580">
        <f t="shared" ref="D648:G648" si="227">D639/$B639</f>
        <v>0.85872916764083773</v>
      </c>
      <c r="E648" s="580">
        <f t="shared" si="227"/>
        <v>8.4663477804030746E-3</v>
      </c>
      <c r="F648" s="580">
        <f t="shared" si="227"/>
        <v>2.1198876654829918E-2</v>
      </c>
      <c r="G648" s="580">
        <f t="shared" si="227"/>
        <v>4.5954279521505575E-2</v>
      </c>
    </row>
    <row r="649" spans="1:7">
      <c r="A649" s="1" t="s">
        <v>824</v>
      </c>
      <c r="B649" s="585">
        <f t="shared" ref="B649" si="228">B640/$B640</f>
        <v>1</v>
      </c>
      <c r="C649" s="585">
        <f t="shared" ref="C649:G649" si="229">C640/$B640</f>
        <v>6.7888662593346908E-4</v>
      </c>
      <c r="D649" s="585">
        <f>D640/$B640</f>
        <v>0.94025797691785462</v>
      </c>
      <c r="E649" s="585">
        <f t="shared" si="229"/>
        <v>0</v>
      </c>
      <c r="F649" s="585">
        <f t="shared" si="229"/>
        <v>0</v>
      </c>
      <c r="G649" s="585">
        <f t="shared" si="229"/>
        <v>5.9742023082145282E-2</v>
      </c>
    </row>
    <row r="650" spans="1:7">
      <c r="A650" s="1" t="s">
        <v>825</v>
      </c>
      <c r="B650" s="585">
        <f t="shared" ref="B650" si="230">B641/$B641</f>
        <v>1</v>
      </c>
      <c r="C650" s="585">
        <f>C641/$B641</f>
        <v>7.8160919540229884E-2</v>
      </c>
      <c r="D650" s="585">
        <f>D641/$B641</f>
        <v>0.8402298850574712</v>
      </c>
      <c r="E650" s="585">
        <f t="shared" ref="E650:G650" si="231">E641/$B641</f>
        <v>7.2796934865900376E-3</v>
      </c>
      <c r="F650" s="585">
        <f t="shared" si="231"/>
        <v>2.3754789272030653E-2</v>
      </c>
      <c r="G650" s="585">
        <f t="shared" si="231"/>
        <v>5.057471264367816E-2</v>
      </c>
    </row>
    <row r="651" spans="1:7" s="459" customFormat="1">
      <c r="A651" s="458" t="s">
        <v>834</v>
      </c>
      <c r="B651" s="581"/>
      <c r="C651" s="407">
        <f>AVERAGE(C648:C650)</f>
        <v>4.8163711522862397E-2</v>
      </c>
      <c r="D651" s="407">
        <f t="shared" ref="D651:G651" si="232">AVERAGE(D648:D650)</f>
        <v>0.87973900987205456</v>
      </c>
      <c r="E651" s="407">
        <f t="shared" si="232"/>
        <v>5.2486804223310368E-3</v>
      </c>
      <c r="F651" s="407">
        <f t="shared" si="232"/>
        <v>1.4984555308953524E-2</v>
      </c>
      <c r="G651" s="407">
        <f t="shared" si="232"/>
        <v>5.2090338415776337E-2</v>
      </c>
    </row>
    <row r="652" spans="1:7">
      <c r="A652" s="21" t="s">
        <v>832</v>
      </c>
      <c r="B652" s="459"/>
      <c r="C652" s="459"/>
      <c r="D652" s="459"/>
      <c r="E652" s="459"/>
      <c r="F652" s="459"/>
      <c r="G652" s="459"/>
    </row>
    <row r="654" spans="1:7">
      <c r="B654" s="583" t="s">
        <v>820</v>
      </c>
      <c r="C654" s="583" t="s">
        <v>387</v>
      </c>
      <c r="D654" s="583" t="s">
        <v>375</v>
      </c>
      <c r="E654" s="583" t="s">
        <v>388</v>
      </c>
      <c r="F654" s="583" t="s">
        <v>821</v>
      </c>
      <c r="G654" s="583" t="s">
        <v>822</v>
      </c>
    </row>
    <row r="655" spans="1:7">
      <c r="B655" s="584" t="s">
        <v>778</v>
      </c>
      <c r="C655" s="584" t="s">
        <v>387</v>
      </c>
      <c r="D655" s="584" t="s">
        <v>375</v>
      </c>
      <c r="E655" s="584" t="s">
        <v>388</v>
      </c>
      <c r="F655" s="584" t="s">
        <v>394</v>
      </c>
      <c r="G655" s="584" t="s">
        <v>386</v>
      </c>
    </row>
    <row r="660" spans="1:29">
      <c r="AC660" s="459"/>
    </row>
    <row r="661" spans="1:29">
      <c r="A661" s="459"/>
      <c r="B661" s="459"/>
      <c r="C661" s="459"/>
      <c r="D661" s="459"/>
      <c r="E661" s="459"/>
      <c r="F661" s="459"/>
      <c r="G661" s="459"/>
      <c r="H661" s="459"/>
      <c r="I661" s="459"/>
      <c r="J661" s="459"/>
      <c r="K661" s="459"/>
      <c r="L661" s="459"/>
      <c r="M661" s="459"/>
      <c r="N661" s="459"/>
      <c r="O661" s="459"/>
      <c r="P661" s="459"/>
      <c r="Q661" s="459"/>
      <c r="R661" s="459"/>
      <c r="S661" s="459"/>
      <c r="T661" s="459"/>
      <c r="U661" s="459"/>
      <c r="V661" s="459"/>
      <c r="W661" s="459"/>
      <c r="X661" s="459"/>
      <c r="Y661" s="459"/>
      <c r="Z661" s="459"/>
      <c r="AA661" s="459"/>
      <c r="AB661" s="459"/>
      <c r="AC661" s="459"/>
    </row>
    <row r="662" spans="1:29">
      <c r="A662" s="459"/>
      <c r="B662" s="459"/>
      <c r="C662" s="459"/>
      <c r="D662" s="459"/>
      <c r="E662" s="459"/>
      <c r="F662" s="459"/>
      <c r="G662" s="459"/>
      <c r="H662" s="459"/>
      <c r="I662" s="459"/>
      <c r="J662" s="459"/>
      <c r="K662" s="459"/>
      <c r="L662" s="459"/>
      <c r="M662" s="459"/>
      <c r="N662" s="459"/>
      <c r="O662" s="459"/>
      <c r="P662" s="459"/>
      <c r="Q662" s="459"/>
      <c r="R662" s="459"/>
      <c r="S662" s="459"/>
      <c r="T662" s="459"/>
      <c r="U662" s="459"/>
      <c r="V662" s="459"/>
      <c r="W662" s="459"/>
      <c r="X662" s="459"/>
      <c r="Y662" s="459"/>
      <c r="Z662" s="459"/>
      <c r="AA662" s="459"/>
      <c r="AB662" s="459"/>
      <c r="AC662" s="459"/>
    </row>
    <row r="663" spans="1:29">
      <c r="A663" s="459"/>
      <c r="B663" s="459"/>
      <c r="C663" s="459"/>
      <c r="D663" s="459"/>
      <c r="E663" s="459"/>
      <c r="F663" s="459"/>
      <c r="G663" s="459"/>
      <c r="H663" s="459"/>
      <c r="I663" s="459"/>
      <c r="J663" s="459"/>
      <c r="K663" s="459"/>
      <c r="L663" s="459"/>
      <c r="M663" s="459"/>
      <c r="N663" s="459"/>
      <c r="O663" s="459"/>
      <c r="P663" s="459"/>
      <c r="Q663" s="459"/>
      <c r="R663" s="459"/>
      <c r="S663" s="459"/>
      <c r="T663" s="459"/>
      <c r="U663" s="459"/>
      <c r="V663" s="459"/>
      <c r="W663" s="459"/>
      <c r="X663" s="459"/>
      <c r="Y663" s="459"/>
      <c r="Z663" s="459"/>
      <c r="AA663" s="459"/>
      <c r="AB663" s="459"/>
      <c r="AC663" s="459"/>
    </row>
    <row r="664" spans="1:29">
      <c r="A664" s="459"/>
      <c r="B664" s="459"/>
      <c r="C664" s="459"/>
      <c r="D664" s="459"/>
      <c r="E664" s="459"/>
      <c r="F664" s="459"/>
      <c r="G664" s="459"/>
      <c r="H664" s="459"/>
      <c r="I664" s="459"/>
      <c r="J664" s="459"/>
      <c r="K664" s="459"/>
      <c r="L664" s="459"/>
      <c r="M664" s="459"/>
      <c r="N664" s="459"/>
      <c r="O664" s="459"/>
      <c r="P664" s="459"/>
      <c r="Q664" s="459"/>
      <c r="R664" s="459"/>
      <c r="S664" s="459"/>
      <c r="T664" s="459"/>
      <c r="U664" s="459"/>
      <c r="V664" s="459"/>
      <c r="W664" s="459"/>
      <c r="X664" s="459"/>
      <c r="Y664" s="459"/>
      <c r="Z664" s="459"/>
      <c r="AA664" s="459"/>
      <c r="AB664" s="459"/>
      <c r="AC664" s="459"/>
    </row>
    <row r="665" spans="1:29">
      <c r="A665" s="459"/>
      <c r="B665" s="459"/>
      <c r="C665" s="459"/>
      <c r="D665" s="459"/>
      <c r="E665" s="459"/>
      <c r="F665" s="459"/>
      <c r="G665" s="459"/>
      <c r="H665" s="459"/>
      <c r="I665" s="459"/>
      <c r="J665" s="459"/>
      <c r="K665" s="459"/>
      <c r="L665" s="459"/>
      <c r="M665" s="459"/>
      <c r="N665" s="459"/>
      <c r="O665" s="459"/>
      <c r="P665" s="459"/>
      <c r="Q665" s="459"/>
      <c r="R665" s="459"/>
      <c r="S665" s="459"/>
      <c r="T665" s="459"/>
      <c r="U665" s="459"/>
      <c r="V665" s="459"/>
      <c r="W665" s="459"/>
      <c r="X665" s="459"/>
      <c r="Y665" s="459"/>
      <c r="Z665" s="459"/>
      <c r="AA665" s="459"/>
      <c r="AB665" s="459"/>
      <c r="AC665" s="459"/>
    </row>
    <row r="666" spans="1:29">
      <c r="A666" s="459"/>
      <c r="B666" s="459"/>
      <c r="C666" s="459"/>
      <c r="D666" s="459"/>
      <c r="E666" s="459"/>
      <c r="F666" s="459"/>
      <c r="G666" s="459"/>
      <c r="H666" s="459"/>
      <c r="I666" s="459"/>
      <c r="J666" s="459"/>
      <c r="K666" s="459"/>
      <c r="L666" s="459"/>
      <c r="M666" s="459"/>
      <c r="N666" s="459"/>
      <c r="O666" s="459"/>
      <c r="P666" s="459"/>
      <c r="Q666" s="459"/>
      <c r="R666" s="459"/>
      <c r="S666" s="459"/>
      <c r="T666" s="459"/>
      <c r="U666" s="459"/>
      <c r="V666" s="459"/>
      <c r="W666" s="459"/>
      <c r="X666" s="459"/>
      <c r="Y666" s="459"/>
      <c r="Z666" s="459"/>
      <c r="AA666" s="459"/>
      <c r="AB666" s="459"/>
      <c r="AC666" s="459"/>
    </row>
    <row r="667" spans="1:29">
      <c r="A667" s="459"/>
      <c r="B667" s="459"/>
      <c r="C667" s="459"/>
      <c r="D667" s="459"/>
      <c r="E667" s="459"/>
      <c r="F667" s="459"/>
      <c r="G667" s="459"/>
      <c r="H667" s="459"/>
      <c r="I667" s="459"/>
      <c r="J667" s="459"/>
      <c r="K667" s="459"/>
      <c r="L667" s="459"/>
      <c r="M667" s="459"/>
      <c r="N667" s="459"/>
      <c r="O667" s="459"/>
      <c r="P667" s="459"/>
      <c r="Q667" s="459"/>
      <c r="R667" s="459"/>
      <c r="S667" s="459"/>
      <c r="T667" s="459"/>
      <c r="U667" s="459"/>
      <c r="V667" s="459"/>
      <c r="W667" s="459"/>
      <c r="X667" s="459"/>
      <c r="Y667" s="459"/>
      <c r="Z667" s="459"/>
      <c r="AA667" s="459"/>
      <c r="AB667" s="459"/>
      <c r="AC667" s="459"/>
    </row>
    <row r="668" spans="1:29">
      <c r="A668" s="459"/>
      <c r="B668" s="459"/>
      <c r="C668" s="459"/>
      <c r="D668" s="459"/>
      <c r="E668" s="459"/>
      <c r="F668" s="459"/>
      <c r="G668" s="459"/>
      <c r="H668" s="459"/>
      <c r="I668" s="459"/>
      <c r="J668" s="459"/>
      <c r="K668" s="459"/>
      <c r="L668" s="459"/>
      <c r="M668" s="459"/>
      <c r="N668" s="459"/>
      <c r="O668" s="459"/>
      <c r="P668" s="459"/>
      <c r="Q668" s="459"/>
      <c r="R668" s="459"/>
      <c r="S668" s="459"/>
      <c r="T668" s="459"/>
      <c r="U668" s="459"/>
      <c r="V668" s="459"/>
      <c r="W668" s="459"/>
      <c r="X668" s="459"/>
      <c r="Y668" s="459"/>
      <c r="Z668" s="459"/>
      <c r="AA668" s="459"/>
      <c r="AB668" s="459"/>
      <c r="AC668" s="459"/>
    </row>
    <row r="669" spans="1:29">
      <c r="A669" s="459"/>
      <c r="B669" s="459"/>
      <c r="C669" s="459"/>
      <c r="D669" s="459"/>
      <c r="E669" s="459"/>
      <c r="F669" s="459"/>
      <c r="G669" s="459"/>
      <c r="H669" s="459"/>
      <c r="I669" s="459"/>
      <c r="J669" s="459"/>
      <c r="K669" s="459"/>
      <c r="L669" s="459"/>
      <c r="M669" s="459"/>
      <c r="N669" s="459"/>
      <c r="O669" s="459"/>
      <c r="P669" s="459"/>
      <c r="Q669" s="459"/>
      <c r="R669" s="459"/>
      <c r="S669" s="459"/>
      <c r="T669" s="459"/>
      <c r="U669" s="459"/>
      <c r="V669" s="459"/>
      <c r="W669" s="459"/>
      <c r="X669" s="459"/>
      <c r="Y669" s="459"/>
      <c r="Z669" s="459"/>
      <c r="AA669" s="459"/>
      <c r="AB669" s="459"/>
      <c r="AC669" s="459"/>
    </row>
    <row r="670" spans="1:29">
      <c r="A670" s="459"/>
      <c r="B670" s="459"/>
      <c r="C670" s="459"/>
      <c r="D670" s="459"/>
      <c r="E670" s="459"/>
      <c r="F670" s="459"/>
      <c r="G670" s="459"/>
      <c r="H670" s="459"/>
      <c r="I670" s="459"/>
      <c r="J670" s="459"/>
      <c r="K670" s="459"/>
      <c r="L670" s="459"/>
      <c r="M670" s="459"/>
      <c r="N670" s="459"/>
      <c r="O670" s="459"/>
      <c r="P670" s="459"/>
      <c r="Q670" s="459"/>
      <c r="R670" s="459"/>
      <c r="S670" s="459"/>
      <c r="T670" s="459"/>
      <c r="U670" s="459"/>
      <c r="V670" s="459"/>
      <c r="W670" s="459"/>
      <c r="X670" s="459"/>
      <c r="Y670" s="459"/>
      <c r="Z670" s="459"/>
      <c r="AA670" s="459"/>
      <c r="AB670" s="459"/>
      <c r="AC670" s="459"/>
    </row>
    <row r="671" spans="1:29">
      <c r="A671" s="459"/>
      <c r="B671" s="459"/>
      <c r="C671" s="459"/>
      <c r="D671" s="459"/>
      <c r="E671" s="459"/>
      <c r="F671" s="459"/>
      <c r="G671" s="459"/>
      <c r="H671" s="459"/>
      <c r="I671" s="459"/>
      <c r="J671" s="459"/>
      <c r="K671" s="459"/>
      <c r="L671" s="459"/>
      <c r="M671" s="459"/>
      <c r="N671" s="459"/>
      <c r="O671" s="459"/>
      <c r="P671" s="459"/>
      <c r="Q671" s="459"/>
      <c r="R671" s="459"/>
      <c r="S671" s="459"/>
      <c r="T671" s="459"/>
      <c r="U671" s="459"/>
      <c r="V671" s="459"/>
      <c r="W671" s="459"/>
      <c r="X671" s="459"/>
      <c r="Y671" s="459"/>
      <c r="Z671" s="459"/>
      <c r="AA671" s="459"/>
      <c r="AB671" s="459"/>
      <c r="AC671" s="459"/>
    </row>
    <row r="672" spans="1:29">
      <c r="A672" s="459"/>
      <c r="B672" s="459"/>
      <c r="C672" s="459"/>
      <c r="D672" s="459"/>
      <c r="E672" s="459"/>
      <c r="F672" s="459"/>
      <c r="G672" s="459"/>
      <c r="H672" s="459"/>
      <c r="I672" s="459"/>
      <c r="J672" s="459"/>
      <c r="K672" s="459"/>
      <c r="L672" s="459"/>
      <c r="M672" s="459"/>
      <c r="N672" s="459"/>
      <c r="O672" s="459"/>
      <c r="P672" s="459"/>
      <c r="Q672" s="459"/>
      <c r="R672" s="459"/>
      <c r="S672" s="459"/>
      <c r="T672" s="459"/>
      <c r="U672" s="459"/>
      <c r="V672" s="459"/>
      <c r="W672" s="459"/>
      <c r="X672" s="459"/>
      <c r="Y672" s="459"/>
      <c r="Z672" s="459"/>
      <c r="AA672" s="459"/>
      <c r="AB672" s="459"/>
      <c r="AC672" s="459"/>
    </row>
    <row r="673" spans="1:29">
      <c r="A673" s="459"/>
      <c r="B673" s="459"/>
      <c r="C673" s="459"/>
      <c r="D673" s="459"/>
      <c r="E673" s="459"/>
      <c r="F673" s="459"/>
      <c r="G673" s="459"/>
      <c r="H673" s="459"/>
      <c r="I673" s="459"/>
      <c r="J673" s="459"/>
      <c r="K673" s="459"/>
      <c r="L673" s="459"/>
      <c r="M673" s="459"/>
      <c r="N673" s="459"/>
      <c r="O673" s="459"/>
      <c r="P673" s="459"/>
      <c r="Q673" s="459"/>
      <c r="R673" s="459"/>
      <c r="S673" s="459"/>
      <c r="T673" s="459"/>
      <c r="U673" s="459"/>
      <c r="V673" s="459"/>
      <c r="W673" s="459"/>
      <c r="X673" s="459"/>
      <c r="Y673" s="459"/>
      <c r="Z673" s="459"/>
      <c r="AA673" s="459"/>
      <c r="AB673" s="459"/>
      <c r="AC673" s="459"/>
    </row>
    <row r="674" spans="1:29">
      <c r="A674" s="459"/>
      <c r="B674" s="459"/>
      <c r="C674" s="459"/>
      <c r="D674" s="459"/>
      <c r="E674" s="459"/>
      <c r="F674" s="459"/>
      <c r="G674" s="459"/>
      <c r="H674" s="459"/>
      <c r="I674" s="459"/>
      <c r="J674" s="459"/>
      <c r="K674" s="459"/>
      <c r="L674" s="459"/>
      <c r="M674" s="459"/>
      <c r="N674" s="459"/>
      <c r="O674" s="459"/>
      <c r="P674" s="459"/>
      <c r="Q674" s="459"/>
      <c r="R674" s="459"/>
      <c r="S674" s="459"/>
      <c r="T674" s="459"/>
      <c r="U674" s="459"/>
      <c r="V674" s="459"/>
      <c r="W674" s="459"/>
      <c r="X674" s="459"/>
      <c r="Y674" s="459"/>
      <c r="Z674" s="459"/>
      <c r="AA674" s="459"/>
      <c r="AB674" s="459"/>
      <c r="AC674" s="459"/>
    </row>
    <row r="675" spans="1:29">
      <c r="A675" s="459"/>
      <c r="B675" s="459"/>
      <c r="C675" s="459"/>
      <c r="D675" s="459"/>
      <c r="E675" s="459"/>
      <c r="F675" s="459"/>
      <c r="G675" s="459"/>
      <c r="H675" s="459"/>
      <c r="I675" s="459"/>
      <c r="J675" s="459"/>
      <c r="K675" s="459"/>
      <c r="L675" s="459"/>
      <c r="M675" s="459"/>
      <c r="N675" s="459"/>
      <c r="O675" s="459"/>
      <c r="P675" s="459"/>
      <c r="Q675" s="459"/>
      <c r="R675" s="459"/>
      <c r="S675" s="459"/>
      <c r="T675" s="459"/>
      <c r="U675" s="459"/>
      <c r="V675" s="459"/>
      <c r="W675" s="459"/>
      <c r="X675" s="459"/>
      <c r="Y675" s="459"/>
      <c r="Z675" s="459"/>
      <c r="AA675" s="459"/>
      <c r="AB675" s="459"/>
      <c r="AC675" s="459"/>
    </row>
    <row r="676" spans="1:29">
      <c r="A676" s="459"/>
      <c r="B676" s="459"/>
      <c r="C676" s="459"/>
      <c r="D676" s="459"/>
      <c r="E676" s="459"/>
      <c r="F676" s="459"/>
      <c r="G676" s="459"/>
      <c r="H676" s="459"/>
      <c r="I676" s="459"/>
      <c r="J676" s="459"/>
      <c r="K676" s="459"/>
      <c r="L676" s="459"/>
      <c r="M676" s="459"/>
      <c r="N676" s="459"/>
      <c r="O676" s="459"/>
      <c r="P676" s="459"/>
      <c r="Q676" s="459"/>
      <c r="R676" s="459"/>
      <c r="S676" s="459"/>
      <c r="T676" s="459"/>
      <c r="U676" s="459"/>
      <c r="V676" s="459"/>
      <c r="W676" s="459"/>
      <c r="X676" s="459"/>
      <c r="Y676" s="459"/>
      <c r="Z676" s="459"/>
      <c r="AA676" s="459"/>
      <c r="AB676" s="459"/>
      <c r="AC676" s="459"/>
    </row>
    <row r="677" spans="1:29">
      <c r="A677" s="459"/>
      <c r="B677" s="459"/>
      <c r="C677" s="459"/>
      <c r="D677" s="459"/>
      <c r="E677" s="459"/>
      <c r="F677" s="459"/>
      <c r="G677" s="459"/>
      <c r="H677" s="459"/>
      <c r="I677" s="459"/>
      <c r="J677" s="459"/>
      <c r="K677" s="459"/>
      <c r="L677" s="459"/>
      <c r="M677" s="459"/>
      <c r="N677" s="459"/>
      <c r="O677" s="459"/>
      <c r="P677" s="459"/>
      <c r="Q677" s="459"/>
      <c r="R677" s="459"/>
      <c r="S677" s="459"/>
      <c r="T677" s="459"/>
      <c r="U677" s="459"/>
      <c r="V677" s="459"/>
      <c r="W677" s="459"/>
      <c r="X677" s="459"/>
      <c r="Y677" s="459"/>
      <c r="Z677" s="459"/>
      <c r="AA677" s="459"/>
      <c r="AB677" s="459"/>
      <c r="AC677" s="459"/>
    </row>
    <row r="678" spans="1:29">
      <c r="A678" s="459"/>
      <c r="B678" s="459"/>
      <c r="C678" s="459"/>
      <c r="D678" s="459"/>
      <c r="E678" s="459"/>
      <c r="F678" s="459"/>
      <c r="G678" s="459"/>
      <c r="H678" s="459"/>
      <c r="I678" s="459"/>
      <c r="J678" s="459"/>
      <c r="K678" s="459"/>
      <c r="L678" s="459"/>
      <c r="M678" s="459"/>
      <c r="N678" s="459"/>
      <c r="O678" s="459"/>
      <c r="P678" s="459"/>
      <c r="Q678" s="459"/>
      <c r="R678" s="459"/>
      <c r="S678" s="459"/>
      <c r="T678" s="459"/>
      <c r="U678" s="459"/>
      <c r="V678" s="459"/>
      <c r="W678" s="459"/>
      <c r="X678" s="459"/>
      <c r="Y678" s="459"/>
      <c r="Z678" s="459"/>
      <c r="AA678" s="459"/>
      <c r="AB678" s="459"/>
      <c r="AC678" s="459"/>
    </row>
    <row r="679" spans="1:29">
      <c r="A679" s="459"/>
      <c r="B679" s="459"/>
      <c r="C679" s="459"/>
      <c r="D679" s="459"/>
      <c r="E679" s="459"/>
      <c r="F679" s="459"/>
      <c r="G679" s="459"/>
      <c r="H679" s="459"/>
      <c r="I679" s="459"/>
      <c r="J679" s="459"/>
      <c r="K679" s="459"/>
      <c r="L679" s="459"/>
      <c r="M679" s="459"/>
      <c r="N679" s="459"/>
      <c r="O679" s="459"/>
      <c r="P679" s="459"/>
      <c r="Q679" s="459"/>
      <c r="R679" s="459"/>
      <c r="S679" s="459"/>
      <c r="T679" s="459"/>
      <c r="U679" s="459"/>
      <c r="V679" s="459"/>
      <c r="W679" s="459"/>
      <c r="X679" s="459"/>
      <c r="Y679" s="459"/>
      <c r="Z679" s="459"/>
      <c r="AA679" s="459"/>
      <c r="AB679" s="459"/>
      <c r="AC679" s="459"/>
    </row>
    <row r="680" spans="1:29">
      <c r="A680" s="459"/>
      <c r="B680" s="459"/>
      <c r="C680" s="459"/>
      <c r="D680" s="459"/>
      <c r="E680" s="459"/>
      <c r="F680" s="459"/>
      <c r="G680" s="459"/>
      <c r="H680" s="459"/>
      <c r="I680" s="459"/>
      <c r="J680" s="459"/>
      <c r="K680" s="459"/>
      <c r="L680" s="459"/>
      <c r="M680" s="459"/>
      <c r="N680" s="459"/>
      <c r="O680" s="459"/>
      <c r="P680" s="459"/>
      <c r="Q680" s="459"/>
      <c r="R680" s="459"/>
      <c r="S680" s="459"/>
      <c r="T680" s="459"/>
      <c r="U680" s="459"/>
      <c r="V680" s="459"/>
      <c r="W680" s="459"/>
      <c r="X680" s="459"/>
      <c r="Y680" s="459"/>
      <c r="Z680" s="459"/>
      <c r="AA680" s="459"/>
      <c r="AB680" s="459"/>
      <c r="AC680" s="459"/>
    </row>
    <row r="681" spans="1:29">
      <c r="A681" s="459"/>
      <c r="B681" s="459"/>
      <c r="C681" s="459"/>
      <c r="D681" s="459"/>
      <c r="E681" s="459"/>
      <c r="F681" s="459"/>
      <c r="G681" s="459"/>
      <c r="H681" s="459"/>
      <c r="I681" s="459"/>
      <c r="J681" s="459"/>
      <c r="K681" s="459"/>
      <c r="L681" s="459"/>
      <c r="M681" s="459"/>
      <c r="N681" s="459"/>
      <c r="O681" s="459"/>
      <c r="P681" s="459"/>
      <c r="Q681" s="459"/>
      <c r="R681" s="459"/>
      <c r="S681" s="459"/>
      <c r="T681" s="459"/>
      <c r="U681" s="459"/>
      <c r="V681" s="459"/>
      <c r="W681" s="459"/>
      <c r="X681" s="459"/>
      <c r="Y681" s="459"/>
      <c r="Z681" s="459"/>
      <c r="AA681" s="459"/>
      <c r="AB681" s="459"/>
      <c r="AC681" s="459"/>
    </row>
    <row r="682" spans="1:29">
      <c r="A682" s="459"/>
      <c r="B682" s="459"/>
      <c r="C682" s="459"/>
      <c r="D682" s="459"/>
      <c r="E682" s="459"/>
      <c r="F682" s="459"/>
      <c r="G682" s="459"/>
      <c r="H682" s="459"/>
      <c r="I682" s="459"/>
      <c r="J682" s="459"/>
      <c r="K682" s="459"/>
      <c r="L682" s="459"/>
      <c r="M682" s="459"/>
      <c r="N682" s="459"/>
      <c r="O682" s="459"/>
      <c r="P682" s="459"/>
      <c r="Q682" s="459"/>
      <c r="R682" s="459"/>
      <c r="S682" s="459"/>
      <c r="T682" s="459"/>
      <c r="U682" s="459"/>
      <c r="V682" s="459"/>
      <c r="W682" s="459"/>
      <c r="X682" s="459"/>
      <c r="Y682" s="459"/>
      <c r="Z682" s="459"/>
      <c r="AA682" s="459"/>
      <c r="AB682" s="459"/>
      <c r="AC682" s="459"/>
    </row>
    <row r="683" spans="1:29">
      <c r="A683" s="459"/>
      <c r="B683" s="459"/>
      <c r="C683" s="459"/>
      <c r="D683" s="459"/>
      <c r="E683" s="459"/>
      <c r="F683" s="459"/>
      <c r="G683" s="459"/>
      <c r="H683" s="459"/>
      <c r="I683" s="459"/>
      <c r="J683" s="459"/>
      <c r="K683" s="459"/>
      <c r="L683" s="459"/>
      <c r="M683" s="459"/>
      <c r="N683" s="459"/>
      <c r="O683" s="459"/>
      <c r="P683" s="459"/>
      <c r="Q683" s="459"/>
      <c r="R683" s="459"/>
      <c r="S683" s="459"/>
      <c r="T683" s="459"/>
      <c r="U683" s="459"/>
      <c r="V683" s="459"/>
      <c r="W683" s="459"/>
      <c r="X683" s="459"/>
      <c r="Y683" s="459"/>
      <c r="Z683" s="459"/>
      <c r="AA683" s="459"/>
      <c r="AB683" s="459"/>
      <c r="AC683" s="459"/>
    </row>
    <row r="684" spans="1:29">
      <c r="A684" s="459"/>
      <c r="B684" s="459"/>
      <c r="C684" s="459"/>
      <c r="D684" s="459"/>
      <c r="E684" s="459"/>
      <c r="F684" s="459"/>
      <c r="G684" s="459"/>
      <c r="H684" s="459"/>
      <c r="I684" s="459"/>
      <c r="J684" s="459"/>
      <c r="K684" s="459"/>
      <c r="L684" s="459"/>
      <c r="M684" s="459"/>
      <c r="N684" s="459"/>
      <c r="O684" s="459"/>
      <c r="P684" s="459"/>
      <c r="Q684" s="459"/>
      <c r="R684" s="459"/>
      <c r="S684" s="459"/>
      <c r="T684" s="459"/>
      <c r="U684" s="459"/>
      <c r="V684" s="459"/>
      <c r="W684" s="459"/>
      <c r="X684" s="459"/>
      <c r="Y684" s="459"/>
      <c r="Z684" s="459"/>
      <c r="AA684" s="459"/>
      <c r="AB684" s="459"/>
      <c r="AC684" s="459"/>
    </row>
    <row r="685" spans="1:29">
      <c r="A685" s="459"/>
      <c r="B685" s="459"/>
      <c r="C685" s="459"/>
      <c r="D685" s="459"/>
      <c r="E685" s="459"/>
      <c r="F685" s="459"/>
      <c r="G685" s="459"/>
      <c r="H685" s="459"/>
      <c r="I685" s="459"/>
      <c r="J685" s="459"/>
      <c r="K685" s="459"/>
      <c r="L685" s="459"/>
      <c r="M685" s="459"/>
      <c r="N685" s="459"/>
      <c r="O685" s="459"/>
      <c r="P685" s="459"/>
      <c r="Q685" s="459"/>
      <c r="R685" s="459"/>
      <c r="S685" s="459"/>
      <c r="T685" s="459"/>
      <c r="U685" s="459"/>
      <c r="V685" s="459"/>
      <c r="W685" s="459"/>
      <c r="X685" s="459"/>
      <c r="Y685" s="459"/>
      <c r="Z685" s="459"/>
      <c r="AA685" s="459"/>
      <c r="AB685" s="459"/>
      <c r="AC685" s="459"/>
    </row>
    <row r="686" spans="1:29">
      <c r="A686" s="459"/>
      <c r="B686" s="459"/>
      <c r="C686" s="459"/>
      <c r="D686" s="459"/>
      <c r="E686" s="459"/>
      <c r="F686" s="459"/>
      <c r="G686" s="459"/>
      <c r="H686" s="459"/>
      <c r="I686" s="459"/>
      <c r="J686" s="459"/>
      <c r="K686" s="459"/>
      <c r="L686" s="459"/>
      <c r="M686" s="459"/>
      <c r="N686" s="459"/>
      <c r="O686" s="459"/>
      <c r="P686" s="459"/>
      <c r="Q686" s="459"/>
      <c r="R686" s="459"/>
      <c r="S686" s="459"/>
      <c r="T686" s="459"/>
      <c r="U686" s="459"/>
      <c r="V686" s="459"/>
      <c r="W686" s="459"/>
      <c r="X686" s="459"/>
      <c r="Y686" s="459"/>
      <c r="Z686" s="459"/>
      <c r="AA686" s="459"/>
      <c r="AB686" s="459"/>
      <c r="AC686" s="459"/>
    </row>
    <row r="687" spans="1:29">
      <c r="A687" s="459"/>
      <c r="B687" s="459"/>
      <c r="C687" s="459"/>
      <c r="D687" s="459"/>
      <c r="E687" s="459"/>
      <c r="F687" s="459"/>
      <c r="G687" s="459"/>
      <c r="H687" s="459"/>
      <c r="I687" s="459"/>
      <c r="J687" s="459"/>
      <c r="K687" s="459"/>
      <c r="L687" s="459"/>
      <c r="M687" s="459"/>
      <c r="N687" s="459"/>
      <c r="O687" s="459"/>
      <c r="P687" s="459"/>
      <c r="Q687" s="459"/>
      <c r="R687" s="459"/>
      <c r="S687" s="459"/>
      <c r="T687" s="459"/>
      <c r="U687" s="459"/>
      <c r="V687" s="459"/>
      <c r="W687" s="459"/>
      <c r="X687" s="459"/>
      <c r="Y687" s="459"/>
      <c r="Z687" s="459"/>
      <c r="AA687" s="459"/>
      <c r="AB687" s="459"/>
      <c r="AC687" s="459"/>
    </row>
    <row r="688" spans="1:29">
      <c r="A688" s="459"/>
      <c r="B688" s="459"/>
      <c r="C688" s="459"/>
      <c r="D688" s="459"/>
      <c r="E688" s="459"/>
      <c r="F688" s="459"/>
      <c r="G688" s="459"/>
      <c r="H688" s="459"/>
      <c r="I688" s="459"/>
      <c r="J688" s="459"/>
      <c r="K688" s="459"/>
      <c r="L688" s="459"/>
      <c r="M688" s="459"/>
      <c r="N688" s="459"/>
      <c r="O688" s="459"/>
      <c r="P688" s="459"/>
      <c r="Q688" s="459"/>
      <c r="R688" s="459"/>
      <c r="S688" s="459"/>
      <c r="T688" s="459"/>
      <c r="U688" s="459"/>
      <c r="V688" s="459"/>
      <c r="W688" s="459"/>
      <c r="X688" s="459"/>
      <c r="Y688" s="459"/>
      <c r="Z688" s="459"/>
      <c r="AA688" s="459"/>
      <c r="AB688" s="459"/>
      <c r="AC688" s="459"/>
    </row>
    <row r="689" spans="1:29">
      <c r="B689" s="459"/>
      <c r="C689" s="459"/>
      <c r="D689" s="459"/>
      <c r="E689" s="459"/>
      <c r="F689" s="459"/>
      <c r="G689" s="459"/>
      <c r="H689" s="459"/>
      <c r="I689" s="459"/>
      <c r="J689" s="459"/>
      <c r="K689" s="459"/>
      <c r="L689" s="459"/>
      <c r="M689" s="459"/>
      <c r="N689" s="459"/>
      <c r="O689" s="459"/>
      <c r="P689" s="459"/>
      <c r="Q689" s="459"/>
      <c r="R689" s="459"/>
      <c r="S689" s="459"/>
      <c r="T689" s="459"/>
      <c r="U689" s="459"/>
      <c r="V689" s="459"/>
      <c r="W689" s="459"/>
      <c r="X689" s="459"/>
      <c r="Y689" s="459"/>
      <c r="Z689" s="459"/>
      <c r="AA689" s="459"/>
      <c r="AB689" s="459"/>
      <c r="AC689" s="459"/>
    </row>
    <row r="690" spans="1:29">
      <c r="A690" s="459"/>
      <c r="B690" s="459"/>
      <c r="C690" s="459"/>
      <c r="D690" s="459"/>
      <c r="E690" s="459"/>
      <c r="F690" s="459"/>
      <c r="G690" s="459"/>
      <c r="H690" s="459"/>
      <c r="I690" s="459"/>
      <c r="J690" s="459"/>
      <c r="K690" s="459"/>
      <c r="L690" s="459"/>
      <c r="M690" s="459"/>
      <c r="N690" s="459"/>
      <c r="O690" s="459"/>
      <c r="P690" s="459"/>
      <c r="Q690" s="459"/>
      <c r="R690" s="459"/>
      <c r="S690" s="459"/>
      <c r="T690" s="459"/>
      <c r="U690" s="459"/>
      <c r="V690" s="459"/>
      <c r="W690" s="459"/>
      <c r="X690" s="459"/>
      <c r="Y690" s="459"/>
      <c r="Z690" s="459"/>
      <c r="AA690" s="459"/>
      <c r="AB690" s="459"/>
      <c r="AC690" s="459"/>
    </row>
    <row r="691" spans="1:29">
      <c r="A691" s="459"/>
      <c r="B691" s="459"/>
      <c r="C691" s="459"/>
      <c r="D691" s="459"/>
      <c r="E691" s="459"/>
      <c r="F691" s="459"/>
      <c r="G691" s="459"/>
      <c r="H691" s="459"/>
      <c r="I691" s="459"/>
      <c r="J691" s="459"/>
      <c r="K691" s="459"/>
      <c r="L691" s="459"/>
      <c r="M691" s="459"/>
      <c r="N691" s="459"/>
      <c r="O691" s="459"/>
      <c r="P691" s="459"/>
      <c r="Q691" s="459"/>
      <c r="R691" s="459"/>
      <c r="S691" s="459"/>
      <c r="T691" s="459"/>
      <c r="U691" s="459"/>
      <c r="V691" s="459"/>
      <c r="W691" s="459"/>
      <c r="X691" s="459"/>
      <c r="Y691" s="459"/>
      <c r="Z691" s="459"/>
      <c r="AA691" s="459"/>
      <c r="AB691" s="459"/>
      <c r="AC691" s="459"/>
    </row>
  </sheetData>
  <mergeCells count="32">
    <mergeCell ref="B536:L536"/>
    <mergeCell ref="B554:F554"/>
    <mergeCell ref="A515:G515"/>
    <mergeCell ref="A527:G527"/>
    <mergeCell ref="A528:G528"/>
    <mergeCell ref="B478:L478"/>
    <mergeCell ref="B497:L497"/>
    <mergeCell ref="B452:F452"/>
    <mergeCell ref="A151:B151"/>
    <mergeCell ref="A130:B130"/>
    <mergeCell ref="G171:H171"/>
    <mergeCell ref="G172:H172"/>
    <mergeCell ref="B434:L434"/>
    <mergeCell ref="I247:AB247"/>
    <mergeCell ref="I248:I249"/>
    <mergeCell ref="J248:L248"/>
    <mergeCell ref="N248:P248"/>
    <mergeCell ref="R248:T248"/>
    <mergeCell ref="V248:X248"/>
    <mergeCell ref="Z248:AB248"/>
    <mergeCell ref="C70:C79"/>
    <mergeCell ref="B68:C68"/>
    <mergeCell ref="B84:C84"/>
    <mergeCell ref="C86:C89"/>
    <mergeCell ref="D86:D89"/>
    <mergeCell ref="D70:D79"/>
    <mergeCell ref="B94:C94"/>
    <mergeCell ref="C96:C100"/>
    <mergeCell ref="D96:D100"/>
    <mergeCell ref="B105:C105"/>
    <mergeCell ref="C107:C111"/>
    <mergeCell ref="D107:D111"/>
  </mergeCells>
  <phoneticPr fontId="3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A11" sqref="A11"/>
    </sheetView>
  </sheetViews>
  <sheetFormatPr defaultRowHeight="14.4"/>
  <cols>
    <col min="1" max="1" width="28.6640625" customWidth="1"/>
    <col min="2" max="2" width="9.44140625" customWidth="1"/>
  </cols>
  <sheetData>
    <row r="1" spans="1:4" s="459" customFormat="1">
      <c r="A1" s="459" t="s">
        <v>301</v>
      </c>
    </row>
    <row r="2" spans="1:4">
      <c r="A2" s="385"/>
      <c r="B2" s="385" t="s">
        <v>19</v>
      </c>
      <c r="C2" s="385" t="s">
        <v>18</v>
      </c>
      <c r="D2" s="385" t="s">
        <v>846</v>
      </c>
    </row>
    <row r="3" spans="1:4">
      <c r="A3" s="385" t="s">
        <v>844</v>
      </c>
      <c r="B3" s="594">
        <v>0.36</v>
      </c>
      <c r="C3" s="594">
        <v>0.34</v>
      </c>
      <c r="D3" s="594">
        <v>0.35</v>
      </c>
    </row>
    <row r="4" spans="1:4">
      <c r="A4" s="385" t="s">
        <v>845</v>
      </c>
      <c r="B4" s="594">
        <v>0.41</v>
      </c>
      <c r="C4" s="594">
        <v>0.41</v>
      </c>
      <c r="D4" s="594">
        <v>0.41</v>
      </c>
    </row>
    <row r="5" spans="1:4" s="459" customFormat="1">
      <c r="A5" s="385" t="s">
        <v>859</v>
      </c>
      <c r="B5" s="594">
        <v>0.45</v>
      </c>
      <c r="C5" s="594">
        <v>0.45</v>
      </c>
      <c r="D5" s="594">
        <v>0.45</v>
      </c>
    </row>
    <row r="6" spans="1:4">
      <c r="A6" s="385" t="s">
        <v>847</v>
      </c>
      <c r="B6" s="594">
        <v>0.4</v>
      </c>
      <c r="C6" s="594">
        <v>0.4</v>
      </c>
      <c r="D6" s="594">
        <v>0.4</v>
      </c>
    </row>
    <row r="30" spans="1:2">
      <c r="A30" s="133" t="s">
        <v>839</v>
      </c>
      <c r="B30" s="593" t="s">
        <v>838</v>
      </c>
    </row>
    <row r="31" spans="1:2">
      <c r="B31" s="593" t="s">
        <v>840</v>
      </c>
    </row>
    <row r="32" spans="1:2" s="459" customFormat="1">
      <c r="B32" s="593"/>
    </row>
    <row r="33" spans="2:2" s="459" customFormat="1">
      <c r="B33" s="593"/>
    </row>
    <row r="35" spans="2:2">
      <c r="B35" t="s">
        <v>842</v>
      </c>
    </row>
    <row r="57" spans="2:2">
      <c r="B57" s="389" t="s">
        <v>841</v>
      </c>
    </row>
    <row r="60" spans="2:2">
      <c r="B60" t="s">
        <v>843</v>
      </c>
    </row>
    <row r="80" spans="2:2">
      <c r="B80" s="389" t="s">
        <v>841</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A1:AI70"/>
  <sheetViews>
    <sheetView zoomScaleNormal="100" workbookViewId="0">
      <selection activeCell="D5" sqref="D5"/>
    </sheetView>
  </sheetViews>
  <sheetFormatPr defaultRowHeight="14.4"/>
  <cols>
    <col min="1" max="1" width="22.44140625" bestFit="1" customWidth="1"/>
    <col min="2" max="2" width="13.6640625" customWidth="1"/>
    <col min="3" max="3" width="13.6640625" style="459" customWidth="1"/>
    <col min="4" max="4" width="14.6640625" style="448" customWidth="1"/>
    <col min="5" max="12" width="9" customWidth="1"/>
    <col min="13" max="13" width="10.88671875" customWidth="1"/>
    <col min="14" max="30" width="9" customWidth="1"/>
  </cols>
  <sheetData>
    <row r="1" spans="1:35" ht="18">
      <c r="A1" s="567" t="s">
        <v>641</v>
      </c>
      <c r="AE1" s="448"/>
      <c r="AF1" s="448"/>
      <c r="AG1" s="448"/>
      <c r="AH1" s="448"/>
      <c r="AI1" s="448"/>
    </row>
    <row r="2" spans="1:35" s="459" customFormat="1"/>
    <row r="3" spans="1:35" s="459" customFormat="1" ht="18">
      <c r="A3" s="804" t="s">
        <v>934</v>
      </c>
      <c r="B3" s="804"/>
      <c r="C3" s="804"/>
      <c r="D3" s="804"/>
    </row>
    <row r="4" spans="1:35" s="459" customFormat="1"/>
    <row r="5" spans="1:35">
      <c r="D5" s="453" t="s">
        <v>1053</v>
      </c>
      <c r="E5" s="448"/>
      <c r="F5" s="448"/>
      <c r="G5" s="448"/>
      <c r="AE5" s="448"/>
      <c r="AF5" s="448"/>
      <c r="AG5" s="448"/>
      <c r="AH5" s="448"/>
      <c r="AI5" s="448"/>
    </row>
    <row r="6" spans="1:35" ht="15" thickBot="1">
      <c r="A6" s="41" t="s">
        <v>70</v>
      </c>
      <c r="B6" s="41" t="s">
        <v>569</v>
      </c>
      <c r="C6" s="41" t="s">
        <v>786</v>
      </c>
      <c r="D6" s="456" t="str">
        <f>Stock!E48</f>
        <v>IE</v>
      </c>
      <c r="E6" s="456" t="str">
        <f>Stock!F48</f>
        <v>IE-CW</v>
      </c>
      <c r="F6" s="456" t="str">
        <f>Stock!G48</f>
        <v>IE-D</v>
      </c>
      <c r="G6" s="456" t="str">
        <f>Stock!H48</f>
        <v>IE-KE</v>
      </c>
      <c r="H6" s="456" t="str">
        <f>Stock!I48</f>
        <v>IE-KK</v>
      </c>
      <c r="I6" s="456" t="str">
        <f>Stock!J48</f>
        <v>IE-LS</v>
      </c>
      <c r="J6" s="456" t="str">
        <f>Stock!K48</f>
        <v>IE-LD</v>
      </c>
      <c r="K6" s="456" t="str">
        <f>Stock!L48</f>
        <v>IE-LH</v>
      </c>
      <c r="L6" s="456" t="str">
        <f>Stock!M48</f>
        <v>IE-MH</v>
      </c>
      <c r="M6" s="456" t="str">
        <f>Stock!N48</f>
        <v>IE-OY</v>
      </c>
      <c r="N6" s="456" t="str">
        <f>Stock!O48</f>
        <v>IE-WH</v>
      </c>
      <c r="O6" s="456" t="str">
        <f>Stock!P48</f>
        <v>IE-WX</v>
      </c>
      <c r="P6" s="456" t="str">
        <f>Stock!Q48</f>
        <v>IE-WW</v>
      </c>
      <c r="Q6" s="456" t="str">
        <f>Stock!R48</f>
        <v>IE-CE</v>
      </c>
      <c r="R6" s="456" t="str">
        <f>Stock!S48</f>
        <v>IE-CO</v>
      </c>
      <c r="S6" s="456" t="str">
        <f>Stock!T48</f>
        <v>IE-KY</v>
      </c>
      <c r="T6" s="456" t="str">
        <f>Stock!U48</f>
        <v>IE-LK</v>
      </c>
      <c r="U6" s="456" t="str">
        <f>Stock!V48</f>
        <v>IE-TA</v>
      </c>
      <c r="V6" s="456" t="str">
        <f>Stock!W48</f>
        <v>IE-WD</v>
      </c>
      <c r="W6" s="456" t="str">
        <f>Stock!X48</f>
        <v>IE-G</v>
      </c>
      <c r="X6" s="456" t="str">
        <f>Stock!Y48</f>
        <v>IE-LM</v>
      </c>
      <c r="Y6" s="456" t="str">
        <f>Stock!Z48</f>
        <v>IE-MO</v>
      </c>
      <c r="Z6" s="456" t="str">
        <f>Stock!AA48</f>
        <v>IE-RN</v>
      </c>
      <c r="AA6" s="456" t="str">
        <f>Stock!AB48</f>
        <v>IE-SO</v>
      </c>
      <c r="AB6" s="456" t="str">
        <f>Stock!AC48</f>
        <v>IE-CN</v>
      </c>
      <c r="AC6" s="456" t="str">
        <f>Stock!AD48</f>
        <v>IE-DL</v>
      </c>
      <c r="AD6" s="456" t="str">
        <f>Stock!AE48</f>
        <v>IE-MN</v>
      </c>
      <c r="AE6" s="448"/>
      <c r="AF6" s="448"/>
      <c r="AG6" s="448"/>
      <c r="AH6" s="448"/>
      <c r="AI6" s="448"/>
    </row>
    <row r="7" spans="1:35" s="459" customFormat="1">
      <c r="A7" s="455" t="s">
        <v>789</v>
      </c>
      <c r="B7" s="455"/>
      <c r="C7" s="455"/>
      <c r="D7" s="455"/>
      <c r="E7" s="455"/>
      <c r="F7" s="455"/>
      <c r="G7" s="455"/>
      <c r="H7" s="455"/>
      <c r="I7" s="455"/>
      <c r="J7" s="455"/>
      <c r="K7" s="455"/>
      <c r="L7" s="455"/>
      <c r="M7" s="455"/>
      <c r="N7" s="455"/>
      <c r="O7" s="455"/>
      <c r="P7" s="455"/>
      <c r="Q7" s="455"/>
      <c r="R7" s="455"/>
      <c r="S7" s="455"/>
      <c r="T7" s="455"/>
      <c r="U7" s="455"/>
      <c r="V7" s="455"/>
      <c r="W7" s="455"/>
      <c r="X7" s="455"/>
      <c r="Y7" s="455"/>
      <c r="Z7" s="455"/>
      <c r="AA7" s="455"/>
      <c r="AB7" s="455"/>
      <c r="AC7" s="455"/>
      <c r="AD7" s="455"/>
    </row>
    <row r="8" spans="1:35" s="459" customFormat="1">
      <c r="A8" s="480" t="str">
        <f>Commodities!K8</f>
        <v>TWLK_WLK</v>
      </c>
      <c r="B8" s="480" t="s">
        <v>916</v>
      </c>
      <c r="C8" s="480" t="s">
        <v>787</v>
      </c>
      <c r="D8" s="478">
        <v>1</v>
      </c>
      <c r="E8" s="478">
        <v>1</v>
      </c>
      <c r="F8" s="478">
        <v>1</v>
      </c>
      <c r="G8" s="478">
        <v>1</v>
      </c>
      <c r="H8" s="478">
        <v>1</v>
      </c>
      <c r="I8" s="478">
        <v>1</v>
      </c>
      <c r="J8" s="478">
        <v>1</v>
      </c>
      <c r="K8" s="478">
        <v>1</v>
      </c>
      <c r="L8" s="478">
        <v>1</v>
      </c>
      <c r="M8" s="478">
        <v>1</v>
      </c>
      <c r="N8" s="478">
        <v>1</v>
      </c>
      <c r="O8" s="478">
        <v>1</v>
      </c>
      <c r="P8" s="478">
        <v>1</v>
      </c>
      <c r="Q8" s="478">
        <v>1</v>
      </c>
      <c r="R8" s="478">
        <v>1</v>
      </c>
      <c r="S8" s="478">
        <v>1</v>
      </c>
      <c r="T8" s="478">
        <v>1</v>
      </c>
      <c r="U8" s="478">
        <v>1</v>
      </c>
      <c r="V8" s="478">
        <v>1</v>
      </c>
      <c r="W8" s="478">
        <v>1</v>
      </c>
      <c r="X8" s="478">
        <v>1</v>
      </c>
      <c r="Y8" s="478">
        <v>1</v>
      </c>
      <c r="Z8" s="478">
        <v>1</v>
      </c>
      <c r="AA8" s="478">
        <v>1</v>
      </c>
      <c r="AB8" s="478">
        <v>1</v>
      </c>
      <c r="AC8" s="478">
        <v>1</v>
      </c>
      <c r="AD8" s="478">
        <v>1</v>
      </c>
    </row>
    <row r="9" spans="1:35" s="459" customFormat="1">
      <c r="A9" s="480" t="str">
        <f>Commodities!K9</f>
        <v>TCYC_CYC</v>
      </c>
      <c r="B9" s="480" t="s">
        <v>916</v>
      </c>
      <c r="C9" s="480" t="s">
        <v>787</v>
      </c>
      <c r="D9" s="478">
        <v>1</v>
      </c>
      <c r="E9" s="478">
        <v>1</v>
      </c>
      <c r="F9" s="478">
        <v>1</v>
      </c>
      <c r="G9" s="478">
        <v>1</v>
      </c>
      <c r="H9" s="478">
        <v>1</v>
      </c>
      <c r="I9" s="478">
        <v>1</v>
      </c>
      <c r="J9" s="478">
        <v>1</v>
      </c>
      <c r="K9" s="478">
        <v>1</v>
      </c>
      <c r="L9" s="478">
        <v>1</v>
      </c>
      <c r="M9" s="478">
        <v>1</v>
      </c>
      <c r="N9" s="478">
        <v>1</v>
      </c>
      <c r="O9" s="478">
        <v>1</v>
      </c>
      <c r="P9" s="478">
        <v>1</v>
      </c>
      <c r="Q9" s="478">
        <v>1</v>
      </c>
      <c r="R9" s="478">
        <v>1</v>
      </c>
      <c r="S9" s="478">
        <v>1</v>
      </c>
      <c r="T9" s="478">
        <v>1</v>
      </c>
      <c r="U9" s="478">
        <v>1</v>
      </c>
      <c r="V9" s="478">
        <v>1</v>
      </c>
      <c r="W9" s="478">
        <v>1</v>
      </c>
      <c r="X9" s="478">
        <v>1</v>
      </c>
      <c r="Y9" s="478">
        <v>1</v>
      </c>
      <c r="Z9" s="478">
        <v>1</v>
      </c>
      <c r="AA9" s="478">
        <v>1</v>
      </c>
      <c r="AB9" s="478">
        <v>1</v>
      </c>
      <c r="AC9" s="478">
        <v>1</v>
      </c>
      <c r="AD9" s="478">
        <v>1</v>
      </c>
    </row>
    <row r="10" spans="1:35">
      <c r="A10" s="480" t="str">
        <f>Commodities!K11</f>
        <v>TMOT_GSL_00</v>
      </c>
      <c r="B10" s="480" t="s">
        <v>916</v>
      </c>
      <c r="C10" s="480" t="s">
        <v>787</v>
      </c>
      <c r="D10" s="478">
        <v>1.1000000000000001</v>
      </c>
      <c r="E10" s="478">
        <f>D10</f>
        <v>1.1000000000000001</v>
      </c>
      <c r="F10" s="478">
        <f t="shared" ref="F10:AD10" si="0">E10</f>
        <v>1.1000000000000001</v>
      </c>
      <c r="G10" s="478">
        <f t="shared" si="0"/>
        <v>1.1000000000000001</v>
      </c>
      <c r="H10" s="478">
        <f t="shared" si="0"/>
        <v>1.1000000000000001</v>
      </c>
      <c r="I10" s="478">
        <f t="shared" si="0"/>
        <v>1.1000000000000001</v>
      </c>
      <c r="J10" s="478">
        <f t="shared" si="0"/>
        <v>1.1000000000000001</v>
      </c>
      <c r="K10" s="478">
        <f t="shared" si="0"/>
        <v>1.1000000000000001</v>
      </c>
      <c r="L10" s="478">
        <f t="shared" si="0"/>
        <v>1.1000000000000001</v>
      </c>
      <c r="M10" s="478">
        <f t="shared" si="0"/>
        <v>1.1000000000000001</v>
      </c>
      <c r="N10" s="478">
        <f t="shared" si="0"/>
        <v>1.1000000000000001</v>
      </c>
      <c r="O10" s="478">
        <f t="shared" si="0"/>
        <v>1.1000000000000001</v>
      </c>
      <c r="P10" s="478">
        <f t="shared" si="0"/>
        <v>1.1000000000000001</v>
      </c>
      <c r="Q10" s="478">
        <f t="shared" si="0"/>
        <v>1.1000000000000001</v>
      </c>
      <c r="R10" s="478">
        <f t="shared" si="0"/>
        <v>1.1000000000000001</v>
      </c>
      <c r="S10" s="478">
        <f t="shared" si="0"/>
        <v>1.1000000000000001</v>
      </c>
      <c r="T10" s="478">
        <f t="shared" si="0"/>
        <v>1.1000000000000001</v>
      </c>
      <c r="U10" s="478">
        <f t="shared" si="0"/>
        <v>1.1000000000000001</v>
      </c>
      <c r="V10" s="478">
        <f t="shared" si="0"/>
        <v>1.1000000000000001</v>
      </c>
      <c r="W10" s="478">
        <f t="shared" si="0"/>
        <v>1.1000000000000001</v>
      </c>
      <c r="X10" s="478">
        <f t="shared" si="0"/>
        <v>1.1000000000000001</v>
      </c>
      <c r="Y10" s="478">
        <f t="shared" si="0"/>
        <v>1.1000000000000001</v>
      </c>
      <c r="Z10" s="478">
        <f t="shared" si="0"/>
        <v>1.1000000000000001</v>
      </c>
      <c r="AA10" s="478">
        <f t="shared" si="0"/>
        <v>1.1000000000000001</v>
      </c>
      <c r="AB10" s="478">
        <f t="shared" si="0"/>
        <v>1.1000000000000001</v>
      </c>
      <c r="AC10" s="478">
        <f t="shared" si="0"/>
        <v>1.1000000000000001</v>
      </c>
      <c r="AD10" s="478">
        <f t="shared" si="0"/>
        <v>1.1000000000000001</v>
      </c>
      <c r="AE10" s="448"/>
      <c r="AF10" s="448"/>
      <c r="AG10" s="448"/>
      <c r="AH10" s="448"/>
      <c r="AI10" s="448"/>
    </row>
    <row r="11" spans="1:35">
      <c r="A11" s="480" t="str">
        <f>Commodities!K13</f>
        <v>TCAR_ICE_GSL_00</v>
      </c>
      <c r="B11" s="480" t="s">
        <v>916</v>
      </c>
      <c r="C11" s="480" t="s">
        <v>787</v>
      </c>
      <c r="D11" s="478">
        <f>M51</f>
        <v>1.49201152283105</v>
      </c>
      <c r="E11" s="478">
        <f>D11</f>
        <v>1.49201152283105</v>
      </c>
      <c r="F11" s="478">
        <f t="shared" ref="F11:AD22" si="1">E11</f>
        <v>1.49201152283105</v>
      </c>
      <c r="G11" s="478">
        <f t="shared" si="1"/>
        <v>1.49201152283105</v>
      </c>
      <c r="H11" s="478">
        <f t="shared" si="1"/>
        <v>1.49201152283105</v>
      </c>
      <c r="I11" s="478">
        <f t="shared" si="1"/>
        <v>1.49201152283105</v>
      </c>
      <c r="J11" s="478">
        <f t="shared" si="1"/>
        <v>1.49201152283105</v>
      </c>
      <c r="K11" s="478">
        <f t="shared" si="1"/>
        <v>1.49201152283105</v>
      </c>
      <c r="L11" s="478">
        <f t="shared" si="1"/>
        <v>1.49201152283105</v>
      </c>
      <c r="M11" s="478">
        <f t="shared" si="1"/>
        <v>1.49201152283105</v>
      </c>
      <c r="N11" s="478">
        <f t="shared" si="1"/>
        <v>1.49201152283105</v>
      </c>
      <c r="O11" s="478">
        <f t="shared" si="1"/>
        <v>1.49201152283105</v>
      </c>
      <c r="P11" s="478">
        <f t="shared" si="1"/>
        <v>1.49201152283105</v>
      </c>
      <c r="Q11" s="478">
        <f t="shared" si="1"/>
        <v>1.49201152283105</v>
      </c>
      <c r="R11" s="478">
        <f t="shared" si="1"/>
        <v>1.49201152283105</v>
      </c>
      <c r="S11" s="478">
        <f t="shared" si="1"/>
        <v>1.49201152283105</v>
      </c>
      <c r="T11" s="478">
        <f t="shared" si="1"/>
        <v>1.49201152283105</v>
      </c>
      <c r="U11" s="478">
        <f t="shared" si="1"/>
        <v>1.49201152283105</v>
      </c>
      <c r="V11" s="478">
        <f t="shared" si="1"/>
        <v>1.49201152283105</v>
      </c>
      <c r="W11" s="478">
        <f t="shared" si="1"/>
        <v>1.49201152283105</v>
      </c>
      <c r="X11" s="478">
        <f t="shared" si="1"/>
        <v>1.49201152283105</v>
      </c>
      <c r="Y11" s="478">
        <f t="shared" si="1"/>
        <v>1.49201152283105</v>
      </c>
      <c r="Z11" s="478">
        <f t="shared" si="1"/>
        <v>1.49201152283105</v>
      </c>
      <c r="AA11" s="478">
        <f t="shared" si="1"/>
        <v>1.49201152283105</v>
      </c>
      <c r="AB11" s="478">
        <f t="shared" si="1"/>
        <v>1.49201152283105</v>
      </c>
      <c r="AC11" s="478">
        <f t="shared" si="1"/>
        <v>1.49201152283105</v>
      </c>
      <c r="AD11" s="478">
        <f t="shared" si="1"/>
        <v>1.49201152283105</v>
      </c>
      <c r="AE11" s="448"/>
      <c r="AF11" s="448"/>
      <c r="AG11" s="448"/>
      <c r="AH11" s="448"/>
      <c r="AI11" s="448"/>
    </row>
    <row r="12" spans="1:35">
      <c r="A12" s="480" t="str">
        <f>Commodities!K14</f>
        <v>TCAR_ICE_DST_00</v>
      </c>
      <c r="B12" s="480" t="s">
        <v>916</v>
      </c>
      <c r="C12" s="480" t="s">
        <v>787</v>
      </c>
      <c r="D12" s="478">
        <f>M51</f>
        <v>1.49201152283105</v>
      </c>
      <c r="E12" s="478">
        <f t="shared" ref="E12:E23" si="2">D12</f>
        <v>1.49201152283105</v>
      </c>
      <c r="F12" s="478">
        <f t="shared" si="1"/>
        <v>1.49201152283105</v>
      </c>
      <c r="G12" s="478">
        <f t="shared" si="1"/>
        <v>1.49201152283105</v>
      </c>
      <c r="H12" s="478">
        <f t="shared" si="1"/>
        <v>1.49201152283105</v>
      </c>
      <c r="I12" s="478">
        <f t="shared" si="1"/>
        <v>1.49201152283105</v>
      </c>
      <c r="J12" s="478">
        <f t="shared" si="1"/>
        <v>1.49201152283105</v>
      </c>
      <c r="K12" s="478">
        <f t="shared" si="1"/>
        <v>1.49201152283105</v>
      </c>
      <c r="L12" s="478">
        <f t="shared" si="1"/>
        <v>1.49201152283105</v>
      </c>
      <c r="M12" s="478">
        <f t="shared" si="1"/>
        <v>1.49201152283105</v>
      </c>
      <c r="N12" s="478">
        <f t="shared" si="1"/>
        <v>1.49201152283105</v>
      </c>
      <c r="O12" s="478">
        <f t="shared" si="1"/>
        <v>1.49201152283105</v>
      </c>
      <c r="P12" s="478">
        <f t="shared" si="1"/>
        <v>1.49201152283105</v>
      </c>
      <c r="Q12" s="478">
        <f t="shared" si="1"/>
        <v>1.49201152283105</v>
      </c>
      <c r="R12" s="478">
        <f t="shared" si="1"/>
        <v>1.49201152283105</v>
      </c>
      <c r="S12" s="478">
        <f t="shared" si="1"/>
        <v>1.49201152283105</v>
      </c>
      <c r="T12" s="478">
        <f t="shared" si="1"/>
        <v>1.49201152283105</v>
      </c>
      <c r="U12" s="478">
        <f t="shared" si="1"/>
        <v>1.49201152283105</v>
      </c>
      <c r="V12" s="478">
        <f t="shared" si="1"/>
        <v>1.49201152283105</v>
      </c>
      <c r="W12" s="478">
        <f t="shared" si="1"/>
        <v>1.49201152283105</v>
      </c>
      <c r="X12" s="478">
        <f t="shared" si="1"/>
        <v>1.49201152283105</v>
      </c>
      <c r="Y12" s="478">
        <f t="shared" si="1"/>
        <v>1.49201152283105</v>
      </c>
      <c r="Z12" s="478">
        <f t="shared" si="1"/>
        <v>1.49201152283105</v>
      </c>
      <c r="AA12" s="478">
        <f t="shared" si="1"/>
        <v>1.49201152283105</v>
      </c>
      <c r="AB12" s="478">
        <f t="shared" si="1"/>
        <v>1.49201152283105</v>
      </c>
      <c r="AC12" s="478">
        <f t="shared" si="1"/>
        <v>1.49201152283105</v>
      </c>
      <c r="AD12" s="478">
        <f t="shared" si="1"/>
        <v>1.49201152283105</v>
      </c>
      <c r="AE12" s="448"/>
      <c r="AF12" s="448"/>
      <c r="AG12" s="448"/>
      <c r="AH12" s="448"/>
      <c r="AI12" s="448"/>
    </row>
    <row r="13" spans="1:35">
      <c r="A13" s="480" t="str">
        <f>Commodities!K15</f>
        <v>TCAR_ICE_DF_00</v>
      </c>
      <c r="B13" s="480" t="s">
        <v>916</v>
      </c>
      <c r="C13" s="480" t="s">
        <v>787</v>
      </c>
      <c r="D13" s="478">
        <f>M51</f>
        <v>1.49201152283105</v>
      </c>
      <c r="E13" s="478">
        <f t="shared" si="2"/>
        <v>1.49201152283105</v>
      </c>
      <c r="F13" s="478">
        <f t="shared" si="1"/>
        <v>1.49201152283105</v>
      </c>
      <c r="G13" s="478">
        <f t="shared" si="1"/>
        <v>1.49201152283105</v>
      </c>
      <c r="H13" s="478">
        <f t="shared" si="1"/>
        <v>1.49201152283105</v>
      </c>
      <c r="I13" s="478">
        <f t="shared" si="1"/>
        <v>1.49201152283105</v>
      </c>
      <c r="J13" s="478">
        <f t="shared" si="1"/>
        <v>1.49201152283105</v>
      </c>
      <c r="K13" s="478">
        <f t="shared" si="1"/>
        <v>1.49201152283105</v>
      </c>
      <c r="L13" s="478">
        <f t="shared" si="1"/>
        <v>1.49201152283105</v>
      </c>
      <c r="M13" s="478">
        <f t="shared" si="1"/>
        <v>1.49201152283105</v>
      </c>
      <c r="N13" s="478">
        <f t="shared" si="1"/>
        <v>1.49201152283105</v>
      </c>
      <c r="O13" s="478">
        <f t="shared" si="1"/>
        <v>1.49201152283105</v>
      </c>
      <c r="P13" s="478">
        <f t="shared" si="1"/>
        <v>1.49201152283105</v>
      </c>
      <c r="Q13" s="478">
        <f t="shared" si="1"/>
        <v>1.49201152283105</v>
      </c>
      <c r="R13" s="478">
        <f t="shared" si="1"/>
        <v>1.49201152283105</v>
      </c>
      <c r="S13" s="478">
        <f t="shared" si="1"/>
        <v>1.49201152283105</v>
      </c>
      <c r="T13" s="478">
        <f t="shared" si="1"/>
        <v>1.49201152283105</v>
      </c>
      <c r="U13" s="478">
        <f t="shared" si="1"/>
        <v>1.49201152283105</v>
      </c>
      <c r="V13" s="478">
        <f t="shared" si="1"/>
        <v>1.49201152283105</v>
      </c>
      <c r="W13" s="478">
        <f t="shared" si="1"/>
        <v>1.49201152283105</v>
      </c>
      <c r="X13" s="478">
        <f t="shared" si="1"/>
        <v>1.49201152283105</v>
      </c>
      <c r="Y13" s="478">
        <f t="shared" si="1"/>
        <v>1.49201152283105</v>
      </c>
      <c r="Z13" s="478">
        <f t="shared" si="1"/>
        <v>1.49201152283105</v>
      </c>
      <c r="AA13" s="478">
        <f t="shared" si="1"/>
        <v>1.49201152283105</v>
      </c>
      <c r="AB13" s="478">
        <f t="shared" si="1"/>
        <v>1.49201152283105</v>
      </c>
      <c r="AC13" s="478">
        <f t="shared" si="1"/>
        <v>1.49201152283105</v>
      </c>
      <c r="AD13" s="478">
        <f t="shared" si="1"/>
        <v>1.49201152283105</v>
      </c>
      <c r="AE13" s="448"/>
      <c r="AG13" s="448"/>
      <c r="AH13" s="448"/>
      <c r="AI13" s="448"/>
    </row>
    <row r="14" spans="1:35">
      <c r="A14" s="480" t="str">
        <f>Commodities!K16</f>
        <v>TCAR_ICE_E85_00</v>
      </c>
      <c r="B14" s="480" t="s">
        <v>916</v>
      </c>
      <c r="C14" s="480" t="s">
        <v>787</v>
      </c>
      <c r="D14" s="478">
        <f>M51</f>
        <v>1.49201152283105</v>
      </c>
      <c r="E14" s="478">
        <f t="shared" si="2"/>
        <v>1.49201152283105</v>
      </c>
      <c r="F14" s="478">
        <f t="shared" si="1"/>
        <v>1.49201152283105</v>
      </c>
      <c r="G14" s="478">
        <f t="shared" si="1"/>
        <v>1.49201152283105</v>
      </c>
      <c r="H14" s="478">
        <f t="shared" si="1"/>
        <v>1.49201152283105</v>
      </c>
      <c r="I14" s="478">
        <f t="shared" si="1"/>
        <v>1.49201152283105</v>
      </c>
      <c r="J14" s="478">
        <f t="shared" si="1"/>
        <v>1.49201152283105</v>
      </c>
      <c r="K14" s="478">
        <f t="shared" si="1"/>
        <v>1.49201152283105</v>
      </c>
      <c r="L14" s="478">
        <f t="shared" si="1"/>
        <v>1.49201152283105</v>
      </c>
      <c r="M14" s="478">
        <f t="shared" si="1"/>
        <v>1.49201152283105</v>
      </c>
      <c r="N14" s="478">
        <f t="shared" si="1"/>
        <v>1.49201152283105</v>
      </c>
      <c r="O14" s="478">
        <f t="shared" si="1"/>
        <v>1.49201152283105</v>
      </c>
      <c r="P14" s="478">
        <f t="shared" si="1"/>
        <v>1.49201152283105</v>
      </c>
      <c r="Q14" s="478">
        <f t="shared" si="1"/>
        <v>1.49201152283105</v>
      </c>
      <c r="R14" s="478">
        <f t="shared" si="1"/>
        <v>1.49201152283105</v>
      </c>
      <c r="S14" s="478">
        <f t="shared" si="1"/>
        <v>1.49201152283105</v>
      </c>
      <c r="T14" s="478">
        <f t="shared" si="1"/>
        <v>1.49201152283105</v>
      </c>
      <c r="U14" s="478">
        <f t="shared" si="1"/>
        <v>1.49201152283105</v>
      </c>
      <c r="V14" s="478">
        <f t="shared" si="1"/>
        <v>1.49201152283105</v>
      </c>
      <c r="W14" s="478">
        <f t="shared" si="1"/>
        <v>1.49201152283105</v>
      </c>
      <c r="X14" s="478">
        <f t="shared" si="1"/>
        <v>1.49201152283105</v>
      </c>
      <c r="Y14" s="478">
        <f t="shared" si="1"/>
        <v>1.49201152283105</v>
      </c>
      <c r="Z14" s="478">
        <f t="shared" si="1"/>
        <v>1.49201152283105</v>
      </c>
      <c r="AA14" s="478">
        <f t="shared" si="1"/>
        <v>1.49201152283105</v>
      </c>
      <c r="AB14" s="478">
        <f t="shared" si="1"/>
        <v>1.49201152283105</v>
      </c>
      <c r="AC14" s="478">
        <f t="shared" si="1"/>
        <v>1.49201152283105</v>
      </c>
      <c r="AD14" s="478">
        <f t="shared" si="1"/>
        <v>1.49201152283105</v>
      </c>
    </row>
    <row r="15" spans="1:35">
      <c r="A15" s="480" t="str">
        <f>Commodities!K17</f>
        <v>TCAR_HEV_GSL_00</v>
      </c>
      <c r="B15" s="480" t="s">
        <v>916</v>
      </c>
      <c r="C15" s="480" t="s">
        <v>787</v>
      </c>
      <c r="D15" s="478">
        <f>M51</f>
        <v>1.49201152283105</v>
      </c>
      <c r="E15" s="478">
        <f>D15</f>
        <v>1.49201152283105</v>
      </c>
      <c r="F15" s="478">
        <f t="shared" si="1"/>
        <v>1.49201152283105</v>
      </c>
      <c r="G15" s="478">
        <f t="shared" si="1"/>
        <v>1.49201152283105</v>
      </c>
      <c r="H15" s="478">
        <f t="shared" si="1"/>
        <v>1.49201152283105</v>
      </c>
      <c r="I15" s="478">
        <f t="shared" si="1"/>
        <v>1.49201152283105</v>
      </c>
      <c r="J15" s="478">
        <f t="shared" si="1"/>
        <v>1.49201152283105</v>
      </c>
      <c r="K15" s="478">
        <f t="shared" si="1"/>
        <v>1.49201152283105</v>
      </c>
      <c r="L15" s="478">
        <f t="shared" si="1"/>
        <v>1.49201152283105</v>
      </c>
      <c r="M15" s="478">
        <f t="shared" si="1"/>
        <v>1.49201152283105</v>
      </c>
      <c r="N15" s="478">
        <f t="shared" si="1"/>
        <v>1.49201152283105</v>
      </c>
      <c r="O15" s="478">
        <f t="shared" si="1"/>
        <v>1.49201152283105</v>
      </c>
      <c r="P15" s="478">
        <f t="shared" si="1"/>
        <v>1.49201152283105</v>
      </c>
      <c r="Q15" s="478">
        <f t="shared" si="1"/>
        <v>1.49201152283105</v>
      </c>
      <c r="R15" s="478">
        <f t="shared" si="1"/>
        <v>1.49201152283105</v>
      </c>
      <c r="S15" s="478">
        <f t="shared" si="1"/>
        <v>1.49201152283105</v>
      </c>
      <c r="T15" s="478">
        <f t="shared" si="1"/>
        <v>1.49201152283105</v>
      </c>
      <c r="U15" s="478">
        <f t="shared" si="1"/>
        <v>1.49201152283105</v>
      </c>
      <c r="V15" s="478">
        <f t="shared" si="1"/>
        <v>1.49201152283105</v>
      </c>
      <c r="W15" s="478">
        <f t="shared" si="1"/>
        <v>1.49201152283105</v>
      </c>
      <c r="X15" s="478">
        <f t="shared" si="1"/>
        <v>1.49201152283105</v>
      </c>
      <c r="Y15" s="478">
        <f t="shared" si="1"/>
        <v>1.49201152283105</v>
      </c>
      <c r="Z15" s="478">
        <f t="shared" si="1"/>
        <v>1.49201152283105</v>
      </c>
      <c r="AA15" s="478">
        <f t="shared" si="1"/>
        <v>1.49201152283105</v>
      </c>
      <c r="AB15" s="478">
        <f t="shared" si="1"/>
        <v>1.49201152283105</v>
      </c>
      <c r="AC15" s="478">
        <f t="shared" si="1"/>
        <v>1.49201152283105</v>
      </c>
      <c r="AD15" s="478">
        <f t="shared" si="1"/>
        <v>1.49201152283105</v>
      </c>
    </row>
    <row r="16" spans="1:35" s="459" customFormat="1">
      <c r="A16" s="480" t="str">
        <f>Commodities!K18</f>
        <v>TCAR_HEV_DST_00</v>
      </c>
      <c r="B16" s="480" t="s">
        <v>916</v>
      </c>
      <c r="C16" s="480" t="s">
        <v>787</v>
      </c>
      <c r="D16" s="478">
        <f>M51</f>
        <v>1.49201152283105</v>
      </c>
      <c r="E16" s="478">
        <f>D16</f>
        <v>1.49201152283105</v>
      </c>
      <c r="F16" s="478">
        <f t="shared" ref="F16:AD16" si="3">E16</f>
        <v>1.49201152283105</v>
      </c>
      <c r="G16" s="478">
        <f t="shared" si="3"/>
        <v>1.49201152283105</v>
      </c>
      <c r="H16" s="478">
        <f t="shared" si="3"/>
        <v>1.49201152283105</v>
      </c>
      <c r="I16" s="478">
        <f t="shared" si="3"/>
        <v>1.49201152283105</v>
      </c>
      <c r="J16" s="478">
        <f t="shared" si="3"/>
        <v>1.49201152283105</v>
      </c>
      <c r="K16" s="478">
        <f t="shared" si="3"/>
        <v>1.49201152283105</v>
      </c>
      <c r="L16" s="478">
        <f t="shared" si="3"/>
        <v>1.49201152283105</v>
      </c>
      <c r="M16" s="478">
        <f t="shared" si="3"/>
        <v>1.49201152283105</v>
      </c>
      <c r="N16" s="478">
        <f t="shared" si="3"/>
        <v>1.49201152283105</v>
      </c>
      <c r="O16" s="478">
        <f t="shared" si="3"/>
        <v>1.49201152283105</v>
      </c>
      <c r="P16" s="478">
        <f t="shared" si="3"/>
        <v>1.49201152283105</v>
      </c>
      <c r="Q16" s="478">
        <f t="shared" si="3"/>
        <v>1.49201152283105</v>
      </c>
      <c r="R16" s="478">
        <f t="shared" si="3"/>
        <v>1.49201152283105</v>
      </c>
      <c r="S16" s="478">
        <f t="shared" si="3"/>
        <v>1.49201152283105</v>
      </c>
      <c r="T16" s="478">
        <f t="shared" si="3"/>
        <v>1.49201152283105</v>
      </c>
      <c r="U16" s="478">
        <f t="shared" si="3"/>
        <v>1.49201152283105</v>
      </c>
      <c r="V16" s="478">
        <f t="shared" si="3"/>
        <v>1.49201152283105</v>
      </c>
      <c r="W16" s="478">
        <f t="shared" si="3"/>
        <v>1.49201152283105</v>
      </c>
      <c r="X16" s="478">
        <f t="shared" si="3"/>
        <v>1.49201152283105</v>
      </c>
      <c r="Y16" s="478">
        <f t="shared" si="3"/>
        <v>1.49201152283105</v>
      </c>
      <c r="Z16" s="478">
        <f t="shared" si="3"/>
        <v>1.49201152283105</v>
      </c>
      <c r="AA16" s="478">
        <f t="shared" si="3"/>
        <v>1.49201152283105</v>
      </c>
      <c r="AB16" s="478">
        <f t="shared" si="3"/>
        <v>1.49201152283105</v>
      </c>
      <c r="AC16" s="478">
        <f t="shared" si="3"/>
        <v>1.49201152283105</v>
      </c>
      <c r="AD16" s="478">
        <f t="shared" si="3"/>
        <v>1.49201152283105</v>
      </c>
    </row>
    <row r="17" spans="1:30">
      <c r="A17" s="480" t="str">
        <f>Commodities!K19</f>
        <v>TCAR_PHEV_GSL_00</v>
      </c>
      <c r="B17" s="480" t="s">
        <v>916</v>
      </c>
      <c r="C17" s="480" t="s">
        <v>787</v>
      </c>
      <c r="D17" s="478">
        <f>M51</f>
        <v>1.49201152283105</v>
      </c>
      <c r="E17" s="478">
        <f t="shared" si="2"/>
        <v>1.49201152283105</v>
      </c>
      <c r="F17" s="478">
        <f t="shared" si="1"/>
        <v>1.49201152283105</v>
      </c>
      <c r="G17" s="478">
        <f t="shared" si="1"/>
        <v>1.49201152283105</v>
      </c>
      <c r="H17" s="478">
        <f t="shared" si="1"/>
        <v>1.49201152283105</v>
      </c>
      <c r="I17" s="478">
        <f t="shared" si="1"/>
        <v>1.49201152283105</v>
      </c>
      <c r="J17" s="478">
        <f t="shared" si="1"/>
        <v>1.49201152283105</v>
      </c>
      <c r="K17" s="478">
        <f t="shared" si="1"/>
        <v>1.49201152283105</v>
      </c>
      <c r="L17" s="478">
        <f t="shared" si="1"/>
        <v>1.49201152283105</v>
      </c>
      <c r="M17" s="478">
        <f t="shared" si="1"/>
        <v>1.49201152283105</v>
      </c>
      <c r="N17" s="478">
        <f t="shared" si="1"/>
        <v>1.49201152283105</v>
      </c>
      <c r="O17" s="478">
        <f t="shared" si="1"/>
        <v>1.49201152283105</v>
      </c>
      <c r="P17" s="478">
        <f t="shared" si="1"/>
        <v>1.49201152283105</v>
      </c>
      <c r="Q17" s="478">
        <f t="shared" si="1"/>
        <v>1.49201152283105</v>
      </c>
      <c r="R17" s="478">
        <f t="shared" si="1"/>
        <v>1.49201152283105</v>
      </c>
      <c r="S17" s="478">
        <f t="shared" si="1"/>
        <v>1.49201152283105</v>
      </c>
      <c r="T17" s="478">
        <f t="shared" si="1"/>
        <v>1.49201152283105</v>
      </c>
      <c r="U17" s="478">
        <f t="shared" si="1"/>
        <v>1.49201152283105</v>
      </c>
      <c r="V17" s="478">
        <f t="shared" si="1"/>
        <v>1.49201152283105</v>
      </c>
      <c r="W17" s="478">
        <f t="shared" si="1"/>
        <v>1.49201152283105</v>
      </c>
      <c r="X17" s="478">
        <f t="shared" si="1"/>
        <v>1.49201152283105</v>
      </c>
      <c r="Y17" s="478">
        <f t="shared" si="1"/>
        <v>1.49201152283105</v>
      </c>
      <c r="Z17" s="478">
        <f t="shared" si="1"/>
        <v>1.49201152283105</v>
      </c>
      <c r="AA17" s="478">
        <f t="shared" si="1"/>
        <v>1.49201152283105</v>
      </c>
      <c r="AB17" s="478">
        <f t="shared" si="1"/>
        <v>1.49201152283105</v>
      </c>
      <c r="AC17" s="478">
        <f t="shared" si="1"/>
        <v>1.49201152283105</v>
      </c>
      <c r="AD17" s="478">
        <f t="shared" si="1"/>
        <v>1.49201152283105</v>
      </c>
    </row>
    <row r="18" spans="1:30">
      <c r="A18" s="480" t="str">
        <f>Commodities!K20</f>
        <v>TCAR_PHEV_DST_00</v>
      </c>
      <c r="B18" s="480" t="s">
        <v>916</v>
      </c>
      <c r="C18" s="480" t="s">
        <v>787</v>
      </c>
      <c r="D18" s="478">
        <f>M51</f>
        <v>1.49201152283105</v>
      </c>
      <c r="E18" s="478">
        <f t="shared" si="2"/>
        <v>1.49201152283105</v>
      </c>
      <c r="F18" s="478">
        <f t="shared" si="1"/>
        <v>1.49201152283105</v>
      </c>
      <c r="G18" s="478">
        <f t="shared" si="1"/>
        <v>1.49201152283105</v>
      </c>
      <c r="H18" s="478">
        <f t="shared" si="1"/>
        <v>1.49201152283105</v>
      </c>
      <c r="I18" s="478">
        <f t="shared" si="1"/>
        <v>1.49201152283105</v>
      </c>
      <c r="J18" s="478">
        <f t="shared" si="1"/>
        <v>1.49201152283105</v>
      </c>
      <c r="K18" s="478">
        <f t="shared" si="1"/>
        <v>1.49201152283105</v>
      </c>
      <c r="L18" s="478">
        <f t="shared" si="1"/>
        <v>1.49201152283105</v>
      </c>
      <c r="M18" s="478">
        <f t="shared" si="1"/>
        <v>1.49201152283105</v>
      </c>
      <c r="N18" s="478">
        <f t="shared" si="1"/>
        <v>1.49201152283105</v>
      </c>
      <c r="O18" s="478">
        <f t="shared" si="1"/>
        <v>1.49201152283105</v>
      </c>
      <c r="P18" s="478">
        <f t="shared" si="1"/>
        <v>1.49201152283105</v>
      </c>
      <c r="Q18" s="478">
        <f t="shared" si="1"/>
        <v>1.49201152283105</v>
      </c>
      <c r="R18" s="478">
        <f t="shared" si="1"/>
        <v>1.49201152283105</v>
      </c>
      <c r="S18" s="478">
        <f t="shared" si="1"/>
        <v>1.49201152283105</v>
      </c>
      <c r="T18" s="478">
        <f t="shared" si="1"/>
        <v>1.49201152283105</v>
      </c>
      <c r="U18" s="478">
        <f t="shared" si="1"/>
        <v>1.49201152283105</v>
      </c>
      <c r="V18" s="478">
        <f t="shared" si="1"/>
        <v>1.49201152283105</v>
      </c>
      <c r="W18" s="478">
        <f t="shared" si="1"/>
        <v>1.49201152283105</v>
      </c>
      <c r="X18" s="478">
        <f t="shared" si="1"/>
        <v>1.49201152283105</v>
      </c>
      <c r="Y18" s="478">
        <f t="shared" si="1"/>
        <v>1.49201152283105</v>
      </c>
      <c r="Z18" s="478">
        <f t="shared" si="1"/>
        <v>1.49201152283105</v>
      </c>
      <c r="AA18" s="478">
        <f t="shared" si="1"/>
        <v>1.49201152283105</v>
      </c>
      <c r="AB18" s="478">
        <f t="shared" si="1"/>
        <v>1.49201152283105</v>
      </c>
      <c r="AC18" s="478">
        <f t="shared" si="1"/>
        <v>1.49201152283105</v>
      </c>
      <c r="AD18" s="478">
        <f t="shared" si="1"/>
        <v>1.49201152283105</v>
      </c>
    </row>
    <row r="19" spans="1:30">
      <c r="A19" s="480" t="str">
        <f>Commodities!K21</f>
        <v>TCAR_BEV_00</v>
      </c>
      <c r="B19" s="480" t="s">
        <v>916</v>
      </c>
      <c r="C19" s="480" t="s">
        <v>787</v>
      </c>
      <c r="D19" s="478">
        <f>M51</f>
        <v>1.49201152283105</v>
      </c>
      <c r="E19" s="478">
        <f t="shared" si="2"/>
        <v>1.49201152283105</v>
      </c>
      <c r="F19" s="478">
        <f t="shared" si="1"/>
        <v>1.49201152283105</v>
      </c>
      <c r="G19" s="478">
        <f t="shared" si="1"/>
        <v>1.49201152283105</v>
      </c>
      <c r="H19" s="478">
        <f t="shared" si="1"/>
        <v>1.49201152283105</v>
      </c>
      <c r="I19" s="478">
        <f t="shared" si="1"/>
        <v>1.49201152283105</v>
      </c>
      <c r="J19" s="478">
        <f t="shared" si="1"/>
        <v>1.49201152283105</v>
      </c>
      <c r="K19" s="478">
        <f t="shared" si="1"/>
        <v>1.49201152283105</v>
      </c>
      <c r="L19" s="478">
        <f t="shared" si="1"/>
        <v>1.49201152283105</v>
      </c>
      <c r="M19" s="478">
        <f t="shared" si="1"/>
        <v>1.49201152283105</v>
      </c>
      <c r="N19" s="478">
        <f t="shared" si="1"/>
        <v>1.49201152283105</v>
      </c>
      <c r="O19" s="478">
        <f t="shared" si="1"/>
        <v>1.49201152283105</v>
      </c>
      <c r="P19" s="478">
        <f t="shared" si="1"/>
        <v>1.49201152283105</v>
      </c>
      <c r="Q19" s="478">
        <f t="shared" si="1"/>
        <v>1.49201152283105</v>
      </c>
      <c r="R19" s="478">
        <f t="shared" si="1"/>
        <v>1.49201152283105</v>
      </c>
      <c r="S19" s="478">
        <f t="shared" si="1"/>
        <v>1.49201152283105</v>
      </c>
      <c r="T19" s="478">
        <f t="shared" si="1"/>
        <v>1.49201152283105</v>
      </c>
      <c r="U19" s="478">
        <f t="shared" si="1"/>
        <v>1.49201152283105</v>
      </c>
      <c r="V19" s="478">
        <f t="shared" si="1"/>
        <v>1.49201152283105</v>
      </c>
      <c r="W19" s="478">
        <f t="shared" si="1"/>
        <v>1.49201152283105</v>
      </c>
      <c r="X19" s="478">
        <f t="shared" si="1"/>
        <v>1.49201152283105</v>
      </c>
      <c r="Y19" s="478">
        <f t="shared" si="1"/>
        <v>1.49201152283105</v>
      </c>
      <c r="Z19" s="478">
        <f t="shared" si="1"/>
        <v>1.49201152283105</v>
      </c>
      <c r="AA19" s="478">
        <f t="shared" si="1"/>
        <v>1.49201152283105</v>
      </c>
      <c r="AB19" s="478">
        <f t="shared" si="1"/>
        <v>1.49201152283105</v>
      </c>
      <c r="AC19" s="478">
        <f t="shared" si="1"/>
        <v>1.49201152283105</v>
      </c>
      <c r="AD19" s="478">
        <f t="shared" si="1"/>
        <v>1.49201152283105</v>
      </c>
    </row>
    <row r="20" spans="1:30">
      <c r="A20" s="480" t="str">
        <f>Commodities!K23</f>
        <v>TTAXI_ICE_GSL_00</v>
      </c>
      <c r="B20" s="480" t="s">
        <v>916</v>
      </c>
      <c r="C20" s="480" t="s">
        <v>787</v>
      </c>
      <c r="D20" s="478">
        <f>M51</f>
        <v>1.49201152283105</v>
      </c>
      <c r="E20" s="478">
        <f t="shared" si="2"/>
        <v>1.49201152283105</v>
      </c>
      <c r="F20" s="478">
        <f t="shared" si="1"/>
        <v>1.49201152283105</v>
      </c>
      <c r="G20" s="478">
        <f t="shared" si="1"/>
        <v>1.49201152283105</v>
      </c>
      <c r="H20" s="478">
        <f t="shared" si="1"/>
        <v>1.49201152283105</v>
      </c>
      <c r="I20" s="478">
        <f t="shared" si="1"/>
        <v>1.49201152283105</v>
      </c>
      <c r="J20" s="478">
        <f t="shared" si="1"/>
        <v>1.49201152283105</v>
      </c>
      <c r="K20" s="478">
        <f t="shared" si="1"/>
        <v>1.49201152283105</v>
      </c>
      <c r="L20" s="478">
        <f t="shared" si="1"/>
        <v>1.49201152283105</v>
      </c>
      <c r="M20" s="478">
        <f t="shared" si="1"/>
        <v>1.49201152283105</v>
      </c>
      <c r="N20" s="478">
        <f t="shared" si="1"/>
        <v>1.49201152283105</v>
      </c>
      <c r="O20" s="478">
        <f t="shared" si="1"/>
        <v>1.49201152283105</v>
      </c>
      <c r="P20" s="478">
        <f t="shared" si="1"/>
        <v>1.49201152283105</v>
      </c>
      <c r="Q20" s="478">
        <f t="shared" si="1"/>
        <v>1.49201152283105</v>
      </c>
      <c r="R20" s="478">
        <f t="shared" si="1"/>
        <v>1.49201152283105</v>
      </c>
      <c r="S20" s="478">
        <f t="shared" si="1"/>
        <v>1.49201152283105</v>
      </c>
      <c r="T20" s="478">
        <f t="shared" si="1"/>
        <v>1.49201152283105</v>
      </c>
      <c r="U20" s="478">
        <f t="shared" si="1"/>
        <v>1.49201152283105</v>
      </c>
      <c r="V20" s="478">
        <f t="shared" si="1"/>
        <v>1.49201152283105</v>
      </c>
      <c r="W20" s="478">
        <f t="shared" si="1"/>
        <v>1.49201152283105</v>
      </c>
      <c r="X20" s="478">
        <f t="shared" si="1"/>
        <v>1.49201152283105</v>
      </c>
      <c r="Y20" s="478">
        <f t="shared" si="1"/>
        <v>1.49201152283105</v>
      </c>
      <c r="Z20" s="478">
        <f t="shared" si="1"/>
        <v>1.49201152283105</v>
      </c>
      <c r="AA20" s="478">
        <f t="shared" si="1"/>
        <v>1.49201152283105</v>
      </c>
      <c r="AB20" s="478">
        <f t="shared" si="1"/>
        <v>1.49201152283105</v>
      </c>
      <c r="AC20" s="478">
        <f t="shared" si="1"/>
        <v>1.49201152283105</v>
      </c>
      <c r="AD20" s="478">
        <f t="shared" si="1"/>
        <v>1.49201152283105</v>
      </c>
    </row>
    <row r="21" spans="1:30">
      <c r="A21" s="480" t="str">
        <f>Commodities!K24</f>
        <v>TTAXI_ICE_DST_00</v>
      </c>
      <c r="B21" s="480" t="s">
        <v>916</v>
      </c>
      <c r="C21" s="480" t="s">
        <v>787</v>
      </c>
      <c r="D21" s="478">
        <f>M51</f>
        <v>1.49201152283105</v>
      </c>
      <c r="E21" s="478">
        <f t="shared" si="2"/>
        <v>1.49201152283105</v>
      </c>
      <c r="F21" s="478">
        <f t="shared" si="1"/>
        <v>1.49201152283105</v>
      </c>
      <c r="G21" s="478">
        <f t="shared" si="1"/>
        <v>1.49201152283105</v>
      </c>
      <c r="H21" s="478">
        <f t="shared" si="1"/>
        <v>1.49201152283105</v>
      </c>
      <c r="I21" s="478">
        <f t="shared" si="1"/>
        <v>1.49201152283105</v>
      </c>
      <c r="J21" s="478">
        <f t="shared" si="1"/>
        <v>1.49201152283105</v>
      </c>
      <c r="K21" s="478">
        <f t="shared" si="1"/>
        <v>1.49201152283105</v>
      </c>
      <c r="L21" s="478">
        <f t="shared" si="1"/>
        <v>1.49201152283105</v>
      </c>
      <c r="M21" s="478">
        <f t="shared" si="1"/>
        <v>1.49201152283105</v>
      </c>
      <c r="N21" s="478">
        <f t="shared" si="1"/>
        <v>1.49201152283105</v>
      </c>
      <c r="O21" s="478">
        <f t="shared" si="1"/>
        <v>1.49201152283105</v>
      </c>
      <c r="P21" s="478">
        <f t="shared" si="1"/>
        <v>1.49201152283105</v>
      </c>
      <c r="Q21" s="478">
        <f t="shared" si="1"/>
        <v>1.49201152283105</v>
      </c>
      <c r="R21" s="478">
        <f t="shared" si="1"/>
        <v>1.49201152283105</v>
      </c>
      <c r="S21" s="478">
        <f t="shared" si="1"/>
        <v>1.49201152283105</v>
      </c>
      <c r="T21" s="478">
        <f t="shared" si="1"/>
        <v>1.49201152283105</v>
      </c>
      <c r="U21" s="478">
        <f t="shared" si="1"/>
        <v>1.49201152283105</v>
      </c>
      <c r="V21" s="478">
        <f t="shared" si="1"/>
        <v>1.49201152283105</v>
      </c>
      <c r="W21" s="478">
        <f t="shared" si="1"/>
        <v>1.49201152283105</v>
      </c>
      <c r="X21" s="478">
        <f t="shared" si="1"/>
        <v>1.49201152283105</v>
      </c>
      <c r="Y21" s="478">
        <f t="shared" si="1"/>
        <v>1.49201152283105</v>
      </c>
      <c r="Z21" s="478">
        <f t="shared" si="1"/>
        <v>1.49201152283105</v>
      </c>
      <c r="AA21" s="478">
        <f t="shared" si="1"/>
        <v>1.49201152283105</v>
      </c>
      <c r="AB21" s="478">
        <f t="shared" si="1"/>
        <v>1.49201152283105</v>
      </c>
      <c r="AC21" s="478">
        <f t="shared" si="1"/>
        <v>1.49201152283105</v>
      </c>
      <c r="AD21" s="478">
        <f t="shared" si="1"/>
        <v>1.49201152283105</v>
      </c>
    </row>
    <row r="22" spans="1:30">
      <c r="A22" s="480" t="str">
        <f>Commodities!K25</f>
        <v>TTAXI_HEV_GSL_00</v>
      </c>
      <c r="B22" s="480" t="s">
        <v>916</v>
      </c>
      <c r="C22" s="480" t="s">
        <v>787</v>
      </c>
      <c r="D22" s="478">
        <f>M51</f>
        <v>1.49201152283105</v>
      </c>
      <c r="E22" s="478">
        <f t="shared" si="2"/>
        <v>1.49201152283105</v>
      </c>
      <c r="F22" s="478">
        <f t="shared" si="1"/>
        <v>1.49201152283105</v>
      </c>
      <c r="G22" s="478">
        <f t="shared" si="1"/>
        <v>1.49201152283105</v>
      </c>
      <c r="H22" s="478">
        <f t="shared" si="1"/>
        <v>1.49201152283105</v>
      </c>
      <c r="I22" s="478">
        <f t="shared" si="1"/>
        <v>1.49201152283105</v>
      </c>
      <c r="J22" s="478">
        <f t="shared" si="1"/>
        <v>1.49201152283105</v>
      </c>
      <c r="K22" s="478">
        <f t="shared" ref="K22:K26" si="4">J22</f>
        <v>1.49201152283105</v>
      </c>
      <c r="L22" s="478">
        <f t="shared" ref="L22:L26" si="5">K22</f>
        <v>1.49201152283105</v>
      </c>
      <c r="M22" s="478">
        <f t="shared" ref="M22:M26" si="6">L22</f>
        <v>1.49201152283105</v>
      </c>
      <c r="N22" s="478">
        <f t="shared" ref="N22:N26" si="7">M22</f>
        <v>1.49201152283105</v>
      </c>
      <c r="O22" s="478">
        <f t="shared" ref="O22:O26" si="8">N22</f>
        <v>1.49201152283105</v>
      </c>
      <c r="P22" s="478">
        <f t="shared" ref="P22:P26" si="9">O22</f>
        <v>1.49201152283105</v>
      </c>
      <c r="Q22" s="478">
        <f t="shared" ref="Q22:Q26" si="10">P22</f>
        <v>1.49201152283105</v>
      </c>
      <c r="R22" s="478">
        <f t="shared" ref="R22:R26" si="11">Q22</f>
        <v>1.49201152283105</v>
      </c>
      <c r="S22" s="478">
        <f t="shared" ref="S22:S26" si="12">R22</f>
        <v>1.49201152283105</v>
      </c>
      <c r="T22" s="478">
        <f t="shared" ref="T22:T26" si="13">S22</f>
        <v>1.49201152283105</v>
      </c>
      <c r="U22" s="478">
        <f t="shared" ref="U22:U26" si="14">T22</f>
        <v>1.49201152283105</v>
      </c>
      <c r="V22" s="478">
        <f t="shared" ref="V22:V26" si="15">U22</f>
        <v>1.49201152283105</v>
      </c>
      <c r="W22" s="478">
        <f t="shared" ref="W22:W26" si="16">V22</f>
        <v>1.49201152283105</v>
      </c>
      <c r="X22" s="478">
        <f t="shared" ref="X22:X26" si="17">W22</f>
        <v>1.49201152283105</v>
      </c>
      <c r="Y22" s="478">
        <f t="shared" ref="Y22:Y26" si="18">X22</f>
        <v>1.49201152283105</v>
      </c>
      <c r="Z22" s="478">
        <f t="shared" ref="Z22:Z26" si="19">Y22</f>
        <v>1.49201152283105</v>
      </c>
      <c r="AA22" s="478">
        <f t="shared" ref="AA22:AA26" si="20">Z22</f>
        <v>1.49201152283105</v>
      </c>
      <c r="AB22" s="478">
        <f t="shared" ref="AB22:AB26" si="21">AA22</f>
        <v>1.49201152283105</v>
      </c>
      <c r="AC22" s="478">
        <f t="shared" ref="AC22:AC26" si="22">AB22</f>
        <v>1.49201152283105</v>
      </c>
      <c r="AD22" s="478">
        <f t="shared" ref="AD22:AD26" si="23">AC22</f>
        <v>1.49201152283105</v>
      </c>
    </row>
    <row r="23" spans="1:30">
      <c r="A23" s="480" t="str">
        <f>Commodities!K27</f>
        <v>TBUS_ICE_DST_00</v>
      </c>
      <c r="B23" s="480" t="s">
        <v>916</v>
      </c>
      <c r="C23" s="480" t="s">
        <v>787</v>
      </c>
      <c r="D23" s="479">
        <v>27.25</v>
      </c>
      <c r="E23" s="478">
        <f t="shared" si="2"/>
        <v>27.25</v>
      </c>
      <c r="F23" s="478">
        <f t="shared" ref="F23" si="24">E23</f>
        <v>27.25</v>
      </c>
      <c r="G23" s="478">
        <f t="shared" ref="G23" si="25">F23</f>
        <v>27.25</v>
      </c>
      <c r="H23" s="478">
        <f t="shared" ref="H23" si="26">G23</f>
        <v>27.25</v>
      </c>
      <c r="I23" s="478">
        <f t="shared" ref="I23:I26" si="27">H23</f>
        <v>27.25</v>
      </c>
      <c r="J23" s="478">
        <f t="shared" ref="J23:J26" si="28">I23</f>
        <v>27.25</v>
      </c>
      <c r="K23" s="478">
        <f t="shared" si="4"/>
        <v>27.25</v>
      </c>
      <c r="L23" s="478">
        <f t="shared" si="5"/>
        <v>27.25</v>
      </c>
      <c r="M23" s="478">
        <f t="shared" si="6"/>
        <v>27.25</v>
      </c>
      <c r="N23" s="478">
        <f t="shared" si="7"/>
        <v>27.25</v>
      </c>
      <c r="O23" s="478">
        <f t="shared" si="8"/>
        <v>27.25</v>
      </c>
      <c r="P23" s="478">
        <f t="shared" si="9"/>
        <v>27.25</v>
      </c>
      <c r="Q23" s="478">
        <f t="shared" si="10"/>
        <v>27.25</v>
      </c>
      <c r="R23" s="478">
        <f t="shared" si="11"/>
        <v>27.25</v>
      </c>
      <c r="S23" s="478">
        <f t="shared" si="12"/>
        <v>27.25</v>
      </c>
      <c r="T23" s="478">
        <f t="shared" si="13"/>
        <v>27.25</v>
      </c>
      <c r="U23" s="478">
        <f t="shared" si="14"/>
        <v>27.25</v>
      </c>
      <c r="V23" s="478">
        <f t="shared" si="15"/>
        <v>27.25</v>
      </c>
      <c r="W23" s="478">
        <f t="shared" si="16"/>
        <v>27.25</v>
      </c>
      <c r="X23" s="478">
        <f t="shared" si="17"/>
        <v>27.25</v>
      </c>
      <c r="Y23" s="478">
        <f t="shared" si="18"/>
        <v>27.25</v>
      </c>
      <c r="Z23" s="478">
        <f t="shared" si="19"/>
        <v>27.25</v>
      </c>
      <c r="AA23" s="478">
        <f t="shared" si="20"/>
        <v>27.25</v>
      </c>
      <c r="AB23" s="478">
        <f t="shared" si="21"/>
        <v>27.25</v>
      </c>
      <c r="AC23" s="478">
        <f t="shared" si="22"/>
        <v>27.25</v>
      </c>
      <c r="AD23" s="478">
        <f t="shared" si="23"/>
        <v>27.25</v>
      </c>
    </row>
    <row r="24" spans="1:30" s="459" customFormat="1">
      <c r="A24" s="480" t="str">
        <f>Commodities!K29</f>
        <v>TLRAIL_ELC_00</v>
      </c>
      <c r="B24" s="480" t="s">
        <v>916</v>
      </c>
      <c r="C24" s="480" t="s">
        <v>787</v>
      </c>
      <c r="D24" s="728">
        <f>B69</f>
        <v>78.019401157895544</v>
      </c>
      <c r="E24" s="728">
        <v>0</v>
      </c>
      <c r="F24" s="728">
        <f>D24</f>
        <v>78.019401157895544</v>
      </c>
      <c r="G24" s="728">
        <f>E24</f>
        <v>0</v>
      </c>
      <c r="H24" s="728">
        <f>G24</f>
        <v>0</v>
      </c>
      <c r="I24" s="728">
        <f t="shared" si="27"/>
        <v>0</v>
      </c>
      <c r="J24" s="728">
        <f t="shared" si="28"/>
        <v>0</v>
      </c>
      <c r="K24" s="728">
        <f t="shared" si="4"/>
        <v>0</v>
      </c>
      <c r="L24" s="728">
        <f t="shared" si="5"/>
        <v>0</v>
      </c>
      <c r="M24" s="728">
        <f t="shared" si="6"/>
        <v>0</v>
      </c>
      <c r="N24" s="728">
        <f t="shared" si="7"/>
        <v>0</v>
      </c>
      <c r="O24" s="728">
        <f t="shared" si="8"/>
        <v>0</v>
      </c>
      <c r="P24" s="728">
        <f t="shared" si="9"/>
        <v>0</v>
      </c>
      <c r="Q24" s="728">
        <f t="shared" si="10"/>
        <v>0</v>
      </c>
      <c r="R24" s="728">
        <f t="shared" si="11"/>
        <v>0</v>
      </c>
      <c r="S24" s="728">
        <f t="shared" si="12"/>
        <v>0</v>
      </c>
      <c r="T24" s="728">
        <f t="shared" si="13"/>
        <v>0</v>
      </c>
      <c r="U24" s="728">
        <f t="shared" si="14"/>
        <v>0</v>
      </c>
      <c r="V24" s="728">
        <f t="shared" si="15"/>
        <v>0</v>
      </c>
      <c r="W24" s="728">
        <f t="shared" si="16"/>
        <v>0</v>
      </c>
      <c r="X24" s="728">
        <f t="shared" si="17"/>
        <v>0</v>
      </c>
      <c r="Y24" s="728">
        <f t="shared" si="18"/>
        <v>0</v>
      </c>
      <c r="Z24" s="728">
        <f t="shared" si="19"/>
        <v>0</v>
      </c>
      <c r="AA24" s="728">
        <f t="shared" si="20"/>
        <v>0</v>
      </c>
      <c r="AB24" s="728">
        <f t="shared" si="21"/>
        <v>0</v>
      </c>
      <c r="AC24" s="728">
        <f t="shared" si="22"/>
        <v>0</v>
      </c>
      <c r="AD24" s="728">
        <f t="shared" si="23"/>
        <v>0</v>
      </c>
    </row>
    <row r="25" spans="1:30" s="459" customFormat="1">
      <c r="A25" s="480" t="str">
        <f>Commodities!K30</f>
        <v>THRAIL_ELC_00</v>
      </c>
      <c r="B25" s="480" t="s">
        <v>916</v>
      </c>
      <c r="C25" s="480" t="s">
        <v>787</v>
      </c>
      <c r="D25" s="728">
        <f>D24</f>
        <v>78.019401157895544</v>
      </c>
      <c r="E25" s="728">
        <f>D25</f>
        <v>78.019401157895544</v>
      </c>
      <c r="F25" s="728">
        <f t="shared" ref="F25:H25" si="29">E25</f>
        <v>78.019401157895544</v>
      </c>
      <c r="G25" s="728">
        <f t="shared" si="29"/>
        <v>78.019401157895544</v>
      </c>
      <c r="H25" s="728">
        <f t="shared" si="29"/>
        <v>78.019401157895544</v>
      </c>
      <c r="I25" s="728">
        <f t="shared" si="27"/>
        <v>78.019401157895544</v>
      </c>
      <c r="J25" s="728">
        <f t="shared" si="28"/>
        <v>78.019401157895544</v>
      </c>
      <c r="K25" s="728">
        <f t="shared" si="4"/>
        <v>78.019401157895544</v>
      </c>
      <c r="L25" s="728">
        <f t="shared" si="5"/>
        <v>78.019401157895544</v>
      </c>
      <c r="M25" s="728">
        <f t="shared" si="6"/>
        <v>78.019401157895544</v>
      </c>
      <c r="N25" s="728">
        <f t="shared" si="7"/>
        <v>78.019401157895544</v>
      </c>
      <c r="O25" s="728">
        <f t="shared" si="8"/>
        <v>78.019401157895544</v>
      </c>
      <c r="P25" s="728">
        <f t="shared" si="9"/>
        <v>78.019401157895544</v>
      </c>
      <c r="Q25" s="728">
        <f t="shared" si="10"/>
        <v>78.019401157895544</v>
      </c>
      <c r="R25" s="728">
        <f t="shared" si="11"/>
        <v>78.019401157895544</v>
      </c>
      <c r="S25" s="728">
        <f t="shared" si="12"/>
        <v>78.019401157895544</v>
      </c>
      <c r="T25" s="728">
        <f t="shared" si="13"/>
        <v>78.019401157895544</v>
      </c>
      <c r="U25" s="728">
        <f t="shared" si="14"/>
        <v>78.019401157895544</v>
      </c>
      <c r="V25" s="728">
        <f t="shared" si="15"/>
        <v>78.019401157895544</v>
      </c>
      <c r="W25" s="728">
        <f t="shared" si="16"/>
        <v>78.019401157895544</v>
      </c>
      <c r="X25" s="728">
        <f t="shared" si="17"/>
        <v>78.019401157895544</v>
      </c>
      <c r="Y25" s="728">
        <f t="shared" si="18"/>
        <v>78.019401157895544</v>
      </c>
      <c r="Z25" s="728">
        <f t="shared" si="19"/>
        <v>78.019401157895544</v>
      </c>
      <c r="AA25" s="728">
        <f t="shared" si="20"/>
        <v>78.019401157895544</v>
      </c>
      <c r="AB25" s="728">
        <f t="shared" si="21"/>
        <v>78.019401157895544</v>
      </c>
      <c r="AC25" s="728">
        <f t="shared" si="22"/>
        <v>78.019401157895544</v>
      </c>
      <c r="AD25" s="728">
        <f t="shared" si="23"/>
        <v>78.019401157895544</v>
      </c>
    </row>
    <row r="26" spans="1:30" s="459" customFormat="1">
      <c r="A26" s="480" t="str">
        <f>Commodities!K31</f>
        <v>THRAIL_DST_00</v>
      </c>
      <c r="B26" s="480" t="s">
        <v>916</v>
      </c>
      <c r="C26" s="480" t="s">
        <v>787</v>
      </c>
      <c r="D26" s="728">
        <v>120</v>
      </c>
      <c r="E26" s="728">
        <f>D26</f>
        <v>120</v>
      </c>
      <c r="F26" s="728">
        <f t="shared" ref="F26:H26" si="30">E26</f>
        <v>120</v>
      </c>
      <c r="G26" s="728">
        <f t="shared" si="30"/>
        <v>120</v>
      </c>
      <c r="H26" s="728">
        <f t="shared" si="30"/>
        <v>120</v>
      </c>
      <c r="I26" s="728">
        <f t="shared" si="27"/>
        <v>120</v>
      </c>
      <c r="J26" s="728">
        <f t="shared" si="28"/>
        <v>120</v>
      </c>
      <c r="K26" s="728">
        <f t="shared" si="4"/>
        <v>120</v>
      </c>
      <c r="L26" s="728">
        <f t="shared" si="5"/>
        <v>120</v>
      </c>
      <c r="M26" s="728">
        <f t="shared" si="6"/>
        <v>120</v>
      </c>
      <c r="N26" s="728">
        <f t="shared" si="7"/>
        <v>120</v>
      </c>
      <c r="O26" s="728">
        <f t="shared" si="8"/>
        <v>120</v>
      </c>
      <c r="P26" s="728">
        <f t="shared" si="9"/>
        <v>120</v>
      </c>
      <c r="Q26" s="728">
        <f t="shared" si="10"/>
        <v>120</v>
      </c>
      <c r="R26" s="728">
        <f t="shared" si="11"/>
        <v>120</v>
      </c>
      <c r="S26" s="728">
        <f t="shared" si="12"/>
        <v>120</v>
      </c>
      <c r="T26" s="728">
        <f t="shared" si="13"/>
        <v>120</v>
      </c>
      <c r="U26" s="728">
        <f t="shared" si="14"/>
        <v>120</v>
      </c>
      <c r="V26" s="728">
        <f t="shared" si="15"/>
        <v>120</v>
      </c>
      <c r="W26" s="728">
        <f t="shared" si="16"/>
        <v>120</v>
      </c>
      <c r="X26" s="728">
        <f t="shared" si="17"/>
        <v>120</v>
      </c>
      <c r="Y26" s="728">
        <f t="shared" si="18"/>
        <v>120</v>
      </c>
      <c r="Z26" s="728">
        <f t="shared" si="19"/>
        <v>120</v>
      </c>
      <c r="AA26" s="728">
        <f t="shared" si="20"/>
        <v>120</v>
      </c>
      <c r="AB26" s="728">
        <f t="shared" si="21"/>
        <v>120</v>
      </c>
      <c r="AC26" s="728">
        <f t="shared" si="22"/>
        <v>120</v>
      </c>
      <c r="AD26" s="728">
        <f t="shared" si="23"/>
        <v>120</v>
      </c>
    </row>
    <row r="27" spans="1:30" s="459" customFormat="1">
      <c r="A27" s="729" t="s">
        <v>790</v>
      </c>
      <c r="B27" s="729"/>
      <c r="C27" s="729"/>
      <c r="D27" s="729"/>
      <c r="E27" s="729"/>
      <c r="F27" s="729"/>
      <c r="G27" s="729"/>
      <c r="H27" s="729"/>
      <c r="I27" s="729"/>
      <c r="J27" s="729"/>
      <c r="K27" s="729"/>
      <c r="L27" s="729"/>
      <c r="M27" s="729"/>
      <c r="N27" s="729"/>
      <c r="O27" s="729"/>
      <c r="P27" s="729"/>
      <c r="Q27" s="729"/>
      <c r="R27" s="729"/>
      <c r="S27" s="729"/>
      <c r="T27" s="729"/>
      <c r="U27" s="729"/>
      <c r="V27" s="729"/>
      <c r="W27" s="729"/>
      <c r="X27" s="729"/>
      <c r="Y27" s="729"/>
      <c r="Z27" s="729"/>
      <c r="AA27" s="729"/>
      <c r="AB27" s="729"/>
      <c r="AC27" s="729"/>
      <c r="AD27" s="729"/>
    </row>
    <row r="28" spans="1:30">
      <c r="A28" s="480" t="str">
        <f>Commodities!K34</f>
        <v>TFGV_GSL_00</v>
      </c>
      <c r="B28" s="480" t="s">
        <v>916</v>
      </c>
      <c r="C28" s="480" t="s">
        <v>788</v>
      </c>
      <c r="D28" s="478">
        <f>Demands!C581</f>
        <v>1.4620453681409198</v>
      </c>
      <c r="E28" s="478">
        <f>Demands!D581</f>
        <v>1.3793875658298416</v>
      </c>
      <c r="F28" s="478">
        <f>Demands!E581</f>
        <v>1.4862792377634615</v>
      </c>
      <c r="G28" s="478">
        <f>Demands!F581</f>
        <v>1.2758837094916566</v>
      </c>
      <c r="H28" s="478">
        <f>Demands!G581</f>
        <v>1.6410035358512787</v>
      </c>
      <c r="I28" s="478">
        <f>Demands!H581</f>
        <v>1.5778905727849575</v>
      </c>
      <c r="J28" s="478">
        <f>Demands!I581</f>
        <v>1.2114088232975861</v>
      </c>
      <c r="K28" s="478">
        <f>Demands!J581</f>
        <v>1.4859569460606008</v>
      </c>
      <c r="L28" s="478">
        <f>Demands!K581</f>
        <v>1.1842119745669166</v>
      </c>
      <c r="M28" s="478">
        <f>Demands!L581</f>
        <v>1.4628489701532177</v>
      </c>
      <c r="N28" s="478">
        <f>Demands!M581</f>
        <v>1.3306194305662751</v>
      </c>
      <c r="O28" s="478">
        <f>Demands!N581</f>
        <v>1.401066436749296</v>
      </c>
      <c r="P28" s="478">
        <f>Demands!O581</f>
        <v>1.5435521318404162</v>
      </c>
      <c r="Q28" s="478">
        <f>Demands!P581</f>
        <v>1.5342791255930024</v>
      </c>
      <c r="R28" s="478">
        <f>Demands!Q581</f>
        <v>1.8491782767532252</v>
      </c>
      <c r="S28" s="478">
        <f>Demands!R581</f>
        <v>1.80512968734413</v>
      </c>
      <c r="T28" s="478">
        <f>Demands!S581</f>
        <v>1.5475501190957266</v>
      </c>
      <c r="U28" s="478">
        <f>Demands!T581</f>
        <v>1.3507936655689778</v>
      </c>
      <c r="V28" s="478">
        <f>Demands!U581</f>
        <v>2.2276573570679252</v>
      </c>
      <c r="W28" s="478">
        <f>Demands!V581</f>
        <v>1.4103985268170536</v>
      </c>
      <c r="X28" s="478">
        <f>Demands!W581</f>
        <v>1.1527638598529673</v>
      </c>
      <c r="Y28" s="478">
        <f>Demands!X581</f>
        <v>1.1291361879453536</v>
      </c>
      <c r="Z28" s="478">
        <f>Demands!Y581</f>
        <v>1.0966261578226115</v>
      </c>
      <c r="AA28" s="478">
        <f>Demands!Z581</f>
        <v>1.3638908094558242</v>
      </c>
      <c r="AB28" s="478">
        <f>Demands!AA581</f>
        <v>1.0776800202339714</v>
      </c>
      <c r="AC28" s="478">
        <f>Demands!AB581</f>
        <v>1.387123296561513</v>
      </c>
      <c r="AD28" s="478">
        <f>Demands!AC581</f>
        <v>0.77679769479424898</v>
      </c>
    </row>
    <row r="29" spans="1:30" s="459" customFormat="1">
      <c r="A29" s="493" t="str">
        <f>Commodities!K35</f>
        <v>TFGV_DST_00</v>
      </c>
      <c r="B29" s="480" t="s">
        <v>916</v>
      </c>
      <c r="C29" s="493" t="s">
        <v>788</v>
      </c>
      <c r="D29" s="730">
        <f>Demands!C581</f>
        <v>1.4620453681409198</v>
      </c>
      <c r="E29" s="730">
        <f>Demands!D581</f>
        <v>1.3793875658298416</v>
      </c>
      <c r="F29" s="730">
        <f>Demands!E581</f>
        <v>1.4862792377634615</v>
      </c>
      <c r="G29" s="730">
        <f>Demands!F581</f>
        <v>1.2758837094916566</v>
      </c>
      <c r="H29" s="730">
        <f>Demands!G581</f>
        <v>1.6410035358512787</v>
      </c>
      <c r="I29" s="730">
        <f>Demands!H581</f>
        <v>1.5778905727849575</v>
      </c>
      <c r="J29" s="730">
        <f>Demands!I581</f>
        <v>1.2114088232975861</v>
      </c>
      <c r="K29" s="730">
        <f>Demands!J581</f>
        <v>1.4859569460606008</v>
      </c>
      <c r="L29" s="730">
        <f>Demands!K581</f>
        <v>1.1842119745669166</v>
      </c>
      <c r="M29" s="730">
        <f>Demands!L581</f>
        <v>1.4628489701532177</v>
      </c>
      <c r="N29" s="730">
        <f>Demands!M581</f>
        <v>1.3306194305662751</v>
      </c>
      <c r="O29" s="730">
        <f>Demands!N581</f>
        <v>1.401066436749296</v>
      </c>
      <c r="P29" s="730">
        <f>Demands!O581</f>
        <v>1.5435521318404162</v>
      </c>
      <c r="Q29" s="730">
        <f>Demands!P581</f>
        <v>1.5342791255930024</v>
      </c>
      <c r="R29" s="730">
        <f>Demands!Q581</f>
        <v>1.8491782767532252</v>
      </c>
      <c r="S29" s="730">
        <f>Demands!R581</f>
        <v>1.80512968734413</v>
      </c>
      <c r="T29" s="730">
        <f>Demands!S581</f>
        <v>1.5475501190957266</v>
      </c>
      <c r="U29" s="730">
        <f>Demands!T581</f>
        <v>1.3507936655689778</v>
      </c>
      <c r="V29" s="730">
        <f>Demands!U581</f>
        <v>2.2276573570679252</v>
      </c>
      <c r="W29" s="730">
        <f>Demands!V581</f>
        <v>1.4103985268170536</v>
      </c>
      <c r="X29" s="730">
        <f>Demands!W581</f>
        <v>1.1527638598529673</v>
      </c>
      <c r="Y29" s="730">
        <f>Demands!X581</f>
        <v>1.1291361879453536</v>
      </c>
      <c r="Z29" s="730">
        <f>Demands!Y581</f>
        <v>1.0966261578226115</v>
      </c>
      <c r="AA29" s="730">
        <f>Demands!Z581</f>
        <v>1.3638908094558242</v>
      </c>
      <c r="AB29" s="730">
        <f>Demands!AA581</f>
        <v>1.0776800202339714</v>
      </c>
      <c r="AC29" s="730">
        <f>Demands!AB581</f>
        <v>1.387123296561513</v>
      </c>
      <c r="AD29" s="730">
        <f>Demands!AC581</f>
        <v>0.77679769479424898</v>
      </c>
    </row>
    <row r="30" spans="1:30" s="459" customFormat="1">
      <c r="A30" s="496" t="str">
        <f>Commodities!K36</f>
        <v>TFRAIL_DST_00</v>
      </c>
      <c r="B30" s="496" t="s">
        <v>916</v>
      </c>
      <c r="C30" s="496" t="s">
        <v>788</v>
      </c>
      <c r="D30" s="725">
        <v>164.83335026928157</v>
      </c>
      <c r="E30" s="731">
        <f t="shared" ref="E30" si="31">D30</f>
        <v>164.83335026928157</v>
      </c>
      <c r="F30" s="731">
        <f t="shared" ref="F30:AD30" si="32">E30</f>
        <v>164.83335026928157</v>
      </c>
      <c r="G30" s="731">
        <f t="shared" si="32"/>
        <v>164.83335026928157</v>
      </c>
      <c r="H30" s="731">
        <f t="shared" si="32"/>
        <v>164.83335026928157</v>
      </c>
      <c r="I30" s="731">
        <f t="shared" si="32"/>
        <v>164.83335026928157</v>
      </c>
      <c r="J30" s="731">
        <f t="shared" si="32"/>
        <v>164.83335026928157</v>
      </c>
      <c r="K30" s="731">
        <f t="shared" si="32"/>
        <v>164.83335026928157</v>
      </c>
      <c r="L30" s="731">
        <f t="shared" si="32"/>
        <v>164.83335026928157</v>
      </c>
      <c r="M30" s="731">
        <f t="shared" si="32"/>
        <v>164.83335026928157</v>
      </c>
      <c r="N30" s="731">
        <f t="shared" si="32"/>
        <v>164.83335026928157</v>
      </c>
      <c r="O30" s="731">
        <f t="shared" si="32"/>
        <v>164.83335026928157</v>
      </c>
      <c r="P30" s="731">
        <f t="shared" si="32"/>
        <v>164.83335026928157</v>
      </c>
      <c r="Q30" s="731">
        <f t="shared" si="32"/>
        <v>164.83335026928157</v>
      </c>
      <c r="R30" s="731">
        <f t="shared" si="32"/>
        <v>164.83335026928157</v>
      </c>
      <c r="S30" s="731">
        <f t="shared" si="32"/>
        <v>164.83335026928157</v>
      </c>
      <c r="T30" s="731">
        <f t="shared" si="32"/>
        <v>164.83335026928157</v>
      </c>
      <c r="U30" s="731">
        <f t="shared" si="32"/>
        <v>164.83335026928157</v>
      </c>
      <c r="V30" s="731">
        <f t="shared" si="32"/>
        <v>164.83335026928157</v>
      </c>
      <c r="W30" s="731">
        <f t="shared" si="32"/>
        <v>164.83335026928157</v>
      </c>
      <c r="X30" s="731">
        <f t="shared" si="32"/>
        <v>164.83335026928157</v>
      </c>
      <c r="Y30" s="731">
        <f t="shared" si="32"/>
        <v>164.83335026928157</v>
      </c>
      <c r="Z30" s="731">
        <f t="shared" si="32"/>
        <v>164.83335026928157</v>
      </c>
      <c r="AA30" s="731">
        <f t="shared" si="32"/>
        <v>164.83335026928157</v>
      </c>
      <c r="AB30" s="731">
        <f t="shared" si="32"/>
        <v>164.83335026928157</v>
      </c>
      <c r="AC30" s="731">
        <f t="shared" si="32"/>
        <v>164.83335026928157</v>
      </c>
      <c r="AD30" s="731">
        <f t="shared" si="32"/>
        <v>164.83335026928157</v>
      </c>
    </row>
    <row r="31" spans="1:30" s="459" customFormat="1">
      <c r="A31" s="1"/>
      <c r="B31" s="1"/>
      <c r="C31" s="1"/>
      <c r="D31" s="462"/>
      <c r="E31" s="462"/>
      <c r="F31" s="462"/>
      <c r="G31" s="462"/>
      <c r="H31" s="462"/>
      <c r="I31" s="462"/>
      <c r="J31" s="462"/>
      <c r="K31" s="462"/>
      <c r="L31" s="462"/>
      <c r="M31" s="462"/>
      <c r="N31" s="462"/>
      <c r="O31" s="462"/>
      <c r="P31" s="462"/>
      <c r="Q31" s="462"/>
      <c r="R31" s="462"/>
      <c r="S31" s="462"/>
      <c r="T31" s="462"/>
      <c r="U31" s="462"/>
      <c r="V31" s="462"/>
      <c r="W31" s="462"/>
      <c r="X31" s="462"/>
      <c r="Y31" s="462"/>
      <c r="Z31" s="462"/>
      <c r="AA31" s="462"/>
      <c r="AB31" s="462"/>
      <c r="AC31" s="462"/>
      <c r="AD31" s="462"/>
    </row>
    <row r="32" spans="1:30">
      <c r="A32" s="133" t="s">
        <v>339</v>
      </c>
      <c r="B32" s="448"/>
      <c r="E32" s="448"/>
      <c r="F32" s="448"/>
      <c r="G32" s="448"/>
      <c r="H32" s="448"/>
    </row>
    <row r="33" spans="1:14">
      <c r="A33" s="448" t="s">
        <v>571</v>
      </c>
      <c r="B33" s="448"/>
      <c r="E33" s="448"/>
      <c r="F33" s="448"/>
      <c r="G33" s="448"/>
      <c r="H33" s="448"/>
    </row>
    <row r="34" spans="1:14">
      <c r="A34" s="448" t="s">
        <v>794</v>
      </c>
      <c r="B34" s="448"/>
      <c r="E34" s="448"/>
      <c r="F34" s="448"/>
      <c r="G34" s="448"/>
      <c r="H34" s="448"/>
    </row>
    <row r="35" spans="1:14">
      <c r="A35" t="s">
        <v>795</v>
      </c>
      <c r="E35" s="448"/>
      <c r="F35" s="448"/>
      <c r="G35" s="448"/>
      <c r="H35" s="448"/>
    </row>
    <row r="36" spans="1:14" s="459" customFormat="1">
      <c r="A36" s="459" t="s">
        <v>867</v>
      </c>
    </row>
    <row r="37" spans="1:14" s="459" customFormat="1"/>
    <row r="38" spans="1:14" s="459" customFormat="1"/>
    <row r="39" spans="1:14" s="459" customFormat="1"/>
    <row r="40" spans="1:14" s="459" customFormat="1"/>
    <row r="41" spans="1:14" s="459" customFormat="1"/>
    <row r="42" spans="1:14" s="459" customFormat="1"/>
    <row r="43" spans="1:14">
      <c r="E43" s="448"/>
      <c r="F43" s="448"/>
      <c r="G43" s="448"/>
      <c r="H43" s="448"/>
    </row>
    <row r="47" spans="1:14">
      <c r="A47" s="448" t="s">
        <v>460</v>
      </c>
      <c r="B47" s="448"/>
      <c r="E47" s="448"/>
      <c r="F47" s="448"/>
      <c r="G47" s="448"/>
      <c r="H47" s="448"/>
      <c r="I47" s="448"/>
      <c r="J47" s="448"/>
      <c r="K47" s="448"/>
      <c r="L47" s="448"/>
      <c r="M47" s="448"/>
      <c r="N47" s="448"/>
    </row>
    <row r="48" spans="1:14">
      <c r="A48" s="1"/>
      <c r="B48" s="1"/>
      <c r="C48" s="552" t="s">
        <v>14</v>
      </c>
      <c r="D48" s="552"/>
      <c r="E48" s="552"/>
      <c r="F48" s="552"/>
      <c r="G48" s="553" t="s">
        <v>15</v>
      </c>
      <c r="H48" s="554"/>
      <c r="I48" s="554"/>
      <c r="J48" s="555"/>
      <c r="K48" s="459"/>
      <c r="L48" s="459"/>
      <c r="M48" s="448"/>
    </row>
    <row r="49" spans="1:13">
      <c r="A49" s="1"/>
      <c r="B49" s="1"/>
      <c r="C49" s="421">
        <v>1</v>
      </c>
      <c r="D49" s="420">
        <v>2</v>
      </c>
      <c r="E49" s="420">
        <v>3</v>
      </c>
      <c r="F49" s="422">
        <v>4</v>
      </c>
      <c r="G49" s="420">
        <v>6</v>
      </c>
      <c r="H49" s="420">
        <v>7</v>
      </c>
      <c r="I49" s="420">
        <v>8</v>
      </c>
      <c r="J49" s="422">
        <v>9</v>
      </c>
      <c r="K49" s="459"/>
      <c r="L49" s="459" t="s">
        <v>456</v>
      </c>
      <c r="M49" s="448"/>
    </row>
    <row r="50" spans="1:13">
      <c r="A50" s="1"/>
      <c r="B50" s="416" t="s">
        <v>455</v>
      </c>
      <c r="C50" s="423">
        <v>2540</v>
      </c>
      <c r="D50" s="419">
        <v>2680</v>
      </c>
      <c r="E50" s="419">
        <v>522</v>
      </c>
      <c r="F50" s="422">
        <v>522</v>
      </c>
      <c r="G50" s="419">
        <v>1300</v>
      </c>
      <c r="H50" s="419">
        <v>780</v>
      </c>
      <c r="I50" s="419">
        <v>208</v>
      </c>
      <c r="J50" s="424">
        <v>208</v>
      </c>
      <c r="K50" s="459"/>
      <c r="L50" s="387" t="s">
        <v>3</v>
      </c>
      <c r="M50" s="386">
        <f>SUM(C50:J50)</f>
        <v>8760</v>
      </c>
    </row>
    <row r="51" spans="1:13" ht="28.8">
      <c r="A51" s="1"/>
      <c r="B51" s="417" t="s">
        <v>4</v>
      </c>
      <c r="C51" s="418" t="s">
        <v>5</v>
      </c>
      <c r="D51" s="418" t="s">
        <v>6</v>
      </c>
      <c r="E51" s="418" t="s">
        <v>7</v>
      </c>
      <c r="F51" s="418" t="s">
        <v>8</v>
      </c>
      <c r="G51" s="418" t="s">
        <v>5</v>
      </c>
      <c r="H51" s="418" t="s">
        <v>6</v>
      </c>
      <c r="I51" s="418" t="s">
        <v>7</v>
      </c>
      <c r="J51" s="418" t="s">
        <v>8</v>
      </c>
      <c r="K51" s="459"/>
      <c r="L51" s="414" t="s">
        <v>109</v>
      </c>
      <c r="M51" s="415">
        <f>((C50/M50)*C58)+((D50/M50)*D58)+((E50/M50)*E58)+((F50/M50)*F58)+((G50/M50)*G58)+((H50/M50)*H58)+((I50/M50)*I58)+((J50/M50)*J58)</f>
        <v>1.49201152283105</v>
      </c>
    </row>
    <row r="52" spans="1:13">
      <c r="A52" s="805" t="s">
        <v>9</v>
      </c>
      <c r="B52" s="444" t="s">
        <v>458</v>
      </c>
      <c r="C52" s="386">
        <v>1.24</v>
      </c>
      <c r="D52" s="386">
        <v>1.25</v>
      </c>
      <c r="E52" s="386">
        <v>1.26</v>
      </c>
      <c r="F52" s="386">
        <v>1.26</v>
      </c>
      <c r="G52" s="386">
        <v>1.33</v>
      </c>
      <c r="H52" s="386">
        <v>1.34</v>
      </c>
      <c r="I52" s="386">
        <v>1.38</v>
      </c>
      <c r="J52" s="386">
        <v>1.38</v>
      </c>
      <c r="K52" s="459"/>
      <c r="L52" s="459"/>
      <c r="M52" s="448"/>
    </row>
    <row r="53" spans="1:13">
      <c r="A53" s="805"/>
      <c r="B53" s="444" t="s">
        <v>457</v>
      </c>
      <c r="C53" s="412">
        <v>0.10299999999999999</v>
      </c>
      <c r="D53" s="412">
        <v>0.16900000000000001</v>
      </c>
      <c r="E53" s="412">
        <v>0.13300000000000001</v>
      </c>
      <c r="F53" s="412">
        <v>0.12</v>
      </c>
      <c r="G53" s="412">
        <v>4.4999999999999998E-2</v>
      </c>
      <c r="H53" s="412">
        <v>1.7999999999999999E-2</v>
      </c>
      <c r="I53" s="412">
        <v>2.7E-2</v>
      </c>
      <c r="J53" s="412">
        <v>2.7E-2</v>
      </c>
      <c r="K53" s="459"/>
      <c r="L53" s="459"/>
      <c r="M53" s="448"/>
    </row>
    <row r="54" spans="1:13">
      <c r="A54" s="805" t="s">
        <v>10</v>
      </c>
      <c r="B54" s="444" t="s">
        <v>458</v>
      </c>
      <c r="C54" s="386">
        <v>1.21</v>
      </c>
      <c r="D54" s="386">
        <v>1.22</v>
      </c>
      <c r="E54" s="386">
        <v>1.23</v>
      </c>
      <c r="F54" s="386">
        <v>1.23</v>
      </c>
      <c r="G54" s="386">
        <v>1.2</v>
      </c>
      <c r="H54" s="386">
        <v>1.23</v>
      </c>
      <c r="I54" s="386">
        <v>1.22</v>
      </c>
      <c r="J54" s="386">
        <v>1.22</v>
      </c>
      <c r="K54" s="459"/>
      <c r="L54" s="459"/>
      <c r="M54" s="448"/>
    </row>
    <row r="55" spans="1:13">
      <c r="A55" s="805"/>
      <c r="B55" s="444" t="s">
        <v>457</v>
      </c>
      <c r="C55" s="412">
        <v>0.42199999999999999</v>
      </c>
      <c r="D55" s="412">
        <v>0.36699999999999999</v>
      </c>
      <c r="E55" s="412">
        <v>0.442</v>
      </c>
      <c r="F55" s="412">
        <v>0.42899999999999999</v>
      </c>
      <c r="G55" s="412">
        <v>0.24199999999999999</v>
      </c>
      <c r="H55" s="412">
        <v>7.9000000000000001E-2</v>
      </c>
      <c r="I55" s="412">
        <v>6.5000000000000002E-2</v>
      </c>
      <c r="J55" s="412">
        <v>6.5000000000000002E-2</v>
      </c>
      <c r="K55" s="459"/>
      <c r="L55" s="459"/>
      <c r="M55" s="448"/>
    </row>
    <row r="56" spans="1:13">
      <c r="A56" s="805" t="s">
        <v>11</v>
      </c>
      <c r="B56" s="444" t="s">
        <v>458</v>
      </c>
      <c r="C56" s="386">
        <v>1.64</v>
      </c>
      <c r="D56" s="386">
        <v>1.65</v>
      </c>
      <c r="E56" s="386">
        <v>1.66</v>
      </c>
      <c r="F56" s="386">
        <v>1.68</v>
      </c>
      <c r="G56" s="386">
        <v>1.7</v>
      </c>
      <c r="H56" s="386">
        <v>1.83</v>
      </c>
      <c r="I56" s="386">
        <v>1.85</v>
      </c>
      <c r="J56" s="386">
        <v>1.85</v>
      </c>
      <c r="K56" s="459"/>
      <c r="L56" s="459"/>
      <c r="M56" s="448"/>
    </row>
    <row r="57" spans="1:13">
      <c r="A57" s="805"/>
      <c r="B57" s="444" t="s">
        <v>457</v>
      </c>
      <c r="C57" s="412">
        <v>0.47499999999999998</v>
      </c>
      <c r="D57" s="412">
        <v>0.46400000000000002</v>
      </c>
      <c r="E57" s="412">
        <v>0.42499999999999999</v>
      </c>
      <c r="F57" s="412">
        <v>0.45100000000000001</v>
      </c>
      <c r="G57" s="412">
        <v>0.71299999999999997</v>
      </c>
      <c r="H57" s="412">
        <v>0.90300000000000002</v>
      </c>
      <c r="I57" s="412">
        <v>0.90900000000000003</v>
      </c>
      <c r="J57" s="412">
        <v>0.90900000000000003</v>
      </c>
      <c r="K57" s="459"/>
      <c r="L57" s="459"/>
      <c r="M57" s="448"/>
    </row>
    <row r="58" spans="1:13">
      <c r="A58" s="387" t="s">
        <v>12</v>
      </c>
      <c r="B58" s="387" t="s">
        <v>458</v>
      </c>
      <c r="C58" s="413">
        <f>(C52*C53)+(C54*C55)+(C56*C57)</f>
        <v>1.4173399999999998</v>
      </c>
      <c r="D58" s="413">
        <f t="shared" ref="D58:J58" si="33">(D52*D53)+(D54*D55)+(D56*D57)</f>
        <v>1.4245899999999998</v>
      </c>
      <c r="E58" s="413">
        <f t="shared" si="33"/>
        <v>1.4167399999999999</v>
      </c>
      <c r="F58" s="413">
        <f t="shared" si="33"/>
        <v>1.43655</v>
      </c>
      <c r="G58" s="413">
        <f t="shared" si="33"/>
        <v>1.5623499999999999</v>
      </c>
      <c r="H58" s="413">
        <f t="shared" si="33"/>
        <v>1.7737799999999999</v>
      </c>
      <c r="I58" s="413">
        <f t="shared" si="33"/>
        <v>1.7982100000000001</v>
      </c>
      <c r="J58" s="413">
        <f t="shared" si="33"/>
        <v>1.7982100000000001</v>
      </c>
      <c r="K58" s="459"/>
      <c r="L58" s="459"/>
      <c r="M58" s="448"/>
    </row>
    <row r="59" spans="1:13">
      <c r="A59" s="448" t="s">
        <v>459</v>
      </c>
      <c r="B59" s="448"/>
      <c r="D59" s="459"/>
      <c r="E59" s="459"/>
      <c r="F59" s="459"/>
      <c r="G59" s="459"/>
      <c r="H59" s="459"/>
      <c r="I59" s="459"/>
      <c r="J59" s="459"/>
      <c r="K59" s="459"/>
      <c r="L59" s="459"/>
      <c r="M59" s="448"/>
    </row>
    <row r="65" spans="1:4" ht="15.6">
      <c r="A65" s="401" t="s">
        <v>338</v>
      </c>
      <c r="B65" s="401"/>
      <c r="D65" s="445"/>
    </row>
    <row r="66" spans="1:4">
      <c r="A66" s="476"/>
      <c r="B66" s="612" t="s">
        <v>865</v>
      </c>
      <c r="D66" s="445"/>
    </row>
    <row r="67" spans="1:4">
      <c r="A67" s="128" t="s">
        <v>26</v>
      </c>
      <c r="B67" s="483">
        <f>Demands!B167+Demands!C167</f>
        <v>4065479</v>
      </c>
      <c r="D67" s="445"/>
    </row>
    <row r="68" spans="1:4">
      <c r="A68" s="128" t="s">
        <v>35</v>
      </c>
      <c r="B68" s="483">
        <f>Demands!B168+Demands!C168</f>
        <v>317186237</v>
      </c>
      <c r="D68" s="445"/>
    </row>
    <row r="69" spans="1:4">
      <c r="A69" s="496" t="s">
        <v>866</v>
      </c>
      <c r="B69" s="613">
        <f>B68/B67</f>
        <v>78.019401157895544</v>
      </c>
      <c r="D69" s="445"/>
    </row>
    <row r="70" spans="1:4">
      <c r="A70" s="498" t="s">
        <v>644</v>
      </c>
      <c r="B70" s="498"/>
      <c r="D70" s="445"/>
    </row>
  </sheetData>
  <mergeCells count="4">
    <mergeCell ref="A3:D3"/>
    <mergeCell ref="A52:A53"/>
    <mergeCell ref="A54:A55"/>
    <mergeCell ref="A56:A5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A1:AE702"/>
  <sheetViews>
    <sheetView topLeftCell="A37" zoomScale="70" zoomScaleNormal="70" workbookViewId="0">
      <selection activeCell="A21" sqref="A21:XFD21"/>
    </sheetView>
  </sheetViews>
  <sheetFormatPr defaultRowHeight="14.4"/>
  <cols>
    <col min="1" max="1" width="22.44140625" bestFit="1" customWidth="1"/>
    <col min="2" max="2" width="12.109375" style="459" customWidth="1"/>
    <col min="3" max="3" width="11" customWidth="1"/>
    <col min="4" max="29" width="9.5546875" customWidth="1"/>
  </cols>
  <sheetData>
    <row r="1" spans="1:31">
      <c r="A1" s="459"/>
      <c r="E1" s="135"/>
    </row>
    <row r="2" spans="1:31">
      <c r="A2" s="448"/>
      <c r="C2" s="448"/>
      <c r="D2" s="448"/>
      <c r="E2" s="448"/>
    </row>
    <row r="3" spans="1:31">
      <c r="A3" s="459"/>
      <c r="C3" s="453"/>
      <c r="D3" s="448"/>
      <c r="E3" s="448"/>
      <c r="AD3" s="448"/>
      <c r="AE3" s="448"/>
    </row>
    <row r="4" spans="1:31" ht="15" thickBot="1">
      <c r="A4" s="41" t="s">
        <v>70</v>
      </c>
      <c r="B4" s="41" t="s">
        <v>96</v>
      </c>
      <c r="C4" s="41" t="s">
        <v>101</v>
      </c>
      <c r="D4" s="460" t="str">
        <f>Demands!C3</f>
        <v>IE</v>
      </c>
      <c r="E4" s="460" t="str">
        <f>Demands!D3</f>
        <v>IE-CW</v>
      </c>
      <c r="F4" s="460" t="str">
        <f>Demands!E3</f>
        <v>IE-D</v>
      </c>
      <c r="G4" s="460" t="str">
        <f>Demands!F3</f>
        <v>IE-KE</v>
      </c>
      <c r="H4" s="460" t="str">
        <f>Demands!G3</f>
        <v>IE-KK</v>
      </c>
      <c r="I4" s="460" t="str">
        <f>Demands!H3</f>
        <v>IE-LS</v>
      </c>
      <c r="J4" s="460" t="str">
        <f>Demands!I3</f>
        <v>IE-LD</v>
      </c>
      <c r="K4" s="460" t="str">
        <f>Demands!J3</f>
        <v>IE-LH</v>
      </c>
      <c r="L4" s="460" t="str">
        <f>Demands!K3</f>
        <v>IE-MH</v>
      </c>
      <c r="M4" s="460" t="str">
        <f>Demands!L3</f>
        <v>IE-OY</v>
      </c>
      <c r="N4" s="460" t="str">
        <f>Demands!M3</f>
        <v>IE-WH</v>
      </c>
      <c r="O4" s="460" t="str">
        <f>Demands!N3</f>
        <v>IE-WX</v>
      </c>
      <c r="P4" s="460" t="str">
        <f>Demands!O3</f>
        <v>IE-WW</v>
      </c>
      <c r="Q4" s="460" t="str">
        <f>Demands!P3</f>
        <v>IE-CE</v>
      </c>
      <c r="R4" s="460" t="str">
        <f>Demands!Q3</f>
        <v>IE-CO</v>
      </c>
      <c r="S4" s="460" t="str">
        <f>Demands!R3</f>
        <v>IE-KY</v>
      </c>
      <c r="T4" s="460" t="str">
        <f>Demands!S3</f>
        <v>IE-LK</v>
      </c>
      <c r="U4" s="460" t="str">
        <f>Demands!T3</f>
        <v>IE-TA</v>
      </c>
      <c r="V4" s="460" t="str">
        <f>Demands!U3</f>
        <v>IE-WD</v>
      </c>
      <c r="W4" s="460" t="str">
        <f>Demands!V3</f>
        <v>IE-G</v>
      </c>
      <c r="X4" s="460" t="str">
        <f>Demands!W3</f>
        <v>IE-LM</v>
      </c>
      <c r="Y4" s="460" t="str">
        <f>Demands!X3</f>
        <v>IE-MO</v>
      </c>
      <c r="Z4" s="460" t="str">
        <f>Demands!Y3</f>
        <v>IE-RN</v>
      </c>
      <c r="AA4" s="460" t="str">
        <f>Demands!Z3</f>
        <v>IE-SO</v>
      </c>
      <c r="AB4" s="460" t="str">
        <f>Demands!AA3</f>
        <v>IE-CN</v>
      </c>
      <c r="AC4" s="460" t="str">
        <f>Demands!AB3</f>
        <v>IE-DL</v>
      </c>
      <c r="AD4" s="460" t="str">
        <f>Demands!AC3</f>
        <v>IE-MN</v>
      </c>
      <c r="AE4" s="448"/>
    </row>
    <row r="5" spans="1:31" s="459" customFormat="1">
      <c r="A5" s="459" t="str">
        <f>Commodities!K8</f>
        <v>TWLK_WLK</v>
      </c>
      <c r="B5" s="459" t="s">
        <v>1047</v>
      </c>
      <c r="C5" s="459" t="s">
        <v>935</v>
      </c>
      <c r="D5" s="568">
        <v>1500</v>
      </c>
      <c r="E5" s="568">
        <v>1500</v>
      </c>
      <c r="F5" s="568">
        <v>1500</v>
      </c>
      <c r="G5" s="568">
        <v>1500</v>
      </c>
      <c r="H5" s="568">
        <v>1500</v>
      </c>
      <c r="I5" s="568">
        <v>1500</v>
      </c>
      <c r="J5" s="568">
        <v>1500</v>
      </c>
      <c r="K5" s="568">
        <v>1500</v>
      </c>
      <c r="L5" s="568">
        <v>1500</v>
      </c>
      <c r="M5" s="568">
        <v>1500</v>
      </c>
      <c r="N5" s="568">
        <v>1500</v>
      </c>
      <c r="O5" s="568">
        <v>1500</v>
      </c>
      <c r="P5" s="568">
        <v>1500</v>
      </c>
      <c r="Q5" s="568">
        <v>1500</v>
      </c>
      <c r="R5" s="568">
        <v>1500</v>
      </c>
      <c r="S5" s="568">
        <v>1500</v>
      </c>
      <c r="T5" s="568">
        <v>1500</v>
      </c>
      <c r="U5" s="568">
        <v>1500</v>
      </c>
      <c r="V5" s="568">
        <v>1500</v>
      </c>
      <c r="W5" s="568">
        <v>1500</v>
      </c>
      <c r="X5" s="568">
        <v>1500</v>
      </c>
      <c r="Y5" s="568">
        <v>1500</v>
      </c>
      <c r="Z5" s="568">
        <v>1500</v>
      </c>
      <c r="AA5" s="568">
        <v>1500</v>
      </c>
      <c r="AB5" s="568">
        <v>1500</v>
      </c>
      <c r="AC5" s="568">
        <v>1500</v>
      </c>
      <c r="AD5" s="568">
        <v>1500</v>
      </c>
    </row>
    <row r="6" spans="1:31" s="459" customFormat="1">
      <c r="A6" s="459" t="str">
        <f>Commodities!K9</f>
        <v>TCYC_CYC</v>
      </c>
      <c r="B6" s="459" t="s">
        <v>1047</v>
      </c>
      <c r="C6" s="459" t="s">
        <v>935</v>
      </c>
      <c r="D6" s="568">
        <v>1500</v>
      </c>
      <c r="E6" s="568">
        <v>1500</v>
      </c>
      <c r="F6" s="568">
        <v>1500</v>
      </c>
      <c r="G6" s="568">
        <v>1500</v>
      </c>
      <c r="H6" s="568">
        <v>1500</v>
      </c>
      <c r="I6" s="568">
        <v>1500</v>
      </c>
      <c r="J6" s="568">
        <v>1500</v>
      </c>
      <c r="K6" s="568">
        <v>1500</v>
      </c>
      <c r="L6" s="568">
        <v>1500</v>
      </c>
      <c r="M6" s="568">
        <v>1500</v>
      </c>
      <c r="N6" s="568">
        <v>1500</v>
      </c>
      <c r="O6" s="568">
        <v>1500</v>
      </c>
      <c r="P6" s="568">
        <v>1500</v>
      </c>
      <c r="Q6" s="568">
        <v>1500</v>
      </c>
      <c r="R6" s="568">
        <v>1500</v>
      </c>
      <c r="S6" s="568">
        <v>1500</v>
      </c>
      <c r="T6" s="568">
        <v>1500</v>
      </c>
      <c r="U6" s="568">
        <v>1500</v>
      </c>
      <c r="V6" s="568">
        <v>1500</v>
      </c>
      <c r="W6" s="568">
        <v>1500</v>
      </c>
      <c r="X6" s="568">
        <v>1500</v>
      </c>
      <c r="Y6" s="568">
        <v>1500</v>
      </c>
      <c r="Z6" s="568">
        <v>1500</v>
      </c>
      <c r="AA6" s="568">
        <v>1500</v>
      </c>
      <c r="AB6" s="568">
        <v>1500</v>
      </c>
      <c r="AC6" s="568">
        <v>1500</v>
      </c>
      <c r="AD6" s="568">
        <v>1500</v>
      </c>
    </row>
    <row r="7" spans="1:31">
      <c r="A7" s="448" t="str">
        <f>Commodities!K11</f>
        <v>TMOT_GSL_00</v>
      </c>
      <c r="B7" s="459" t="s">
        <v>1047</v>
      </c>
      <c r="C7" t="s">
        <v>935</v>
      </c>
      <c r="D7" s="568">
        <v>587.97955123032</v>
      </c>
      <c r="E7" s="135">
        <v>587.97955123032</v>
      </c>
      <c r="F7" s="135">
        <v>587.97955123032</v>
      </c>
      <c r="G7" s="135">
        <v>587.97955123032</v>
      </c>
      <c r="H7" s="135">
        <v>587.97955123032</v>
      </c>
      <c r="I7" s="135">
        <v>587.97955123032</v>
      </c>
      <c r="J7" s="135">
        <v>587.97955123032</v>
      </c>
      <c r="K7" s="135">
        <v>587.97955123032</v>
      </c>
      <c r="L7" s="135">
        <v>587.97955123032</v>
      </c>
      <c r="M7" s="135">
        <v>587.97955123032</v>
      </c>
      <c r="N7" s="135">
        <v>587.97955123032</v>
      </c>
      <c r="O7" s="135">
        <v>587.97955123032</v>
      </c>
      <c r="P7" s="135">
        <v>587.97955123032</v>
      </c>
      <c r="Q7" s="135">
        <v>587.97955123032</v>
      </c>
      <c r="R7" s="135">
        <v>587.97955123032</v>
      </c>
      <c r="S7" s="135">
        <v>587.97955123032</v>
      </c>
      <c r="T7" s="135">
        <v>587.97955123032</v>
      </c>
      <c r="U7" s="135">
        <v>587.97955123032</v>
      </c>
      <c r="V7" s="135">
        <v>587.97955123032</v>
      </c>
      <c r="W7" s="135">
        <v>587.97955123032</v>
      </c>
      <c r="X7" s="135">
        <v>587.97955123032</v>
      </c>
      <c r="Y7" s="135">
        <v>587.97955123032</v>
      </c>
      <c r="Z7" s="135">
        <v>587.97955123032</v>
      </c>
      <c r="AA7" s="135">
        <v>587.97955123032</v>
      </c>
      <c r="AB7" s="135">
        <v>587.97955123032</v>
      </c>
      <c r="AC7" s="135">
        <v>587.97955123032</v>
      </c>
      <c r="AD7" s="135">
        <v>587.97955123032</v>
      </c>
      <c r="AE7" s="448"/>
    </row>
    <row r="8" spans="1:31">
      <c r="A8" t="str">
        <f>Commodities!K13</f>
        <v>TCAR_ICE_GSL_00</v>
      </c>
      <c r="B8" s="459" t="s">
        <v>1047</v>
      </c>
      <c r="C8" s="459" t="s">
        <v>935</v>
      </c>
      <c r="D8" s="135">
        <f>C133/(1+'On-Road Fac.'!$D$5)</f>
        <v>405.14416823643177</v>
      </c>
      <c r="E8" s="135">
        <f>D133/(1+'On-Road Fac.'!$D$5)</f>
        <v>405.70409228380652</v>
      </c>
      <c r="F8" s="135">
        <f>E133/(1+'On-Road Fac.'!$D$5)</f>
        <v>403.99737632467736</v>
      </c>
      <c r="G8" s="135">
        <f>F133/(1+'On-Road Fac.'!$D$5)</f>
        <v>405.71807180728723</v>
      </c>
      <c r="H8" s="135">
        <f>G133/(1+'On-Road Fac.'!$D$5)</f>
        <v>406.70346127162156</v>
      </c>
      <c r="I8" s="135">
        <f>H133/(1+'On-Road Fac.'!$D$5)</f>
        <v>406.03167524263552</v>
      </c>
      <c r="J8" s="135">
        <f>I133/(1+'On-Road Fac.'!$D$5)</f>
        <v>406.23967204072534</v>
      </c>
      <c r="K8" s="135">
        <f>J133/(1+'On-Road Fac.'!$D$5)</f>
        <v>408.86919176091578</v>
      </c>
      <c r="L8" s="135">
        <f>K133/(1+'On-Road Fac.'!$D$5)</f>
        <v>405.16014683437373</v>
      </c>
      <c r="M8" s="135">
        <f>L133/(1+'On-Road Fac.'!$D$5)</f>
        <v>406.54432148718843</v>
      </c>
      <c r="N8" s="135">
        <f>M133/(1+'On-Road Fac.'!$D$5)</f>
        <v>406.43409321723107</v>
      </c>
      <c r="O8" s="135">
        <f>N133/(1+'On-Road Fac.'!$D$5)</f>
        <v>407.18634837372315</v>
      </c>
      <c r="P8" s="135">
        <f>O133/(1+'On-Road Fac.'!$D$5)</f>
        <v>404.64931332480404</v>
      </c>
      <c r="Q8" s="135">
        <f>P133/(1+'On-Road Fac.'!$D$5)</f>
        <v>404.68959503037689</v>
      </c>
      <c r="R8" s="135">
        <f>Q133/(1+'On-Road Fac.'!$D$5)</f>
        <v>405.50611545573889</v>
      </c>
      <c r="S8" s="135">
        <f>R133/(1+'On-Road Fac.'!$D$5)</f>
        <v>404.13646501906982</v>
      </c>
      <c r="T8" s="135">
        <f>S133/(1+'On-Road Fac.'!$D$5)</f>
        <v>405.25112002626832</v>
      </c>
      <c r="U8" s="135">
        <f>T133/(1+'On-Road Fac.'!$D$5)</f>
        <v>405.68782696320199</v>
      </c>
      <c r="V8" s="135">
        <f>U133/(1+'On-Road Fac.'!$D$5)</f>
        <v>407.49457262163605</v>
      </c>
      <c r="W8" s="135">
        <f>V133/(1+'On-Road Fac.'!$D$5)</f>
        <v>403.65614016220536</v>
      </c>
      <c r="X8" s="135">
        <f>W133/(1+'On-Road Fac.'!$D$5)</f>
        <v>406.52118602942761</v>
      </c>
      <c r="Y8" s="135">
        <f>X133/(1+'On-Road Fac.'!$D$5)</f>
        <v>404.49540240841583</v>
      </c>
      <c r="Z8" s="135">
        <f>Y133/(1+'On-Road Fac.'!$D$5)</f>
        <v>409.87826316569948</v>
      </c>
      <c r="AA8" s="135">
        <f>Z133/(1+'On-Road Fac.'!$D$5)</f>
        <v>406.11443447575624</v>
      </c>
      <c r="AB8" s="135">
        <f>AA133/(1+'On-Road Fac.'!$D$5)</f>
        <v>406.09598546341471</v>
      </c>
      <c r="AC8" s="135">
        <f>AB133/(1+'On-Road Fac.'!$D$5)</f>
        <v>406.05450988523148</v>
      </c>
      <c r="AD8" s="135">
        <f>AC133/(1+'On-Road Fac.'!$D$5)</f>
        <v>405.88150665853289</v>
      </c>
      <c r="AE8" s="448"/>
    </row>
    <row r="9" spans="1:31">
      <c r="A9" s="448" t="str">
        <f>Commodities!K14</f>
        <v>TCAR_ICE_DST_00</v>
      </c>
      <c r="B9" s="459" t="s">
        <v>1047</v>
      </c>
      <c r="C9" s="459" t="s">
        <v>935</v>
      </c>
      <c r="D9" s="135">
        <f>C179/(1+'On-Road Fac.'!$D$5)</f>
        <v>435.28116997420369</v>
      </c>
      <c r="E9" s="135">
        <f>D179/(1+'On-Road Fac.'!$D$5)</f>
        <v>435.68137731760913</v>
      </c>
      <c r="F9" s="135">
        <f>E179/(1+'On-Road Fac.'!$D$5)</f>
        <v>431.12990634064664</v>
      </c>
      <c r="G9" s="135">
        <f>F179/(1+'On-Road Fac.'!$D$5)</f>
        <v>434.87246828918546</v>
      </c>
      <c r="H9" s="135">
        <f>G179/(1+'On-Road Fac.'!$D$5)</f>
        <v>437.46197204127674</v>
      </c>
      <c r="I9" s="135">
        <f>H179/(1+'On-Road Fac.'!$D$5)</f>
        <v>436.82533897248464</v>
      </c>
      <c r="J9" s="135">
        <f>I179/(1+'On-Road Fac.'!$D$5)</f>
        <v>433.37570366548664</v>
      </c>
      <c r="K9" s="135">
        <f>J179/(1+'On-Road Fac.'!$D$5)</f>
        <v>438.58680667037055</v>
      </c>
      <c r="L9" s="135">
        <f>K179/(1+'On-Road Fac.'!$D$5)</f>
        <v>435.12327110464662</v>
      </c>
      <c r="M9" s="135">
        <f>L179/(1+'On-Road Fac.'!$D$5)</f>
        <v>438.36058585439019</v>
      </c>
      <c r="N9" s="135">
        <f>M179/(1+'On-Road Fac.'!$D$5)</f>
        <v>436.4502404464435</v>
      </c>
      <c r="O9" s="135">
        <f>N179/(1+'On-Road Fac.'!$D$5)</f>
        <v>438.15831884500614</v>
      </c>
      <c r="P9" s="135">
        <f>O179/(1+'On-Road Fac.'!$D$5)</f>
        <v>432.56072360069282</v>
      </c>
      <c r="Q9" s="135">
        <f>P179/(1+'On-Road Fac.'!$D$5)</f>
        <v>438.24439164293227</v>
      </c>
      <c r="R9" s="135">
        <f>Q179/(1+'On-Road Fac.'!$D$5)</f>
        <v>437.29970570673368</v>
      </c>
      <c r="S9" s="135">
        <f>R179/(1+'On-Road Fac.'!$D$5)</f>
        <v>436.47964644940635</v>
      </c>
      <c r="T9" s="135">
        <f>S179/(1+'On-Road Fac.'!$D$5)</f>
        <v>437.18279984087201</v>
      </c>
      <c r="U9" s="135">
        <f>T179/(1+'On-Road Fac.'!$D$5)</f>
        <v>436.52053494368209</v>
      </c>
      <c r="V9" s="135">
        <f>U179/(1+'On-Road Fac.'!$D$5)</f>
        <v>437.59518745048291</v>
      </c>
      <c r="W9" s="135">
        <f>V179/(1+'On-Road Fac.'!$D$5)</f>
        <v>433.97310412994631</v>
      </c>
      <c r="X9" s="135">
        <f>W179/(1+'On-Road Fac.'!$D$5)</f>
        <v>435.05960814351897</v>
      </c>
      <c r="Y9" s="135">
        <f>X179/(1+'On-Road Fac.'!$D$5)</f>
        <v>434.39110178668426</v>
      </c>
      <c r="Z9" s="135">
        <f>Y179/(1+'On-Road Fac.'!$D$5)</f>
        <v>439.50150370213777</v>
      </c>
      <c r="AA9" s="135">
        <f>Z179/(1+'On-Road Fac.'!$D$5)</f>
        <v>434.76610783253608</v>
      </c>
      <c r="AB9" s="135">
        <f>AA179/(1+'On-Road Fac.'!$D$5)</f>
        <v>436.5175781866111</v>
      </c>
      <c r="AC9" s="135">
        <f>AB179/(1+'On-Road Fac.'!$D$5)</f>
        <v>437.12376857346396</v>
      </c>
      <c r="AD9" s="135">
        <f>AC179/(1+'On-Road Fac.'!$D$5)</f>
        <v>434.68775899154275</v>
      </c>
      <c r="AE9" s="448"/>
    </row>
    <row r="10" spans="1:31">
      <c r="A10" s="448" t="str">
        <f>Commodities!K15</f>
        <v>TCAR_ICE_DF_00</v>
      </c>
      <c r="B10" s="459" t="s">
        <v>1047</v>
      </c>
      <c r="C10" s="459" t="s">
        <v>935</v>
      </c>
      <c r="D10" s="135">
        <f>C227/(1+'On-Road Fac.'!$D$5)</f>
        <v>346.42546952946822</v>
      </c>
      <c r="E10" s="135">
        <f>D227/(1+'On-Road Fac.'!$D$5)</f>
        <v>346.42546952946822</v>
      </c>
      <c r="F10" s="135">
        <f>E227/(1+'On-Road Fac.'!$D$5)</f>
        <v>356.92116208134138</v>
      </c>
      <c r="G10" s="135">
        <f>F227/(1+'On-Road Fac.'!$D$5)</f>
        <v>346.42546952946822</v>
      </c>
      <c r="H10" s="135">
        <f>G227/(1+'On-Road Fac.'!$D$5)</f>
        <v>346.42546952946822</v>
      </c>
      <c r="I10" s="135">
        <f>H227/(1+'On-Road Fac.'!$D$5)</f>
        <v>346.42546952946822</v>
      </c>
      <c r="J10" s="135">
        <f>I227/(1+'On-Road Fac.'!$D$5)</f>
        <v>313.6230093836574</v>
      </c>
      <c r="K10" s="135">
        <f>J227/(1+'On-Road Fac.'!$D$5)</f>
        <v>346.42546952946822</v>
      </c>
      <c r="L10" s="135">
        <f>K227/(1+'On-Road Fac.'!$D$5)</f>
        <v>316.324667374645</v>
      </c>
      <c r="M10" s="135">
        <f>L227/(1+'On-Road Fac.'!$D$5)</f>
        <v>328.31515728369328</v>
      </c>
      <c r="N10" s="135">
        <f>M227/(1+'On-Road Fac.'!$D$5)</f>
        <v>346.42546952946822</v>
      </c>
      <c r="O10" s="135">
        <f>N227/(1+'On-Road Fac.'!$D$5)</f>
        <v>306.83097781910516</v>
      </c>
      <c r="P10" s="135">
        <f>O227/(1+'On-Road Fac.'!$D$5)</f>
        <v>364.82558929179396</v>
      </c>
      <c r="Q10" s="135">
        <f>P227/(1+'On-Road Fac.'!$D$5)</f>
        <v>346.42546952946822</v>
      </c>
      <c r="R10" s="135">
        <f>Q227/(1+'On-Road Fac.'!$D$5)</f>
        <v>337.83519026083707</v>
      </c>
      <c r="S10" s="135">
        <f>R227/(1+'On-Road Fac.'!$D$5)</f>
        <v>354.24735781365808</v>
      </c>
      <c r="T10" s="135">
        <f>S227/(1+'On-Road Fac.'!$D$5)</f>
        <v>356.62771663978873</v>
      </c>
      <c r="U10" s="135">
        <f>T227/(1+'On-Road Fac.'!$D$5)</f>
        <v>346.42546952946822</v>
      </c>
      <c r="V10" s="135">
        <f>U227/(1+'On-Road Fac.'!$D$5)</f>
        <v>346.42546952946822</v>
      </c>
      <c r="W10" s="135">
        <f>V227/(1+'On-Road Fac.'!$D$5)</f>
        <v>345.12014220119158</v>
      </c>
      <c r="X10" s="135">
        <f>W227/(1+'On-Road Fac.'!$D$5)</f>
        <v>346.42546952946822</v>
      </c>
      <c r="Y10" s="135">
        <f>X227/(1+'On-Road Fac.'!$D$5)</f>
        <v>346.42546952946822</v>
      </c>
      <c r="Z10" s="135">
        <f>Y227/(1+'On-Road Fac.'!$D$5)</f>
        <v>346.42546952946822</v>
      </c>
      <c r="AA10" s="135">
        <f>Z227/(1+'On-Road Fac.'!$D$5)</f>
        <v>346.42546952946822</v>
      </c>
      <c r="AB10" s="135">
        <f>AA227/(1+'On-Road Fac.'!$D$5)</f>
        <v>346.42546952946822</v>
      </c>
      <c r="AC10" s="135">
        <f>AB227/(1+'On-Road Fac.'!$D$5)</f>
        <v>353.74970289794538</v>
      </c>
      <c r="AD10" s="135">
        <f>AC227/(1+'On-Road Fac.'!$D$5)</f>
        <v>346.42546952946822</v>
      </c>
      <c r="AE10" s="448"/>
    </row>
    <row r="11" spans="1:31">
      <c r="A11" s="448" t="str">
        <f>Commodities!K16</f>
        <v>TCAR_ICE_E85_00</v>
      </c>
      <c r="B11" s="459" t="s">
        <v>1047</v>
      </c>
      <c r="C11" s="459" t="s">
        <v>935</v>
      </c>
      <c r="D11" s="135">
        <f>C276/(1+'On-Road Fac.'!$D$5)</f>
        <v>414.96671483785497</v>
      </c>
      <c r="E11" s="135">
        <f>D276/(1+'On-Road Fac.'!$D$5)</f>
        <v>420.11336576060239</v>
      </c>
      <c r="F11" s="135">
        <f>E276/(1+'On-Road Fac.'!$D$5)</f>
        <v>409.91964243223504</v>
      </c>
      <c r="G11" s="135">
        <f>F276/(1+'On-Road Fac.'!$D$5)</f>
        <v>420.96104427040677</v>
      </c>
      <c r="H11" s="135">
        <f>G276/(1+'On-Road Fac.'!$D$5)</f>
        <v>419.47774256432695</v>
      </c>
      <c r="I11" s="135">
        <f>H276/(1+'On-Road Fac.'!$D$5)</f>
        <v>417.59928366979068</v>
      </c>
      <c r="J11" s="135">
        <f>I276/(1+'On-Road Fac.'!$D$5)</f>
        <v>416.06107672777193</v>
      </c>
      <c r="K11" s="135">
        <f>J276/(1+'On-Road Fac.'!$D$5)</f>
        <v>423.30918885696349</v>
      </c>
      <c r="L11" s="135">
        <f>K276/(1+'On-Road Fac.'!$D$5)</f>
        <v>405.0300595694253</v>
      </c>
      <c r="M11" s="135">
        <f>L276/(1+'On-Road Fac.'!$D$5)</f>
        <v>425.188165357532</v>
      </c>
      <c r="N11" s="135">
        <f>M276/(1+'On-Road Fac.'!$D$5)</f>
        <v>417.32291967721653</v>
      </c>
      <c r="O11" s="135">
        <f>N276/(1+'On-Road Fac.'!$D$5)</f>
        <v>426.66355626596567</v>
      </c>
      <c r="P11" s="135">
        <f>O276/(1+'On-Road Fac.'!$D$5)</f>
        <v>424.49102044988729</v>
      </c>
      <c r="Q11" s="135">
        <f>P276/(1+'On-Road Fac.'!$D$5)</f>
        <v>417.70817686631074</v>
      </c>
      <c r="R11" s="135">
        <f>Q276/(1+'On-Road Fac.'!$D$5)</f>
        <v>416.94826702277555</v>
      </c>
      <c r="S11" s="135">
        <f>R276/(1+'On-Road Fac.'!$D$5)</f>
        <v>411.38752524194899</v>
      </c>
      <c r="T11" s="135">
        <f>S276/(1+'On-Road Fac.'!$D$5)</f>
        <v>421.23501670793587</v>
      </c>
      <c r="U11" s="135">
        <f>T276/(1+'On-Road Fac.'!$D$5)</f>
        <v>425.49680158337799</v>
      </c>
      <c r="V11" s="135">
        <f>U276/(1+'On-Road Fac.'!$D$5)</f>
        <v>417.30399948813414</v>
      </c>
      <c r="W11" s="135">
        <f>V276/(1+'On-Road Fac.'!$D$5)</f>
        <v>406.60180735532811</v>
      </c>
      <c r="X11" s="135">
        <f>W276/(1+'On-Road Fac.'!$D$5)</f>
        <v>420.16401988019129</v>
      </c>
      <c r="Y11" s="135">
        <f>X276/(1+'On-Road Fac.'!$D$5)</f>
        <v>423.57869590041156</v>
      </c>
      <c r="Z11" s="135">
        <f>Y276/(1+'On-Road Fac.'!$D$5)</f>
        <v>421.49217568193484</v>
      </c>
      <c r="AA11" s="135">
        <f>Z276/(1+'On-Road Fac.'!$D$5)</f>
        <v>423.4521650766884</v>
      </c>
      <c r="AB11" s="135">
        <f>AA276/(1+'On-Road Fac.'!$D$5)</f>
        <v>426.19820514383485</v>
      </c>
      <c r="AC11" s="135">
        <f>AB276/(1+'On-Road Fac.'!$D$5)</f>
        <v>423.30288486897183</v>
      </c>
      <c r="AD11" s="135">
        <f>AC276/(1+'On-Road Fac.'!$D$5)</f>
        <v>422.30989715167726</v>
      </c>
      <c r="AE11" s="448"/>
    </row>
    <row r="12" spans="1:31">
      <c r="A12" s="448" t="str">
        <f>Commodities!K17</f>
        <v>TCAR_HEV_GSL_00</v>
      </c>
      <c r="B12" s="459" t="s">
        <v>1047</v>
      </c>
      <c r="C12" s="459" t="s">
        <v>935</v>
      </c>
      <c r="D12" s="135">
        <f>C324/(1+'On-Road Fac.'!$D$5)</f>
        <v>487.30496436285102</v>
      </c>
      <c r="E12" s="135">
        <f>D324/(1+'On-Road Fac.'!$D$5)</f>
        <v>487.99562401870338</v>
      </c>
      <c r="F12" s="135">
        <f>E324/(1+'On-Road Fac.'!$D$5)</f>
        <v>488.36951409300991</v>
      </c>
      <c r="G12" s="135">
        <f>F324/(1+'On-Road Fac.'!$D$5)</f>
        <v>489.06911069650101</v>
      </c>
      <c r="H12" s="135">
        <f>G324/(1+'On-Road Fac.'!$D$5)</f>
        <v>489.69692593099558</v>
      </c>
      <c r="I12" s="135">
        <f>H324/(1+'On-Road Fac.'!$D$5)</f>
        <v>493.02699501969931</v>
      </c>
      <c r="J12" s="135">
        <f>I324/(1+'On-Road Fac.'!$D$5)</f>
        <v>491.13557900150994</v>
      </c>
      <c r="K12" s="135">
        <f>J324/(1+'On-Road Fac.'!$D$5)</f>
        <v>487.62642343137918</v>
      </c>
      <c r="L12" s="135">
        <f>K324/(1+'On-Road Fac.'!$D$5)</f>
        <v>485.77879797556989</v>
      </c>
      <c r="M12" s="135">
        <f>L324/(1+'On-Road Fac.'!$D$5)</f>
        <v>488.95606334996853</v>
      </c>
      <c r="N12" s="135">
        <f>M324/(1+'On-Road Fac.'!$D$5)</f>
        <v>491.05534179848866</v>
      </c>
      <c r="O12" s="135">
        <f>N324/(1+'On-Road Fac.'!$D$5)</f>
        <v>491.36195028476715</v>
      </c>
      <c r="P12" s="135">
        <f>O324/(1+'On-Road Fac.'!$D$5)</f>
        <v>492.35360153427888</v>
      </c>
      <c r="Q12" s="135">
        <f>P324/(1+'On-Road Fac.'!$D$5)</f>
        <v>490.49628079603173</v>
      </c>
      <c r="R12" s="135">
        <f>Q324/(1+'On-Road Fac.'!$D$5)</f>
        <v>484.36770438577958</v>
      </c>
      <c r="S12" s="135">
        <f>R324/(1+'On-Road Fac.'!$D$5)</f>
        <v>483.75049699227822</v>
      </c>
      <c r="T12" s="135">
        <f>S324/(1+'On-Road Fac.'!$D$5)</f>
        <v>489.46087811192785</v>
      </c>
      <c r="U12" s="135">
        <f>T324/(1+'On-Road Fac.'!$D$5)</f>
        <v>496.26614882546056</v>
      </c>
      <c r="V12" s="135">
        <f>U324/(1+'On-Road Fac.'!$D$5)</f>
        <v>490.96836957192193</v>
      </c>
      <c r="W12" s="135">
        <f>V324/(1+'On-Road Fac.'!$D$5)</f>
        <v>486.03086546286454</v>
      </c>
      <c r="X12" s="135">
        <f>W324/(1+'On-Road Fac.'!$D$5)</f>
        <v>495.32292590930382</v>
      </c>
      <c r="Y12" s="135">
        <f>X324/(1+'On-Road Fac.'!$D$5)</f>
        <v>493.17287658406769</v>
      </c>
      <c r="Z12" s="135">
        <f>Y324/(1+'On-Road Fac.'!$D$5)</f>
        <v>491.60419704579755</v>
      </c>
      <c r="AA12" s="135">
        <f>Z324/(1+'On-Road Fac.'!$D$5)</f>
        <v>484.3269036120314</v>
      </c>
      <c r="AB12" s="135">
        <f>AA324/(1+'On-Road Fac.'!$D$5)</f>
        <v>488.56276999543934</v>
      </c>
      <c r="AC12" s="135">
        <f>AB324/(1+'On-Road Fac.'!$D$5)</f>
        <v>491.4628871340156</v>
      </c>
      <c r="AD12" s="135">
        <f>AC324/(1+'On-Road Fac.'!$D$5)</f>
        <v>486.85490241710806</v>
      </c>
      <c r="AE12" s="448"/>
    </row>
    <row r="13" spans="1:31" s="459" customFormat="1">
      <c r="A13" s="459" t="str">
        <f>Commodities!K18</f>
        <v>TCAR_HEV_DST_00</v>
      </c>
      <c r="B13" s="459" t="s">
        <v>1047</v>
      </c>
      <c r="C13" s="459" t="s">
        <v>935</v>
      </c>
      <c r="D13" s="135">
        <f>C372/(1+'On-Road Fac.'!$D$5)</f>
        <v>492.55495178372917</v>
      </c>
      <c r="E13" s="135">
        <f>D372/(1+'On-Road Fac.'!$D$5)</f>
        <v>491.80710230897688</v>
      </c>
      <c r="F13" s="135">
        <f>E372/(1+'On-Road Fac.'!$D$5)</f>
        <v>492.42630105027416</v>
      </c>
      <c r="G13" s="135">
        <f>F372/(1+'On-Road Fac.'!$D$5)</f>
        <v>499.37028520156093</v>
      </c>
      <c r="H13" s="135">
        <f>G372/(1+'On-Road Fac.'!$D$5)</f>
        <v>494.91148459495184</v>
      </c>
      <c r="I13" s="135">
        <f>H372/(1+'On-Road Fac.'!$D$5)</f>
        <v>490.53491018804414</v>
      </c>
      <c r="J13" s="135">
        <f>I372/(1+'On-Road Fac.'!$D$5)</f>
        <v>484.68400082583696</v>
      </c>
      <c r="K13" s="135">
        <f>J372/(1+'On-Road Fac.'!$D$5)</f>
        <v>490.53491018804414</v>
      </c>
      <c r="L13" s="135">
        <f>K372/(1+'On-Road Fac.'!$D$5)</f>
        <v>487.14226526289264</v>
      </c>
      <c r="M13" s="135">
        <f>L372/(1+'On-Road Fac.'!$D$5)</f>
        <v>481.81057637269379</v>
      </c>
      <c r="N13" s="135">
        <f>M372/(1+'On-Road Fac.'!$D$5)</f>
        <v>502.73163071559514</v>
      </c>
      <c r="O13" s="135">
        <f>N372/(1+'On-Road Fac.'!$D$5)</f>
        <v>495.01664079990093</v>
      </c>
      <c r="P13" s="135">
        <f>O372/(1+'On-Road Fac.'!$D$5)</f>
        <v>485.87716185167784</v>
      </c>
      <c r="Q13" s="135">
        <f>P372/(1+'On-Road Fac.'!$D$5)</f>
        <v>498.16765610214054</v>
      </c>
      <c r="R13" s="135">
        <f>Q372/(1+'On-Road Fac.'!$D$5)</f>
        <v>496.74252871240014</v>
      </c>
      <c r="S13" s="135">
        <f>R372/(1+'On-Road Fac.'!$D$5)</f>
        <v>486.13360389957603</v>
      </c>
      <c r="T13" s="135">
        <f>S372/(1+'On-Road Fac.'!$D$5)</f>
        <v>481.81057637269379</v>
      </c>
      <c r="U13" s="135">
        <f>T372/(1+'On-Road Fac.'!$D$5)</f>
        <v>499.58102043092367</v>
      </c>
      <c r="V13" s="135">
        <f>U372/(1+'On-Road Fac.'!$D$5)</f>
        <v>498.16765610214054</v>
      </c>
      <c r="W13" s="135">
        <f>V372/(1+'On-Road Fac.'!$D$5)</f>
        <v>490.31836414710631</v>
      </c>
      <c r="X13" s="135">
        <f>W372/(1+'On-Road Fac.'!$D$5)</f>
        <v>486.13360389957603</v>
      </c>
      <c r="Y13" s="135">
        <f>X372/(1+'On-Road Fac.'!$D$5)</f>
        <v>481.81057637269379</v>
      </c>
      <c r="Z13" s="135">
        <f>Y372/(1+'On-Road Fac.'!$D$5)</f>
        <v>501.26173443444543</v>
      </c>
      <c r="AA13" s="135">
        <f>Z372/(1+'On-Road Fac.'!$D$5)</f>
        <v>506.23776711077056</v>
      </c>
      <c r="AB13" s="135">
        <f>AA372/(1+'On-Road Fac.'!$D$5)</f>
        <v>502.80620391542016</v>
      </c>
      <c r="AC13" s="135">
        <f>AB372/(1+'On-Road Fac.'!$D$5)</f>
        <v>530.18844807257176</v>
      </c>
      <c r="AD13" s="135">
        <f>AC372/(1+'On-Road Fac.'!$D$5)</f>
        <v>492.88355138112877</v>
      </c>
    </row>
    <row r="14" spans="1:31">
      <c r="A14" s="448" t="str">
        <f>Commodities!K19</f>
        <v>TCAR_PHEV_GSL_00</v>
      </c>
      <c r="B14" s="459" t="s">
        <v>1047</v>
      </c>
      <c r="C14" s="459" t="s">
        <v>935</v>
      </c>
      <c r="D14" s="135">
        <f>C420/(1+'On-Road Fac.'!$D$5)</f>
        <v>640.60354142073538</v>
      </c>
      <c r="E14" s="135">
        <f>D420/(1+'On-Road Fac.'!$D$5)</f>
        <v>654.05503233315869</v>
      </c>
      <c r="F14" s="135">
        <f>E420/(1+'On-Road Fac.'!$D$5)</f>
        <v>640.31103474022063</v>
      </c>
      <c r="G14" s="135">
        <f>F420/(1+'On-Road Fac.'!$D$5)</f>
        <v>648.65711401387512</v>
      </c>
      <c r="H14" s="135">
        <f>G420/(1+'On-Road Fac.'!$D$5)</f>
        <v>639.99952548680687</v>
      </c>
      <c r="I14" s="135">
        <f>H420/(1+'On-Road Fac.'!$D$5)</f>
        <v>637.65878122195852</v>
      </c>
      <c r="J14" s="135">
        <f>I420/(1+'On-Road Fac.'!$D$5)</f>
        <v>646.37011378027864</v>
      </c>
      <c r="K14" s="135">
        <f>J420/(1+'On-Road Fac.'!$D$5)</f>
        <v>639.98747171686466</v>
      </c>
      <c r="L14" s="135">
        <f>K420/(1+'On-Road Fac.'!$D$5)</f>
        <v>651.04243378966828</v>
      </c>
      <c r="M14" s="135">
        <f>L420/(1+'On-Road Fac.'!$D$5)</f>
        <v>640.51115306502049</v>
      </c>
      <c r="N14" s="135">
        <f>M420/(1+'On-Road Fac.'!$D$5)</f>
        <v>644.11792050716372</v>
      </c>
      <c r="O14" s="135">
        <f>N420/(1+'On-Road Fac.'!$D$5)</f>
        <v>640.31896921064845</v>
      </c>
      <c r="P14" s="135">
        <f>O420/(1+'On-Road Fac.'!$D$5)</f>
        <v>643.94305629598136</v>
      </c>
      <c r="Q14" s="135">
        <f>P420/(1+'On-Road Fac.'!$D$5)</f>
        <v>641.87230901974567</v>
      </c>
      <c r="R14" s="135">
        <f>Q420/(1+'On-Road Fac.'!$D$5)</f>
        <v>643.37906895714036</v>
      </c>
      <c r="S14" s="135">
        <f>R420/(1+'On-Road Fac.'!$D$5)</f>
        <v>640.41681864806651</v>
      </c>
      <c r="T14" s="135">
        <f>S420/(1+'On-Road Fac.'!$D$5)</f>
        <v>618.79182575597702</v>
      </c>
      <c r="U14" s="135">
        <f>T420/(1+'On-Road Fac.'!$D$5)</f>
        <v>647.43698974812582</v>
      </c>
      <c r="V14" s="135">
        <f>U420/(1+'On-Road Fac.'!$D$5)</f>
        <v>637.79128837026428</v>
      </c>
      <c r="W14" s="135">
        <f>V420/(1+'On-Road Fac.'!$D$5)</f>
        <v>638.90122612710081</v>
      </c>
      <c r="X14" s="135">
        <f>W420/(1+'On-Road Fac.'!$D$5)</f>
        <v>655.52562122766005</v>
      </c>
      <c r="Y14" s="135">
        <f>X420/(1+'On-Road Fac.'!$D$5)</f>
        <v>642.78551006016028</v>
      </c>
      <c r="Z14" s="135">
        <f>Y420/(1+'On-Road Fac.'!$D$5)</f>
        <v>642.11242532421966</v>
      </c>
      <c r="AA14" s="135">
        <f>Z420/(1+'On-Road Fac.'!$D$5)</f>
        <v>637.02485587260264</v>
      </c>
      <c r="AB14" s="135">
        <f>AA420/(1+'On-Road Fac.'!$D$5)</f>
        <v>643.76335765913041</v>
      </c>
      <c r="AC14" s="135">
        <f>AB420/(1+'On-Road Fac.'!$D$5)</f>
        <v>646.65762676027111</v>
      </c>
      <c r="AD14" s="135">
        <f>AC420/(1+'On-Road Fac.'!$D$5)</f>
        <v>641.21298281229565</v>
      </c>
      <c r="AE14" s="448"/>
    </row>
    <row r="15" spans="1:31">
      <c r="A15" s="448" t="str">
        <f>Commodities!K20</f>
        <v>TCAR_PHEV_DST_00</v>
      </c>
      <c r="B15" s="459" t="s">
        <v>1047</v>
      </c>
      <c r="C15" s="459" t="s">
        <v>935</v>
      </c>
      <c r="D15" s="135">
        <f>C468/(1+'On-Road Fac.'!$D$5)</f>
        <v>632.48823783251896</v>
      </c>
      <c r="E15" s="135">
        <f>D468/(1+'On-Road Fac.'!$D$5)</f>
        <v>346.42546952946822</v>
      </c>
      <c r="F15" s="135">
        <f>E468/(1+'On-Road Fac.'!$D$5)</f>
        <v>637.34452209736469</v>
      </c>
      <c r="G15" s="135">
        <f>F468/(1+'On-Road Fac.'!$D$5)</f>
        <v>628.72419405943629</v>
      </c>
      <c r="H15" s="135">
        <f>G468/(1+'On-Road Fac.'!$D$5)</f>
        <v>346.42546952946822</v>
      </c>
      <c r="I15" s="135">
        <f>H468/(1+'On-Road Fac.'!$D$5)</f>
        <v>346.42546952946822</v>
      </c>
      <c r="J15" s="135">
        <f>I468/(1+'On-Road Fac.'!$D$5)</f>
        <v>346.42546952946822</v>
      </c>
      <c r="K15" s="135">
        <f>J468/(1+'On-Road Fac.'!$D$5)</f>
        <v>346.42546952946822</v>
      </c>
      <c r="L15" s="135">
        <f>K468/(1+'On-Road Fac.'!$D$5)</f>
        <v>346.42546952946822</v>
      </c>
      <c r="M15" s="135">
        <f>L468/(1+'On-Road Fac.'!$D$5)</f>
        <v>346.42546952946822</v>
      </c>
      <c r="N15" s="135">
        <f>M468/(1+'On-Road Fac.'!$D$5)</f>
        <v>346.42546952946822</v>
      </c>
      <c r="O15" s="135">
        <f>N468/(1+'On-Road Fac.'!$D$5)</f>
        <v>346.42546952946822</v>
      </c>
      <c r="P15" s="135">
        <f>O468/(1+'On-Road Fac.'!$D$5)</f>
        <v>346.42546952946822</v>
      </c>
      <c r="Q15" s="135">
        <f>P468/(1+'On-Road Fac.'!$D$5)</f>
        <v>628.72419405943629</v>
      </c>
      <c r="R15" s="135">
        <f>Q468/(1+'On-Road Fac.'!$D$5)</f>
        <v>628.72419405943629</v>
      </c>
      <c r="S15" s="135">
        <f>R468/(1+'On-Road Fac.'!$D$5)</f>
        <v>346.42546952946822</v>
      </c>
      <c r="T15" s="135">
        <f>S468/(1+'On-Road Fac.'!$D$5)</f>
        <v>346.42546952946822</v>
      </c>
      <c r="U15" s="135">
        <f>T468/(1+'On-Road Fac.'!$D$5)</f>
        <v>346.42546952946822</v>
      </c>
      <c r="V15" s="135">
        <f>U468/(1+'On-Road Fac.'!$D$5)</f>
        <v>346.42546952946822</v>
      </c>
      <c r="W15" s="135">
        <f>V468/(1+'On-Road Fac.'!$D$5)</f>
        <v>346.42546952946822</v>
      </c>
      <c r="X15" s="135">
        <f>W468/(1+'On-Road Fac.'!$D$5)</f>
        <v>346.42546952946822</v>
      </c>
      <c r="Y15" s="135">
        <f>X468/(1+'On-Road Fac.'!$D$5)</f>
        <v>346.42546952946822</v>
      </c>
      <c r="Z15" s="135">
        <f>Y468/(1+'On-Road Fac.'!$D$5)</f>
        <v>346.42546952946822</v>
      </c>
      <c r="AA15" s="135">
        <f>Z468/(1+'On-Road Fac.'!$D$5)</f>
        <v>346.42546952946822</v>
      </c>
      <c r="AB15" s="135">
        <f>AA468/(1+'On-Road Fac.'!$D$5)</f>
        <v>346.42546952946822</v>
      </c>
      <c r="AC15" s="135">
        <f>AB468/(1+'On-Road Fac.'!$D$5)</f>
        <v>346.42546952946822</v>
      </c>
      <c r="AD15" s="135">
        <f>AC468/(1+'On-Road Fac.'!$D$5)</f>
        <v>346.42546952946822</v>
      </c>
      <c r="AE15" s="448"/>
    </row>
    <row r="16" spans="1:31">
      <c r="A16" s="448" t="str">
        <f>Commodities!K21</f>
        <v>TCAR_BEV_00</v>
      </c>
      <c r="B16" s="459" t="s">
        <v>1047</v>
      </c>
      <c r="C16" s="459" t="s">
        <v>935</v>
      </c>
      <c r="D16" s="135">
        <f>C516/(1+'On-Road Fac.'!$D$5)</f>
        <v>1173.2287821328744</v>
      </c>
      <c r="E16" s="135">
        <f>D516/(1+'On-Road Fac.'!$D$5)</f>
        <v>1231.9897183066071</v>
      </c>
      <c r="F16" s="135">
        <f>E516/(1+'On-Road Fac.'!$D$5)</f>
        <v>1172.1267841211363</v>
      </c>
      <c r="G16" s="135">
        <f>F516/(1+'On-Road Fac.'!$D$5)</f>
        <v>1167.3428558666337</v>
      </c>
      <c r="H16" s="135">
        <f>G516/(1+'On-Road Fac.'!$D$5)</f>
        <v>1152.635929071798</v>
      </c>
      <c r="I16" s="135">
        <f>H516/(1+'On-Road Fac.'!$D$5)</f>
        <v>1140.9696847248961</v>
      </c>
      <c r="J16" s="135">
        <f>I516/(1+'On-Road Fac.'!$D$5)</f>
        <v>1204.8628877531571</v>
      </c>
      <c r="K16" s="135">
        <f>J516/(1+'On-Road Fac.'!$D$5)</f>
        <v>1167.7575539058378</v>
      </c>
      <c r="L16" s="135">
        <f>K516/(1+'On-Road Fac.'!$D$5)</f>
        <v>1170.4169455809094</v>
      </c>
      <c r="M16" s="135">
        <f>L516/(1+'On-Road Fac.'!$D$5)</f>
        <v>1237.0464868469317</v>
      </c>
      <c r="N16" s="135">
        <f>M516/(1+'On-Road Fac.'!$D$5)</f>
        <v>1156.3382533854615</v>
      </c>
      <c r="O16" s="135">
        <f>N516/(1+'On-Road Fac.'!$D$5)</f>
        <v>1162.1703795208439</v>
      </c>
      <c r="P16" s="135">
        <f>O516/(1+'On-Road Fac.'!$D$5)</f>
        <v>1169.7730450059598</v>
      </c>
      <c r="Q16" s="135">
        <f>P516/(1+'On-Road Fac.'!$D$5)</f>
        <v>1179.4477106438494</v>
      </c>
      <c r="R16" s="135">
        <f>Q516/(1+'On-Road Fac.'!$D$5)</f>
        <v>1170.2244095064209</v>
      </c>
      <c r="S16" s="135">
        <f>R516/(1+'On-Road Fac.'!$D$5)</f>
        <v>1183.142465558836</v>
      </c>
      <c r="T16" s="135">
        <f>S516/(1+'On-Road Fac.'!$D$5)</f>
        <v>1160.8780175038391</v>
      </c>
      <c r="U16" s="135">
        <f>T516/(1+'On-Road Fac.'!$D$5)</f>
        <v>1172.3683314782265</v>
      </c>
      <c r="V16" s="135">
        <f>U516/(1+'On-Road Fac.'!$D$5)</f>
        <v>1184.1302265409483</v>
      </c>
      <c r="W16" s="135">
        <f>V516/(1+'On-Road Fac.'!$D$5)</f>
        <v>1169.4047507491546</v>
      </c>
      <c r="X16" s="135">
        <f>W516/(1+'On-Road Fac.'!$D$5)</f>
        <v>1232.5893814443834</v>
      </c>
      <c r="Y16" s="135">
        <f>X516/(1+'On-Road Fac.'!$D$5)</f>
        <v>1141.3875927280292</v>
      </c>
      <c r="Z16" s="135">
        <f>Y516/(1+'On-Road Fac.'!$D$5)</f>
        <v>1238.1337957445817</v>
      </c>
      <c r="AA16" s="135">
        <f>Z516/(1+'On-Road Fac.'!$D$5)</f>
        <v>1237.0464868469317</v>
      </c>
      <c r="AB16" s="135">
        <f>AA516/(1+'On-Road Fac.'!$D$5)</f>
        <v>1215.9942650500634</v>
      </c>
      <c r="AC16" s="135">
        <f>AB516/(1+'On-Road Fac.'!$D$5)</f>
        <v>1217.4455715077845</v>
      </c>
      <c r="AD16" s="135">
        <f>AC516/(1+'On-Road Fac.'!$D$5)</f>
        <v>1239.1526875019642</v>
      </c>
    </row>
    <row r="17" spans="1:30">
      <c r="A17" s="448" t="str">
        <f>Commodities!K23</f>
        <v>TTAXI_ICE_GSL_00</v>
      </c>
      <c r="B17" s="459" t="s">
        <v>1047</v>
      </c>
      <c r="C17" s="459" t="s">
        <v>935</v>
      </c>
      <c r="D17" s="135">
        <f>C564/(1+'On-Road Fac.'!$D$5)</f>
        <v>380.16954306066924</v>
      </c>
      <c r="E17" s="135">
        <f>D564/(1+'On-Road Fac.'!$D$5)</f>
        <v>354.39129483975012</v>
      </c>
      <c r="F17" s="135">
        <f>E564/(1+'On-Road Fac.'!$D$5)</f>
        <v>382.34696617496132</v>
      </c>
      <c r="G17" s="135">
        <f>F564/(1+'On-Road Fac.'!$D$5)</f>
        <v>381.32982653224337</v>
      </c>
      <c r="H17" s="135">
        <f>G564/(1+'On-Road Fac.'!$D$5)</f>
        <v>376.94540246294929</v>
      </c>
      <c r="I17" s="135">
        <f>H564/(1+'On-Road Fac.'!$D$5)</f>
        <v>372.82795281558617</v>
      </c>
      <c r="J17" s="135">
        <f>I564/(1+'On-Road Fac.'!$D$5)</f>
        <v>341.72330074803892</v>
      </c>
      <c r="K17" s="135">
        <f>J564/(1+'On-Road Fac.'!$D$5)</f>
        <v>373.8597704583849</v>
      </c>
      <c r="L17" s="135">
        <f>K564/(1+'On-Road Fac.'!$D$5)</f>
        <v>374.19559882079403</v>
      </c>
      <c r="M17" s="135">
        <f>L564/(1+'On-Road Fac.'!$D$5)</f>
        <v>359.56111767483395</v>
      </c>
      <c r="N17" s="135">
        <f>M564/(1+'On-Road Fac.'!$D$5)</f>
        <v>379.85109854399502</v>
      </c>
      <c r="O17" s="135">
        <f>N564/(1+'On-Road Fac.'!$D$5)</f>
        <v>373.0939723825345</v>
      </c>
      <c r="P17" s="135">
        <f>O564/(1+'On-Road Fac.'!$D$5)</f>
        <v>371.43444192771227</v>
      </c>
      <c r="Q17" s="135">
        <f>P564/(1+'On-Road Fac.'!$D$5)</f>
        <v>379.76795320515214</v>
      </c>
      <c r="R17" s="135">
        <f>Q564/(1+'On-Road Fac.'!$D$5)</f>
        <v>380.51101807819578</v>
      </c>
      <c r="S17" s="135">
        <f>R564/(1+'On-Road Fac.'!$D$5)</f>
        <v>370.77389710675283</v>
      </c>
      <c r="T17" s="135">
        <f>S564/(1+'On-Road Fac.'!$D$5)</f>
        <v>382.10034899870089</v>
      </c>
      <c r="U17" s="135">
        <f>T564/(1+'On-Road Fac.'!$D$5)</f>
        <v>372.36336506218777</v>
      </c>
      <c r="V17" s="135">
        <f>U564/(1+'On-Road Fac.'!$D$5)</f>
        <v>377.71387808713621</v>
      </c>
      <c r="W17" s="135">
        <f>V564/(1+'On-Road Fac.'!$D$5)</f>
        <v>373.24912875233292</v>
      </c>
      <c r="X17" s="135">
        <f>W564/(1+'On-Road Fac.'!$D$5)</f>
        <v>380.16954306066924</v>
      </c>
      <c r="Y17" s="135">
        <f>X564/(1+'On-Road Fac.'!$D$5)</f>
        <v>375.80164735485658</v>
      </c>
      <c r="Z17" s="135">
        <f>Y564/(1+'On-Road Fac.'!$D$5)</f>
        <v>349.92700068852537</v>
      </c>
      <c r="AA17" s="135">
        <f>Z564/(1+'On-Road Fac.'!$D$5)</f>
        <v>378.06019419476127</v>
      </c>
      <c r="AB17" s="135">
        <f>AA564/(1+'On-Road Fac.'!$D$5)</f>
        <v>382.8020220199013</v>
      </c>
      <c r="AC17" s="135">
        <f>AB564/(1+'On-Road Fac.'!$D$5)</f>
        <v>381.17605454681097</v>
      </c>
      <c r="AD17" s="135">
        <f>AC564/(1+'On-Road Fac.'!$D$5)</f>
        <v>345.30230890443545</v>
      </c>
    </row>
    <row r="18" spans="1:30">
      <c r="A18" s="448" t="str">
        <f>Commodities!K24</f>
        <v>TTAXI_ICE_DST_00</v>
      </c>
      <c r="B18" s="459" t="s">
        <v>1047</v>
      </c>
      <c r="C18" s="459" t="s">
        <v>935</v>
      </c>
      <c r="D18" s="135">
        <f>C612/(1+'On-Road Fac.'!$D$5)</f>
        <v>418.24523778353</v>
      </c>
      <c r="E18" s="135">
        <f>D612/(1+'On-Road Fac.'!$D$5)</f>
        <v>417.35102902840782</v>
      </c>
      <c r="F18" s="135">
        <f>E612/(1+'On-Road Fac.'!$D$5)</f>
        <v>423.84506513812613</v>
      </c>
      <c r="G18" s="135">
        <f>F612/(1+'On-Road Fac.'!$D$5)</f>
        <v>417.68252532069192</v>
      </c>
      <c r="H18" s="135">
        <f>G612/(1+'On-Road Fac.'!$D$5)</f>
        <v>420.89355195341642</v>
      </c>
      <c r="I18" s="135">
        <f>H612/(1+'On-Road Fac.'!$D$5)</f>
        <v>424.70572798360223</v>
      </c>
      <c r="J18" s="135">
        <f>I612/(1+'On-Road Fac.'!$D$5)</f>
        <v>411.13831796824093</v>
      </c>
      <c r="K18" s="135">
        <f>J612/(1+'On-Road Fac.'!$D$5)</f>
        <v>413.09356798488182</v>
      </c>
      <c r="L18" s="135">
        <f>K612/(1+'On-Road Fac.'!$D$5)</f>
        <v>417.83782712668193</v>
      </c>
      <c r="M18" s="135">
        <f>L612/(1+'On-Road Fac.'!$D$5)</f>
        <v>405.65275501685795</v>
      </c>
      <c r="N18" s="135">
        <f>M612/(1+'On-Road Fac.'!$D$5)</f>
        <v>417.6491359141682</v>
      </c>
      <c r="O18" s="135">
        <f>N612/(1+'On-Road Fac.'!$D$5)</f>
        <v>412.85986046481651</v>
      </c>
      <c r="P18" s="135">
        <f>O612/(1+'On-Road Fac.'!$D$5)</f>
        <v>406.45262514758724</v>
      </c>
      <c r="Q18" s="135">
        <f>P612/(1+'On-Road Fac.'!$D$5)</f>
        <v>400.951154620919</v>
      </c>
      <c r="R18" s="135">
        <f>Q612/(1+'On-Road Fac.'!$D$5)</f>
        <v>419.35059545813971</v>
      </c>
      <c r="S18" s="135">
        <f>R612/(1+'On-Road Fac.'!$D$5)</f>
        <v>399.96313751653258</v>
      </c>
      <c r="T18" s="135">
        <f>S612/(1+'On-Road Fac.'!$D$5)</f>
        <v>406.43018159014531</v>
      </c>
      <c r="U18" s="135">
        <f>T612/(1+'On-Road Fac.'!$D$5)</f>
        <v>402.37788409370341</v>
      </c>
      <c r="V18" s="135">
        <f>U612/(1+'On-Road Fac.'!$D$5)</f>
        <v>417.66241832180424</v>
      </c>
      <c r="W18" s="135">
        <f>V612/(1+'On-Road Fac.'!$D$5)</f>
        <v>409.81343563868722</v>
      </c>
      <c r="X18" s="135">
        <f>W612/(1+'On-Road Fac.'!$D$5)</f>
        <v>418.24523778353</v>
      </c>
      <c r="Y18" s="135">
        <f>X612/(1+'On-Road Fac.'!$D$5)</f>
        <v>406.90302650758213</v>
      </c>
      <c r="Z18" s="135">
        <f>Y612/(1+'On-Road Fac.'!$D$5)</f>
        <v>414.42404362056624</v>
      </c>
      <c r="AA18" s="135">
        <f>Z612/(1+'On-Road Fac.'!$D$5)</f>
        <v>416.40694133851781</v>
      </c>
      <c r="AB18" s="135">
        <f>AA612/(1+'On-Road Fac.'!$D$5)</f>
        <v>416.97454622004005</v>
      </c>
      <c r="AC18" s="135">
        <f>AB612/(1+'On-Road Fac.'!$D$5)</f>
        <v>410.50859774274483</v>
      </c>
      <c r="AD18" s="135">
        <f>AC612/(1+'On-Road Fac.'!$D$5)</f>
        <v>407.83458630990293</v>
      </c>
    </row>
    <row r="19" spans="1:30">
      <c r="A19" s="448" t="str">
        <f>Commodities!K25</f>
        <v>TTAXI_HEV_GSL_00</v>
      </c>
      <c r="B19" s="459" t="s">
        <v>1047</v>
      </c>
      <c r="C19" s="459" t="s">
        <v>935</v>
      </c>
      <c r="D19" s="135">
        <f>C660/(1+'On-Road Fac.'!$D$5)</f>
        <v>493.2131815663169</v>
      </c>
      <c r="E19" s="135">
        <f>D660/(1+'On-Road Fac.'!$D$5)</f>
        <v>482.49903430873485</v>
      </c>
      <c r="F19" s="135">
        <f>E660/(1+'On-Road Fac.'!$D$5)</f>
        <v>493.55512564804246</v>
      </c>
      <c r="G19" s="135">
        <f>F660/(1+'On-Road Fac.'!$D$5)</f>
        <v>493.40332134817419</v>
      </c>
      <c r="H19" s="135">
        <f>G660/(1+'On-Road Fac.'!$D$5)</f>
        <v>437.01804019100189</v>
      </c>
      <c r="I19" s="135">
        <f>H660/(1+'On-Road Fac.'!$D$5)</f>
        <v>502.06759924561578</v>
      </c>
      <c r="J19" s="135">
        <f>I660/(1+'On-Road Fac.'!$D$5)</f>
        <v>493.2131815663169</v>
      </c>
      <c r="K19" s="135">
        <f>J660/(1+'On-Road Fac.'!$D$5)</f>
        <v>478.323500225185</v>
      </c>
      <c r="L19" s="135">
        <f>K660/(1+'On-Road Fac.'!$D$5)</f>
        <v>495.61891153260427</v>
      </c>
      <c r="M19" s="135">
        <f>L660/(1+'On-Road Fac.'!$D$5)</f>
        <v>492.27589454389022</v>
      </c>
      <c r="N19" s="135">
        <f>M660/(1+'On-Road Fac.'!$D$5)</f>
        <v>489.36736026616245</v>
      </c>
      <c r="O19" s="135">
        <f>N660/(1+'On-Road Fac.'!$D$5)</f>
        <v>492.27589454389022</v>
      </c>
      <c r="P19" s="135">
        <f>O660/(1+'On-Road Fac.'!$D$5)</f>
        <v>486.2130531514332</v>
      </c>
      <c r="Q19" s="135">
        <f>P660/(1+'On-Road Fac.'!$D$5)</f>
        <v>498.74405001309862</v>
      </c>
      <c r="R19" s="135">
        <f>Q660/(1+'On-Road Fac.'!$D$5)</f>
        <v>496.79778194196939</v>
      </c>
      <c r="S19" s="135">
        <f>R660/(1+'On-Road Fac.'!$D$5)</f>
        <v>513.32288625945137</v>
      </c>
      <c r="T19" s="135">
        <f>S660/(1+'On-Road Fac.'!$D$5)</f>
        <v>497.71017750157614</v>
      </c>
      <c r="U19" s="135">
        <f>T660/(1+'On-Road Fac.'!$D$5)</f>
        <v>471.5857435087018</v>
      </c>
      <c r="V19" s="135">
        <f>U660/(1+'On-Road Fac.'!$D$5)</f>
        <v>489.74013946395922</v>
      </c>
      <c r="W19" s="135">
        <f>V660/(1+'On-Road Fac.'!$D$5)</f>
        <v>472.55058340540216</v>
      </c>
      <c r="X19" s="135">
        <f>W660/(1+'On-Road Fac.'!$D$5)</f>
        <v>493.2131815663169</v>
      </c>
      <c r="Y19" s="135">
        <f>X660/(1+'On-Road Fac.'!$D$5)</f>
        <v>503.70782216956576</v>
      </c>
      <c r="Z19" s="135">
        <f>Y660/(1+'On-Road Fac.'!$D$5)</f>
        <v>493.2131815663169</v>
      </c>
      <c r="AA19" s="135">
        <f>Z660/(1+'On-Road Fac.'!$D$5)</f>
        <v>491.00474309922117</v>
      </c>
      <c r="AB19" s="135">
        <f>AA660/(1+'On-Road Fac.'!$D$5)</f>
        <v>588.85089886923743</v>
      </c>
      <c r="AC19" s="135">
        <f>AB660/(1+'On-Road Fac.'!$D$5)</f>
        <v>492.27589454389022</v>
      </c>
      <c r="AD19" s="135">
        <f>AC660/(1+'On-Road Fac.'!$D$5)</f>
        <v>493.2131815663169</v>
      </c>
    </row>
    <row r="20" spans="1:30">
      <c r="A20" t="str">
        <f>Commodities!K27</f>
        <v>TBUS_ICE_DST_00</v>
      </c>
      <c r="B20" s="459" t="s">
        <v>1047</v>
      </c>
      <c r="C20" s="459" t="s">
        <v>935</v>
      </c>
      <c r="D20" s="569">
        <v>98.42</v>
      </c>
      <c r="E20" s="135">
        <f t="shared" ref="E20:E23" si="0">D20</f>
        <v>98.42</v>
      </c>
      <c r="F20" s="135">
        <f t="shared" ref="F20:AD26" si="1">E20</f>
        <v>98.42</v>
      </c>
      <c r="G20" s="135">
        <f t="shared" si="1"/>
        <v>98.42</v>
      </c>
      <c r="H20" s="135">
        <f t="shared" si="1"/>
        <v>98.42</v>
      </c>
      <c r="I20" s="135">
        <f t="shared" si="1"/>
        <v>98.42</v>
      </c>
      <c r="J20" s="135">
        <f t="shared" si="1"/>
        <v>98.42</v>
      </c>
      <c r="K20" s="135">
        <f t="shared" si="1"/>
        <v>98.42</v>
      </c>
      <c r="L20" s="135">
        <f t="shared" si="1"/>
        <v>98.42</v>
      </c>
      <c r="M20" s="135">
        <f t="shared" si="1"/>
        <v>98.42</v>
      </c>
      <c r="N20" s="135">
        <f t="shared" si="1"/>
        <v>98.42</v>
      </c>
      <c r="O20" s="135">
        <f t="shared" si="1"/>
        <v>98.42</v>
      </c>
      <c r="P20" s="135">
        <f t="shared" si="1"/>
        <v>98.42</v>
      </c>
      <c r="Q20" s="135">
        <f t="shared" si="1"/>
        <v>98.42</v>
      </c>
      <c r="R20" s="135">
        <f t="shared" si="1"/>
        <v>98.42</v>
      </c>
      <c r="S20" s="135">
        <f t="shared" si="1"/>
        <v>98.42</v>
      </c>
      <c r="T20" s="135">
        <f t="shared" si="1"/>
        <v>98.42</v>
      </c>
      <c r="U20" s="135">
        <f t="shared" si="1"/>
        <v>98.42</v>
      </c>
      <c r="V20" s="135">
        <f t="shared" si="1"/>
        <v>98.42</v>
      </c>
      <c r="W20" s="135">
        <f t="shared" si="1"/>
        <v>98.42</v>
      </c>
      <c r="X20" s="135">
        <f t="shared" si="1"/>
        <v>98.42</v>
      </c>
      <c r="Y20" s="135">
        <f t="shared" si="1"/>
        <v>98.42</v>
      </c>
      <c r="Z20" s="135">
        <f t="shared" si="1"/>
        <v>98.42</v>
      </c>
      <c r="AA20" s="135">
        <f t="shared" si="1"/>
        <v>98.42</v>
      </c>
      <c r="AB20" s="135">
        <f t="shared" si="1"/>
        <v>98.42</v>
      </c>
      <c r="AC20" s="135">
        <f t="shared" si="1"/>
        <v>98.42</v>
      </c>
      <c r="AD20" s="135">
        <f t="shared" si="1"/>
        <v>98.42</v>
      </c>
    </row>
    <row r="21" spans="1:30">
      <c r="A21" s="448" t="str">
        <f>Commodities!K29</f>
        <v>TLRAIL_ELC_00</v>
      </c>
      <c r="B21" s="459" t="s">
        <v>1047</v>
      </c>
      <c r="C21" s="459" t="s">
        <v>935</v>
      </c>
      <c r="D21" s="569">
        <v>40.299999999999997</v>
      </c>
      <c r="E21" s="6">
        <f t="shared" si="0"/>
        <v>40.299999999999997</v>
      </c>
      <c r="F21" s="6">
        <f t="shared" si="1"/>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row>
    <row r="22" spans="1:30">
      <c r="A22" s="459" t="str">
        <f>Commodities!K30</f>
        <v>THRAIL_ELC_00</v>
      </c>
      <c r="B22" s="459" t="s">
        <v>1047</v>
      </c>
      <c r="C22" s="459" t="s">
        <v>935</v>
      </c>
      <c r="D22" s="569">
        <v>40.299999999999997</v>
      </c>
      <c r="E22" s="6">
        <f t="shared" si="0"/>
        <v>40.299999999999997</v>
      </c>
      <c r="F22" s="6">
        <f t="shared" si="1"/>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row>
    <row r="23" spans="1:30" s="459" customFormat="1">
      <c r="A23" s="459" t="str">
        <f>Commodities!K31</f>
        <v>THRAIL_DST_00</v>
      </c>
      <c r="B23" s="459" t="s">
        <v>1047</v>
      </c>
      <c r="C23" s="459" t="s">
        <v>935</v>
      </c>
      <c r="D23" s="569">
        <v>13</v>
      </c>
      <c r="E23" s="6">
        <f t="shared" si="0"/>
        <v>13</v>
      </c>
      <c r="F23" s="6">
        <f t="shared" si="1"/>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row>
    <row r="24" spans="1:30" s="459" customFormat="1">
      <c r="A24" s="459" t="str">
        <f>Commodities!K34</f>
        <v>TFGV_GSL_00</v>
      </c>
      <c r="B24" s="459" t="s">
        <v>1047</v>
      </c>
      <c r="C24" s="459" t="s">
        <v>935</v>
      </c>
      <c r="D24" s="569">
        <v>177.89527717035119</v>
      </c>
      <c r="E24" s="643">
        <f>D24</f>
        <v>177.89527717035119</v>
      </c>
      <c r="F24" s="643">
        <f t="shared" si="1"/>
        <v>177.89527717035119</v>
      </c>
      <c r="G24" s="643">
        <f t="shared" si="1"/>
        <v>177.89527717035119</v>
      </c>
      <c r="H24" s="643">
        <f t="shared" si="1"/>
        <v>177.89527717035119</v>
      </c>
      <c r="I24" s="643">
        <f t="shared" si="1"/>
        <v>177.89527717035119</v>
      </c>
      <c r="J24" s="643">
        <f t="shared" si="1"/>
        <v>177.89527717035119</v>
      </c>
      <c r="K24" s="643">
        <f t="shared" si="1"/>
        <v>177.89527717035119</v>
      </c>
      <c r="L24" s="643">
        <f t="shared" si="1"/>
        <v>177.89527717035119</v>
      </c>
      <c r="M24" s="643">
        <f t="shared" si="1"/>
        <v>177.89527717035119</v>
      </c>
      <c r="N24" s="643">
        <f t="shared" si="1"/>
        <v>177.89527717035119</v>
      </c>
      <c r="O24" s="643">
        <f t="shared" si="1"/>
        <v>177.89527717035119</v>
      </c>
      <c r="P24" s="643">
        <f t="shared" si="1"/>
        <v>177.89527717035119</v>
      </c>
      <c r="Q24" s="643">
        <f t="shared" si="1"/>
        <v>177.89527717035119</v>
      </c>
      <c r="R24" s="643">
        <f t="shared" si="1"/>
        <v>177.89527717035119</v>
      </c>
      <c r="S24" s="643">
        <f t="shared" si="1"/>
        <v>177.89527717035119</v>
      </c>
      <c r="T24" s="643">
        <f t="shared" si="1"/>
        <v>177.89527717035119</v>
      </c>
      <c r="U24" s="643">
        <f t="shared" si="1"/>
        <v>177.89527717035119</v>
      </c>
      <c r="V24" s="643">
        <f t="shared" si="1"/>
        <v>177.89527717035119</v>
      </c>
      <c r="W24" s="643">
        <f t="shared" si="1"/>
        <v>177.89527717035119</v>
      </c>
      <c r="X24" s="643">
        <f t="shared" si="1"/>
        <v>177.89527717035119</v>
      </c>
      <c r="Y24" s="643">
        <f t="shared" si="1"/>
        <v>177.89527717035119</v>
      </c>
      <c r="Z24" s="643">
        <f t="shared" si="1"/>
        <v>177.89527717035119</v>
      </c>
      <c r="AA24" s="643">
        <f t="shared" si="1"/>
        <v>177.89527717035119</v>
      </c>
      <c r="AB24" s="643">
        <f t="shared" si="1"/>
        <v>177.89527717035119</v>
      </c>
      <c r="AC24" s="643">
        <f t="shared" si="1"/>
        <v>177.89527717035119</v>
      </c>
      <c r="AD24" s="643">
        <f t="shared" si="1"/>
        <v>177.89527717035119</v>
      </c>
    </row>
    <row r="25" spans="1:30" s="459" customFormat="1">
      <c r="A25" s="459" t="str">
        <f>Commodities!K35</f>
        <v>TFGV_DST_00</v>
      </c>
      <c r="B25" s="459" t="s">
        <v>1047</v>
      </c>
      <c r="C25" s="459" t="s">
        <v>935</v>
      </c>
      <c r="D25" s="569">
        <v>177.9</v>
      </c>
      <c r="E25" s="643">
        <f t="shared" ref="E25:T26" si="2">D25</f>
        <v>177.9</v>
      </c>
      <c r="F25" s="643">
        <f t="shared" si="2"/>
        <v>177.9</v>
      </c>
      <c r="G25" s="643">
        <f t="shared" si="2"/>
        <v>177.9</v>
      </c>
      <c r="H25" s="643">
        <f t="shared" si="2"/>
        <v>177.9</v>
      </c>
      <c r="I25" s="643">
        <f t="shared" si="2"/>
        <v>177.9</v>
      </c>
      <c r="J25" s="643">
        <f t="shared" si="2"/>
        <v>177.9</v>
      </c>
      <c r="K25" s="643">
        <f t="shared" si="2"/>
        <v>177.9</v>
      </c>
      <c r="L25" s="643">
        <f t="shared" si="2"/>
        <v>177.9</v>
      </c>
      <c r="M25" s="643">
        <f t="shared" si="2"/>
        <v>177.9</v>
      </c>
      <c r="N25" s="643">
        <f t="shared" si="2"/>
        <v>177.9</v>
      </c>
      <c r="O25" s="643">
        <f t="shared" si="2"/>
        <v>177.9</v>
      </c>
      <c r="P25" s="643">
        <f t="shared" si="2"/>
        <v>177.9</v>
      </c>
      <c r="Q25" s="643">
        <f t="shared" si="2"/>
        <v>177.9</v>
      </c>
      <c r="R25" s="643">
        <f t="shared" si="2"/>
        <v>177.9</v>
      </c>
      <c r="S25" s="643">
        <f t="shared" si="2"/>
        <v>177.9</v>
      </c>
      <c r="T25" s="643">
        <f t="shared" si="2"/>
        <v>177.9</v>
      </c>
      <c r="U25" s="643">
        <f t="shared" si="1"/>
        <v>177.9</v>
      </c>
      <c r="V25" s="643">
        <f t="shared" si="1"/>
        <v>177.9</v>
      </c>
      <c r="W25" s="643">
        <f t="shared" si="1"/>
        <v>177.9</v>
      </c>
      <c r="X25" s="643">
        <f t="shared" si="1"/>
        <v>177.9</v>
      </c>
      <c r="Y25" s="643">
        <f t="shared" si="1"/>
        <v>177.9</v>
      </c>
      <c r="Z25" s="643">
        <f t="shared" si="1"/>
        <v>177.9</v>
      </c>
      <c r="AA25" s="643">
        <f t="shared" si="1"/>
        <v>177.9</v>
      </c>
      <c r="AB25" s="643">
        <f t="shared" si="1"/>
        <v>177.9</v>
      </c>
      <c r="AC25" s="643">
        <f t="shared" si="1"/>
        <v>177.9</v>
      </c>
      <c r="AD25" s="643">
        <f t="shared" si="1"/>
        <v>177.9</v>
      </c>
    </row>
    <row r="26" spans="1:30" s="459" customFormat="1">
      <c r="A26" s="459" t="str">
        <f>Commodities!K36</f>
        <v>TFRAIL_DST_00</v>
      </c>
      <c r="B26" s="459" t="s">
        <v>1047</v>
      </c>
      <c r="C26" s="459" t="s">
        <v>935</v>
      </c>
      <c r="D26" s="570">
        <v>4.7112409841113401</v>
      </c>
      <c r="E26" s="643">
        <f t="shared" si="2"/>
        <v>4.7112409841113401</v>
      </c>
      <c r="F26" s="643">
        <f t="shared" si="1"/>
        <v>4.7112409841113401</v>
      </c>
      <c r="G26" s="643">
        <f t="shared" si="1"/>
        <v>4.7112409841113401</v>
      </c>
      <c r="H26" s="643">
        <f t="shared" si="1"/>
        <v>4.7112409841113401</v>
      </c>
      <c r="I26" s="643">
        <f t="shared" si="1"/>
        <v>4.7112409841113401</v>
      </c>
      <c r="J26" s="643">
        <f t="shared" si="1"/>
        <v>4.7112409841113401</v>
      </c>
      <c r="K26" s="643">
        <f t="shared" si="1"/>
        <v>4.7112409841113401</v>
      </c>
      <c r="L26" s="643">
        <f t="shared" si="1"/>
        <v>4.7112409841113401</v>
      </c>
      <c r="M26" s="643">
        <f t="shared" si="1"/>
        <v>4.7112409841113401</v>
      </c>
      <c r="N26" s="643">
        <f t="shared" si="1"/>
        <v>4.7112409841113401</v>
      </c>
      <c r="O26" s="643">
        <f t="shared" si="1"/>
        <v>4.7112409841113401</v>
      </c>
      <c r="P26" s="643">
        <f t="shared" si="1"/>
        <v>4.7112409841113401</v>
      </c>
      <c r="Q26" s="643">
        <f t="shared" si="1"/>
        <v>4.7112409841113401</v>
      </c>
      <c r="R26" s="643">
        <f t="shared" si="1"/>
        <v>4.7112409841113401</v>
      </c>
      <c r="S26" s="643">
        <f t="shared" si="1"/>
        <v>4.7112409841113401</v>
      </c>
      <c r="T26" s="643">
        <f t="shared" si="1"/>
        <v>4.7112409841113401</v>
      </c>
      <c r="U26" s="643">
        <f t="shared" si="1"/>
        <v>4.7112409841113401</v>
      </c>
      <c r="V26" s="643">
        <f t="shared" si="1"/>
        <v>4.7112409841113401</v>
      </c>
      <c r="W26" s="643">
        <f t="shared" si="1"/>
        <v>4.7112409841113401</v>
      </c>
      <c r="X26" s="643">
        <f t="shared" si="1"/>
        <v>4.7112409841113401</v>
      </c>
      <c r="Y26" s="643">
        <f t="shared" si="1"/>
        <v>4.7112409841113401</v>
      </c>
      <c r="Z26" s="643">
        <f t="shared" si="1"/>
        <v>4.7112409841113401</v>
      </c>
      <c r="AA26" s="643">
        <f t="shared" si="1"/>
        <v>4.7112409841113401</v>
      </c>
      <c r="AB26" s="643">
        <f t="shared" si="1"/>
        <v>4.7112409841113401</v>
      </c>
      <c r="AC26" s="643">
        <f t="shared" si="1"/>
        <v>4.7112409841113401</v>
      </c>
      <c r="AD26" s="643">
        <f t="shared" si="1"/>
        <v>4.7112409841113401</v>
      </c>
    </row>
    <row r="27" spans="1:30" s="459" customFormat="1">
      <c r="A27" s="459" t="str">
        <f>Commodities!K38</f>
        <v>TTUR_00</v>
      </c>
      <c r="B27" s="459" t="s">
        <v>17</v>
      </c>
      <c r="C27" s="459" t="s">
        <v>935</v>
      </c>
      <c r="D27" s="568">
        <v>1</v>
      </c>
      <c r="E27" s="568">
        <v>1</v>
      </c>
      <c r="F27" s="568">
        <v>1</v>
      </c>
      <c r="G27" s="568">
        <v>1</v>
      </c>
      <c r="H27" s="568">
        <v>1</v>
      </c>
      <c r="I27" s="568">
        <v>1</v>
      </c>
      <c r="J27" s="568">
        <v>1</v>
      </c>
      <c r="K27" s="568">
        <v>1</v>
      </c>
      <c r="L27" s="568">
        <v>1</v>
      </c>
      <c r="M27" s="568">
        <v>1</v>
      </c>
      <c r="N27" s="568">
        <v>1</v>
      </c>
      <c r="O27" s="568">
        <v>1</v>
      </c>
      <c r="P27" s="568">
        <v>1</v>
      </c>
      <c r="Q27" s="568">
        <v>1</v>
      </c>
      <c r="R27" s="568">
        <v>1</v>
      </c>
      <c r="S27" s="568">
        <v>1</v>
      </c>
      <c r="T27" s="568">
        <v>1</v>
      </c>
      <c r="U27" s="568">
        <v>1</v>
      </c>
      <c r="V27" s="568">
        <v>1</v>
      </c>
      <c r="W27" s="568">
        <v>1</v>
      </c>
      <c r="X27" s="568">
        <v>1</v>
      </c>
      <c r="Y27" s="568">
        <v>1</v>
      </c>
      <c r="Z27" s="568">
        <v>1</v>
      </c>
      <c r="AA27" s="568">
        <v>1</v>
      </c>
      <c r="AB27" s="568">
        <v>1</v>
      </c>
      <c r="AC27" s="568">
        <v>1</v>
      </c>
      <c r="AD27" s="568">
        <v>1</v>
      </c>
    </row>
    <row r="28" spans="1:30" s="459" customFormat="1">
      <c r="A28" s="459" t="str">
        <f>Commodities!K39</f>
        <v>TNAV_00</v>
      </c>
      <c r="B28" s="459" t="s">
        <v>17</v>
      </c>
      <c r="C28" s="459" t="s">
        <v>935</v>
      </c>
      <c r="D28" s="568">
        <v>1</v>
      </c>
      <c r="E28" s="568">
        <v>1</v>
      </c>
      <c r="F28" s="568">
        <v>1</v>
      </c>
      <c r="G28" s="568">
        <v>1</v>
      </c>
      <c r="H28" s="568">
        <v>1</v>
      </c>
      <c r="I28" s="568">
        <v>1</v>
      </c>
      <c r="J28" s="568">
        <v>1</v>
      </c>
      <c r="K28" s="568">
        <v>1</v>
      </c>
      <c r="L28" s="568">
        <v>1</v>
      </c>
      <c r="M28" s="568">
        <v>1</v>
      </c>
      <c r="N28" s="568">
        <v>1</v>
      </c>
      <c r="O28" s="568">
        <v>1</v>
      </c>
      <c r="P28" s="568">
        <v>1</v>
      </c>
      <c r="Q28" s="568">
        <v>1</v>
      </c>
      <c r="R28" s="568">
        <v>1</v>
      </c>
      <c r="S28" s="568">
        <v>1</v>
      </c>
      <c r="T28" s="568">
        <v>1</v>
      </c>
      <c r="U28" s="568">
        <v>1</v>
      </c>
      <c r="V28" s="568">
        <v>1</v>
      </c>
      <c r="W28" s="568">
        <v>1</v>
      </c>
      <c r="X28" s="568">
        <v>1</v>
      </c>
      <c r="Y28" s="568">
        <v>1</v>
      </c>
      <c r="Z28" s="568">
        <v>1</v>
      </c>
      <c r="AA28" s="568">
        <v>1</v>
      </c>
      <c r="AB28" s="568">
        <v>1</v>
      </c>
      <c r="AC28" s="568">
        <v>1</v>
      </c>
      <c r="AD28" s="568">
        <v>1</v>
      </c>
    </row>
    <row r="29" spans="1:30" s="459" customFormat="1">
      <c r="A29" s="459" t="str">
        <f>Commodities!K40</f>
        <v>TOTH_00</v>
      </c>
      <c r="B29" s="459" t="s">
        <v>17</v>
      </c>
      <c r="C29" s="459" t="s">
        <v>935</v>
      </c>
      <c r="D29" s="568">
        <v>1</v>
      </c>
      <c r="E29" s="568">
        <v>1</v>
      </c>
      <c r="F29" s="568">
        <v>1</v>
      </c>
      <c r="G29" s="568">
        <v>1</v>
      </c>
      <c r="H29" s="568">
        <v>1</v>
      </c>
      <c r="I29" s="568">
        <v>1</v>
      </c>
      <c r="J29" s="568">
        <v>1</v>
      </c>
      <c r="K29" s="568">
        <v>1</v>
      </c>
      <c r="L29" s="568">
        <v>1</v>
      </c>
      <c r="M29" s="568">
        <v>1</v>
      </c>
      <c r="N29" s="568">
        <v>1</v>
      </c>
      <c r="O29" s="568">
        <v>1</v>
      </c>
      <c r="P29" s="568">
        <v>1</v>
      </c>
      <c r="Q29" s="568">
        <v>1</v>
      </c>
      <c r="R29" s="568">
        <v>1</v>
      </c>
      <c r="S29" s="568">
        <v>1</v>
      </c>
      <c r="T29" s="568">
        <v>1</v>
      </c>
      <c r="U29" s="568">
        <v>1</v>
      </c>
      <c r="V29" s="568">
        <v>1</v>
      </c>
      <c r="W29" s="568">
        <v>1</v>
      </c>
      <c r="X29" s="568">
        <v>1</v>
      </c>
      <c r="Y29" s="568">
        <v>1</v>
      </c>
      <c r="Z29" s="568">
        <v>1</v>
      </c>
      <c r="AA29" s="568">
        <v>1</v>
      </c>
      <c r="AB29" s="568">
        <v>1</v>
      </c>
      <c r="AC29" s="568">
        <v>1</v>
      </c>
      <c r="AD29" s="568">
        <v>1</v>
      </c>
    </row>
    <row r="30" spans="1:30" s="459" customFormat="1">
      <c r="A30" s="459" t="str">
        <f>Commodities!K42</f>
        <v>TAVI_DOM_00</v>
      </c>
      <c r="B30" s="459" t="s">
        <v>17</v>
      </c>
      <c r="C30" s="459" t="s">
        <v>935</v>
      </c>
      <c r="D30" s="568">
        <v>1</v>
      </c>
      <c r="E30" s="568">
        <v>1</v>
      </c>
      <c r="F30" s="568">
        <v>1</v>
      </c>
      <c r="G30" s="568">
        <v>1</v>
      </c>
      <c r="H30" s="568">
        <v>1</v>
      </c>
      <c r="I30" s="568">
        <v>1</v>
      </c>
      <c r="J30" s="568">
        <v>1</v>
      </c>
      <c r="K30" s="568">
        <v>1</v>
      </c>
      <c r="L30" s="568">
        <v>1</v>
      </c>
      <c r="M30" s="568">
        <v>1</v>
      </c>
      <c r="N30" s="568">
        <v>1</v>
      </c>
      <c r="O30" s="568">
        <v>1</v>
      </c>
      <c r="P30" s="568">
        <v>1</v>
      </c>
      <c r="Q30" s="568">
        <v>1</v>
      </c>
      <c r="R30" s="568">
        <v>1</v>
      </c>
      <c r="S30" s="568">
        <v>1</v>
      </c>
      <c r="T30" s="568">
        <v>1</v>
      </c>
      <c r="U30" s="568">
        <v>1</v>
      </c>
      <c r="V30" s="568">
        <v>1</v>
      </c>
      <c r="W30" s="568">
        <v>1</v>
      </c>
      <c r="X30" s="568">
        <v>1</v>
      </c>
      <c r="Y30" s="568">
        <v>1</v>
      </c>
      <c r="Z30" s="568">
        <v>1</v>
      </c>
      <c r="AA30" s="568">
        <v>1</v>
      </c>
      <c r="AB30" s="568">
        <v>1</v>
      </c>
      <c r="AC30" s="568">
        <v>1</v>
      </c>
      <c r="AD30" s="568">
        <v>1</v>
      </c>
    </row>
    <row r="31" spans="1:30" s="459" customFormat="1">
      <c r="A31" s="458" t="str">
        <f>Commodities!K43</f>
        <v>TAVI_INT_00</v>
      </c>
      <c r="B31" s="458" t="s">
        <v>17</v>
      </c>
      <c r="C31" s="458" t="s">
        <v>935</v>
      </c>
      <c r="D31" s="644">
        <v>1</v>
      </c>
      <c r="E31" s="644">
        <v>1</v>
      </c>
      <c r="F31" s="644">
        <v>1</v>
      </c>
      <c r="G31" s="644">
        <v>1</v>
      </c>
      <c r="H31" s="644">
        <v>1</v>
      </c>
      <c r="I31" s="644">
        <v>1</v>
      </c>
      <c r="J31" s="644">
        <v>1</v>
      </c>
      <c r="K31" s="644">
        <v>1</v>
      </c>
      <c r="L31" s="644">
        <v>1</v>
      </c>
      <c r="M31" s="644">
        <v>1</v>
      </c>
      <c r="N31" s="644">
        <v>1</v>
      </c>
      <c r="O31" s="644">
        <v>1</v>
      </c>
      <c r="P31" s="644">
        <v>1</v>
      </c>
      <c r="Q31" s="644">
        <v>1</v>
      </c>
      <c r="R31" s="644">
        <v>1</v>
      </c>
      <c r="S31" s="644">
        <v>1</v>
      </c>
      <c r="T31" s="644">
        <v>1</v>
      </c>
      <c r="U31" s="644">
        <v>1</v>
      </c>
      <c r="V31" s="644">
        <v>1</v>
      </c>
      <c r="W31" s="644">
        <v>1</v>
      </c>
      <c r="X31" s="644">
        <v>1</v>
      </c>
      <c r="Y31" s="644">
        <v>1</v>
      </c>
      <c r="Z31" s="644">
        <v>1</v>
      </c>
      <c r="AA31" s="644">
        <v>1</v>
      </c>
      <c r="AB31" s="644">
        <v>1</v>
      </c>
      <c r="AC31" s="644">
        <v>1</v>
      </c>
      <c r="AD31" s="644">
        <v>1</v>
      </c>
    </row>
    <row r="32" spans="1:30">
      <c r="A32" s="28" t="s">
        <v>861</v>
      </c>
    </row>
    <row r="33" spans="1:31" s="459" customFormat="1">
      <c r="A33" s="28"/>
    </row>
    <row r="34" spans="1:31" s="459" customFormat="1">
      <c r="A34" s="28"/>
    </row>
    <row r="35" spans="1:31" s="459" customFormat="1">
      <c r="A35" s="28"/>
    </row>
    <row r="36" spans="1:31" s="459" customFormat="1">
      <c r="C36" s="453" t="s">
        <v>76</v>
      </c>
    </row>
    <row r="37" spans="1:31" s="459" customFormat="1" ht="15" thickBot="1">
      <c r="A37" s="41" t="s">
        <v>70</v>
      </c>
      <c r="B37" s="41" t="s">
        <v>96</v>
      </c>
      <c r="C37" s="41" t="s">
        <v>101</v>
      </c>
      <c r="D37" s="460" t="str">
        <f>D4</f>
        <v>IE</v>
      </c>
      <c r="E37" s="460" t="str">
        <f t="shared" ref="E37:AD37" si="3">E4</f>
        <v>IE-CW</v>
      </c>
      <c r="F37" s="460" t="str">
        <f t="shared" si="3"/>
        <v>IE-D</v>
      </c>
      <c r="G37" s="460" t="str">
        <f t="shared" si="3"/>
        <v>IE-KE</v>
      </c>
      <c r="H37" s="460" t="str">
        <f t="shared" si="3"/>
        <v>IE-KK</v>
      </c>
      <c r="I37" s="460" t="str">
        <f t="shared" si="3"/>
        <v>IE-LS</v>
      </c>
      <c r="J37" s="460" t="str">
        <f t="shared" si="3"/>
        <v>IE-LD</v>
      </c>
      <c r="K37" s="460" t="str">
        <f t="shared" si="3"/>
        <v>IE-LH</v>
      </c>
      <c r="L37" s="460" t="str">
        <f t="shared" si="3"/>
        <v>IE-MH</v>
      </c>
      <c r="M37" s="460" t="str">
        <f t="shared" si="3"/>
        <v>IE-OY</v>
      </c>
      <c r="N37" s="460" t="str">
        <f t="shared" si="3"/>
        <v>IE-WH</v>
      </c>
      <c r="O37" s="460" t="str">
        <f t="shared" si="3"/>
        <v>IE-WX</v>
      </c>
      <c r="P37" s="460" t="str">
        <f t="shared" si="3"/>
        <v>IE-WW</v>
      </c>
      <c r="Q37" s="460" t="str">
        <f t="shared" si="3"/>
        <v>IE-CE</v>
      </c>
      <c r="R37" s="460" t="str">
        <f t="shared" si="3"/>
        <v>IE-CO</v>
      </c>
      <c r="S37" s="460" t="str">
        <f t="shared" si="3"/>
        <v>IE-KY</v>
      </c>
      <c r="T37" s="460" t="str">
        <f t="shared" si="3"/>
        <v>IE-LK</v>
      </c>
      <c r="U37" s="460" t="str">
        <f t="shared" si="3"/>
        <v>IE-TA</v>
      </c>
      <c r="V37" s="460" t="str">
        <f t="shared" si="3"/>
        <v>IE-WD</v>
      </c>
      <c r="W37" s="460" t="str">
        <f t="shared" si="3"/>
        <v>IE-G</v>
      </c>
      <c r="X37" s="460" t="str">
        <f t="shared" si="3"/>
        <v>IE-LM</v>
      </c>
      <c r="Y37" s="460" t="str">
        <f t="shared" si="3"/>
        <v>IE-MO</v>
      </c>
      <c r="Z37" s="460" t="str">
        <f t="shared" si="3"/>
        <v>IE-RN</v>
      </c>
      <c r="AA37" s="460" t="str">
        <f t="shared" si="3"/>
        <v>IE-SO</v>
      </c>
      <c r="AB37" s="460" t="str">
        <f t="shared" si="3"/>
        <v>IE-CN</v>
      </c>
      <c r="AC37" s="460" t="str">
        <f t="shared" si="3"/>
        <v>IE-DL</v>
      </c>
      <c r="AD37" s="460" t="str">
        <f t="shared" si="3"/>
        <v>IE-MN</v>
      </c>
    </row>
    <row r="38" spans="1:31" s="459" customFormat="1">
      <c r="A38" s="459" t="str">
        <f t="shared" ref="A38:C38" si="4">A5</f>
        <v>TWLK_WLK</v>
      </c>
      <c r="B38" s="459" t="s">
        <v>939</v>
      </c>
      <c r="C38" s="459" t="str">
        <f t="shared" si="4"/>
        <v>EFFICIENCY</v>
      </c>
      <c r="D38" s="38">
        <f t="shared" ref="D38:S39" si="5">D5/1000</f>
        <v>1.5</v>
      </c>
      <c r="E38" s="38">
        <f t="shared" si="5"/>
        <v>1.5</v>
      </c>
      <c r="F38" s="38">
        <f t="shared" si="5"/>
        <v>1.5</v>
      </c>
      <c r="G38" s="38">
        <f t="shared" si="5"/>
        <v>1.5</v>
      </c>
      <c r="H38" s="38">
        <f t="shared" si="5"/>
        <v>1.5</v>
      </c>
      <c r="I38" s="38">
        <f t="shared" si="5"/>
        <v>1.5</v>
      </c>
      <c r="J38" s="38">
        <f t="shared" si="5"/>
        <v>1.5</v>
      </c>
      <c r="K38" s="38">
        <f t="shared" si="5"/>
        <v>1.5</v>
      </c>
      <c r="L38" s="38">
        <f t="shared" si="5"/>
        <v>1.5</v>
      </c>
      <c r="M38" s="38">
        <f t="shared" si="5"/>
        <v>1.5</v>
      </c>
      <c r="N38" s="38">
        <f t="shared" si="5"/>
        <v>1.5</v>
      </c>
      <c r="O38" s="38">
        <f t="shared" si="5"/>
        <v>1.5</v>
      </c>
      <c r="P38" s="38">
        <f t="shared" si="5"/>
        <v>1.5</v>
      </c>
      <c r="Q38" s="38">
        <f t="shared" si="5"/>
        <v>1.5</v>
      </c>
      <c r="R38" s="38">
        <f t="shared" si="5"/>
        <v>1.5</v>
      </c>
      <c r="S38" s="38">
        <f t="shared" si="5"/>
        <v>1.5</v>
      </c>
      <c r="T38" s="38">
        <f t="shared" ref="E38:AD39" si="6">T5/1000</f>
        <v>1.5</v>
      </c>
      <c r="U38" s="38">
        <f t="shared" si="6"/>
        <v>1.5</v>
      </c>
      <c r="V38" s="38">
        <f t="shared" si="6"/>
        <v>1.5</v>
      </c>
      <c r="W38" s="38">
        <f t="shared" si="6"/>
        <v>1.5</v>
      </c>
      <c r="X38" s="38">
        <f t="shared" si="6"/>
        <v>1.5</v>
      </c>
      <c r="Y38" s="38">
        <f t="shared" si="6"/>
        <v>1.5</v>
      </c>
      <c r="Z38" s="38">
        <f t="shared" si="6"/>
        <v>1.5</v>
      </c>
      <c r="AA38" s="38">
        <f t="shared" si="6"/>
        <v>1.5</v>
      </c>
      <c r="AB38" s="38">
        <f t="shared" si="6"/>
        <v>1.5</v>
      </c>
      <c r="AC38" s="38">
        <f t="shared" si="6"/>
        <v>1.5</v>
      </c>
      <c r="AD38" s="38">
        <f t="shared" si="6"/>
        <v>1.5</v>
      </c>
      <c r="AE38" s="10"/>
    </row>
    <row r="39" spans="1:31" s="459" customFormat="1">
      <c r="A39" s="459" t="str">
        <f t="shared" ref="A39:C39" si="7">A6</f>
        <v>TCYC_CYC</v>
      </c>
      <c r="B39" s="459" t="s">
        <v>939</v>
      </c>
      <c r="C39" s="459" t="str">
        <f t="shared" si="7"/>
        <v>EFFICIENCY</v>
      </c>
      <c r="D39" s="38">
        <f t="shared" si="5"/>
        <v>1.5</v>
      </c>
      <c r="E39" s="38">
        <f t="shared" si="6"/>
        <v>1.5</v>
      </c>
      <c r="F39" s="38">
        <f t="shared" si="6"/>
        <v>1.5</v>
      </c>
      <c r="G39" s="38">
        <f t="shared" si="6"/>
        <v>1.5</v>
      </c>
      <c r="H39" s="38">
        <f t="shared" si="6"/>
        <v>1.5</v>
      </c>
      <c r="I39" s="38">
        <f t="shared" si="6"/>
        <v>1.5</v>
      </c>
      <c r="J39" s="38">
        <f t="shared" si="6"/>
        <v>1.5</v>
      </c>
      <c r="K39" s="38">
        <f t="shared" si="6"/>
        <v>1.5</v>
      </c>
      <c r="L39" s="38">
        <f t="shared" si="6"/>
        <v>1.5</v>
      </c>
      <c r="M39" s="38">
        <f t="shared" si="6"/>
        <v>1.5</v>
      </c>
      <c r="N39" s="38">
        <f t="shared" si="6"/>
        <v>1.5</v>
      </c>
      <c r="O39" s="38">
        <f t="shared" si="6"/>
        <v>1.5</v>
      </c>
      <c r="P39" s="38">
        <f t="shared" si="6"/>
        <v>1.5</v>
      </c>
      <c r="Q39" s="38">
        <f t="shared" si="6"/>
        <v>1.5</v>
      </c>
      <c r="R39" s="38">
        <f t="shared" si="6"/>
        <v>1.5</v>
      </c>
      <c r="S39" s="38">
        <f t="shared" si="6"/>
        <v>1.5</v>
      </c>
      <c r="T39" s="38">
        <f t="shared" si="6"/>
        <v>1.5</v>
      </c>
      <c r="U39" s="38">
        <f t="shared" si="6"/>
        <v>1.5</v>
      </c>
      <c r="V39" s="38">
        <f t="shared" si="6"/>
        <v>1.5</v>
      </c>
      <c r="W39" s="38">
        <f t="shared" si="6"/>
        <v>1.5</v>
      </c>
      <c r="X39" s="38">
        <f t="shared" si="6"/>
        <v>1.5</v>
      </c>
      <c r="Y39" s="38">
        <f t="shared" si="6"/>
        <v>1.5</v>
      </c>
      <c r="Z39" s="38">
        <f t="shared" si="6"/>
        <v>1.5</v>
      </c>
      <c r="AA39" s="38">
        <f t="shared" si="6"/>
        <v>1.5</v>
      </c>
      <c r="AB39" s="38">
        <f t="shared" si="6"/>
        <v>1.5</v>
      </c>
      <c r="AC39" s="38">
        <f t="shared" si="6"/>
        <v>1.5</v>
      </c>
      <c r="AD39" s="38">
        <f t="shared" si="6"/>
        <v>1.5</v>
      </c>
      <c r="AE39" s="10"/>
    </row>
    <row r="40" spans="1:31" s="459" customFormat="1">
      <c r="A40" s="459" t="str">
        <f t="shared" ref="A40:C64" si="8">A7</f>
        <v>TMOT_GSL_00</v>
      </c>
      <c r="B40" s="459" t="s">
        <v>939</v>
      </c>
      <c r="C40" s="459" t="str">
        <f t="shared" si="8"/>
        <v>EFFICIENCY</v>
      </c>
      <c r="D40" s="10">
        <f t="shared" ref="D40:AD40" si="9">D7/1000</f>
        <v>0.58797955123031997</v>
      </c>
      <c r="E40" s="10">
        <f t="shared" si="9"/>
        <v>0.58797955123031997</v>
      </c>
      <c r="F40" s="10">
        <f t="shared" si="9"/>
        <v>0.58797955123031997</v>
      </c>
      <c r="G40" s="10">
        <f t="shared" si="9"/>
        <v>0.58797955123031997</v>
      </c>
      <c r="H40" s="10">
        <f t="shared" si="9"/>
        <v>0.58797955123031997</v>
      </c>
      <c r="I40" s="10">
        <f t="shared" si="9"/>
        <v>0.58797955123031997</v>
      </c>
      <c r="J40" s="10">
        <f t="shared" si="9"/>
        <v>0.58797955123031997</v>
      </c>
      <c r="K40" s="10">
        <f t="shared" si="9"/>
        <v>0.58797955123031997</v>
      </c>
      <c r="L40" s="10">
        <f t="shared" si="9"/>
        <v>0.58797955123031997</v>
      </c>
      <c r="M40" s="10">
        <f t="shared" si="9"/>
        <v>0.58797955123031997</v>
      </c>
      <c r="N40" s="10">
        <f t="shared" si="9"/>
        <v>0.58797955123031997</v>
      </c>
      <c r="O40" s="10">
        <f t="shared" si="9"/>
        <v>0.58797955123031997</v>
      </c>
      <c r="P40" s="10">
        <f t="shared" si="9"/>
        <v>0.58797955123031997</v>
      </c>
      <c r="Q40" s="10">
        <f t="shared" si="9"/>
        <v>0.58797955123031997</v>
      </c>
      <c r="R40" s="10">
        <f t="shared" si="9"/>
        <v>0.58797955123031997</v>
      </c>
      <c r="S40" s="10">
        <f t="shared" si="9"/>
        <v>0.58797955123031997</v>
      </c>
      <c r="T40" s="10">
        <f t="shared" si="9"/>
        <v>0.58797955123031997</v>
      </c>
      <c r="U40" s="10">
        <f t="shared" si="9"/>
        <v>0.58797955123031997</v>
      </c>
      <c r="V40" s="10">
        <f t="shared" si="9"/>
        <v>0.58797955123031997</v>
      </c>
      <c r="W40" s="10">
        <f t="shared" si="9"/>
        <v>0.58797955123031997</v>
      </c>
      <c r="X40" s="10">
        <f t="shared" si="9"/>
        <v>0.58797955123031997</v>
      </c>
      <c r="Y40" s="10">
        <f t="shared" si="9"/>
        <v>0.58797955123031997</v>
      </c>
      <c r="Z40" s="10">
        <f t="shared" si="9"/>
        <v>0.58797955123031997</v>
      </c>
      <c r="AA40" s="10">
        <f t="shared" si="9"/>
        <v>0.58797955123031997</v>
      </c>
      <c r="AB40" s="10">
        <f t="shared" si="9"/>
        <v>0.58797955123031997</v>
      </c>
      <c r="AC40" s="10">
        <f t="shared" si="9"/>
        <v>0.58797955123031997</v>
      </c>
      <c r="AD40" s="10">
        <f t="shared" si="9"/>
        <v>0.58797955123031997</v>
      </c>
      <c r="AE40" s="10"/>
    </row>
    <row r="41" spans="1:31" s="459" customFormat="1">
      <c r="A41" s="459" t="str">
        <f t="shared" si="8"/>
        <v>TCAR_ICE_GSL_00</v>
      </c>
      <c r="B41" s="459" t="s">
        <v>939</v>
      </c>
      <c r="C41" s="459" t="str">
        <f t="shared" si="8"/>
        <v>EFFICIENCY</v>
      </c>
      <c r="D41" s="10">
        <f t="shared" ref="D41:AD41" si="10">D8/1000</f>
        <v>0.40514416823643179</v>
      </c>
      <c r="E41" s="10">
        <f t="shared" si="10"/>
        <v>0.40570409228380649</v>
      </c>
      <c r="F41" s="10">
        <f t="shared" si="10"/>
        <v>0.40399737632467736</v>
      </c>
      <c r="G41" s="10">
        <f t="shared" si="10"/>
        <v>0.40571807180728725</v>
      </c>
      <c r="H41" s="10">
        <f t="shared" si="10"/>
        <v>0.40670346127162155</v>
      </c>
      <c r="I41" s="10">
        <f t="shared" si="10"/>
        <v>0.4060316752426355</v>
      </c>
      <c r="J41" s="10">
        <f t="shared" si="10"/>
        <v>0.40623967204072536</v>
      </c>
      <c r="K41" s="10">
        <f t="shared" si="10"/>
        <v>0.4088691917609158</v>
      </c>
      <c r="L41" s="10">
        <f t="shared" si="10"/>
        <v>0.40516014683437374</v>
      </c>
      <c r="M41" s="10">
        <f t="shared" si="10"/>
        <v>0.40654432148718844</v>
      </c>
      <c r="N41" s="10">
        <f t="shared" si="10"/>
        <v>0.40643409321723106</v>
      </c>
      <c r="O41" s="10">
        <f t="shared" si="10"/>
        <v>0.40718634837372314</v>
      </c>
      <c r="P41" s="10">
        <f t="shared" si="10"/>
        <v>0.40464931332480403</v>
      </c>
      <c r="Q41" s="10">
        <f t="shared" si="10"/>
        <v>0.40468959503037688</v>
      </c>
      <c r="R41" s="10">
        <f t="shared" si="10"/>
        <v>0.40550611545573889</v>
      </c>
      <c r="S41" s="10">
        <f t="shared" si="10"/>
        <v>0.4041364650190698</v>
      </c>
      <c r="T41" s="10">
        <f t="shared" si="10"/>
        <v>0.40525112002626834</v>
      </c>
      <c r="U41" s="10">
        <f t="shared" si="10"/>
        <v>0.40568782696320199</v>
      </c>
      <c r="V41" s="10">
        <f t="shared" si="10"/>
        <v>0.40749457262163608</v>
      </c>
      <c r="W41" s="10">
        <f t="shared" si="10"/>
        <v>0.40365614016220536</v>
      </c>
      <c r="X41" s="10">
        <f t="shared" si="10"/>
        <v>0.40652118602942761</v>
      </c>
      <c r="Y41" s="10">
        <f t="shared" si="10"/>
        <v>0.40449540240841581</v>
      </c>
      <c r="Z41" s="10">
        <f t="shared" si="10"/>
        <v>0.40987826316569947</v>
      </c>
      <c r="AA41" s="10">
        <f t="shared" si="10"/>
        <v>0.40611443447575624</v>
      </c>
      <c r="AB41" s="10">
        <f t="shared" si="10"/>
        <v>0.40609598546341469</v>
      </c>
      <c r="AC41" s="10">
        <f t="shared" si="10"/>
        <v>0.40605450988523151</v>
      </c>
      <c r="AD41" s="10">
        <f t="shared" si="10"/>
        <v>0.4058815066585329</v>
      </c>
      <c r="AE41" s="10"/>
    </row>
    <row r="42" spans="1:31" s="459" customFormat="1">
      <c r="A42" s="459" t="str">
        <f t="shared" si="8"/>
        <v>TCAR_ICE_DST_00</v>
      </c>
      <c r="B42" s="459" t="s">
        <v>939</v>
      </c>
      <c r="C42" s="459" t="str">
        <f t="shared" si="8"/>
        <v>EFFICIENCY</v>
      </c>
      <c r="D42" s="10">
        <f t="shared" ref="D42:AD42" si="11">D9/1000</f>
        <v>0.43528116997420369</v>
      </c>
      <c r="E42" s="10">
        <f t="shared" si="11"/>
        <v>0.43568137731760914</v>
      </c>
      <c r="F42" s="10">
        <f t="shared" si="11"/>
        <v>0.43112990634064663</v>
      </c>
      <c r="G42" s="10">
        <f t="shared" si="11"/>
        <v>0.43487246828918547</v>
      </c>
      <c r="H42" s="10">
        <f t="shared" si="11"/>
        <v>0.43746197204127674</v>
      </c>
      <c r="I42" s="10">
        <f t="shared" si="11"/>
        <v>0.43682533897248466</v>
      </c>
      <c r="J42" s="10">
        <f t="shared" si="11"/>
        <v>0.43337570366548667</v>
      </c>
      <c r="K42" s="10">
        <f t="shared" si="11"/>
        <v>0.43858680667037053</v>
      </c>
      <c r="L42" s="10">
        <f t="shared" si="11"/>
        <v>0.4351232711046466</v>
      </c>
      <c r="M42" s="10">
        <f t="shared" si="11"/>
        <v>0.43836058585439019</v>
      </c>
      <c r="N42" s="10">
        <f t="shared" si="11"/>
        <v>0.43645024044644348</v>
      </c>
      <c r="O42" s="10">
        <f t="shared" si="11"/>
        <v>0.43815831884500611</v>
      </c>
      <c r="P42" s="10">
        <f t="shared" si="11"/>
        <v>0.43256072360069281</v>
      </c>
      <c r="Q42" s="10">
        <f t="shared" si="11"/>
        <v>0.43824439164293227</v>
      </c>
      <c r="R42" s="10">
        <f t="shared" si="11"/>
        <v>0.43729970570673365</v>
      </c>
      <c r="S42" s="10">
        <f t="shared" si="11"/>
        <v>0.43647964644940634</v>
      </c>
      <c r="T42" s="10">
        <f t="shared" si="11"/>
        <v>0.43718279984087199</v>
      </c>
      <c r="U42" s="10">
        <f t="shared" si="11"/>
        <v>0.43652053494368209</v>
      </c>
      <c r="V42" s="10">
        <f t="shared" si="11"/>
        <v>0.43759518745048293</v>
      </c>
      <c r="W42" s="10">
        <f t="shared" si="11"/>
        <v>0.43397310412994633</v>
      </c>
      <c r="X42" s="10">
        <f t="shared" si="11"/>
        <v>0.43505960814351896</v>
      </c>
      <c r="Y42" s="10">
        <f t="shared" si="11"/>
        <v>0.43439110178668427</v>
      </c>
      <c r="Z42" s="10">
        <f t="shared" si="11"/>
        <v>0.43950150370213775</v>
      </c>
      <c r="AA42" s="10">
        <f t="shared" si="11"/>
        <v>0.43476610783253605</v>
      </c>
      <c r="AB42" s="10">
        <f t="shared" si="11"/>
        <v>0.43651757818661108</v>
      </c>
      <c r="AC42" s="10">
        <f t="shared" si="11"/>
        <v>0.43712376857346397</v>
      </c>
      <c r="AD42" s="10">
        <f t="shared" si="11"/>
        <v>0.43468775899154277</v>
      </c>
    </row>
    <row r="43" spans="1:31" s="459" customFormat="1">
      <c r="A43" s="459" t="str">
        <f t="shared" si="8"/>
        <v>TCAR_ICE_DF_00</v>
      </c>
      <c r="B43" s="459" t="s">
        <v>939</v>
      </c>
      <c r="C43" s="459" t="str">
        <f t="shared" si="8"/>
        <v>EFFICIENCY</v>
      </c>
      <c r="D43" s="10">
        <f t="shared" ref="D43:AD43" si="12">D10/1000</f>
        <v>0.34642546952946823</v>
      </c>
      <c r="E43" s="10">
        <f t="shared" si="12"/>
        <v>0.34642546952946823</v>
      </c>
      <c r="F43" s="10">
        <f t="shared" si="12"/>
        <v>0.35692116208134139</v>
      </c>
      <c r="G43" s="10">
        <f t="shared" si="12"/>
        <v>0.34642546952946823</v>
      </c>
      <c r="H43" s="10">
        <f t="shared" si="12"/>
        <v>0.34642546952946823</v>
      </c>
      <c r="I43" s="10">
        <f t="shared" si="12"/>
        <v>0.34642546952946823</v>
      </c>
      <c r="J43" s="10">
        <f t="shared" si="12"/>
        <v>0.31362300938365739</v>
      </c>
      <c r="K43" s="10">
        <f t="shared" si="12"/>
        <v>0.34642546952946823</v>
      </c>
      <c r="L43" s="10">
        <f t="shared" si="12"/>
        <v>0.31632466737464499</v>
      </c>
      <c r="M43" s="10">
        <f t="shared" si="12"/>
        <v>0.32831515728369326</v>
      </c>
      <c r="N43" s="10">
        <f t="shared" si="12"/>
        <v>0.34642546952946823</v>
      </c>
      <c r="O43" s="10">
        <f t="shared" si="12"/>
        <v>0.30683097781910518</v>
      </c>
      <c r="P43" s="10">
        <f t="shared" si="12"/>
        <v>0.36482558929179398</v>
      </c>
      <c r="Q43" s="10">
        <f t="shared" si="12"/>
        <v>0.34642546952946823</v>
      </c>
      <c r="R43" s="10">
        <f t="shared" si="12"/>
        <v>0.33783519026083708</v>
      </c>
      <c r="S43" s="10">
        <f t="shared" si="12"/>
        <v>0.35424735781365807</v>
      </c>
      <c r="T43" s="10">
        <f t="shared" si="12"/>
        <v>0.35662771663978871</v>
      </c>
      <c r="U43" s="10">
        <f t="shared" si="12"/>
        <v>0.34642546952946823</v>
      </c>
      <c r="V43" s="10">
        <f t="shared" si="12"/>
        <v>0.34642546952946823</v>
      </c>
      <c r="W43" s="10">
        <f t="shared" si="12"/>
        <v>0.34512014220119158</v>
      </c>
      <c r="X43" s="10">
        <f t="shared" si="12"/>
        <v>0.34642546952946823</v>
      </c>
      <c r="Y43" s="10">
        <f t="shared" si="12"/>
        <v>0.34642546952946823</v>
      </c>
      <c r="Z43" s="10">
        <f t="shared" si="12"/>
        <v>0.34642546952946823</v>
      </c>
      <c r="AA43" s="10">
        <f t="shared" si="12"/>
        <v>0.34642546952946823</v>
      </c>
      <c r="AB43" s="10">
        <f t="shared" si="12"/>
        <v>0.34642546952946823</v>
      </c>
      <c r="AC43" s="10">
        <f t="shared" si="12"/>
        <v>0.35374970289794538</v>
      </c>
      <c r="AD43" s="10">
        <f t="shared" si="12"/>
        <v>0.34642546952946823</v>
      </c>
    </row>
    <row r="44" spans="1:31" s="459" customFormat="1">
      <c r="A44" s="459" t="str">
        <f t="shared" si="8"/>
        <v>TCAR_ICE_E85_00</v>
      </c>
      <c r="B44" s="459" t="s">
        <v>939</v>
      </c>
      <c r="C44" s="459" t="str">
        <f t="shared" si="8"/>
        <v>EFFICIENCY</v>
      </c>
      <c r="D44" s="10">
        <f t="shared" ref="D44:AD44" si="13">D11/1000</f>
        <v>0.41496671483785497</v>
      </c>
      <c r="E44" s="10">
        <f t="shared" si="13"/>
        <v>0.42011336576060238</v>
      </c>
      <c r="F44" s="10">
        <f t="shared" si="13"/>
        <v>0.40991964243223505</v>
      </c>
      <c r="G44" s="10">
        <f t="shared" si="13"/>
        <v>0.42096104427040676</v>
      </c>
      <c r="H44" s="10">
        <f t="shared" si="13"/>
        <v>0.41947774256432696</v>
      </c>
      <c r="I44" s="10">
        <f t="shared" si="13"/>
        <v>0.41759928366979066</v>
      </c>
      <c r="J44" s="10">
        <f t="shared" si="13"/>
        <v>0.41606107672777193</v>
      </c>
      <c r="K44" s="10">
        <f t="shared" si="13"/>
        <v>0.4233091888569635</v>
      </c>
      <c r="L44" s="10">
        <f t="shared" si="13"/>
        <v>0.40503005956942528</v>
      </c>
      <c r="M44" s="10">
        <f t="shared" si="13"/>
        <v>0.42518816535753201</v>
      </c>
      <c r="N44" s="10">
        <f t="shared" si="13"/>
        <v>0.41732291967721652</v>
      </c>
      <c r="O44" s="10">
        <f t="shared" si="13"/>
        <v>0.42666355626596569</v>
      </c>
      <c r="P44" s="10">
        <f t="shared" si="13"/>
        <v>0.42449102044988729</v>
      </c>
      <c r="Q44" s="10">
        <f t="shared" si="13"/>
        <v>0.41770817686631073</v>
      </c>
      <c r="R44" s="10">
        <f t="shared" si="13"/>
        <v>0.41694826702277554</v>
      </c>
      <c r="S44" s="10">
        <f t="shared" si="13"/>
        <v>0.41138752524194899</v>
      </c>
      <c r="T44" s="10">
        <f t="shared" si="13"/>
        <v>0.42123501670793589</v>
      </c>
      <c r="U44" s="10">
        <f t="shared" si="13"/>
        <v>0.42549680158337799</v>
      </c>
      <c r="V44" s="10">
        <f t="shared" si="13"/>
        <v>0.41730399948813413</v>
      </c>
      <c r="W44" s="10">
        <f t="shared" si="13"/>
        <v>0.40660180735532808</v>
      </c>
      <c r="X44" s="10">
        <f t="shared" si="13"/>
        <v>0.42016401988019131</v>
      </c>
      <c r="Y44" s="10">
        <f t="shared" si="13"/>
        <v>0.42357869590041158</v>
      </c>
      <c r="Z44" s="10">
        <f t="shared" si="13"/>
        <v>0.42149217568193487</v>
      </c>
      <c r="AA44" s="10">
        <f t="shared" si="13"/>
        <v>0.42345216507668842</v>
      </c>
      <c r="AB44" s="10">
        <f t="shared" si="13"/>
        <v>0.42619820514383483</v>
      </c>
      <c r="AC44" s="10">
        <f t="shared" si="13"/>
        <v>0.42330288486897183</v>
      </c>
      <c r="AD44" s="10">
        <f t="shared" si="13"/>
        <v>0.42230989715167727</v>
      </c>
    </row>
    <row r="45" spans="1:31" s="459" customFormat="1">
      <c r="A45" s="459" t="str">
        <f t="shared" si="8"/>
        <v>TCAR_HEV_GSL_00</v>
      </c>
      <c r="B45" s="459" t="s">
        <v>939</v>
      </c>
      <c r="C45" s="459" t="str">
        <f t="shared" si="8"/>
        <v>EFFICIENCY</v>
      </c>
      <c r="D45" s="10">
        <f t="shared" ref="D45:AD45" si="14">D12/1000</f>
        <v>0.48730496436285103</v>
      </c>
      <c r="E45" s="10">
        <f t="shared" si="14"/>
        <v>0.48799562401870339</v>
      </c>
      <c r="F45" s="10">
        <f t="shared" si="14"/>
        <v>0.48836951409300994</v>
      </c>
      <c r="G45" s="10">
        <f t="shared" si="14"/>
        <v>0.489069110696501</v>
      </c>
      <c r="H45" s="10">
        <f t="shared" si="14"/>
        <v>0.48969692593099556</v>
      </c>
      <c r="I45" s="10">
        <f t="shared" si="14"/>
        <v>0.49302699501969932</v>
      </c>
      <c r="J45" s="10">
        <f t="shared" si="14"/>
        <v>0.49113557900150995</v>
      </c>
      <c r="K45" s="10">
        <f t="shared" si="14"/>
        <v>0.48762642343137919</v>
      </c>
      <c r="L45" s="10">
        <f t="shared" si="14"/>
        <v>0.48577879797556989</v>
      </c>
      <c r="M45" s="10">
        <f t="shared" si="14"/>
        <v>0.48895606334996855</v>
      </c>
      <c r="N45" s="10">
        <f t="shared" si="14"/>
        <v>0.49105534179848864</v>
      </c>
      <c r="O45" s="10">
        <f t="shared" si="14"/>
        <v>0.49136195028476715</v>
      </c>
      <c r="P45" s="10">
        <f t="shared" si="14"/>
        <v>0.49235360153427887</v>
      </c>
      <c r="Q45" s="10">
        <f t="shared" si="14"/>
        <v>0.49049628079603175</v>
      </c>
      <c r="R45" s="10">
        <f t="shared" si="14"/>
        <v>0.48436770438577958</v>
      </c>
      <c r="S45" s="10">
        <f t="shared" si="14"/>
        <v>0.48375049699227823</v>
      </c>
      <c r="T45" s="10">
        <f t="shared" si="14"/>
        <v>0.48946087811192784</v>
      </c>
      <c r="U45" s="10">
        <f t="shared" si="14"/>
        <v>0.49626614882546055</v>
      </c>
      <c r="V45" s="10">
        <f t="shared" si="14"/>
        <v>0.49096836957192191</v>
      </c>
      <c r="W45" s="10">
        <f t="shared" si="14"/>
        <v>0.48603086546286456</v>
      </c>
      <c r="X45" s="10">
        <f t="shared" si="14"/>
        <v>0.49532292590930382</v>
      </c>
      <c r="Y45" s="10">
        <f t="shared" si="14"/>
        <v>0.49317287658406772</v>
      </c>
      <c r="Z45" s="10">
        <f t="shared" si="14"/>
        <v>0.49160419704579755</v>
      </c>
      <c r="AA45" s="10">
        <f t="shared" si="14"/>
        <v>0.4843269036120314</v>
      </c>
      <c r="AB45" s="10">
        <f t="shared" si="14"/>
        <v>0.48856276999543935</v>
      </c>
      <c r="AC45" s="10">
        <f t="shared" si="14"/>
        <v>0.49146288713401559</v>
      </c>
      <c r="AD45" s="10">
        <f t="shared" si="14"/>
        <v>0.48685490241710805</v>
      </c>
    </row>
    <row r="46" spans="1:31" s="459" customFormat="1">
      <c r="A46" s="459" t="str">
        <f t="shared" si="8"/>
        <v>TCAR_HEV_DST_00</v>
      </c>
      <c r="B46" s="459" t="s">
        <v>939</v>
      </c>
      <c r="C46" s="459" t="str">
        <f t="shared" si="8"/>
        <v>EFFICIENCY</v>
      </c>
      <c r="D46" s="10">
        <f t="shared" ref="D46:AD46" si="15">D13/1000</f>
        <v>0.49255495178372916</v>
      </c>
      <c r="E46" s="10">
        <f t="shared" si="15"/>
        <v>0.4918071023089769</v>
      </c>
      <c r="F46" s="10">
        <f t="shared" si="15"/>
        <v>0.49242630105027418</v>
      </c>
      <c r="G46" s="10">
        <f t="shared" si="15"/>
        <v>0.49937028520156096</v>
      </c>
      <c r="H46" s="10">
        <f t="shared" si="15"/>
        <v>0.49491148459495182</v>
      </c>
      <c r="I46" s="10">
        <f t="shared" si="15"/>
        <v>0.49053491018804413</v>
      </c>
      <c r="J46" s="10">
        <f t="shared" si="15"/>
        <v>0.48468400082583696</v>
      </c>
      <c r="K46" s="10">
        <f t="shared" si="15"/>
        <v>0.49053491018804413</v>
      </c>
      <c r="L46" s="10">
        <f t="shared" si="15"/>
        <v>0.48714226526289262</v>
      </c>
      <c r="M46" s="10">
        <f t="shared" si="15"/>
        <v>0.48181057637269381</v>
      </c>
      <c r="N46" s="10">
        <f t="shared" si="15"/>
        <v>0.50273163071559512</v>
      </c>
      <c r="O46" s="10">
        <f t="shared" si="15"/>
        <v>0.49501664079990093</v>
      </c>
      <c r="P46" s="10">
        <f t="shared" si="15"/>
        <v>0.48587716185167784</v>
      </c>
      <c r="Q46" s="10">
        <f t="shared" si="15"/>
        <v>0.49816765610214053</v>
      </c>
      <c r="R46" s="10">
        <f t="shared" si="15"/>
        <v>0.49674252871240016</v>
      </c>
      <c r="S46" s="10">
        <f t="shared" si="15"/>
        <v>0.48613360389957605</v>
      </c>
      <c r="T46" s="10">
        <f t="shared" si="15"/>
        <v>0.48181057637269381</v>
      </c>
      <c r="U46" s="10">
        <f t="shared" si="15"/>
        <v>0.49958102043092367</v>
      </c>
      <c r="V46" s="10">
        <f t="shared" si="15"/>
        <v>0.49816765610214053</v>
      </c>
      <c r="W46" s="10">
        <f t="shared" si="15"/>
        <v>0.49031836414710633</v>
      </c>
      <c r="X46" s="10">
        <f t="shared" si="15"/>
        <v>0.48613360389957605</v>
      </c>
      <c r="Y46" s="10">
        <f t="shared" si="15"/>
        <v>0.48181057637269381</v>
      </c>
      <c r="Z46" s="10">
        <f t="shared" si="15"/>
        <v>0.50126173443444544</v>
      </c>
      <c r="AA46" s="10">
        <f t="shared" si="15"/>
        <v>0.50623776711077051</v>
      </c>
      <c r="AB46" s="10">
        <f t="shared" si="15"/>
        <v>0.50280620391542019</v>
      </c>
      <c r="AC46" s="10">
        <f t="shared" si="15"/>
        <v>0.53018844807257171</v>
      </c>
      <c r="AD46" s="10">
        <f t="shared" si="15"/>
        <v>0.49288355138112877</v>
      </c>
    </row>
    <row r="47" spans="1:31" s="459" customFormat="1">
      <c r="A47" s="459" t="str">
        <f t="shared" si="8"/>
        <v>TCAR_PHEV_GSL_00</v>
      </c>
      <c r="B47" s="459" t="s">
        <v>939</v>
      </c>
      <c r="C47" s="459" t="str">
        <f t="shared" si="8"/>
        <v>EFFICIENCY</v>
      </c>
      <c r="D47" s="10">
        <f t="shared" ref="D47:AD47" si="16">D14/1000</f>
        <v>0.64060354142073539</v>
      </c>
      <c r="E47" s="10">
        <f t="shared" si="16"/>
        <v>0.65405503233315865</v>
      </c>
      <c r="F47" s="10">
        <f t="shared" si="16"/>
        <v>0.64031103474022066</v>
      </c>
      <c r="G47" s="10">
        <f t="shared" si="16"/>
        <v>0.64865711401387516</v>
      </c>
      <c r="H47" s="10">
        <f t="shared" si="16"/>
        <v>0.63999952548680683</v>
      </c>
      <c r="I47" s="10">
        <f t="shared" si="16"/>
        <v>0.63765878122195851</v>
      </c>
      <c r="J47" s="10">
        <f t="shared" si="16"/>
        <v>0.64637011378027864</v>
      </c>
      <c r="K47" s="10">
        <f t="shared" si="16"/>
        <v>0.63998747171686465</v>
      </c>
      <c r="L47" s="10">
        <f t="shared" si="16"/>
        <v>0.65104243378966831</v>
      </c>
      <c r="M47" s="10">
        <f t="shared" si="16"/>
        <v>0.64051115306502049</v>
      </c>
      <c r="N47" s="10">
        <f t="shared" si="16"/>
        <v>0.64411792050716377</v>
      </c>
      <c r="O47" s="10">
        <f t="shared" si="16"/>
        <v>0.64031896921064846</v>
      </c>
      <c r="P47" s="10">
        <f t="shared" si="16"/>
        <v>0.64394305629598136</v>
      </c>
      <c r="Q47" s="10">
        <f t="shared" si="16"/>
        <v>0.64187230901974568</v>
      </c>
      <c r="R47" s="10">
        <f t="shared" si="16"/>
        <v>0.64337906895714037</v>
      </c>
      <c r="S47" s="10">
        <f t="shared" si="16"/>
        <v>0.64041681864806654</v>
      </c>
      <c r="T47" s="10">
        <f t="shared" si="16"/>
        <v>0.61879182575597702</v>
      </c>
      <c r="U47" s="10">
        <f t="shared" si="16"/>
        <v>0.6474369897481258</v>
      </c>
      <c r="V47" s="10">
        <f t="shared" si="16"/>
        <v>0.63779128837026433</v>
      </c>
      <c r="W47" s="10">
        <f t="shared" si="16"/>
        <v>0.63890122612710076</v>
      </c>
      <c r="X47" s="10">
        <f t="shared" si="16"/>
        <v>0.65552562122766</v>
      </c>
      <c r="Y47" s="10">
        <f t="shared" si="16"/>
        <v>0.64278551006016027</v>
      </c>
      <c r="Z47" s="10">
        <f t="shared" si="16"/>
        <v>0.64211242532421964</v>
      </c>
      <c r="AA47" s="10">
        <f t="shared" si="16"/>
        <v>0.6370248558726026</v>
      </c>
      <c r="AB47" s="10">
        <f t="shared" si="16"/>
        <v>0.6437633576591304</v>
      </c>
      <c r="AC47" s="10">
        <f t="shared" si="16"/>
        <v>0.64665762676027116</v>
      </c>
      <c r="AD47" s="10">
        <f t="shared" si="16"/>
        <v>0.64121298281229566</v>
      </c>
    </row>
    <row r="48" spans="1:31" s="459" customFormat="1">
      <c r="A48" s="459" t="str">
        <f t="shared" si="8"/>
        <v>TCAR_PHEV_DST_00</v>
      </c>
      <c r="B48" s="459" t="s">
        <v>939</v>
      </c>
      <c r="C48" s="459" t="str">
        <f t="shared" si="8"/>
        <v>EFFICIENCY</v>
      </c>
      <c r="D48" s="10">
        <f t="shared" ref="D48:AD48" si="17">D15/1000</f>
        <v>0.63248823783251895</v>
      </c>
      <c r="E48" s="10">
        <f t="shared" si="17"/>
        <v>0.34642546952946823</v>
      </c>
      <c r="F48" s="10">
        <f t="shared" si="17"/>
        <v>0.6373445220973647</v>
      </c>
      <c r="G48" s="10">
        <f t="shared" si="17"/>
        <v>0.62872419405943625</v>
      </c>
      <c r="H48" s="10">
        <f t="shared" si="17"/>
        <v>0.34642546952946823</v>
      </c>
      <c r="I48" s="10">
        <f t="shared" si="17"/>
        <v>0.34642546952946823</v>
      </c>
      <c r="J48" s="10">
        <f t="shared" si="17"/>
        <v>0.34642546952946823</v>
      </c>
      <c r="K48" s="10">
        <f t="shared" si="17"/>
        <v>0.34642546952946823</v>
      </c>
      <c r="L48" s="10">
        <f t="shared" si="17"/>
        <v>0.34642546952946823</v>
      </c>
      <c r="M48" s="10">
        <f t="shared" si="17"/>
        <v>0.34642546952946823</v>
      </c>
      <c r="N48" s="10">
        <f t="shared" si="17"/>
        <v>0.34642546952946823</v>
      </c>
      <c r="O48" s="10">
        <f t="shared" si="17"/>
        <v>0.34642546952946823</v>
      </c>
      <c r="P48" s="10">
        <f t="shared" si="17"/>
        <v>0.34642546952946823</v>
      </c>
      <c r="Q48" s="10">
        <f t="shared" si="17"/>
        <v>0.62872419405943625</v>
      </c>
      <c r="R48" s="10">
        <f t="shared" si="17"/>
        <v>0.62872419405943625</v>
      </c>
      <c r="S48" s="10">
        <f t="shared" si="17"/>
        <v>0.34642546952946823</v>
      </c>
      <c r="T48" s="10">
        <f t="shared" si="17"/>
        <v>0.34642546952946823</v>
      </c>
      <c r="U48" s="10">
        <f t="shared" si="17"/>
        <v>0.34642546952946823</v>
      </c>
      <c r="V48" s="10">
        <f t="shared" si="17"/>
        <v>0.34642546952946823</v>
      </c>
      <c r="W48" s="10">
        <f t="shared" si="17"/>
        <v>0.34642546952946823</v>
      </c>
      <c r="X48" s="10">
        <f t="shared" si="17"/>
        <v>0.34642546952946823</v>
      </c>
      <c r="Y48" s="10">
        <f t="shared" si="17"/>
        <v>0.34642546952946823</v>
      </c>
      <c r="Z48" s="10">
        <f t="shared" si="17"/>
        <v>0.34642546952946823</v>
      </c>
      <c r="AA48" s="10">
        <f t="shared" si="17"/>
        <v>0.34642546952946823</v>
      </c>
      <c r="AB48" s="10">
        <f t="shared" si="17"/>
        <v>0.34642546952946823</v>
      </c>
      <c r="AC48" s="10">
        <f t="shared" si="17"/>
        <v>0.34642546952946823</v>
      </c>
      <c r="AD48" s="10">
        <f t="shared" si="17"/>
        <v>0.34642546952946823</v>
      </c>
    </row>
    <row r="49" spans="1:30" s="459" customFormat="1">
      <c r="A49" s="459" t="str">
        <f t="shared" si="8"/>
        <v>TCAR_BEV_00</v>
      </c>
      <c r="B49" s="459" t="s">
        <v>939</v>
      </c>
      <c r="C49" s="459" t="str">
        <f t="shared" si="8"/>
        <v>EFFICIENCY</v>
      </c>
      <c r="D49" s="10">
        <f t="shared" ref="D49:AD49" si="18">D16/1000</f>
        <v>1.1732287821328744</v>
      </c>
      <c r="E49" s="10">
        <f t="shared" si="18"/>
        <v>1.2319897183066071</v>
      </c>
      <c r="F49" s="10">
        <f t="shared" si="18"/>
        <v>1.1721267841211362</v>
      </c>
      <c r="G49" s="10">
        <f t="shared" si="18"/>
        <v>1.1673428558666337</v>
      </c>
      <c r="H49" s="10">
        <f t="shared" si="18"/>
        <v>1.152635929071798</v>
      </c>
      <c r="I49" s="10">
        <f t="shared" si="18"/>
        <v>1.140969684724896</v>
      </c>
      <c r="J49" s="10">
        <f t="shared" si="18"/>
        <v>1.2048628877531571</v>
      </c>
      <c r="K49" s="10">
        <f t="shared" si="18"/>
        <v>1.1677575539058378</v>
      </c>
      <c r="L49" s="10">
        <f t="shared" si="18"/>
        <v>1.1704169455809095</v>
      </c>
      <c r="M49" s="10">
        <f t="shared" si="18"/>
        <v>1.2370464868469317</v>
      </c>
      <c r="N49" s="10">
        <f t="shared" si="18"/>
        <v>1.1563382533854616</v>
      </c>
      <c r="O49" s="10">
        <f t="shared" si="18"/>
        <v>1.1621703795208438</v>
      </c>
      <c r="P49" s="10">
        <f t="shared" si="18"/>
        <v>1.1697730450059598</v>
      </c>
      <c r="Q49" s="10">
        <f t="shared" si="18"/>
        <v>1.1794477106438495</v>
      </c>
      <c r="R49" s="10">
        <f t="shared" si="18"/>
        <v>1.1702244095064209</v>
      </c>
      <c r="S49" s="10">
        <f t="shared" si="18"/>
        <v>1.1831424655588361</v>
      </c>
      <c r="T49" s="10">
        <f t="shared" si="18"/>
        <v>1.1608780175038391</v>
      </c>
      <c r="U49" s="10">
        <f t="shared" si="18"/>
        <v>1.1723683314782265</v>
      </c>
      <c r="V49" s="10">
        <f t="shared" si="18"/>
        <v>1.1841302265409483</v>
      </c>
      <c r="W49" s="10">
        <f t="shared" si="18"/>
        <v>1.1694047507491545</v>
      </c>
      <c r="X49" s="10">
        <f t="shared" si="18"/>
        <v>1.2325893814443833</v>
      </c>
      <c r="Y49" s="10">
        <f t="shared" si="18"/>
        <v>1.1413875927280293</v>
      </c>
      <c r="Z49" s="10">
        <f t="shared" si="18"/>
        <v>1.2381337957445817</v>
      </c>
      <c r="AA49" s="10">
        <f t="shared" si="18"/>
        <v>1.2370464868469317</v>
      </c>
      <c r="AB49" s="10">
        <f t="shared" si="18"/>
        <v>1.2159942650500635</v>
      </c>
      <c r="AC49" s="10">
        <f t="shared" si="18"/>
        <v>1.2174455715077845</v>
      </c>
      <c r="AD49" s="10">
        <f t="shared" si="18"/>
        <v>1.2391526875019643</v>
      </c>
    </row>
    <row r="50" spans="1:30" s="459" customFormat="1">
      <c r="A50" s="459" t="str">
        <f t="shared" si="8"/>
        <v>TTAXI_ICE_GSL_00</v>
      </c>
      <c r="B50" s="459" t="s">
        <v>939</v>
      </c>
      <c r="C50" s="459" t="str">
        <f t="shared" si="8"/>
        <v>EFFICIENCY</v>
      </c>
      <c r="D50" s="10">
        <f t="shared" ref="D50:AD50" si="19">D17/1000</f>
        <v>0.38016954306066925</v>
      </c>
      <c r="E50" s="10">
        <f t="shared" si="19"/>
        <v>0.35439129483975013</v>
      </c>
      <c r="F50" s="10">
        <f t="shared" si="19"/>
        <v>0.38234696617496133</v>
      </c>
      <c r="G50" s="10">
        <f t="shared" si="19"/>
        <v>0.3813298265322434</v>
      </c>
      <c r="H50" s="10">
        <f t="shared" si="19"/>
        <v>0.37694540246294927</v>
      </c>
      <c r="I50" s="10">
        <f t="shared" si="19"/>
        <v>0.37282795281558617</v>
      </c>
      <c r="J50" s="10">
        <f t="shared" si="19"/>
        <v>0.34172330074803892</v>
      </c>
      <c r="K50" s="10">
        <f t="shared" si="19"/>
        <v>0.37385977045838492</v>
      </c>
      <c r="L50" s="10">
        <f t="shared" si="19"/>
        <v>0.37419559882079401</v>
      </c>
      <c r="M50" s="10">
        <f t="shared" si="19"/>
        <v>0.35956111767483395</v>
      </c>
      <c r="N50" s="10">
        <f t="shared" si="19"/>
        <v>0.37985109854399501</v>
      </c>
      <c r="O50" s="10">
        <f t="shared" si="19"/>
        <v>0.3730939723825345</v>
      </c>
      <c r="P50" s="10">
        <f t="shared" si="19"/>
        <v>0.37143444192771224</v>
      </c>
      <c r="Q50" s="10">
        <f t="shared" si="19"/>
        <v>0.37976795320515216</v>
      </c>
      <c r="R50" s="10">
        <f t="shared" si="19"/>
        <v>0.38051101807819576</v>
      </c>
      <c r="S50" s="10">
        <f t="shared" si="19"/>
        <v>0.37077389710675285</v>
      </c>
      <c r="T50" s="10">
        <f t="shared" si="19"/>
        <v>0.38210034899870088</v>
      </c>
      <c r="U50" s="10">
        <f t="shared" si="19"/>
        <v>0.37236336506218776</v>
      </c>
      <c r="V50" s="10">
        <f t="shared" si="19"/>
        <v>0.37771387808713619</v>
      </c>
      <c r="W50" s="10">
        <f t="shared" si="19"/>
        <v>0.3732491287523329</v>
      </c>
      <c r="X50" s="10">
        <f t="shared" si="19"/>
        <v>0.38016954306066925</v>
      </c>
      <c r="Y50" s="10">
        <f t="shared" si="19"/>
        <v>0.3758016473548566</v>
      </c>
      <c r="Z50" s="10">
        <f t="shared" si="19"/>
        <v>0.34992700068852539</v>
      </c>
      <c r="AA50" s="10">
        <f t="shared" si="19"/>
        <v>0.37806019419476128</v>
      </c>
      <c r="AB50" s="10">
        <f t="shared" si="19"/>
        <v>0.38280202201990132</v>
      </c>
      <c r="AC50" s="10">
        <f t="shared" si="19"/>
        <v>0.38117605454681097</v>
      </c>
      <c r="AD50" s="10">
        <f t="shared" si="19"/>
        <v>0.34530230890443547</v>
      </c>
    </row>
    <row r="51" spans="1:30" s="459" customFormat="1">
      <c r="A51" s="459" t="str">
        <f t="shared" si="8"/>
        <v>TTAXI_ICE_DST_00</v>
      </c>
      <c r="B51" s="459" t="s">
        <v>939</v>
      </c>
      <c r="C51" s="459" t="str">
        <f t="shared" si="8"/>
        <v>EFFICIENCY</v>
      </c>
      <c r="D51" s="10">
        <f t="shared" ref="D51:AD51" si="20">D18/1000</f>
        <v>0.41824523778353001</v>
      </c>
      <c r="E51" s="10">
        <f t="shared" si="20"/>
        <v>0.41735102902840782</v>
      </c>
      <c r="F51" s="10">
        <f t="shared" si="20"/>
        <v>0.42384506513812614</v>
      </c>
      <c r="G51" s="10">
        <f t="shared" si="20"/>
        <v>0.41768252532069194</v>
      </c>
      <c r="H51" s="10">
        <f t="shared" si="20"/>
        <v>0.42089355195341643</v>
      </c>
      <c r="I51" s="10">
        <f t="shared" si="20"/>
        <v>0.42470572798360223</v>
      </c>
      <c r="J51" s="10">
        <f t="shared" si="20"/>
        <v>0.41113831796824091</v>
      </c>
      <c r="K51" s="10">
        <f t="shared" si="20"/>
        <v>0.41309356798488184</v>
      </c>
      <c r="L51" s="10">
        <f t="shared" si="20"/>
        <v>0.41783782712668194</v>
      </c>
      <c r="M51" s="10">
        <f t="shared" si="20"/>
        <v>0.40565275501685794</v>
      </c>
      <c r="N51" s="10">
        <f t="shared" si="20"/>
        <v>0.41764913591416819</v>
      </c>
      <c r="O51" s="10">
        <f t="shared" si="20"/>
        <v>0.41285986046481649</v>
      </c>
      <c r="P51" s="10">
        <f t="shared" si="20"/>
        <v>0.40645262514758723</v>
      </c>
      <c r="Q51" s="10">
        <f t="shared" si="20"/>
        <v>0.40095115462091901</v>
      </c>
      <c r="R51" s="10">
        <f t="shared" si="20"/>
        <v>0.41935059545813969</v>
      </c>
      <c r="S51" s="10">
        <f t="shared" si="20"/>
        <v>0.39996313751653256</v>
      </c>
      <c r="T51" s="10">
        <f t="shared" si="20"/>
        <v>0.40643018159014532</v>
      </c>
      <c r="U51" s="10">
        <f t="shared" si="20"/>
        <v>0.4023778840937034</v>
      </c>
      <c r="V51" s="10">
        <f t="shared" si="20"/>
        <v>0.41766241832180423</v>
      </c>
      <c r="W51" s="10">
        <f t="shared" si="20"/>
        <v>0.40981343563868722</v>
      </c>
      <c r="X51" s="10">
        <f t="shared" si="20"/>
        <v>0.41824523778353001</v>
      </c>
      <c r="Y51" s="10">
        <f t="shared" si="20"/>
        <v>0.40690302650758214</v>
      </c>
      <c r="Z51" s="10">
        <f t="shared" si="20"/>
        <v>0.41442404362056623</v>
      </c>
      <c r="AA51" s="10">
        <f t="shared" si="20"/>
        <v>0.4164069413385178</v>
      </c>
      <c r="AB51" s="10">
        <f t="shared" si="20"/>
        <v>0.41697454622004004</v>
      </c>
      <c r="AC51" s="10">
        <f t="shared" si="20"/>
        <v>0.41050859774274484</v>
      </c>
      <c r="AD51" s="10">
        <f t="shared" si="20"/>
        <v>0.40783458630990294</v>
      </c>
    </row>
    <row r="52" spans="1:30" s="459" customFormat="1">
      <c r="A52" s="459" t="str">
        <f t="shared" si="8"/>
        <v>TTAXI_HEV_GSL_00</v>
      </c>
      <c r="B52" s="459" t="s">
        <v>939</v>
      </c>
      <c r="C52" s="459" t="str">
        <f t="shared" si="8"/>
        <v>EFFICIENCY</v>
      </c>
      <c r="D52" s="10">
        <f t="shared" ref="D52:AD52" si="21">D19/1000</f>
        <v>0.49321318156631688</v>
      </c>
      <c r="E52" s="10">
        <f t="shared" si="21"/>
        <v>0.48249903430873486</v>
      </c>
      <c r="F52" s="10">
        <f t="shared" si="21"/>
        <v>0.49355512564804244</v>
      </c>
      <c r="G52" s="10">
        <f t="shared" si="21"/>
        <v>0.49340332134817416</v>
      </c>
      <c r="H52" s="10">
        <f t="shared" si="21"/>
        <v>0.43701804019100188</v>
      </c>
      <c r="I52" s="10">
        <f t="shared" si="21"/>
        <v>0.50206759924561584</v>
      </c>
      <c r="J52" s="10">
        <f t="shared" si="21"/>
        <v>0.49321318156631688</v>
      </c>
      <c r="K52" s="10">
        <f t="shared" si="21"/>
        <v>0.47832350022518499</v>
      </c>
      <c r="L52" s="10">
        <f t="shared" si="21"/>
        <v>0.49561891153260429</v>
      </c>
      <c r="M52" s="10">
        <f t="shared" si="21"/>
        <v>0.4922758945438902</v>
      </c>
      <c r="N52" s="10">
        <f t="shared" si="21"/>
        <v>0.48936736026616245</v>
      </c>
      <c r="O52" s="10">
        <f t="shared" si="21"/>
        <v>0.4922758945438902</v>
      </c>
      <c r="P52" s="10">
        <f t="shared" si="21"/>
        <v>0.48621305315143321</v>
      </c>
      <c r="Q52" s="10">
        <f t="shared" si="21"/>
        <v>0.49874405001309863</v>
      </c>
      <c r="R52" s="10">
        <f t="shared" si="21"/>
        <v>0.49679778194196939</v>
      </c>
      <c r="S52" s="10">
        <f t="shared" si="21"/>
        <v>0.51332288625945133</v>
      </c>
      <c r="T52" s="10">
        <f t="shared" si="21"/>
        <v>0.49771017750157615</v>
      </c>
      <c r="U52" s="10">
        <f t="shared" si="21"/>
        <v>0.4715857435087018</v>
      </c>
      <c r="V52" s="10">
        <f t="shared" si="21"/>
        <v>0.48974013946395922</v>
      </c>
      <c r="W52" s="10">
        <f t="shared" si="21"/>
        <v>0.47255058340540218</v>
      </c>
      <c r="X52" s="10">
        <f t="shared" si="21"/>
        <v>0.49321318156631688</v>
      </c>
      <c r="Y52" s="10">
        <f t="shared" si="21"/>
        <v>0.50370782216956578</v>
      </c>
      <c r="Z52" s="10">
        <f t="shared" si="21"/>
        <v>0.49321318156631688</v>
      </c>
      <c r="AA52" s="10">
        <f t="shared" si="21"/>
        <v>0.49100474309922115</v>
      </c>
      <c r="AB52" s="10">
        <f t="shared" si="21"/>
        <v>0.58885089886923747</v>
      </c>
      <c r="AC52" s="10">
        <f t="shared" si="21"/>
        <v>0.4922758945438902</v>
      </c>
      <c r="AD52" s="10">
        <f t="shared" si="21"/>
        <v>0.49321318156631688</v>
      </c>
    </row>
    <row r="53" spans="1:30" s="459" customFormat="1">
      <c r="A53" s="459" t="str">
        <f t="shared" si="8"/>
        <v>TBUS_ICE_DST_00</v>
      </c>
      <c r="B53" s="459" t="s">
        <v>939</v>
      </c>
      <c r="C53" s="459" t="str">
        <f t="shared" si="8"/>
        <v>EFFICIENCY</v>
      </c>
      <c r="D53" s="10">
        <f t="shared" ref="D53:AD53" si="22">D20/1000</f>
        <v>9.8420000000000007E-2</v>
      </c>
      <c r="E53" s="10">
        <f t="shared" si="22"/>
        <v>9.8420000000000007E-2</v>
      </c>
      <c r="F53" s="10">
        <f t="shared" si="22"/>
        <v>9.8420000000000007E-2</v>
      </c>
      <c r="G53" s="10">
        <f t="shared" si="22"/>
        <v>9.8420000000000007E-2</v>
      </c>
      <c r="H53" s="10">
        <f t="shared" si="22"/>
        <v>9.8420000000000007E-2</v>
      </c>
      <c r="I53" s="10">
        <f t="shared" si="22"/>
        <v>9.8420000000000007E-2</v>
      </c>
      <c r="J53" s="10">
        <f t="shared" si="22"/>
        <v>9.8420000000000007E-2</v>
      </c>
      <c r="K53" s="10">
        <f t="shared" si="22"/>
        <v>9.8420000000000007E-2</v>
      </c>
      <c r="L53" s="10">
        <f t="shared" si="22"/>
        <v>9.8420000000000007E-2</v>
      </c>
      <c r="M53" s="10">
        <f t="shared" si="22"/>
        <v>9.8420000000000007E-2</v>
      </c>
      <c r="N53" s="10">
        <f t="shared" si="22"/>
        <v>9.8420000000000007E-2</v>
      </c>
      <c r="O53" s="10">
        <f t="shared" si="22"/>
        <v>9.8420000000000007E-2</v>
      </c>
      <c r="P53" s="10">
        <f t="shared" si="22"/>
        <v>9.8420000000000007E-2</v>
      </c>
      <c r="Q53" s="10">
        <f t="shared" si="22"/>
        <v>9.8420000000000007E-2</v>
      </c>
      <c r="R53" s="10">
        <f t="shared" si="22"/>
        <v>9.8420000000000007E-2</v>
      </c>
      <c r="S53" s="10">
        <f t="shared" si="22"/>
        <v>9.8420000000000007E-2</v>
      </c>
      <c r="T53" s="10">
        <f t="shared" si="22"/>
        <v>9.8420000000000007E-2</v>
      </c>
      <c r="U53" s="10">
        <f t="shared" si="22"/>
        <v>9.8420000000000007E-2</v>
      </c>
      <c r="V53" s="10">
        <f t="shared" si="22"/>
        <v>9.8420000000000007E-2</v>
      </c>
      <c r="W53" s="10">
        <f t="shared" si="22"/>
        <v>9.8420000000000007E-2</v>
      </c>
      <c r="X53" s="10">
        <f t="shared" si="22"/>
        <v>9.8420000000000007E-2</v>
      </c>
      <c r="Y53" s="10">
        <f t="shared" si="22"/>
        <v>9.8420000000000007E-2</v>
      </c>
      <c r="Z53" s="10">
        <f t="shared" si="22"/>
        <v>9.8420000000000007E-2</v>
      </c>
      <c r="AA53" s="10">
        <f t="shared" si="22"/>
        <v>9.8420000000000007E-2</v>
      </c>
      <c r="AB53" s="10">
        <f t="shared" si="22"/>
        <v>9.8420000000000007E-2</v>
      </c>
      <c r="AC53" s="10">
        <f t="shared" si="22"/>
        <v>9.8420000000000007E-2</v>
      </c>
      <c r="AD53" s="10">
        <f t="shared" si="22"/>
        <v>9.8420000000000007E-2</v>
      </c>
    </row>
    <row r="54" spans="1:30" s="459" customFormat="1">
      <c r="A54" s="459" t="str">
        <f t="shared" si="8"/>
        <v>TLRAIL_ELC_00</v>
      </c>
      <c r="B54" s="459" t="s">
        <v>939</v>
      </c>
      <c r="C54" s="459" t="str">
        <f t="shared" si="8"/>
        <v>EFFICIENCY</v>
      </c>
      <c r="D54" s="10">
        <f t="shared" ref="D54:AD54" si="23">D21/1000</f>
        <v>4.0299999999999996E-2</v>
      </c>
      <c r="E54" s="10">
        <f t="shared" si="23"/>
        <v>4.0299999999999996E-2</v>
      </c>
      <c r="F54" s="10">
        <f t="shared" si="23"/>
        <v>4.0299999999999996E-2</v>
      </c>
      <c r="G54" s="10">
        <f t="shared" si="23"/>
        <v>4.0299999999999996E-2</v>
      </c>
      <c r="H54" s="10">
        <f t="shared" si="23"/>
        <v>4.0299999999999996E-2</v>
      </c>
      <c r="I54" s="10">
        <f t="shared" si="23"/>
        <v>4.0299999999999996E-2</v>
      </c>
      <c r="J54" s="10">
        <f t="shared" si="23"/>
        <v>4.0299999999999996E-2</v>
      </c>
      <c r="K54" s="10">
        <f t="shared" si="23"/>
        <v>4.0299999999999996E-2</v>
      </c>
      <c r="L54" s="10">
        <f t="shared" si="23"/>
        <v>4.0299999999999996E-2</v>
      </c>
      <c r="M54" s="10">
        <f t="shared" si="23"/>
        <v>4.0299999999999996E-2</v>
      </c>
      <c r="N54" s="10">
        <f t="shared" si="23"/>
        <v>4.0299999999999996E-2</v>
      </c>
      <c r="O54" s="10">
        <f t="shared" si="23"/>
        <v>4.0299999999999996E-2</v>
      </c>
      <c r="P54" s="10">
        <f t="shared" si="23"/>
        <v>4.0299999999999996E-2</v>
      </c>
      <c r="Q54" s="10">
        <f t="shared" si="23"/>
        <v>4.0299999999999996E-2</v>
      </c>
      <c r="R54" s="10">
        <f t="shared" si="23"/>
        <v>4.0299999999999996E-2</v>
      </c>
      <c r="S54" s="10">
        <f t="shared" si="23"/>
        <v>4.0299999999999996E-2</v>
      </c>
      <c r="T54" s="10">
        <f t="shared" si="23"/>
        <v>4.0299999999999996E-2</v>
      </c>
      <c r="U54" s="10">
        <f t="shared" si="23"/>
        <v>4.0299999999999996E-2</v>
      </c>
      <c r="V54" s="10">
        <f t="shared" si="23"/>
        <v>4.0299999999999996E-2</v>
      </c>
      <c r="W54" s="10">
        <f t="shared" si="23"/>
        <v>4.0299999999999996E-2</v>
      </c>
      <c r="X54" s="10">
        <f t="shared" si="23"/>
        <v>4.0299999999999996E-2</v>
      </c>
      <c r="Y54" s="10">
        <f t="shared" si="23"/>
        <v>4.0299999999999996E-2</v>
      </c>
      <c r="Z54" s="10">
        <f t="shared" si="23"/>
        <v>4.0299999999999996E-2</v>
      </c>
      <c r="AA54" s="10">
        <f t="shared" si="23"/>
        <v>4.0299999999999996E-2</v>
      </c>
      <c r="AB54" s="10">
        <f t="shared" si="23"/>
        <v>4.0299999999999996E-2</v>
      </c>
      <c r="AC54" s="10">
        <f t="shared" si="23"/>
        <v>4.0299999999999996E-2</v>
      </c>
      <c r="AD54" s="10">
        <f t="shared" si="23"/>
        <v>4.0299999999999996E-2</v>
      </c>
    </row>
    <row r="55" spans="1:30" s="459" customFormat="1">
      <c r="A55" s="459" t="str">
        <f t="shared" si="8"/>
        <v>THRAIL_ELC_00</v>
      </c>
      <c r="B55" s="459" t="s">
        <v>939</v>
      </c>
      <c r="C55" s="459" t="str">
        <f t="shared" si="8"/>
        <v>EFFICIENCY</v>
      </c>
      <c r="D55" s="10">
        <f t="shared" ref="D55:AD55" si="24">D22/1000</f>
        <v>4.0299999999999996E-2</v>
      </c>
      <c r="E55" s="10">
        <f t="shared" si="24"/>
        <v>4.0299999999999996E-2</v>
      </c>
      <c r="F55" s="10">
        <f t="shared" si="24"/>
        <v>4.0299999999999996E-2</v>
      </c>
      <c r="G55" s="10">
        <f t="shared" si="24"/>
        <v>4.0299999999999996E-2</v>
      </c>
      <c r="H55" s="10">
        <f t="shared" si="24"/>
        <v>4.0299999999999996E-2</v>
      </c>
      <c r="I55" s="10">
        <f t="shared" si="24"/>
        <v>4.0299999999999996E-2</v>
      </c>
      <c r="J55" s="10">
        <f t="shared" si="24"/>
        <v>4.0299999999999996E-2</v>
      </c>
      <c r="K55" s="10">
        <f t="shared" si="24"/>
        <v>4.0299999999999996E-2</v>
      </c>
      <c r="L55" s="10">
        <f t="shared" si="24"/>
        <v>4.0299999999999996E-2</v>
      </c>
      <c r="M55" s="10">
        <f t="shared" si="24"/>
        <v>4.0299999999999996E-2</v>
      </c>
      <c r="N55" s="10">
        <f t="shared" si="24"/>
        <v>4.0299999999999996E-2</v>
      </c>
      <c r="O55" s="10">
        <f t="shared" si="24"/>
        <v>4.0299999999999996E-2</v>
      </c>
      <c r="P55" s="10">
        <f t="shared" si="24"/>
        <v>4.0299999999999996E-2</v>
      </c>
      <c r="Q55" s="10">
        <f t="shared" si="24"/>
        <v>4.0299999999999996E-2</v>
      </c>
      <c r="R55" s="10">
        <f t="shared" si="24"/>
        <v>4.0299999999999996E-2</v>
      </c>
      <c r="S55" s="10">
        <f t="shared" si="24"/>
        <v>4.0299999999999996E-2</v>
      </c>
      <c r="T55" s="10">
        <f t="shared" si="24"/>
        <v>4.0299999999999996E-2</v>
      </c>
      <c r="U55" s="10">
        <f t="shared" si="24"/>
        <v>4.0299999999999996E-2</v>
      </c>
      <c r="V55" s="10">
        <f t="shared" si="24"/>
        <v>4.0299999999999996E-2</v>
      </c>
      <c r="W55" s="10">
        <f t="shared" si="24"/>
        <v>4.0299999999999996E-2</v>
      </c>
      <c r="X55" s="10">
        <f t="shared" si="24"/>
        <v>4.0299999999999996E-2</v>
      </c>
      <c r="Y55" s="10">
        <f t="shared" si="24"/>
        <v>4.0299999999999996E-2</v>
      </c>
      <c r="Z55" s="10">
        <f t="shared" si="24"/>
        <v>4.0299999999999996E-2</v>
      </c>
      <c r="AA55" s="10">
        <f t="shared" si="24"/>
        <v>4.0299999999999996E-2</v>
      </c>
      <c r="AB55" s="10">
        <f t="shared" si="24"/>
        <v>4.0299999999999996E-2</v>
      </c>
      <c r="AC55" s="10">
        <f t="shared" si="24"/>
        <v>4.0299999999999996E-2</v>
      </c>
      <c r="AD55" s="10">
        <f t="shared" si="24"/>
        <v>4.0299999999999996E-2</v>
      </c>
    </row>
    <row r="56" spans="1:30" s="459" customFormat="1">
      <c r="A56" s="459" t="str">
        <f t="shared" si="8"/>
        <v>THRAIL_DST_00</v>
      </c>
      <c r="B56" s="459" t="s">
        <v>939</v>
      </c>
      <c r="C56" s="459" t="str">
        <f t="shared" si="8"/>
        <v>EFFICIENCY</v>
      </c>
      <c r="D56" s="10">
        <f>D23/1000</f>
        <v>1.2999999999999999E-2</v>
      </c>
      <c r="E56" s="10">
        <f t="shared" ref="E56:H56" si="25">E23/1000</f>
        <v>1.2999999999999999E-2</v>
      </c>
      <c r="F56" s="10">
        <f t="shared" si="25"/>
        <v>1.2999999999999999E-2</v>
      </c>
      <c r="G56" s="10">
        <f t="shared" si="25"/>
        <v>1.2999999999999999E-2</v>
      </c>
      <c r="H56" s="10">
        <f t="shared" si="25"/>
        <v>1.2999999999999999E-2</v>
      </c>
      <c r="I56" s="10">
        <f t="shared" ref="I56:AD56" si="26">I23/1000</f>
        <v>1.2999999999999999E-2</v>
      </c>
      <c r="J56" s="10">
        <f t="shared" si="26"/>
        <v>1.2999999999999999E-2</v>
      </c>
      <c r="K56" s="10">
        <f t="shared" si="26"/>
        <v>1.2999999999999999E-2</v>
      </c>
      <c r="L56" s="10">
        <f t="shared" si="26"/>
        <v>1.2999999999999999E-2</v>
      </c>
      <c r="M56" s="10">
        <f t="shared" si="26"/>
        <v>1.2999999999999999E-2</v>
      </c>
      <c r="N56" s="10">
        <f t="shared" si="26"/>
        <v>1.2999999999999999E-2</v>
      </c>
      <c r="O56" s="10">
        <f t="shared" si="26"/>
        <v>1.2999999999999999E-2</v>
      </c>
      <c r="P56" s="10">
        <f t="shared" si="26"/>
        <v>1.2999999999999999E-2</v>
      </c>
      <c r="Q56" s="10">
        <f t="shared" si="26"/>
        <v>1.2999999999999999E-2</v>
      </c>
      <c r="R56" s="10">
        <f t="shared" si="26"/>
        <v>1.2999999999999999E-2</v>
      </c>
      <c r="S56" s="10">
        <f t="shared" si="26"/>
        <v>1.2999999999999999E-2</v>
      </c>
      <c r="T56" s="10">
        <f t="shared" si="26"/>
        <v>1.2999999999999999E-2</v>
      </c>
      <c r="U56" s="10">
        <f t="shared" si="26"/>
        <v>1.2999999999999999E-2</v>
      </c>
      <c r="V56" s="10">
        <f t="shared" si="26"/>
        <v>1.2999999999999999E-2</v>
      </c>
      <c r="W56" s="10">
        <f t="shared" si="26"/>
        <v>1.2999999999999999E-2</v>
      </c>
      <c r="X56" s="10">
        <f t="shared" si="26"/>
        <v>1.2999999999999999E-2</v>
      </c>
      <c r="Y56" s="10">
        <f t="shared" si="26"/>
        <v>1.2999999999999999E-2</v>
      </c>
      <c r="Z56" s="10">
        <f t="shared" si="26"/>
        <v>1.2999999999999999E-2</v>
      </c>
      <c r="AA56" s="10">
        <f t="shared" si="26"/>
        <v>1.2999999999999999E-2</v>
      </c>
      <c r="AB56" s="10">
        <f t="shared" si="26"/>
        <v>1.2999999999999999E-2</v>
      </c>
      <c r="AC56" s="10">
        <f t="shared" si="26"/>
        <v>1.2999999999999999E-2</v>
      </c>
      <c r="AD56" s="10">
        <f t="shared" si="26"/>
        <v>1.2999999999999999E-2</v>
      </c>
    </row>
    <row r="57" spans="1:30" s="459" customFormat="1">
      <c r="A57" s="459" t="str">
        <f t="shared" si="8"/>
        <v>TFGV_GSL_00</v>
      </c>
      <c r="B57" s="718" t="s">
        <v>939</v>
      </c>
      <c r="C57" s="459" t="str">
        <f t="shared" si="8"/>
        <v>EFFICIENCY</v>
      </c>
      <c r="D57" s="10">
        <f t="shared" ref="D57:G59" si="27">D24/1000</f>
        <v>0.1778952771703512</v>
      </c>
      <c r="E57" s="10">
        <f t="shared" si="27"/>
        <v>0.1778952771703512</v>
      </c>
      <c r="F57" s="10">
        <f t="shared" si="27"/>
        <v>0.1778952771703512</v>
      </c>
      <c r="G57" s="10">
        <f t="shared" si="27"/>
        <v>0.1778952771703512</v>
      </c>
      <c r="H57" s="10">
        <f t="shared" ref="H57:AD57" si="28">H24/1000</f>
        <v>0.1778952771703512</v>
      </c>
      <c r="I57" s="10">
        <f t="shared" si="28"/>
        <v>0.1778952771703512</v>
      </c>
      <c r="J57" s="10">
        <f t="shared" si="28"/>
        <v>0.1778952771703512</v>
      </c>
      <c r="K57" s="10">
        <f t="shared" si="28"/>
        <v>0.1778952771703512</v>
      </c>
      <c r="L57" s="10">
        <f t="shared" si="28"/>
        <v>0.1778952771703512</v>
      </c>
      <c r="M57" s="10">
        <f t="shared" si="28"/>
        <v>0.1778952771703512</v>
      </c>
      <c r="N57" s="10">
        <f t="shared" si="28"/>
        <v>0.1778952771703512</v>
      </c>
      <c r="O57" s="10">
        <f t="shared" si="28"/>
        <v>0.1778952771703512</v>
      </c>
      <c r="P57" s="10">
        <f t="shared" si="28"/>
        <v>0.1778952771703512</v>
      </c>
      <c r="Q57" s="10">
        <f t="shared" si="28"/>
        <v>0.1778952771703512</v>
      </c>
      <c r="R57" s="10">
        <f t="shared" si="28"/>
        <v>0.1778952771703512</v>
      </c>
      <c r="S57" s="10">
        <f t="shared" si="28"/>
        <v>0.1778952771703512</v>
      </c>
      <c r="T57" s="10">
        <f t="shared" si="28"/>
        <v>0.1778952771703512</v>
      </c>
      <c r="U57" s="10">
        <f t="shared" si="28"/>
        <v>0.1778952771703512</v>
      </c>
      <c r="V57" s="10">
        <f t="shared" si="28"/>
        <v>0.1778952771703512</v>
      </c>
      <c r="W57" s="10">
        <f t="shared" si="28"/>
        <v>0.1778952771703512</v>
      </c>
      <c r="X57" s="10">
        <f t="shared" si="28"/>
        <v>0.1778952771703512</v>
      </c>
      <c r="Y57" s="10">
        <f t="shared" si="28"/>
        <v>0.1778952771703512</v>
      </c>
      <c r="Z57" s="10">
        <f t="shared" si="28"/>
        <v>0.1778952771703512</v>
      </c>
      <c r="AA57" s="10">
        <f t="shared" si="28"/>
        <v>0.1778952771703512</v>
      </c>
      <c r="AB57" s="10">
        <f t="shared" si="28"/>
        <v>0.1778952771703512</v>
      </c>
      <c r="AC57" s="10">
        <f t="shared" si="28"/>
        <v>0.1778952771703512</v>
      </c>
      <c r="AD57" s="10">
        <f t="shared" si="28"/>
        <v>0.1778952771703512</v>
      </c>
    </row>
    <row r="58" spans="1:30" s="459" customFormat="1">
      <c r="A58" s="459" t="str">
        <f t="shared" si="8"/>
        <v>TFGV_DST_00</v>
      </c>
      <c r="B58" s="718" t="s">
        <v>939</v>
      </c>
      <c r="C58" s="459" t="str">
        <f t="shared" si="8"/>
        <v>EFFICIENCY</v>
      </c>
      <c r="D58" s="10">
        <f t="shared" si="27"/>
        <v>0.1779</v>
      </c>
      <c r="E58" s="10">
        <f t="shared" si="27"/>
        <v>0.1779</v>
      </c>
      <c r="F58" s="10">
        <f t="shared" si="27"/>
        <v>0.1779</v>
      </c>
      <c r="G58" s="10">
        <f t="shared" si="27"/>
        <v>0.1779</v>
      </c>
      <c r="H58" s="10">
        <f t="shared" ref="H58:AD58" si="29">H25/1000</f>
        <v>0.1779</v>
      </c>
      <c r="I58" s="10">
        <f t="shared" si="29"/>
        <v>0.1779</v>
      </c>
      <c r="J58" s="10">
        <f t="shared" si="29"/>
        <v>0.1779</v>
      </c>
      <c r="K58" s="10">
        <f t="shared" si="29"/>
        <v>0.1779</v>
      </c>
      <c r="L58" s="10">
        <f t="shared" si="29"/>
        <v>0.1779</v>
      </c>
      <c r="M58" s="10">
        <f t="shared" si="29"/>
        <v>0.1779</v>
      </c>
      <c r="N58" s="10">
        <f t="shared" si="29"/>
        <v>0.1779</v>
      </c>
      <c r="O58" s="10">
        <f t="shared" si="29"/>
        <v>0.1779</v>
      </c>
      <c r="P58" s="10">
        <f t="shared" si="29"/>
        <v>0.1779</v>
      </c>
      <c r="Q58" s="10">
        <f t="shared" si="29"/>
        <v>0.1779</v>
      </c>
      <c r="R58" s="10">
        <f t="shared" si="29"/>
        <v>0.1779</v>
      </c>
      <c r="S58" s="10">
        <f t="shared" si="29"/>
        <v>0.1779</v>
      </c>
      <c r="T58" s="10">
        <f t="shared" si="29"/>
        <v>0.1779</v>
      </c>
      <c r="U58" s="10">
        <f t="shared" si="29"/>
        <v>0.1779</v>
      </c>
      <c r="V58" s="10">
        <f t="shared" si="29"/>
        <v>0.1779</v>
      </c>
      <c r="W58" s="10">
        <f t="shared" si="29"/>
        <v>0.1779</v>
      </c>
      <c r="X58" s="10">
        <f t="shared" si="29"/>
        <v>0.1779</v>
      </c>
      <c r="Y58" s="10">
        <f t="shared" si="29"/>
        <v>0.1779</v>
      </c>
      <c r="Z58" s="10">
        <f t="shared" si="29"/>
        <v>0.1779</v>
      </c>
      <c r="AA58" s="10">
        <f t="shared" si="29"/>
        <v>0.1779</v>
      </c>
      <c r="AB58" s="10">
        <f t="shared" si="29"/>
        <v>0.1779</v>
      </c>
      <c r="AC58" s="10">
        <f t="shared" si="29"/>
        <v>0.1779</v>
      </c>
      <c r="AD58" s="10">
        <f t="shared" si="29"/>
        <v>0.1779</v>
      </c>
    </row>
    <row r="59" spans="1:30" s="459" customFormat="1">
      <c r="A59" s="459" t="str">
        <f t="shared" si="8"/>
        <v>TFRAIL_DST_00</v>
      </c>
      <c r="B59" s="718" t="s">
        <v>939</v>
      </c>
      <c r="C59" s="459" t="str">
        <f t="shared" si="8"/>
        <v>EFFICIENCY</v>
      </c>
      <c r="D59" s="10">
        <f t="shared" si="27"/>
        <v>4.7112409841113404E-3</v>
      </c>
      <c r="E59" s="10">
        <f t="shared" si="27"/>
        <v>4.7112409841113404E-3</v>
      </c>
      <c r="F59" s="10">
        <f t="shared" si="27"/>
        <v>4.7112409841113404E-3</v>
      </c>
      <c r="G59" s="10">
        <f t="shared" si="27"/>
        <v>4.7112409841113404E-3</v>
      </c>
      <c r="H59" s="10">
        <f t="shared" ref="H59:AD59" si="30">H26/1000</f>
        <v>4.7112409841113404E-3</v>
      </c>
      <c r="I59" s="10">
        <f t="shared" si="30"/>
        <v>4.7112409841113404E-3</v>
      </c>
      <c r="J59" s="10">
        <f t="shared" si="30"/>
        <v>4.7112409841113404E-3</v>
      </c>
      <c r="K59" s="10">
        <f t="shared" si="30"/>
        <v>4.7112409841113404E-3</v>
      </c>
      <c r="L59" s="10">
        <f t="shared" si="30"/>
        <v>4.7112409841113404E-3</v>
      </c>
      <c r="M59" s="10">
        <f t="shared" si="30"/>
        <v>4.7112409841113404E-3</v>
      </c>
      <c r="N59" s="10">
        <f t="shared" si="30"/>
        <v>4.7112409841113404E-3</v>
      </c>
      <c r="O59" s="10">
        <f t="shared" si="30"/>
        <v>4.7112409841113404E-3</v>
      </c>
      <c r="P59" s="10">
        <f t="shared" si="30"/>
        <v>4.7112409841113404E-3</v>
      </c>
      <c r="Q59" s="10">
        <f t="shared" si="30"/>
        <v>4.7112409841113404E-3</v>
      </c>
      <c r="R59" s="10">
        <f t="shared" si="30"/>
        <v>4.7112409841113404E-3</v>
      </c>
      <c r="S59" s="10">
        <f t="shared" si="30"/>
        <v>4.7112409841113404E-3</v>
      </c>
      <c r="T59" s="10">
        <f t="shared" si="30"/>
        <v>4.7112409841113404E-3</v>
      </c>
      <c r="U59" s="10">
        <f t="shared" si="30"/>
        <v>4.7112409841113404E-3</v>
      </c>
      <c r="V59" s="10">
        <f t="shared" si="30"/>
        <v>4.7112409841113404E-3</v>
      </c>
      <c r="W59" s="10">
        <f t="shared" si="30"/>
        <v>4.7112409841113404E-3</v>
      </c>
      <c r="X59" s="10">
        <f t="shared" si="30"/>
        <v>4.7112409841113404E-3</v>
      </c>
      <c r="Y59" s="10">
        <f t="shared" si="30"/>
        <v>4.7112409841113404E-3</v>
      </c>
      <c r="Z59" s="10">
        <f t="shared" si="30"/>
        <v>4.7112409841113404E-3</v>
      </c>
      <c r="AA59" s="10">
        <f t="shared" si="30"/>
        <v>4.7112409841113404E-3</v>
      </c>
      <c r="AB59" s="10">
        <f t="shared" si="30"/>
        <v>4.7112409841113404E-3</v>
      </c>
      <c r="AC59" s="10">
        <f t="shared" si="30"/>
        <v>4.7112409841113404E-3</v>
      </c>
      <c r="AD59" s="10">
        <f t="shared" si="30"/>
        <v>4.7112409841113404E-3</v>
      </c>
    </row>
    <row r="60" spans="1:30" s="459" customFormat="1">
      <c r="A60" s="459" t="str">
        <f t="shared" si="8"/>
        <v>TTUR_00</v>
      </c>
      <c r="B60" s="459" t="str">
        <f t="shared" si="8"/>
        <v>-</v>
      </c>
      <c r="C60" s="459" t="str">
        <f t="shared" si="8"/>
        <v>EFFICIENCY</v>
      </c>
      <c r="D60" s="459">
        <f t="shared" ref="D60:AD60" si="31">D27</f>
        <v>1</v>
      </c>
      <c r="E60" s="459">
        <f t="shared" si="31"/>
        <v>1</v>
      </c>
      <c r="F60" s="459">
        <f t="shared" si="31"/>
        <v>1</v>
      </c>
      <c r="G60" s="459">
        <f t="shared" si="31"/>
        <v>1</v>
      </c>
      <c r="H60" s="459">
        <f t="shared" si="31"/>
        <v>1</v>
      </c>
      <c r="I60" s="459">
        <f t="shared" si="31"/>
        <v>1</v>
      </c>
      <c r="J60" s="459">
        <f t="shared" si="31"/>
        <v>1</v>
      </c>
      <c r="K60" s="459">
        <f t="shared" si="31"/>
        <v>1</v>
      </c>
      <c r="L60" s="459">
        <f t="shared" si="31"/>
        <v>1</v>
      </c>
      <c r="M60" s="459">
        <f t="shared" si="31"/>
        <v>1</v>
      </c>
      <c r="N60" s="459">
        <f t="shared" si="31"/>
        <v>1</v>
      </c>
      <c r="O60" s="459">
        <f t="shared" si="31"/>
        <v>1</v>
      </c>
      <c r="P60" s="459">
        <f t="shared" si="31"/>
        <v>1</v>
      </c>
      <c r="Q60" s="459">
        <f t="shared" si="31"/>
        <v>1</v>
      </c>
      <c r="R60" s="459">
        <f t="shared" si="31"/>
        <v>1</v>
      </c>
      <c r="S60" s="459">
        <f t="shared" si="31"/>
        <v>1</v>
      </c>
      <c r="T60" s="459">
        <f t="shared" si="31"/>
        <v>1</v>
      </c>
      <c r="U60" s="459">
        <f t="shared" si="31"/>
        <v>1</v>
      </c>
      <c r="V60" s="459">
        <f t="shared" si="31"/>
        <v>1</v>
      </c>
      <c r="W60" s="459">
        <f t="shared" si="31"/>
        <v>1</v>
      </c>
      <c r="X60" s="459">
        <f t="shared" si="31"/>
        <v>1</v>
      </c>
      <c r="Y60" s="459">
        <f t="shared" si="31"/>
        <v>1</v>
      </c>
      <c r="Z60" s="459">
        <f t="shared" si="31"/>
        <v>1</v>
      </c>
      <c r="AA60" s="459">
        <f t="shared" si="31"/>
        <v>1</v>
      </c>
      <c r="AB60" s="459">
        <f t="shared" si="31"/>
        <v>1</v>
      </c>
      <c r="AC60" s="459">
        <f t="shared" si="31"/>
        <v>1</v>
      </c>
      <c r="AD60" s="459">
        <f t="shared" si="31"/>
        <v>1</v>
      </c>
    </row>
    <row r="61" spans="1:30" s="459" customFormat="1">
      <c r="A61" s="459" t="str">
        <f t="shared" si="8"/>
        <v>TNAV_00</v>
      </c>
      <c r="B61" s="459" t="str">
        <f t="shared" si="8"/>
        <v>-</v>
      </c>
      <c r="C61" s="459" t="str">
        <f t="shared" si="8"/>
        <v>EFFICIENCY</v>
      </c>
      <c r="D61" s="459">
        <f t="shared" ref="D61:AD61" si="32">D28</f>
        <v>1</v>
      </c>
      <c r="E61" s="459">
        <f t="shared" si="32"/>
        <v>1</v>
      </c>
      <c r="F61" s="459">
        <f t="shared" si="32"/>
        <v>1</v>
      </c>
      <c r="G61" s="459">
        <f t="shared" si="32"/>
        <v>1</v>
      </c>
      <c r="H61" s="459">
        <f t="shared" si="32"/>
        <v>1</v>
      </c>
      <c r="I61" s="459">
        <f t="shared" si="32"/>
        <v>1</v>
      </c>
      <c r="J61" s="459">
        <f t="shared" si="32"/>
        <v>1</v>
      </c>
      <c r="K61" s="459">
        <f t="shared" si="32"/>
        <v>1</v>
      </c>
      <c r="L61" s="459">
        <f t="shared" si="32"/>
        <v>1</v>
      </c>
      <c r="M61" s="459">
        <f t="shared" si="32"/>
        <v>1</v>
      </c>
      <c r="N61" s="459">
        <f t="shared" si="32"/>
        <v>1</v>
      </c>
      <c r="O61" s="459">
        <f t="shared" si="32"/>
        <v>1</v>
      </c>
      <c r="P61" s="459">
        <f t="shared" si="32"/>
        <v>1</v>
      </c>
      <c r="Q61" s="459">
        <f t="shared" si="32"/>
        <v>1</v>
      </c>
      <c r="R61" s="459">
        <f t="shared" si="32"/>
        <v>1</v>
      </c>
      <c r="S61" s="459">
        <f t="shared" si="32"/>
        <v>1</v>
      </c>
      <c r="T61" s="459">
        <f t="shared" si="32"/>
        <v>1</v>
      </c>
      <c r="U61" s="459">
        <f t="shared" si="32"/>
        <v>1</v>
      </c>
      <c r="V61" s="459">
        <f t="shared" si="32"/>
        <v>1</v>
      </c>
      <c r="W61" s="459">
        <f t="shared" si="32"/>
        <v>1</v>
      </c>
      <c r="X61" s="459">
        <f t="shared" si="32"/>
        <v>1</v>
      </c>
      <c r="Y61" s="459">
        <f t="shared" si="32"/>
        <v>1</v>
      </c>
      <c r="Z61" s="459">
        <f t="shared" si="32"/>
        <v>1</v>
      </c>
      <c r="AA61" s="459">
        <f t="shared" si="32"/>
        <v>1</v>
      </c>
      <c r="AB61" s="459">
        <f t="shared" si="32"/>
        <v>1</v>
      </c>
      <c r="AC61" s="459">
        <f t="shared" si="32"/>
        <v>1</v>
      </c>
      <c r="AD61" s="459">
        <f t="shared" si="32"/>
        <v>1</v>
      </c>
    </row>
    <row r="62" spans="1:30" s="459" customFormat="1">
      <c r="A62" s="459" t="str">
        <f t="shared" si="8"/>
        <v>TOTH_00</v>
      </c>
      <c r="B62" s="459" t="str">
        <f t="shared" si="8"/>
        <v>-</v>
      </c>
      <c r="C62" s="459" t="str">
        <f t="shared" si="8"/>
        <v>EFFICIENCY</v>
      </c>
      <c r="D62" s="459">
        <f t="shared" ref="D62:AD62" si="33">D29</f>
        <v>1</v>
      </c>
      <c r="E62" s="459">
        <f t="shared" si="33"/>
        <v>1</v>
      </c>
      <c r="F62" s="459">
        <f t="shared" si="33"/>
        <v>1</v>
      </c>
      <c r="G62" s="459">
        <f t="shared" si="33"/>
        <v>1</v>
      </c>
      <c r="H62" s="459">
        <f t="shared" si="33"/>
        <v>1</v>
      </c>
      <c r="I62" s="459">
        <f t="shared" si="33"/>
        <v>1</v>
      </c>
      <c r="J62" s="459">
        <f t="shared" si="33"/>
        <v>1</v>
      </c>
      <c r="K62" s="459">
        <f t="shared" si="33"/>
        <v>1</v>
      </c>
      <c r="L62" s="459">
        <f t="shared" si="33"/>
        <v>1</v>
      </c>
      <c r="M62" s="459">
        <f t="shared" si="33"/>
        <v>1</v>
      </c>
      <c r="N62" s="459">
        <f t="shared" si="33"/>
        <v>1</v>
      </c>
      <c r="O62" s="459">
        <f t="shared" si="33"/>
        <v>1</v>
      </c>
      <c r="P62" s="459">
        <f t="shared" si="33"/>
        <v>1</v>
      </c>
      <c r="Q62" s="459">
        <f t="shared" si="33"/>
        <v>1</v>
      </c>
      <c r="R62" s="459">
        <f t="shared" si="33"/>
        <v>1</v>
      </c>
      <c r="S62" s="459">
        <f t="shared" si="33"/>
        <v>1</v>
      </c>
      <c r="T62" s="459">
        <f t="shared" si="33"/>
        <v>1</v>
      </c>
      <c r="U62" s="459">
        <f t="shared" si="33"/>
        <v>1</v>
      </c>
      <c r="V62" s="459">
        <f t="shared" si="33"/>
        <v>1</v>
      </c>
      <c r="W62" s="459">
        <f t="shared" si="33"/>
        <v>1</v>
      </c>
      <c r="X62" s="459">
        <f t="shared" si="33"/>
        <v>1</v>
      </c>
      <c r="Y62" s="459">
        <f t="shared" si="33"/>
        <v>1</v>
      </c>
      <c r="Z62" s="459">
        <f t="shared" si="33"/>
        <v>1</v>
      </c>
      <c r="AA62" s="459">
        <f t="shared" si="33"/>
        <v>1</v>
      </c>
      <c r="AB62" s="459">
        <f t="shared" si="33"/>
        <v>1</v>
      </c>
      <c r="AC62" s="459">
        <f t="shared" si="33"/>
        <v>1</v>
      </c>
      <c r="AD62" s="459">
        <f t="shared" si="33"/>
        <v>1</v>
      </c>
    </row>
    <row r="63" spans="1:30" s="459" customFormat="1">
      <c r="A63" s="1" t="str">
        <f t="shared" si="8"/>
        <v>TAVI_DOM_00</v>
      </c>
      <c r="B63" s="1" t="str">
        <f t="shared" si="8"/>
        <v>-</v>
      </c>
      <c r="C63" s="1" t="str">
        <f t="shared" si="8"/>
        <v>EFFICIENCY</v>
      </c>
      <c r="D63" s="1">
        <f t="shared" ref="D63:AD63" si="34">D30</f>
        <v>1</v>
      </c>
      <c r="E63" s="1">
        <f t="shared" si="34"/>
        <v>1</v>
      </c>
      <c r="F63" s="1">
        <f t="shared" si="34"/>
        <v>1</v>
      </c>
      <c r="G63" s="1">
        <f t="shared" si="34"/>
        <v>1</v>
      </c>
      <c r="H63" s="1">
        <f t="shared" si="34"/>
        <v>1</v>
      </c>
      <c r="I63" s="1">
        <f t="shared" si="34"/>
        <v>1</v>
      </c>
      <c r="J63" s="1">
        <f t="shared" si="34"/>
        <v>1</v>
      </c>
      <c r="K63" s="1">
        <f t="shared" si="34"/>
        <v>1</v>
      </c>
      <c r="L63" s="1">
        <f t="shared" si="34"/>
        <v>1</v>
      </c>
      <c r="M63" s="1">
        <f t="shared" si="34"/>
        <v>1</v>
      </c>
      <c r="N63" s="1">
        <f t="shared" si="34"/>
        <v>1</v>
      </c>
      <c r="O63" s="1">
        <f t="shared" si="34"/>
        <v>1</v>
      </c>
      <c r="P63" s="1">
        <f t="shared" si="34"/>
        <v>1</v>
      </c>
      <c r="Q63" s="1">
        <f t="shared" si="34"/>
        <v>1</v>
      </c>
      <c r="R63" s="1">
        <f t="shared" si="34"/>
        <v>1</v>
      </c>
      <c r="S63" s="1">
        <f t="shared" si="34"/>
        <v>1</v>
      </c>
      <c r="T63" s="1">
        <f t="shared" si="34"/>
        <v>1</v>
      </c>
      <c r="U63" s="1">
        <f t="shared" si="34"/>
        <v>1</v>
      </c>
      <c r="V63" s="1">
        <f t="shared" si="34"/>
        <v>1</v>
      </c>
      <c r="W63" s="1">
        <f t="shared" si="34"/>
        <v>1</v>
      </c>
      <c r="X63" s="1">
        <f t="shared" si="34"/>
        <v>1</v>
      </c>
      <c r="Y63" s="1">
        <f t="shared" si="34"/>
        <v>1</v>
      </c>
      <c r="Z63" s="1">
        <f t="shared" si="34"/>
        <v>1</v>
      </c>
      <c r="AA63" s="1">
        <f t="shared" si="34"/>
        <v>1</v>
      </c>
      <c r="AB63" s="1">
        <f t="shared" si="34"/>
        <v>1</v>
      </c>
      <c r="AC63" s="1">
        <f t="shared" si="34"/>
        <v>1</v>
      </c>
      <c r="AD63" s="1">
        <f t="shared" si="34"/>
        <v>1</v>
      </c>
    </row>
    <row r="64" spans="1:30" s="459" customFormat="1">
      <c r="A64" s="458" t="str">
        <f t="shared" si="8"/>
        <v>TAVI_INT_00</v>
      </c>
      <c r="B64" s="458" t="str">
        <f t="shared" si="8"/>
        <v>-</v>
      </c>
      <c r="C64" s="458" t="str">
        <f t="shared" si="8"/>
        <v>EFFICIENCY</v>
      </c>
      <c r="D64" s="458">
        <f t="shared" ref="D64:AD64" si="35">D31</f>
        <v>1</v>
      </c>
      <c r="E64" s="458">
        <f t="shared" si="35"/>
        <v>1</v>
      </c>
      <c r="F64" s="458">
        <f t="shared" si="35"/>
        <v>1</v>
      </c>
      <c r="G64" s="458">
        <f t="shared" si="35"/>
        <v>1</v>
      </c>
      <c r="H64" s="458">
        <f t="shared" si="35"/>
        <v>1</v>
      </c>
      <c r="I64" s="458">
        <f t="shared" si="35"/>
        <v>1</v>
      </c>
      <c r="J64" s="458">
        <f t="shared" si="35"/>
        <v>1</v>
      </c>
      <c r="K64" s="458">
        <f t="shared" si="35"/>
        <v>1</v>
      </c>
      <c r="L64" s="458">
        <f t="shared" si="35"/>
        <v>1</v>
      </c>
      <c r="M64" s="458">
        <f t="shared" si="35"/>
        <v>1</v>
      </c>
      <c r="N64" s="458">
        <f t="shared" si="35"/>
        <v>1</v>
      </c>
      <c r="O64" s="458">
        <f t="shared" si="35"/>
        <v>1</v>
      </c>
      <c r="P64" s="458">
        <f t="shared" si="35"/>
        <v>1</v>
      </c>
      <c r="Q64" s="458">
        <f t="shared" si="35"/>
        <v>1</v>
      </c>
      <c r="R64" s="458">
        <f t="shared" si="35"/>
        <v>1</v>
      </c>
      <c r="S64" s="458">
        <f t="shared" si="35"/>
        <v>1</v>
      </c>
      <c r="T64" s="458">
        <f t="shared" si="35"/>
        <v>1</v>
      </c>
      <c r="U64" s="458">
        <f t="shared" si="35"/>
        <v>1</v>
      </c>
      <c r="V64" s="458">
        <f t="shared" si="35"/>
        <v>1</v>
      </c>
      <c r="W64" s="458">
        <f t="shared" si="35"/>
        <v>1</v>
      </c>
      <c r="X64" s="458">
        <f t="shared" si="35"/>
        <v>1</v>
      </c>
      <c r="Y64" s="458">
        <f t="shared" si="35"/>
        <v>1</v>
      </c>
      <c r="Z64" s="458">
        <f t="shared" si="35"/>
        <v>1</v>
      </c>
      <c r="AA64" s="458">
        <f t="shared" si="35"/>
        <v>1</v>
      </c>
      <c r="AB64" s="458">
        <f t="shared" si="35"/>
        <v>1</v>
      </c>
      <c r="AC64" s="458">
        <f t="shared" si="35"/>
        <v>1</v>
      </c>
      <c r="AD64" s="458">
        <f t="shared" si="35"/>
        <v>1</v>
      </c>
    </row>
    <row r="65" spans="1:1" s="459" customFormat="1">
      <c r="A65" s="28" t="s">
        <v>861</v>
      </c>
    </row>
    <row r="66" spans="1:1" s="459" customFormat="1">
      <c r="A66" s="28"/>
    </row>
    <row r="67" spans="1:1" s="459" customFormat="1">
      <c r="A67" s="28"/>
    </row>
    <row r="68" spans="1:1" s="459" customFormat="1">
      <c r="A68" s="28"/>
    </row>
    <row r="69" spans="1:1" s="459" customFormat="1">
      <c r="A69" s="28"/>
    </row>
    <row r="70" spans="1:1" s="459" customFormat="1">
      <c r="A70" s="28"/>
    </row>
    <row r="71" spans="1:1" s="459" customFormat="1">
      <c r="A71" s="28"/>
    </row>
    <row r="72" spans="1:1" s="459" customFormat="1">
      <c r="A72" s="28"/>
    </row>
    <row r="73" spans="1:1" s="459" customFormat="1">
      <c r="A73" s="28"/>
    </row>
    <row r="74" spans="1:1" s="459" customFormat="1">
      <c r="A74" s="28"/>
    </row>
    <row r="75" spans="1:1" s="459" customFormat="1">
      <c r="A75" s="28"/>
    </row>
    <row r="76" spans="1:1" s="459" customFormat="1">
      <c r="A76" s="28"/>
    </row>
    <row r="77" spans="1:1" s="459" customFormat="1">
      <c r="A77" s="28"/>
    </row>
    <row r="78" spans="1:1" s="459" customFormat="1">
      <c r="A78" s="28"/>
    </row>
    <row r="79" spans="1:1" s="459" customFormat="1">
      <c r="A79" s="28"/>
    </row>
    <row r="80" spans="1:1" s="459" customFormat="1">
      <c r="A80" s="28"/>
    </row>
    <row r="81" spans="1:29" s="459" customFormat="1">
      <c r="A81" s="28"/>
    </row>
    <row r="82" spans="1:29" s="459" customFormat="1">
      <c r="A82" s="28"/>
    </row>
    <row r="83" spans="1:29" s="459" customFormat="1">
      <c r="A83" s="28"/>
    </row>
    <row r="84" spans="1:29" s="459" customFormat="1">
      <c r="A84" s="28"/>
    </row>
    <row r="85" spans="1:29" s="459" customFormat="1">
      <c r="A85" s="28"/>
    </row>
    <row r="86" spans="1:29">
      <c r="A86" s="28"/>
      <c r="B86" s="461"/>
    </row>
    <row r="88" spans="1:29">
      <c r="A88" s="448"/>
      <c r="C88" s="448"/>
      <c r="D88" s="448"/>
      <c r="E88" s="448"/>
      <c r="F88" s="448"/>
      <c r="G88" s="448"/>
      <c r="H88" s="448"/>
      <c r="I88" s="448"/>
      <c r="J88" s="448"/>
      <c r="K88" s="448"/>
      <c r="L88" s="448"/>
    </row>
    <row r="89" spans="1:29">
      <c r="A89" s="511"/>
      <c r="B89" s="511"/>
      <c r="C89" s="511"/>
      <c r="D89" s="511"/>
      <c r="E89" s="511"/>
      <c r="F89" s="511"/>
      <c r="G89" s="511"/>
      <c r="H89" s="511"/>
      <c r="I89" s="511"/>
      <c r="J89" s="511"/>
      <c r="K89" s="511"/>
      <c r="L89" s="511"/>
      <c r="M89" s="511"/>
      <c r="N89" s="511"/>
      <c r="O89" s="511"/>
      <c r="P89" s="511"/>
      <c r="Q89" s="511"/>
      <c r="R89" s="511"/>
      <c r="S89" s="511"/>
      <c r="T89" s="511"/>
      <c r="U89" s="511"/>
      <c r="V89" s="511"/>
      <c r="W89" s="511"/>
      <c r="X89" s="511"/>
      <c r="Y89" s="511"/>
      <c r="Z89" s="511"/>
      <c r="AA89" s="511"/>
      <c r="AB89" s="511"/>
      <c r="AC89" s="511"/>
    </row>
    <row r="90" spans="1:29" ht="15.6">
      <c r="A90" s="425" t="s">
        <v>649</v>
      </c>
      <c r="C90" s="459"/>
      <c r="D90" s="459"/>
      <c r="E90" s="459"/>
      <c r="F90" s="459"/>
      <c r="G90" s="459"/>
      <c r="H90" s="459"/>
      <c r="I90" s="459"/>
      <c r="J90" s="459"/>
      <c r="K90" s="459"/>
      <c r="L90" s="459"/>
      <c r="M90" s="459"/>
      <c r="N90" s="459"/>
      <c r="O90" s="459"/>
      <c r="P90" s="459"/>
      <c r="Q90" s="459"/>
      <c r="R90" s="459"/>
      <c r="S90" s="459"/>
      <c r="T90" s="459"/>
      <c r="U90" s="459"/>
      <c r="V90" s="459"/>
      <c r="W90" s="459"/>
      <c r="X90" s="459"/>
      <c r="Y90" s="459"/>
      <c r="Z90" s="459"/>
      <c r="AA90" s="459"/>
    </row>
    <row r="91" spans="1:29">
      <c r="A91" s="131" t="s">
        <v>648</v>
      </c>
      <c r="B91" s="131" t="s">
        <v>64</v>
      </c>
      <c r="C91" s="131" t="str">
        <f>Regions!C3</f>
        <v>IE</v>
      </c>
      <c r="D91" s="131" t="str">
        <f>Regions!E3</f>
        <v>IE-CW</v>
      </c>
      <c r="E91" s="131" t="str">
        <f>Regions!F3</f>
        <v>IE-D</v>
      </c>
      <c r="F91" s="131" t="str">
        <f>Regions!G3</f>
        <v>IE-KE</v>
      </c>
      <c r="G91" s="131" t="str">
        <f>Regions!H3</f>
        <v>IE-KK</v>
      </c>
      <c r="H91" s="131" t="str">
        <f>Regions!I3</f>
        <v>IE-LS</v>
      </c>
      <c r="I91" s="131" t="str">
        <f>Regions!J3</f>
        <v>IE-LD</v>
      </c>
      <c r="J91" s="131" t="str">
        <f>Regions!K3</f>
        <v>IE-LH</v>
      </c>
      <c r="K91" s="131" t="str">
        <f>Regions!L3</f>
        <v>IE-MH</v>
      </c>
      <c r="L91" s="131" t="str">
        <f>Regions!M3</f>
        <v>IE-OY</v>
      </c>
      <c r="M91" s="131" t="str">
        <f>Regions!N3</f>
        <v>IE-WH</v>
      </c>
      <c r="N91" s="131" t="str">
        <f>Regions!O3</f>
        <v>IE-WX</v>
      </c>
      <c r="O91" s="131" t="str">
        <f>Regions!P3</f>
        <v>IE-WW</v>
      </c>
      <c r="P91" s="131" t="str">
        <f>Regions!Q3</f>
        <v>IE-CE</v>
      </c>
      <c r="Q91" s="131" t="str">
        <f>Regions!R3</f>
        <v>IE-CO</v>
      </c>
      <c r="R91" s="131" t="str">
        <f>Regions!S3</f>
        <v>IE-KY</v>
      </c>
      <c r="S91" s="131" t="str">
        <f>Regions!T3</f>
        <v>IE-LK</v>
      </c>
      <c r="T91" s="131" t="str">
        <f>Regions!U3</f>
        <v>IE-TA</v>
      </c>
      <c r="U91" s="131" t="str">
        <f>Regions!V3</f>
        <v>IE-WD</v>
      </c>
      <c r="V91" s="131" t="str">
        <f>Regions!W3</f>
        <v>IE-G</v>
      </c>
      <c r="W91" s="131" t="str">
        <f>Regions!X3</f>
        <v>IE-LM</v>
      </c>
      <c r="X91" s="131" t="str">
        <f>Regions!Y3</f>
        <v>IE-MO</v>
      </c>
      <c r="Y91" s="131" t="str">
        <f>Regions!Z3</f>
        <v>IE-RN</v>
      </c>
      <c r="Z91" s="131" t="str">
        <f>Regions!AA3</f>
        <v>IE-SO</v>
      </c>
      <c r="AA91" s="131" t="str">
        <f>Regions!AB3</f>
        <v>IE-CN</v>
      </c>
      <c r="AB91" s="131" t="str">
        <f>Regions!AC3</f>
        <v>IE-DL</v>
      </c>
      <c r="AC91" s="131" t="str">
        <f>Regions!AD3</f>
        <v>IE-MN</v>
      </c>
    </row>
    <row r="92" spans="1:29">
      <c r="A92" s="459" t="s">
        <v>347</v>
      </c>
      <c r="B92" s="459" t="s">
        <v>539</v>
      </c>
      <c r="C92" s="36">
        <f>SUM(D92:AC92)</f>
        <v>146343</v>
      </c>
      <c r="D92" s="36">
        <v>1607</v>
      </c>
      <c r="E92" s="36">
        <v>44721</v>
      </c>
      <c r="F92" s="36">
        <v>6850</v>
      </c>
      <c r="G92" s="36">
        <v>2837</v>
      </c>
      <c r="H92" s="36">
        <v>1998</v>
      </c>
      <c r="I92" s="36">
        <v>1009</v>
      </c>
      <c r="J92" s="36">
        <v>3827</v>
      </c>
      <c r="K92" s="36">
        <v>4898</v>
      </c>
      <c r="L92" s="36">
        <v>2107</v>
      </c>
      <c r="M92" s="36">
        <v>2345</v>
      </c>
      <c r="N92" s="36">
        <v>4866</v>
      </c>
      <c r="O92" s="36">
        <v>4832</v>
      </c>
      <c r="P92" s="36">
        <v>3493</v>
      </c>
      <c r="Q92" s="36">
        <v>19213</v>
      </c>
      <c r="R92" s="36">
        <v>4426</v>
      </c>
      <c r="S92" s="36">
        <v>6145</v>
      </c>
      <c r="T92" s="36">
        <v>4872</v>
      </c>
      <c r="U92" s="36">
        <v>4732</v>
      </c>
      <c r="V92" s="36">
        <v>6394</v>
      </c>
      <c r="W92" s="36">
        <v>815</v>
      </c>
      <c r="X92" s="36">
        <v>3469</v>
      </c>
      <c r="Y92" s="36">
        <v>2304</v>
      </c>
      <c r="Z92" s="36">
        <v>1939</v>
      </c>
      <c r="AA92" s="36">
        <v>1752</v>
      </c>
      <c r="AB92" s="36">
        <v>3704</v>
      </c>
      <c r="AC92" s="36">
        <v>1188</v>
      </c>
    </row>
    <row r="93" spans="1:29">
      <c r="A93" s="459" t="s">
        <v>348</v>
      </c>
      <c r="B93" s="459" t="s">
        <v>539</v>
      </c>
      <c r="C93" s="36">
        <f t="shared" ref="C93:C98" si="36">SUM(D93:AC93)</f>
        <v>138644</v>
      </c>
      <c r="D93" s="36">
        <v>1575</v>
      </c>
      <c r="E93" s="36">
        <v>45979</v>
      </c>
      <c r="F93" s="36">
        <v>7239</v>
      </c>
      <c r="G93" s="36">
        <v>2645</v>
      </c>
      <c r="H93" s="36">
        <v>1765</v>
      </c>
      <c r="I93" s="36">
        <v>750</v>
      </c>
      <c r="J93" s="36">
        <v>3753</v>
      </c>
      <c r="K93" s="36">
        <v>5568</v>
      </c>
      <c r="L93" s="36">
        <v>1704</v>
      </c>
      <c r="M93" s="36">
        <v>2156</v>
      </c>
      <c r="N93" s="36">
        <v>4670</v>
      </c>
      <c r="O93" s="36">
        <v>5405</v>
      </c>
      <c r="P93" s="36">
        <v>3113</v>
      </c>
      <c r="Q93" s="36">
        <v>16804</v>
      </c>
      <c r="R93" s="36">
        <v>3960</v>
      </c>
      <c r="S93" s="36">
        <v>5289</v>
      </c>
      <c r="T93" s="36">
        <v>4174</v>
      </c>
      <c r="U93" s="36">
        <v>4277</v>
      </c>
      <c r="V93" s="36">
        <v>5661</v>
      </c>
      <c r="W93" s="36">
        <v>703</v>
      </c>
      <c r="X93" s="36">
        <v>2451</v>
      </c>
      <c r="Y93" s="36">
        <v>2122</v>
      </c>
      <c r="Z93" s="36">
        <v>1563</v>
      </c>
      <c r="AA93" s="36">
        <v>1437</v>
      </c>
      <c r="AB93" s="36">
        <v>2783</v>
      </c>
      <c r="AC93" s="36">
        <v>1098</v>
      </c>
    </row>
    <row r="94" spans="1:29">
      <c r="A94" s="459" t="s">
        <v>349</v>
      </c>
      <c r="B94" s="459" t="s">
        <v>539</v>
      </c>
      <c r="C94" s="36">
        <f t="shared" si="36"/>
        <v>393926</v>
      </c>
      <c r="D94" s="36">
        <v>4799</v>
      </c>
      <c r="E94" s="36">
        <v>114073</v>
      </c>
      <c r="F94" s="36">
        <v>17645</v>
      </c>
      <c r="G94" s="36">
        <v>7527</v>
      </c>
      <c r="H94" s="36">
        <v>5289</v>
      </c>
      <c r="I94" s="36">
        <v>2507</v>
      </c>
      <c r="J94" s="36">
        <v>8301</v>
      </c>
      <c r="K94" s="36">
        <v>13858</v>
      </c>
      <c r="L94" s="36">
        <v>5188</v>
      </c>
      <c r="M94" s="36">
        <v>6162</v>
      </c>
      <c r="N94" s="36">
        <v>12455</v>
      </c>
      <c r="O94" s="36">
        <v>12664</v>
      </c>
      <c r="P94" s="36">
        <v>10503</v>
      </c>
      <c r="Q94" s="36">
        <v>53424</v>
      </c>
      <c r="R94" s="36">
        <v>14158</v>
      </c>
      <c r="S94" s="36">
        <v>17767</v>
      </c>
      <c r="T94" s="36">
        <v>13508</v>
      </c>
      <c r="U94" s="36">
        <v>11369</v>
      </c>
      <c r="V94" s="36">
        <v>20494</v>
      </c>
      <c r="W94" s="36">
        <v>2238</v>
      </c>
      <c r="X94" s="36">
        <v>10618</v>
      </c>
      <c r="Y94" s="36">
        <v>5050</v>
      </c>
      <c r="Z94" s="36">
        <v>5309</v>
      </c>
      <c r="AA94" s="36">
        <v>4593</v>
      </c>
      <c r="AB94" s="36">
        <v>10671</v>
      </c>
      <c r="AC94" s="36">
        <v>3756</v>
      </c>
    </row>
    <row r="95" spans="1:29">
      <c r="A95" s="459" t="s">
        <v>350</v>
      </c>
      <c r="B95" s="459" t="s">
        <v>539</v>
      </c>
      <c r="C95" s="36">
        <f t="shared" si="36"/>
        <v>172596</v>
      </c>
      <c r="D95" s="36">
        <v>1951</v>
      </c>
      <c r="E95" s="36">
        <v>55508</v>
      </c>
      <c r="F95" s="36">
        <v>8154</v>
      </c>
      <c r="G95" s="36">
        <v>2985</v>
      </c>
      <c r="H95" s="36">
        <v>2300</v>
      </c>
      <c r="I95" s="36">
        <v>1073</v>
      </c>
      <c r="J95" s="36">
        <v>3207</v>
      </c>
      <c r="K95" s="36">
        <v>6291</v>
      </c>
      <c r="L95" s="36">
        <v>2287</v>
      </c>
      <c r="M95" s="36">
        <v>2559</v>
      </c>
      <c r="N95" s="36">
        <v>4959</v>
      </c>
      <c r="O95" s="36">
        <v>5863</v>
      </c>
      <c r="P95" s="36">
        <v>4995</v>
      </c>
      <c r="Q95" s="36">
        <v>20914</v>
      </c>
      <c r="R95" s="36">
        <v>6504</v>
      </c>
      <c r="S95" s="36">
        <v>7743</v>
      </c>
      <c r="T95" s="36">
        <v>5901</v>
      </c>
      <c r="U95" s="36">
        <v>4686</v>
      </c>
      <c r="V95" s="36">
        <v>8859</v>
      </c>
      <c r="W95" s="36">
        <v>852</v>
      </c>
      <c r="X95" s="36">
        <v>4100</v>
      </c>
      <c r="Y95" s="36">
        <v>1802</v>
      </c>
      <c r="Z95" s="36">
        <v>2087</v>
      </c>
      <c r="AA95" s="36">
        <v>1974</v>
      </c>
      <c r="AB95" s="36">
        <v>3800</v>
      </c>
      <c r="AC95" s="36">
        <v>1242</v>
      </c>
    </row>
    <row r="96" spans="1:29">
      <c r="A96" s="459" t="s">
        <v>351</v>
      </c>
      <c r="B96" s="459" t="s">
        <v>539</v>
      </c>
      <c r="C96" s="36">
        <f t="shared" si="36"/>
        <v>46276</v>
      </c>
      <c r="D96" s="36">
        <v>459</v>
      </c>
      <c r="E96" s="36">
        <v>17887</v>
      </c>
      <c r="F96" s="36">
        <v>2307</v>
      </c>
      <c r="G96" s="36">
        <v>694</v>
      </c>
      <c r="H96" s="36">
        <v>559</v>
      </c>
      <c r="I96" s="36">
        <v>260</v>
      </c>
      <c r="J96" s="36">
        <v>829</v>
      </c>
      <c r="K96" s="36">
        <v>1859</v>
      </c>
      <c r="L96" s="36">
        <v>525</v>
      </c>
      <c r="M96" s="36">
        <v>628</v>
      </c>
      <c r="N96" s="36">
        <v>1172</v>
      </c>
      <c r="O96" s="36">
        <v>1780</v>
      </c>
      <c r="P96" s="36">
        <v>1005</v>
      </c>
      <c r="Q96" s="36">
        <v>5389</v>
      </c>
      <c r="R96" s="36">
        <v>1402</v>
      </c>
      <c r="S96" s="36">
        <v>1688</v>
      </c>
      <c r="T96" s="36">
        <v>1265</v>
      </c>
      <c r="U96" s="36">
        <v>1114</v>
      </c>
      <c r="V96" s="36">
        <v>2186</v>
      </c>
      <c r="W96" s="36">
        <v>170</v>
      </c>
      <c r="X96" s="36">
        <v>943</v>
      </c>
      <c r="Y96" s="36">
        <v>347</v>
      </c>
      <c r="Z96" s="36">
        <v>439</v>
      </c>
      <c r="AA96" s="36">
        <v>401</v>
      </c>
      <c r="AB96" s="36">
        <v>688</v>
      </c>
      <c r="AC96" s="36">
        <v>280</v>
      </c>
    </row>
    <row r="97" spans="1:29">
      <c r="A97" s="459" t="s">
        <v>352</v>
      </c>
      <c r="B97" s="459" t="s">
        <v>539</v>
      </c>
      <c r="C97" s="36">
        <f t="shared" si="36"/>
        <v>36748</v>
      </c>
      <c r="D97" s="36">
        <v>328</v>
      </c>
      <c r="E97" s="36">
        <v>15022</v>
      </c>
      <c r="F97" s="36">
        <v>1770</v>
      </c>
      <c r="G97" s="36">
        <v>513</v>
      </c>
      <c r="H97" s="36">
        <v>390</v>
      </c>
      <c r="I97" s="36">
        <v>168</v>
      </c>
      <c r="J97" s="36">
        <v>594</v>
      </c>
      <c r="K97" s="36">
        <v>1300</v>
      </c>
      <c r="L97" s="36">
        <v>355</v>
      </c>
      <c r="M97" s="36">
        <v>458</v>
      </c>
      <c r="N97" s="36">
        <v>891</v>
      </c>
      <c r="O97" s="36">
        <v>1698</v>
      </c>
      <c r="P97" s="36">
        <v>770</v>
      </c>
      <c r="Q97" s="36">
        <v>4295</v>
      </c>
      <c r="R97" s="36">
        <v>1027</v>
      </c>
      <c r="S97" s="36">
        <v>1208</v>
      </c>
      <c r="T97" s="36">
        <v>900</v>
      </c>
      <c r="U97" s="36">
        <v>778</v>
      </c>
      <c r="V97" s="36">
        <v>1712</v>
      </c>
      <c r="W97" s="36">
        <v>147</v>
      </c>
      <c r="X97" s="36">
        <v>656</v>
      </c>
      <c r="Y97" s="36">
        <v>275</v>
      </c>
      <c r="Z97" s="36">
        <v>340</v>
      </c>
      <c r="AA97" s="36">
        <v>324</v>
      </c>
      <c r="AB97" s="36">
        <v>597</v>
      </c>
      <c r="AC97" s="36">
        <v>232</v>
      </c>
    </row>
    <row r="98" spans="1:29" s="448" customFormat="1">
      <c r="A98" s="459" t="s">
        <v>353</v>
      </c>
      <c r="B98" s="459" t="s">
        <v>539</v>
      </c>
      <c r="C98" s="36">
        <f t="shared" si="36"/>
        <v>12327</v>
      </c>
      <c r="D98" s="36">
        <v>77</v>
      </c>
      <c r="E98" s="36">
        <v>6218</v>
      </c>
      <c r="F98" s="36">
        <v>556</v>
      </c>
      <c r="G98" s="36">
        <v>145</v>
      </c>
      <c r="H98" s="36">
        <v>90</v>
      </c>
      <c r="I98" s="36">
        <v>37</v>
      </c>
      <c r="J98" s="36">
        <v>211</v>
      </c>
      <c r="K98" s="36">
        <v>442</v>
      </c>
      <c r="L98" s="36">
        <v>86</v>
      </c>
      <c r="M98" s="36">
        <v>109</v>
      </c>
      <c r="N98" s="36">
        <v>223</v>
      </c>
      <c r="O98" s="36">
        <v>605</v>
      </c>
      <c r="P98" s="36">
        <v>178</v>
      </c>
      <c r="Q98" s="36">
        <v>1189</v>
      </c>
      <c r="R98" s="36">
        <v>250</v>
      </c>
      <c r="S98" s="36">
        <v>306</v>
      </c>
      <c r="T98" s="36">
        <v>234</v>
      </c>
      <c r="U98" s="36">
        <v>203</v>
      </c>
      <c r="V98" s="36">
        <v>514</v>
      </c>
      <c r="W98" s="36">
        <v>36</v>
      </c>
      <c r="X98" s="36">
        <v>167</v>
      </c>
      <c r="Y98" s="36">
        <v>71</v>
      </c>
      <c r="Z98" s="36">
        <v>84</v>
      </c>
      <c r="AA98" s="36">
        <v>87</v>
      </c>
      <c r="AB98" s="36">
        <v>155</v>
      </c>
      <c r="AC98" s="36">
        <v>54</v>
      </c>
    </row>
    <row r="99" spans="1:29" s="448" customFormat="1">
      <c r="A99" s="458" t="s">
        <v>16</v>
      </c>
      <c r="B99" s="458" t="s">
        <v>539</v>
      </c>
      <c r="C99" s="504">
        <f>SUM(D99:AC99)</f>
        <v>946860</v>
      </c>
      <c r="D99" s="504">
        <f t="shared" ref="D99:AC99" si="37">SUM(D92:D98)</f>
        <v>10796</v>
      </c>
      <c r="E99" s="504">
        <f t="shared" si="37"/>
        <v>299408</v>
      </c>
      <c r="F99" s="504">
        <f t="shared" si="37"/>
        <v>44521</v>
      </c>
      <c r="G99" s="504">
        <f t="shared" si="37"/>
        <v>17346</v>
      </c>
      <c r="H99" s="504">
        <f t="shared" si="37"/>
        <v>12391</v>
      </c>
      <c r="I99" s="504">
        <f t="shared" si="37"/>
        <v>5804</v>
      </c>
      <c r="J99" s="504">
        <f t="shared" si="37"/>
        <v>20722</v>
      </c>
      <c r="K99" s="504">
        <f t="shared" si="37"/>
        <v>34216</v>
      </c>
      <c r="L99" s="504">
        <f t="shared" si="37"/>
        <v>12252</v>
      </c>
      <c r="M99" s="504">
        <f t="shared" si="37"/>
        <v>14417</v>
      </c>
      <c r="N99" s="504">
        <f t="shared" si="37"/>
        <v>29236</v>
      </c>
      <c r="O99" s="504">
        <f t="shared" si="37"/>
        <v>32847</v>
      </c>
      <c r="P99" s="504">
        <f t="shared" si="37"/>
        <v>24057</v>
      </c>
      <c r="Q99" s="504">
        <f t="shared" si="37"/>
        <v>121228</v>
      </c>
      <c r="R99" s="504">
        <f t="shared" si="37"/>
        <v>31727</v>
      </c>
      <c r="S99" s="504">
        <f t="shared" si="37"/>
        <v>40146</v>
      </c>
      <c r="T99" s="504">
        <f t="shared" si="37"/>
        <v>30854</v>
      </c>
      <c r="U99" s="504">
        <f t="shared" si="37"/>
        <v>27159</v>
      </c>
      <c r="V99" s="504">
        <f t="shared" si="37"/>
        <v>45820</v>
      </c>
      <c r="W99" s="504">
        <f t="shared" si="37"/>
        <v>4961</v>
      </c>
      <c r="X99" s="504">
        <f t="shared" si="37"/>
        <v>22404</v>
      </c>
      <c r="Y99" s="504">
        <f t="shared" si="37"/>
        <v>11971</v>
      </c>
      <c r="Z99" s="504">
        <f t="shared" si="37"/>
        <v>11761</v>
      </c>
      <c r="AA99" s="504">
        <f t="shared" si="37"/>
        <v>10568</v>
      </c>
      <c r="AB99" s="504">
        <f t="shared" si="37"/>
        <v>22398</v>
      </c>
      <c r="AC99" s="504">
        <f t="shared" si="37"/>
        <v>7850</v>
      </c>
    </row>
    <row r="100" spans="1:29" s="448" customFormat="1">
      <c r="A100" s="459" t="s">
        <v>659</v>
      </c>
      <c r="C100" s="459"/>
      <c r="D100" s="459"/>
      <c r="E100" s="459"/>
      <c r="F100" s="459"/>
      <c r="G100" s="459"/>
      <c r="H100" s="459"/>
      <c r="I100" s="459"/>
      <c r="J100" s="459"/>
      <c r="K100" s="459"/>
      <c r="L100" s="459"/>
      <c r="M100" s="459"/>
      <c r="N100" s="459"/>
      <c r="O100" s="459"/>
      <c r="P100" s="459"/>
      <c r="Q100" s="459"/>
      <c r="R100" s="459"/>
      <c r="S100" s="459"/>
      <c r="T100" s="459"/>
      <c r="U100" s="459"/>
      <c r="V100" s="459"/>
      <c r="W100" s="459"/>
      <c r="X100" s="459"/>
      <c r="Y100" s="459"/>
      <c r="Z100" s="459"/>
      <c r="AA100" s="459"/>
      <c r="AB100" s="459"/>
    </row>
    <row r="101" spans="1:29">
      <c r="A101" s="448"/>
      <c r="C101" s="459"/>
      <c r="D101" s="448"/>
      <c r="E101" s="448"/>
      <c r="F101" s="448"/>
      <c r="G101" s="448"/>
      <c r="H101" s="448"/>
    </row>
    <row r="102" spans="1:29">
      <c r="A102" s="448"/>
      <c r="C102" s="459"/>
      <c r="D102" s="448"/>
      <c r="E102" s="448"/>
      <c r="F102" s="448"/>
      <c r="G102" s="448"/>
      <c r="H102" s="448"/>
    </row>
    <row r="103" spans="1:29">
      <c r="A103" s="448"/>
      <c r="C103" s="459"/>
      <c r="D103" s="448"/>
      <c r="E103" s="448"/>
      <c r="F103" s="448"/>
      <c r="G103" s="448"/>
      <c r="H103" s="448"/>
    </row>
    <row r="104" spans="1:29" ht="15.6">
      <c r="A104" s="425" t="s">
        <v>650</v>
      </c>
      <c r="C104" s="459"/>
      <c r="D104" s="459"/>
      <c r="E104" s="459"/>
      <c r="F104" s="459"/>
      <c r="G104" s="459"/>
      <c r="H104" s="459"/>
      <c r="I104" s="459"/>
      <c r="J104" s="459"/>
      <c r="K104" s="459"/>
      <c r="L104" s="459"/>
      <c r="M104" s="459"/>
      <c r="N104" s="459"/>
      <c r="O104" s="459"/>
      <c r="P104" s="459"/>
      <c r="Q104" s="459"/>
      <c r="R104" s="459"/>
      <c r="S104" s="459"/>
      <c r="T104" s="459"/>
      <c r="U104" s="459"/>
      <c r="V104" s="459"/>
      <c r="W104" s="459"/>
      <c r="X104" s="459"/>
      <c r="Y104" s="459"/>
      <c r="Z104" s="459"/>
      <c r="AA104" s="459"/>
      <c r="AB104" s="459"/>
      <c r="AC104" s="459"/>
    </row>
    <row r="105" spans="1:29">
      <c r="A105" s="131" t="s">
        <v>648</v>
      </c>
      <c r="B105" s="131" t="s">
        <v>64</v>
      </c>
      <c r="C105" s="131" t="str">
        <f>C91</f>
        <v>IE</v>
      </c>
      <c r="D105" s="131" t="str">
        <f t="shared" ref="D105:AC105" si="38">D91</f>
        <v>IE-CW</v>
      </c>
      <c r="E105" s="131" t="str">
        <f t="shared" si="38"/>
        <v>IE-D</v>
      </c>
      <c r="F105" s="131" t="str">
        <f t="shared" si="38"/>
        <v>IE-KE</v>
      </c>
      <c r="G105" s="131" t="str">
        <f t="shared" si="38"/>
        <v>IE-KK</v>
      </c>
      <c r="H105" s="131" t="str">
        <f t="shared" si="38"/>
        <v>IE-LS</v>
      </c>
      <c r="I105" s="131" t="str">
        <f t="shared" si="38"/>
        <v>IE-LD</v>
      </c>
      <c r="J105" s="131" t="str">
        <f t="shared" si="38"/>
        <v>IE-LH</v>
      </c>
      <c r="K105" s="131" t="str">
        <f t="shared" si="38"/>
        <v>IE-MH</v>
      </c>
      <c r="L105" s="131" t="str">
        <f t="shared" si="38"/>
        <v>IE-OY</v>
      </c>
      <c r="M105" s="131" t="str">
        <f t="shared" si="38"/>
        <v>IE-WH</v>
      </c>
      <c r="N105" s="131" t="str">
        <f t="shared" si="38"/>
        <v>IE-WX</v>
      </c>
      <c r="O105" s="131" t="str">
        <f t="shared" si="38"/>
        <v>IE-WW</v>
      </c>
      <c r="P105" s="131" t="str">
        <f t="shared" si="38"/>
        <v>IE-CE</v>
      </c>
      <c r="Q105" s="131" t="str">
        <f t="shared" si="38"/>
        <v>IE-CO</v>
      </c>
      <c r="R105" s="131" t="str">
        <f t="shared" si="38"/>
        <v>IE-KY</v>
      </c>
      <c r="S105" s="131" t="str">
        <f t="shared" si="38"/>
        <v>IE-LK</v>
      </c>
      <c r="T105" s="131" t="str">
        <f t="shared" si="38"/>
        <v>IE-TA</v>
      </c>
      <c r="U105" s="131" t="str">
        <f t="shared" si="38"/>
        <v>IE-WD</v>
      </c>
      <c r="V105" s="131" t="str">
        <f t="shared" si="38"/>
        <v>IE-G</v>
      </c>
      <c r="W105" s="131" t="str">
        <f t="shared" si="38"/>
        <v>IE-LM</v>
      </c>
      <c r="X105" s="131" t="str">
        <f t="shared" si="38"/>
        <v>IE-MO</v>
      </c>
      <c r="Y105" s="131" t="str">
        <f t="shared" si="38"/>
        <v>IE-RN</v>
      </c>
      <c r="Z105" s="131" t="str">
        <f t="shared" si="38"/>
        <v>IE-SO</v>
      </c>
      <c r="AA105" s="131" t="str">
        <f t="shared" si="38"/>
        <v>IE-CN</v>
      </c>
      <c r="AB105" s="131" t="str">
        <f t="shared" si="38"/>
        <v>IE-DL</v>
      </c>
      <c r="AC105" s="131" t="str">
        <f t="shared" si="38"/>
        <v>IE-MN</v>
      </c>
    </row>
    <row r="106" spans="1:29">
      <c r="A106" s="459" t="s">
        <v>347</v>
      </c>
      <c r="B106" s="507" t="s">
        <v>652</v>
      </c>
      <c r="C106" s="35">
        <f t="shared" ref="C106:AC106" si="39">C92/C$99</f>
        <v>0.1545561117799886</v>
      </c>
      <c r="D106" s="35">
        <f t="shared" si="39"/>
        <v>0.14885142645424232</v>
      </c>
      <c r="E106" s="35">
        <f t="shared" si="39"/>
        <v>0.14936474643296105</v>
      </c>
      <c r="F106" s="35">
        <f t="shared" si="39"/>
        <v>0.15385997619101099</v>
      </c>
      <c r="G106" s="35">
        <f t="shared" si="39"/>
        <v>0.16355355701602675</v>
      </c>
      <c r="H106" s="35">
        <f t="shared" si="39"/>
        <v>0.16124606569284158</v>
      </c>
      <c r="I106" s="35">
        <f t="shared" si="39"/>
        <v>0.17384562370778772</v>
      </c>
      <c r="J106" s="35">
        <f t="shared" si="39"/>
        <v>0.18468294566161567</v>
      </c>
      <c r="K106" s="35">
        <f t="shared" si="39"/>
        <v>0.14314940378770166</v>
      </c>
      <c r="L106" s="35">
        <f t="shared" si="39"/>
        <v>0.17197192295135488</v>
      </c>
      <c r="M106" s="35">
        <f t="shared" si="39"/>
        <v>0.16265519872372894</v>
      </c>
      <c r="N106" s="35">
        <f t="shared" si="39"/>
        <v>0.16643863729648378</v>
      </c>
      <c r="O106" s="35">
        <f t="shared" si="39"/>
        <v>0.14710628063445672</v>
      </c>
      <c r="P106" s="35">
        <f t="shared" si="39"/>
        <v>0.14519682420916988</v>
      </c>
      <c r="Q106" s="35">
        <f t="shared" si="39"/>
        <v>0.15848648827003661</v>
      </c>
      <c r="R106" s="35">
        <f t="shared" si="39"/>
        <v>0.13950263182778075</v>
      </c>
      <c r="S106" s="35">
        <f t="shared" si="39"/>
        <v>0.15306630797588802</v>
      </c>
      <c r="T106" s="35">
        <f t="shared" si="39"/>
        <v>0.15790497180268362</v>
      </c>
      <c r="U106" s="35">
        <f t="shared" si="39"/>
        <v>0.17423321919069185</v>
      </c>
      <c r="V106" s="35">
        <f t="shared" si="39"/>
        <v>0.13954604975993015</v>
      </c>
      <c r="W106" s="35">
        <f t="shared" si="39"/>
        <v>0.16428139488006449</v>
      </c>
      <c r="X106" s="35">
        <f t="shared" si="39"/>
        <v>0.15483842171040885</v>
      </c>
      <c r="Y106" s="35">
        <f t="shared" si="39"/>
        <v>0.192465124049787</v>
      </c>
      <c r="Z106" s="35">
        <f t="shared" si="39"/>
        <v>0.16486693308392145</v>
      </c>
      <c r="AA106" s="35">
        <f t="shared" si="39"/>
        <v>0.16578349735049205</v>
      </c>
      <c r="AB106" s="35">
        <f t="shared" si="39"/>
        <v>0.16537190820608982</v>
      </c>
      <c r="AC106" s="35">
        <f t="shared" si="39"/>
        <v>0.15133757961783439</v>
      </c>
    </row>
    <row r="107" spans="1:29">
      <c r="A107" s="459" t="s">
        <v>348</v>
      </c>
      <c r="B107" s="1" t="s">
        <v>652</v>
      </c>
      <c r="C107" s="35">
        <f t="shared" ref="C107:AC107" si="40">C93/C$99</f>
        <v>0.14642502587499737</v>
      </c>
      <c r="D107" s="35">
        <f t="shared" si="40"/>
        <v>0.14588736569099667</v>
      </c>
      <c r="E107" s="35">
        <f t="shared" si="40"/>
        <v>0.1535663709720515</v>
      </c>
      <c r="F107" s="35">
        <f t="shared" si="40"/>
        <v>0.16259742593382898</v>
      </c>
      <c r="G107" s="35">
        <f t="shared" si="40"/>
        <v>0.15248472270264038</v>
      </c>
      <c r="H107" s="35">
        <f t="shared" si="40"/>
        <v>0.14244209506900168</v>
      </c>
      <c r="I107" s="35">
        <f t="shared" si="40"/>
        <v>0.12922122674017919</v>
      </c>
      <c r="J107" s="35">
        <f t="shared" si="40"/>
        <v>0.18111186178940256</v>
      </c>
      <c r="K107" s="35">
        <f t="shared" si="40"/>
        <v>0.16273088613514144</v>
      </c>
      <c r="L107" s="35">
        <f t="shared" si="40"/>
        <v>0.13907933398628794</v>
      </c>
      <c r="M107" s="35">
        <f t="shared" si="40"/>
        <v>0.14954567524450302</v>
      </c>
      <c r="N107" s="35">
        <f t="shared" si="40"/>
        <v>0.15973457381310713</v>
      </c>
      <c r="O107" s="35">
        <f t="shared" si="40"/>
        <v>0.16455079611532256</v>
      </c>
      <c r="P107" s="35">
        <f t="shared" si="40"/>
        <v>0.12940100594421583</v>
      </c>
      <c r="Q107" s="35">
        <f t="shared" si="40"/>
        <v>0.1386148414557693</v>
      </c>
      <c r="R107" s="35">
        <f t="shared" si="40"/>
        <v>0.12481482648847984</v>
      </c>
      <c r="S107" s="35">
        <f t="shared" si="40"/>
        <v>0.13174413391122403</v>
      </c>
      <c r="T107" s="35">
        <f t="shared" si="40"/>
        <v>0.13528229727101834</v>
      </c>
      <c r="U107" s="35">
        <f t="shared" si="40"/>
        <v>0.15748002503774072</v>
      </c>
      <c r="V107" s="35">
        <f t="shared" si="40"/>
        <v>0.12354866870362287</v>
      </c>
      <c r="W107" s="35">
        <f t="shared" si="40"/>
        <v>0.14170530135053416</v>
      </c>
      <c r="X107" s="35">
        <f t="shared" si="40"/>
        <v>0.1094001071237279</v>
      </c>
      <c r="Y107" s="35">
        <f t="shared" si="40"/>
        <v>0.17726171581321526</v>
      </c>
      <c r="Z107" s="35">
        <f t="shared" si="40"/>
        <v>0.13289686251169119</v>
      </c>
      <c r="AA107" s="35">
        <f t="shared" si="40"/>
        <v>0.1359765329295988</v>
      </c>
      <c r="AB107" s="35">
        <f t="shared" si="40"/>
        <v>0.12425216537190821</v>
      </c>
      <c r="AC107" s="35">
        <f t="shared" si="40"/>
        <v>0.13987261146496816</v>
      </c>
    </row>
    <row r="108" spans="1:29">
      <c r="A108" s="459" t="s">
        <v>349</v>
      </c>
      <c r="B108" s="1" t="s">
        <v>652</v>
      </c>
      <c r="C108" s="35">
        <f t="shared" ref="C108:AC108" si="41">C94/C$99</f>
        <v>0.41603404938428068</v>
      </c>
      <c r="D108" s="35">
        <f t="shared" si="41"/>
        <v>0.44451648758799556</v>
      </c>
      <c r="E108" s="35">
        <f t="shared" si="41"/>
        <v>0.38099516378987869</v>
      </c>
      <c r="F108" s="35">
        <f t="shared" si="41"/>
        <v>0.3963298218818086</v>
      </c>
      <c r="G108" s="35">
        <f t="shared" si="41"/>
        <v>0.43393289519197509</v>
      </c>
      <c r="H108" s="35">
        <f t="shared" si="41"/>
        <v>0.42684206278750708</v>
      </c>
      <c r="I108" s="35">
        <f t="shared" si="41"/>
        <v>0.43194348725017229</v>
      </c>
      <c r="J108" s="35">
        <f t="shared" si="41"/>
        <v>0.40058874626001351</v>
      </c>
      <c r="K108" s="35">
        <f t="shared" si="41"/>
        <v>0.40501519756838905</v>
      </c>
      <c r="L108" s="35">
        <f t="shared" si="41"/>
        <v>0.42344107084557625</v>
      </c>
      <c r="M108" s="35">
        <f t="shared" si="41"/>
        <v>0.42741208295761945</v>
      </c>
      <c r="N108" s="35">
        <f t="shared" si="41"/>
        <v>0.4260158708441647</v>
      </c>
      <c r="O108" s="35">
        <f t="shared" si="41"/>
        <v>0.38554510305355133</v>
      </c>
      <c r="P108" s="35">
        <f t="shared" si="41"/>
        <v>0.43658810325476993</v>
      </c>
      <c r="Q108" s="35">
        <f t="shared" si="41"/>
        <v>0.44069026957468571</v>
      </c>
      <c r="R108" s="35">
        <f t="shared" si="41"/>
        <v>0.44624452359189332</v>
      </c>
      <c r="S108" s="35">
        <f t="shared" si="41"/>
        <v>0.44255965725103374</v>
      </c>
      <c r="T108" s="35">
        <f t="shared" si="41"/>
        <v>0.43780385039216957</v>
      </c>
      <c r="U108" s="35">
        <f t="shared" si="41"/>
        <v>0.41860893258220111</v>
      </c>
      <c r="V108" s="35">
        <f t="shared" si="41"/>
        <v>0.44727193365342643</v>
      </c>
      <c r="W108" s="35">
        <f t="shared" si="41"/>
        <v>0.45111872606329367</v>
      </c>
      <c r="X108" s="35">
        <f t="shared" si="41"/>
        <v>0.47393322620960543</v>
      </c>
      <c r="Y108" s="35">
        <f t="shared" si="41"/>
        <v>0.42185281095981958</v>
      </c>
      <c r="Z108" s="35">
        <f t="shared" si="41"/>
        <v>0.45140719326587875</v>
      </c>
      <c r="AA108" s="35">
        <f t="shared" si="41"/>
        <v>0.43461392884178651</v>
      </c>
      <c r="AB108" s="35">
        <f t="shared" si="41"/>
        <v>0.47642646664880794</v>
      </c>
      <c r="AC108" s="35">
        <f t="shared" si="41"/>
        <v>0.47847133757961785</v>
      </c>
    </row>
    <row r="109" spans="1:29">
      <c r="A109" s="459" t="s">
        <v>350</v>
      </c>
      <c r="B109" s="1" t="s">
        <v>652</v>
      </c>
      <c r="C109" s="35">
        <f t="shared" ref="C109:AC109" si="42">C95/C$99</f>
        <v>0.1822824916038274</v>
      </c>
      <c r="D109" s="35">
        <f t="shared" si="42"/>
        <v>0.180715079659133</v>
      </c>
      <c r="E109" s="35">
        <f t="shared" si="42"/>
        <v>0.18539250788222092</v>
      </c>
      <c r="F109" s="35">
        <f t="shared" si="42"/>
        <v>0.18314952494328518</v>
      </c>
      <c r="G109" s="35">
        <f t="shared" si="42"/>
        <v>0.17208578346592873</v>
      </c>
      <c r="H109" s="35">
        <f t="shared" si="42"/>
        <v>0.18561859414090873</v>
      </c>
      <c r="I109" s="35">
        <f t="shared" si="42"/>
        <v>0.18487250172294969</v>
      </c>
      <c r="J109" s="35">
        <f t="shared" si="42"/>
        <v>0.15476305375928964</v>
      </c>
      <c r="K109" s="35">
        <f t="shared" si="42"/>
        <v>0.18386135141454291</v>
      </c>
      <c r="L109" s="35">
        <f t="shared" si="42"/>
        <v>0.18666340189356839</v>
      </c>
      <c r="M109" s="35">
        <f t="shared" si="42"/>
        <v>0.1774987861552334</v>
      </c>
      <c r="N109" s="35">
        <f t="shared" si="42"/>
        <v>0.16961964701053495</v>
      </c>
      <c r="O109" s="35">
        <f t="shared" si="42"/>
        <v>0.17849423082777727</v>
      </c>
      <c r="P109" s="35">
        <f t="shared" si="42"/>
        <v>0.20763187429854096</v>
      </c>
      <c r="Q109" s="35">
        <f t="shared" si="42"/>
        <v>0.17251790015507967</v>
      </c>
      <c r="R109" s="35">
        <f t="shared" si="42"/>
        <v>0.20499889683865477</v>
      </c>
      <c r="S109" s="35">
        <f t="shared" si="42"/>
        <v>0.19287102077417426</v>
      </c>
      <c r="T109" s="35">
        <f t="shared" si="42"/>
        <v>0.19125559084721591</v>
      </c>
      <c r="U109" s="35">
        <f t="shared" si="42"/>
        <v>0.17253948967193194</v>
      </c>
      <c r="V109" s="35">
        <f t="shared" si="42"/>
        <v>0.19334351811436054</v>
      </c>
      <c r="W109" s="35">
        <f t="shared" si="42"/>
        <v>0.17173956863535578</v>
      </c>
      <c r="X109" s="35">
        <f t="shared" si="42"/>
        <v>0.18300303517229066</v>
      </c>
      <c r="Y109" s="35">
        <f t="shared" si="42"/>
        <v>0.15053044858407819</v>
      </c>
      <c r="Z109" s="35">
        <f t="shared" si="42"/>
        <v>0.17745089703256525</v>
      </c>
      <c r="AA109" s="35">
        <f t="shared" si="42"/>
        <v>0.18679031037093111</v>
      </c>
      <c r="AB109" s="35">
        <f t="shared" si="42"/>
        <v>0.16965800517903384</v>
      </c>
      <c r="AC109" s="35">
        <f t="shared" si="42"/>
        <v>0.15821656050955413</v>
      </c>
    </row>
    <row r="110" spans="1:29">
      <c r="A110" s="459" t="s">
        <v>351</v>
      </c>
      <c r="B110" s="1" t="s">
        <v>652</v>
      </c>
      <c r="C110" s="35">
        <f t="shared" ref="C110:AC110" si="43">C96/C$99</f>
        <v>4.8873117461926789E-2</v>
      </c>
      <c r="D110" s="35">
        <f t="shared" si="43"/>
        <v>4.2515746572804741E-2</v>
      </c>
      <c r="E110" s="35">
        <f t="shared" si="43"/>
        <v>5.9741222679420725E-2</v>
      </c>
      <c r="F110" s="35">
        <f t="shared" si="43"/>
        <v>5.181824307630107E-2</v>
      </c>
      <c r="G110" s="35">
        <f t="shared" si="43"/>
        <v>4.0009224028594491E-2</v>
      </c>
      <c r="H110" s="35">
        <f t="shared" si="43"/>
        <v>4.5113388749899119E-2</v>
      </c>
      <c r="I110" s="35">
        <f t="shared" si="43"/>
        <v>4.4796691936595454E-2</v>
      </c>
      <c r="J110" s="35">
        <f t="shared" si="43"/>
        <v>4.0005790946819803E-2</v>
      </c>
      <c r="K110" s="35">
        <f t="shared" si="43"/>
        <v>5.4331306990881456E-2</v>
      </c>
      <c r="L110" s="35">
        <f t="shared" si="43"/>
        <v>4.2850146914789423E-2</v>
      </c>
      <c r="M110" s="35">
        <f t="shared" si="43"/>
        <v>4.3559686481237425E-2</v>
      </c>
      <c r="N110" s="35">
        <f t="shared" si="43"/>
        <v>4.0087563278150225E-2</v>
      </c>
      <c r="O110" s="35">
        <f t="shared" si="43"/>
        <v>5.4190641458885136E-2</v>
      </c>
      <c r="P110" s="35">
        <f t="shared" si="43"/>
        <v>4.1775782516523259E-2</v>
      </c>
      <c r="Q110" s="35">
        <f t="shared" si="43"/>
        <v>4.4453426601115252E-2</v>
      </c>
      <c r="R110" s="35">
        <f t="shared" si="43"/>
        <v>4.4189491600214327E-2</v>
      </c>
      <c r="S110" s="35">
        <f t="shared" si="43"/>
        <v>4.2046530164898122E-2</v>
      </c>
      <c r="T110" s="35">
        <f t="shared" si="43"/>
        <v>4.099954625008103E-2</v>
      </c>
      <c r="U110" s="35">
        <f t="shared" si="43"/>
        <v>4.1017710519533117E-2</v>
      </c>
      <c r="V110" s="35">
        <f t="shared" si="43"/>
        <v>4.7708424268878218E-2</v>
      </c>
      <c r="W110" s="35">
        <f t="shared" si="43"/>
        <v>3.4267284821608547E-2</v>
      </c>
      <c r="X110" s="35">
        <f t="shared" si="43"/>
        <v>4.209069808962685E-2</v>
      </c>
      <c r="Y110" s="35">
        <f t="shared" si="43"/>
        <v>2.8986717901595523E-2</v>
      </c>
      <c r="Z110" s="35">
        <f t="shared" si="43"/>
        <v>3.7326757928747553E-2</v>
      </c>
      <c r="AA110" s="35">
        <f t="shared" si="43"/>
        <v>3.79447388342165E-2</v>
      </c>
      <c r="AB110" s="35">
        <f t="shared" si="43"/>
        <v>3.0717028306098758E-2</v>
      </c>
      <c r="AC110" s="35">
        <f t="shared" si="43"/>
        <v>3.5668789808917196E-2</v>
      </c>
    </row>
    <row r="111" spans="1:29">
      <c r="A111" s="459" t="s">
        <v>352</v>
      </c>
      <c r="B111" s="1" t="s">
        <v>652</v>
      </c>
      <c r="C111" s="35">
        <f t="shared" ref="C111:AC111" si="44">C97/C$99</f>
        <v>3.8810383794858794E-2</v>
      </c>
      <c r="D111" s="35">
        <f t="shared" si="44"/>
        <v>3.0381622823267878E-2</v>
      </c>
      <c r="E111" s="35">
        <f t="shared" si="44"/>
        <v>5.0172340084433283E-2</v>
      </c>
      <c r="F111" s="35">
        <f t="shared" si="44"/>
        <v>3.9756519395341527E-2</v>
      </c>
      <c r="G111" s="35">
        <f t="shared" si="44"/>
        <v>2.957454168107921E-2</v>
      </c>
      <c r="H111" s="35">
        <f t="shared" si="44"/>
        <v>3.1474457267371476E-2</v>
      </c>
      <c r="I111" s="35">
        <f t="shared" si="44"/>
        <v>2.8945554789800137E-2</v>
      </c>
      <c r="J111" s="35">
        <f t="shared" si="44"/>
        <v>2.8665186758034939E-2</v>
      </c>
      <c r="K111" s="35">
        <f t="shared" si="44"/>
        <v>3.7993920972644375E-2</v>
      </c>
      <c r="L111" s="35">
        <f t="shared" si="44"/>
        <v>2.8974861247143324E-2</v>
      </c>
      <c r="M111" s="35">
        <f t="shared" si="44"/>
        <v>3.1768051605743218E-2</v>
      </c>
      <c r="N111" s="35">
        <f t="shared" si="44"/>
        <v>3.0476125324941851E-2</v>
      </c>
      <c r="O111" s="35">
        <f t="shared" si="44"/>
        <v>5.1694218650105032E-2</v>
      </c>
      <c r="P111" s="35">
        <f t="shared" si="44"/>
        <v>3.2007315957933241E-2</v>
      </c>
      <c r="Q111" s="35">
        <f t="shared" si="44"/>
        <v>3.5429108786748938E-2</v>
      </c>
      <c r="R111" s="35">
        <f t="shared" si="44"/>
        <v>3.2369905758502224E-2</v>
      </c>
      <c r="S111" s="35">
        <f t="shared" si="44"/>
        <v>3.00901708763015E-2</v>
      </c>
      <c r="T111" s="35">
        <f t="shared" si="44"/>
        <v>2.9169637648278991E-2</v>
      </c>
      <c r="U111" s="35">
        <f t="shared" si="44"/>
        <v>2.864612099119997E-2</v>
      </c>
      <c r="V111" s="35">
        <f t="shared" si="44"/>
        <v>3.7363596682671321E-2</v>
      </c>
      <c r="W111" s="35">
        <f t="shared" si="44"/>
        <v>2.9631122757508566E-2</v>
      </c>
      <c r="X111" s="35">
        <f t="shared" si="44"/>
        <v>2.9280485627566508E-2</v>
      </c>
      <c r="Y111" s="35">
        <f t="shared" si="44"/>
        <v>2.2972182775039679E-2</v>
      </c>
      <c r="Z111" s="35">
        <f t="shared" si="44"/>
        <v>2.890910636850608E-2</v>
      </c>
      <c r="AA111" s="35">
        <f t="shared" si="44"/>
        <v>3.0658591975775928E-2</v>
      </c>
      <c r="AB111" s="35">
        <f t="shared" si="44"/>
        <v>2.665416555049558E-2</v>
      </c>
      <c r="AC111" s="35">
        <f t="shared" si="44"/>
        <v>2.9554140127388533E-2</v>
      </c>
    </row>
    <row r="112" spans="1:29">
      <c r="A112" s="459" t="s">
        <v>353</v>
      </c>
      <c r="B112" s="1" t="s">
        <v>652</v>
      </c>
      <c r="C112" s="35">
        <f t="shared" ref="C112:AC112" si="45">C98/C$99</f>
        <v>1.3018820100120398E-2</v>
      </c>
      <c r="D112" s="35">
        <f t="shared" si="45"/>
        <v>7.1322712115598373E-3</v>
      </c>
      <c r="E112" s="35">
        <f t="shared" si="45"/>
        <v>2.0767648159033827E-2</v>
      </c>
      <c r="F112" s="35">
        <f t="shared" si="45"/>
        <v>1.2488488578423666E-2</v>
      </c>
      <c r="G112" s="35">
        <f t="shared" si="45"/>
        <v>8.3592759137553329E-3</v>
      </c>
      <c r="H112" s="35">
        <f t="shared" si="45"/>
        <v>7.2633362924703418E-3</v>
      </c>
      <c r="I112" s="35">
        <f t="shared" si="45"/>
        <v>6.3749138525155064E-3</v>
      </c>
      <c r="J112" s="35">
        <f t="shared" si="45"/>
        <v>1.0182414824823859E-2</v>
      </c>
      <c r="K112" s="35">
        <f t="shared" si="45"/>
        <v>1.2917933130699088E-2</v>
      </c>
      <c r="L112" s="35">
        <f t="shared" si="45"/>
        <v>7.0192621612797908E-3</v>
      </c>
      <c r="M112" s="35">
        <f t="shared" si="45"/>
        <v>7.5605188319345217E-3</v>
      </c>
      <c r="N112" s="35">
        <f t="shared" si="45"/>
        <v>7.6275824326173212E-3</v>
      </c>
      <c r="O112" s="35">
        <f t="shared" si="45"/>
        <v>1.841872925990197E-2</v>
      </c>
      <c r="P112" s="35">
        <f t="shared" si="45"/>
        <v>7.399093818846905E-3</v>
      </c>
      <c r="Q112" s="35">
        <f t="shared" si="45"/>
        <v>9.8079651565644906E-3</v>
      </c>
      <c r="R112" s="35">
        <f t="shared" si="45"/>
        <v>7.8797238944747373E-3</v>
      </c>
      <c r="S112" s="35">
        <f t="shared" si="45"/>
        <v>7.6221790464803471E-3</v>
      </c>
      <c r="T112" s="35">
        <f t="shared" si="45"/>
        <v>7.5841057885525373E-3</v>
      </c>
      <c r="U112" s="35">
        <f t="shared" si="45"/>
        <v>7.4745020067012776E-3</v>
      </c>
      <c r="V112" s="35">
        <f t="shared" si="45"/>
        <v>1.1217808817110432E-2</v>
      </c>
      <c r="W112" s="35">
        <f t="shared" si="45"/>
        <v>7.2566014916347508E-3</v>
      </c>
      <c r="X112" s="35">
        <f t="shared" si="45"/>
        <v>7.4540260667737904E-3</v>
      </c>
      <c r="Y112" s="35">
        <f t="shared" si="45"/>
        <v>5.9309999164647896E-3</v>
      </c>
      <c r="Z112" s="35">
        <f t="shared" si="45"/>
        <v>7.1422498086897374E-3</v>
      </c>
      <c r="AA112" s="35">
        <f t="shared" si="45"/>
        <v>8.2323996971990915E-3</v>
      </c>
      <c r="AB112" s="35">
        <f t="shared" si="45"/>
        <v>6.920260737565854E-3</v>
      </c>
      <c r="AC112" s="35">
        <f t="shared" si="45"/>
        <v>6.8789808917197456E-3</v>
      </c>
    </row>
    <row r="113" spans="1:29">
      <c r="A113" s="458" t="s">
        <v>16</v>
      </c>
      <c r="B113" s="458" t="s">
        <v>652</v>
      </c>
      <c r="C113" s="403">
        <f t="shared" ref="C113:AC113" si="46">SUM(C106:C112)</f>
        <v>1</v>
      </c>
      <c r="D113" s="403">
        <f t="shared" si="46"/>
        <v>1</v>
      </c>
      <c r="E113" s="403">
        <f t="shared" si="46"/>
        <v>1</v>
      </c>
      <c r="F113" s="403">
        <f t="shared" si="46"/>
        <v>1.0000000000000002</v>
      </c>
      <c r="G113" s="403">
        <f t="shared" si="46"/>
        <v>1</v>
      </c>
      <c r="H113" s="403">
        <f t="shared" si="46"/>
        <v>1</v>
      </c>
      <c r="I113" s="403">
        <f t="shared" si="46"/>
        <v>0.99999999999999989</v>
      </c>
      <c r="J113" s="403">
        <f t="shared" si="46"/>
        <v>1</v>
      </c>
      <c r="K113" s="403">
        <f t="shared" si="46"/>
        <v>1</v>
      </c>
      <c r="L113" s="403">
        <f t="shared" si="46"/>
        <v>0.99999999999999989</v>
      </c>
      <c r="M113" s="403">
        <f t="shared" si="46"/>
        <v>1</v>
      </c>
      <c r="N113" s="403">
        <f t="shared" si="46"/>
        <v>0.99999999999999978</v>
      </c>
      <c r="O113" s="403">
        <f t="shared" si="46"/>
        <v>0.99999999999999989</v>
      </c>
      <c r="P113" s="403">
        <f t="shared" si="46"/>
        <v>1</v>
      </c>
      <c r="Q113" s="403">
        <f t="shared" si="46"/>
        <v>1.0000000000000002</v>
      </c>
      <c r="R113" s="403">
        <f t="shared" si="46"/>
        <v>1</v>
      </c>
      <c r="S113" s="403">
        <f t="shared" si="46"/>
        <v>1</v>
      </c>
      <c r="T113" s="403">
        <f t="shared" si="46"/>
        <v>1</v>
      </c>
      <c r="U113" s="403">
        <f t="shared" si="46"/>
        <v>0.99999999999999989</v>
      </c>
      <c r="V113" s="403">
        <f t="shared" si="46"/>
        <v>1</v>
      </c>
      <c r="W113" s="403">
        <f t="shared" si="46"/>
        <v>1</v>
      </c>
      <c r="X113" s="403">
        <f t="shared" si="46"/>
        <v>0.99999999999999989</v>
      </c>
      <c r="Y113" s="403">
        <f t="shared" si="46"/>
        <v>1</v>
      </c>
      <c r="Z113" s="403">
        <f t="shared" si="46"/>
        <v>0.99999999999999989</v>
      </c>
      <c r="AA113" s="403">
        <f t="shared" si="46"/>
        <v>1</v>
      </c>
      <c r="AB113" s="403">
        <f t="shared" si="46"/>
        <v>1</v>
      </c>
      <c r="AC113" s="403">
        <f t="shared" si="46"/>
        <v>1</v>
      </c>
    </row>
    <row r="114" spans="1:29">
      <c r="A114" s="459"/>
      <c r="C114" s="459"/>
      <c r="D114" s="459"/>
      <c r="E114" s="459"/>
      <c r="F114" s="459"/>
      <c r="G114" s="459"/>
      <c r="H114" s="459"/>
      <c r="I114" s="459"/>
      <c r="J114" s="459"/>
      <c r="K114" s="459"/>
      <c r="L114" s="459"/>
      <c r="M114" s="459"/>
      <c r="N114" s="459"/>
      <c r="O114" s="459"/>
      <c r="P114" s="459"/>
      <c r="Q114" s="459"/>
      <c r="R114" s="459"/>
      <c r="S114" s="459"/>
      <c r="T114" s="459"/>
      <c r="U114" s="459"/>
      <c r="V114" s="459"/>
      <c r="W114" s="459"/>
      <c r="X114" s="459"/>
      <c r="Y114" s="459"/>
      <c r="Z114" s="459"/>
      <c r="AA114" s="459"/>
      <c r="AB114" s="459"/>
      <c r="AC114" s="459"/>
    </row>
    <row r="115" spans="1:29">
      <c r="C115" s="459"/>
    </row>
    <row r="116" spans="1:29">
      <c r="C116" s="459"/>
    </row>
    <row r="117" spans="1:29" ht="15.6">
      <c r="A117" s="425" t="s">
        <v>651</v>
      </c>
      <c r="C117" s="459"/>
      <c r="D117" s="459"/>
      <c r="E117" s="459"/>
      <c r="F117" s="459"/>
      <c r="G117" s="459"/>
      <c r="H117" s="459"/>
      <c r="I117" s="459"/>
      <c r="J117" s="459"/>
      <c r="K117" s="459"/>
      <c r="L117" s="459"/>
      <c r="M117" s="459"/>
      <c r="N117" s="459"/>
      <c r="O117" s="459"/>
      <c r="P117" s="459"/>
      <c r="Q117" s="459"/>
      <c r="R117" s="459"/>
      <c r="S117" s="459"/>
      <c r="T117" s="459"/>
      <c r="U117" s="459"/>
      <c r="V117" s="459"/>
      <c r="W117" s="459"/>
      <c r="X117" s="459"/>
      <c r="Y117" s="459"/>
      <c r="Z117" s="459"/>
      <c r="AA117" s="459"/>
      <c r="AB117" s="459"/>
      <c r="AC117" s="459"/>
    </row>
    <row r="118" spans="1:29">
      <c r="A118" s="131" t="s">
        <v>648</v>
      </c>
      <c r="B118" s="131" t="s">
        <v>64</v>
      </c>
      <c r="C118" s="131" t="str">
        <f>C105</f>
        <v>IE</v>
      </c>
      <c r="D118" s="131" t="str">
        <f t="shared" ref="D118:AC118" si="47">D105</f>
        <v>IE-CW</v>
      </c>
      <c r="E118" s="131" t="str">
        <f t="shared" si="47"/>
        <v>IE-D</v>
      </c>
      <c r="F118" s="131" t="str">
        <f t="shared" si="47"/>
        <v>IE-KE</v>
      </c>
      <c r="G118" s="131" t="str">
        <f t="shared" si="47"/>
        <v>IE-KK</v>
      </c>
      <c r="H118" s="131" t="str">
        <f t="shared" si="47"/>
        <v>IE-LS</v>
      </c>
      <c r="I118" s="131" t="str">
        <f t="shared" si="47"/>
        <v>IE-LD</v>
      </c>
      <c r="J118" s="131" t="str">
        <f t="shared" si="47"/>
        <v>IE-LH</v>
      </c>
      <c r="K118" s="131" t="str">
        <f t="shared" si="47"/>
        <v>IE-MH</v>
      </c>
      <c r="L118" s="131" t="str">
        <f t="shared" si="47"/>
        <v>IE-OY</v>
      </c>
      <c r="M118" s="131" t="str">
        <f t="shared" si="47"/>
        <v>IE-WH</v>
      </c>
      <c r="N118" s="131" t="str">
        <f t="shared" si="47"/>
        <v>IE-WX</v>
      </c>
      <c r="O118" s="131" t="str">
        <f t="shared" si="47"/>
        <v>IE-WW</v>
      </c>
      <c r="P118" s="131" t="str">
        <f t="shared" si="47"/>
        <v>IE-CE</v>
      </c>
      <c r="Q118" s="131" t="str">
        <f t="shared" si="47"/>
        <v>IE-CO</v>
      </c>
      <c r="R118" s="131" t="str">
        <f t="shared" si="47"/>
        <v>IE-KY</v>
      </c>
      <c r="S118" s="131" t="str">
        <f t="shared" si="47"/>
        <v>IE-LK</v>
      </c>
      <c r="T118" s="131" t="str">
        <f t="shared" si="47"/>
        <v>IE-TA</v>
      </c>
      <c r="U118" s="131" t="str">
        <f t="shared" si="47"/>
        <v>IE-WD</v>
      </c>
      <c r="V118" s="131" t="str">
        <f t="shared" si="47"/>
        <v>IE-G</v>
      </c>
      <c r="W118" s="131" t="str">
        <f t="shared" si="47"/>
        <v>IE-LM</v>
      </c>
      <c r="X118" s="131" t="str">
        <f t="shared" si="47"/>
        <v>IE-MO</v>
      </c>
      <c r="Y118" s="131" t="str">
        <f t="shared" si="47"/>
        <v>IE-RN</v>
      </c>
      <c r="Z118" s="131" t="str">
        <f t="shared" si="47"/>
        <v>IE-SO</v>
      </c>
      <c r="AA118" s="131" t="str">
        <f t="shared" si="47"/>
        <v>IE-CN</v>
      </c>
      <c r="AB118" s="131" t="str">
        <f t="shared" si="47"/>
        <v>IE-DL</v>
      </c>
      <c r="AC118" s="131" t="str">
        <f t="shared" si="47"/>
        <v>IE-MN</v>
      </c>
    </row>
    <row r="119" spans="1:29">
      <c r="A119" s="459" t="s">
        <v>347</v>
      </c>
      <c r="B119" s="459" t="s">
        <v>653</v>
      </c>
      <c r="C119" s="505">
        <v>1.5410369892896236</v>
      </c>
      <c r="D119" s="505">
        <v>1.5410369892896236</v>
      </c>
      <c r="E119" s="505">
        <v>1.5410369892896236</v>
      </c>
      <c r="F119" s="505">
        <v>1.5410369892896236</v>
      </c>
      <c r="G119" s="505">
        <v>1.5410369892896236</v>
      </c>
      <c r="H119" s="505">
        <v>1.5410369892896236</v>
      </c>
      <c r="I119" s="505">
        <v>1.5410369892896236</v>
      </c>
      <c r="J119" s="505">
        <v>1.5410369892896236</v>
      </c>
      <c r="K119" s="505">
        <v>1.5410369892896236</v>
      </c>
      <c r="L119" s="505">
        <v>1.5410369892896236</v>
      </c>
      <c r="M119" s="505">
        <v>1.5410369892896236</v>
      </c>
      <c r="N119" s="505">
        <v>1.5410369892896236</v>
      </c>
      <c r="O119" s="505">
        <v>1.5410369892896236</v>
      </c>
      <c r="P119" s="505">
        <v>1.5410369892896236</v>
      </c>
      <c r="Q119" s="505">
        <v>1.5410369892896236</v>
      </c>
      <c r="R119" s="505">
        <v>1.5410369892896236</v>
      </c>
      <c r="S119" s="505">
        <v>1.5410369892896236</v>
      </c>
      <c r="T119" s="505">
        <v>1.5410369892896236</v>
      </c>
      <c r="U119" s="505">
        <v>1.5410369892896236</v>
      </c>
      <c r="V119" s="505">
        <v>1.5410369892896236</v>
      </c>
      <c r="W119" s="505">
        <v>1.5410369892896236</v>
      </c>
      <c r="X119" s="505">
        <v>1.5410369892896236</v>
      </c>
      <c r="Y119" s="505">
        <v>1.5410369892896236</v>
      </c>
      <c r="Z119" s="505">
        <v>1.5410369892896236</v>
      </c>
      <c r="AA119" s="505">
        <v>1.5410369892896236</v>
      </c>
      <c r="AB119" s="505">
        <v>1.5410369892896236</v>
      </c>
      <c r="AC119" s="505">
        <v>1.5410369892896236</v>
      </c>
    </row>
    <row r="120" spans="1:29">
      <c r="A120" s="459" t="s">
        <v>348</v>
      </c>
      <c r="B120" s="459" t="s">
        <v>653</v>
      </c>
      <c r="C120" s="505">
        <v>1.5689674081337737</v>
      </c>
      <c r="D120" s="505">
        <v>1.5689674081337737</v>
      </c>
      <c r="E120" s="505">
        <v>1.5689674081337737</v>
      </c>
      <c r="F120" s="505">
        <v>1.5689674081337737</v>
      </c>
      <c r="G120" s="505">
        <v>1.5689674081337737</v>
      </c>
      <c r="H120" s="505">
        <v>1.5689674081337737</v>
      </c>
      <c r="I120" s="505">
        <v>1.5689674081337737</v>
      </c>
      <c r="J120" s="505">
        <v>1.5689674081337737</v>
      </c>
      <c r="K120" s="505">
        <v>1.5689674081337737</v>
      </c>
      <c r="L120" s="505">
        <v>1.5689674081337737</v>
      </c>
      <c r="M120" s="505">
        <v>1.5689674081337737</v>
      </c>
      <c r="N120" s="505">
        <v>1.5689674081337737</v>
      </c>
      <c r="O120" s="505">
        <v>1.5689674081337737</v>
      </c>
      <c r="P120" s="505">
        <v>1.5689674081337737</v>
      </c>
      <c r="Q120" s="505">
        <v>1.5689674081337737</v>
      </c>
      <c r="R120" s="505">
        <v>1.5689674081337737</v>
      </c>
      <c r="S120" s="505">
        <v>1.5689674081337737</v>
      </c>
      <c r="T120" s="505">
        <v>1.5689674081337737</v>
      </c>
      <c r="U120" s="505">
        <v>1.5689674081337737</v>
      </c>
      <c r="V120" s="505">
        <v>1.5689674081337737</v>
      </c>
      <c r="W120" s="505">
        <v>1.5689674081337737</v>
      </c>
      <c r="X120" s="505">
        <v>1.5689674081337737</v>
      </c>
      <c r="Y120" s="505">
        <v>1.5689674081337737</v>
      </c>
      <c r="Z120" s="505">
        <v>1.5689674081337737</v>
      </c>
      <c r="AA120" s="505">
        <v>1.5689674081337737</v>
      </c>
      <c r="AB120" s="505">
        <v>1.5689674081337737</v>
      </c>
      <c r="AC120" s="505">
        <v>1.5689674081337737</v>
      </c>
    </row>
    <row r="121" spans="1:29">
      <c r="A121" s="459" t="s">
        <v>349</v>
      </c>
      <c r="B121" s="459" t="s">
        <v>653</v>
      </c>
      <c r="C121" s="505">
        <v>1.7415357309829498</v>
      </c>
      <c r="D121" s="505">
        <v>1.7415357309829498</v>
      </c>
      <c r="E121" s="505">
        <v>1.7415357309829498</v>
      </c>
      <c r="F121" s="505">
        <v>1.7415357309829498</v>
      </c>
      <c r="G121" s="505">
        <v>1.7415357309829498</v>
      </c>
      <c r="H121" s="505">
        <v>1.7415357309829498</v>
      </c>
      <c r="I121" s="505">
        <v>1.7415357309829498</v>
      </c>
      <c r="J121" s="505">
        <v>1.7415357309829498</v>
      </c>
      <c r="K121" s="505">
        <v>1.7415357309829498</v>
      </c>
      <c r="L121" s="505">
        <v>1.7415357309829498</v>
      </c>
      <c r="M121" s="505">
        <v>1.7415357309829498</v>
      </c>
      <c r="N121" s="505">
        <v>1.7415357309829498</v>
      </c>
      <c r="O121" s="505">
        <v>1.7415357309829498</v>
      </c>
      <c r="P121" s="505">
        <v>1.7415357309829498</v>
      </c>
      <c r="Q121" s="505">
        <v>1.7415357309829498</v>
      </c>
      <c r="R121" s="505">
        <v>1.7415357309829498</v>
      </c>
      <c r="S121" s="505">
        <v>1.7415357309829498</v>
      </c>
      <c r="T121" s="505">
        <v>1.7415357309829498</v>
      </c>
      <c r="U121" s="505">
        <v>1.7415357309829498</v>
      </c>
      <c r="V121" s="505">
        <v>1.7415357309829498</v>
      </c>
      <c r="W121" s="505">
        <v>1.7415357309829498</v>
      </c>
      <c r="X121" s="505">
        <v>1.7415357309829498</v>
      </c>
      <c r="Y121" s="505">
        <v>1.7415357309829498</v>
      </c>
      <c r="Z121" s="505">
        <v>1.7415357309829498</v>
      </c>
      <c r="AA121" s="505">
        <v>1.7415357309829498</v>
      </c>
      <c r="AB121" s="505">
        <v>1.7415357309829498</v>
      </c>
      <c r="AC121" s="505">
        <v>1.7415357309829498</v>
      </c>
    </row>
    <row r="122" spans="1:29">
      <c r="A122" s="459" t="s">
        <v>350</v>
      </c>
      <c r="B122" s="459" t="s">
        <v>653</v>
      </c>
      <c r="C122" s="505">
        <v>1.7596865383612372</v>
      </c>
      <c r="D122" s="505">
        <v>1.7596865383612372</v>
      </c>
      <c r="E122" s="505">
        <v>1.7596865383612372</v>
      </c>
      <c r="F122" s="505">
        <v>1.7596865383612372</v>
      </c>
      <c r="G122" s="505">
        <v>1.7596865383612372</v>
      </c>
      <c r="H122" s="505">
        <v>1.7596865383612372</v>
      </c>
      <c r="I122" s="505">
        <v>1.7596865383612372</v>
      </c>
      <c r="J122" s="505">
        <v>1.7596865383612372</v>
      </c>
      <c r="K122" s="505">
        <v>1.7596865383612372</v>
      </c>
      <c r="L122" s="505">
        <v>1.7596865383612372</v>
      </c>
      <c r="M122" s="505">
        <v>1.7596865383612372</v>
      </c>
      <c r="N122" s="505">
        <v>1.7596865383612372</v>
      </c>
      <c r="O122" s="505">
        <v>1.7596865383612372</v>
      </c>
      <c r="P122" s="505">
        <v>1.7596865383612372</v>
      </c>
      <c r="Q122" s="505">
        <v>1.7596865383612372</v>
      </c>
      <c r="R122" s="505">
        <v>1.7596865383612372</v>
      </c>
      <c r="S122" s="505">
        <v>1.7596865383612372</v>
      </c>
      <c r="T122" s="505">
        <v>1.7596865383612372</v>
      </c>
      <c r="U122" s="505">
        <v>1.7596865383612372</v>
      </c>
      <c r="V122" s="505">
        <v>1.7596865383612372</v>
      </c>
      <c r="W122" s="505">
        <v>1.7596865383612372</v>
      </c>
      <c r="X122" s="505">
        <v>1.7596865383612372</v>
      </c>
      <c r="Y122" s="505">
        <v>1.7596865383612372</v>
      </c>
      <c r="Z122" s="505">
        <v>1.7596865383612372</v>
      </c>
      <c r="AA122" s="505">
        <v>1.7596865383612372</v>
      </c>
      <c r="AB122" s="505">
        <v>1.7596865383612372</v>
      </c>
      <c r="AC122" s="505">
        <v>1.7596865383612372</v>
      </c>
    </row>
    <row r="123" spans="1:29">
      <c r="A123" s="459" t="s">
        <v>351</v>
      </c>
      <c r="B123" s="459" t="s">
        <v>653</v>
      </c>
      <c r="C123" s="505">
        <v>1.8433586255014824</v>
      </c>
      <c r="D123" s="505">
        <v>1.8433586255014824</v>
      </c>
      <c r="E123" s="505">
        <v>1.8433586255014824</v>
      </c>
      <c r="F123" s="505">
        <v>1.8433586255014824</v>
      </c>
      <c r="G123" s="505">
        <v>1.8433586255014824</v>
      </c>
      <c r="H123" s="505">
        <v>1.8433586255014824</v>
      </c>
      <c r="I123" s="505">
        <v>1.8433586255014824</v>
      </c>
      <c r="J123" s="505">
        <v>1.8433586255014824</v>
      </c>
      <c r="K123" s="505">
        <v>1.8433586255014824</v>
      </c>
      <c r="L123" s="505">
        <v>1.8433586255014824</v>
      </c>
      <c r="M123" s="505">
        <v>1.8433586255014824</v>
      </c>
      <c r="N123" s="505">
        <v>1.8433586255014824</v>
      </c>
      <c r="O123" s="505">
        <v>1.8433586255014824</v>
      </c>
      <c r="P123" s="505">
        <v>1.8433586255014824</v>
      </c>
      <c r="Q123" s="505">
        <v>1.8433586255014824</v>
      </c>
      <c r="R123" s="505">
        <v>1.8433586255014824</v>
      </c>
      <c r="S123" s="505">
        <v>1.8433586255014824</v>
      </c>
      <c r="T123" s="505">
        <v>1.8433586255014824</v>
      </c>
      <c r="U123" s="505">
        <v>1.8433586255014824</v>
      </c>
      <c r="V123" s="505">
        <v>1.8433586255014824</v>
      </c>
      <c r="W123" s="505">
        <v>1.8433586255014824</v>
      </c>
      <c r="X123" s="505">
        <v>1.8433586255014824</v>
      </c>
      <c r="Y123" s="505">
        <v>1.8433586255014824</v>
      </c>
      <c r="Z123" s="505">
        <v>1.8433586255014824</v>
      </c>
      <c r="AA123" s="505">
        <v>1.8433586255014824</v>
      </c>
      <c r="AB123" s="505">
        <v>1.8433586255014824</v>
      </c>
      <c r="AC123" s="505">
        <v>1.8433586255014824</v>
      </c>
    </row>
    <row r="124" spans="1:29">
      <c r="A124" s="459" t="s">
        <v>352</v>
      </c>
      <c r="B124" s="459" t="s">
        <v>653</v>
      </c>
      <c r="C124" s="505">
        <v>1.8529030871906271</v>
      </c>
      <c r="D124" s="505">
        <v>1.8529030871906271</v>
      </c>
      <c r="E124" s="505">
        <v>1.8529030871906271</v>
      </c>
      <c r="F124" s="505">
        <v>1.8529030871906271</v>
      </c>
      <c r="G124" s="505">
        <v>1.8529030871906271</v>
      </c>
      <c r="H124" s="505">
        <v>1.8529030871906271</v>
      </c>
      <c r="I124" s="505">
        <v>1.8529030871906271</v>
      </c>
      <c r="J124" s="505">
        <v>1.8529030871906271</v>
      </c>
      <c r="K124" s="505">
        <v>1.8529030871906271</v>
      </c>
      <c r="L124" s="505">
        <v>1.8529030871906271</v>
      </c>
      <c r="M124" s="505">
        <v>1.8529030871906271</v>
      </c>
      <c r="N124" s="505">
        <v>1.8529030871906271</v>
      </c>
      <c r="O124" s="505">
        <v>1.8529030871906271</v>
      </c>
      <c r="P124" s="505">
        <v>1.8529030871906271</v>
      </c>
      <c r="Q124" s="505">
        <v>1.8529030871906271</v>
      </c>
      <c r="R124" s="505">
        <v>1.8529030871906271</v>
      </c>
      <c r="S124" s="505">
        <v>1.8529030871906271</v>
      </c>
      <c r="T124" s="505">
        <v>1.8529030871906271</v>
      </c>
      <c r="U124" s="505">
        <v>1.8529030871906271</v>
      </c>
      <c r="V124" s="505">
        <v>1.8529030871906271</v>
      </c>
      <c r="W124" s="505">
        <v>1.8529030871906271</v>
      </c>
      <c r="X124" s="505">
        <v>1.8529030871906271</v>
      </c>
      <c r="Y124" s="505">
        <v>1.8529030871906271</v>
      </c>
      <c r="Z124" s="505">
        <v>1.8529030871906271</v>
      </c>
      <c r="AA124" s="505">
        <v>1.8529030871906271</v>
      </c>
      <c r="AB124" s="505">
        <v>1.8529030871906271</v>
      </c>
      <c r="AC124" s="505">
        <v>1.8529030871906271</v>
      </c>
    </row>
    <row r="125" spans="1:29">
      <c r="A125" s="458" t="s">
        <v>353</v>
      </c>
      <c r="B125" s="458" t="s">
        <v>653</v>
      </c>
      <c r="C125" s="506">
        <v>2.076438345513917</v>
      </c>
      <c r="D125" s="506">
        <v>2.076438345513917</v>
      </c>
      <c r="E125" s="506">
        <v>2.076438345513917</v>
      </c>
      <c r="F125" s="506">
        <v>2.076438345513917</v>
      </c>
      <c r="G125" s="506">
        <v>2.076438345513917</v>
      </c>
      <c r="H125" s="506">
        <v>2.076438345513917</v>
      </c>
      <c r="I125" s="506">
        <v>2.076438345513917</v>
      </c>
      <c r="J125" s="506">
        <v>2.076438345513917</v>
      </c>
      <c r="K125" s="506">
        <v>2.076438345513917</v>
      </c>
      <c r="L125" s="506">
        <v>2.076438345513917</v>
      </c>
      <c r="M125" s="506">
        <v>2.076438345513917</v>
      </c>
      <c r="N125" s="506">
        <v>2.076438345513917</v>
      </c>
      <c r="O125" s="506">
        <v>2.076438345513917</v>
      </c>
      <c r="P125" s="506">
        <v>2.076438345513917</v>
      </c>
      <c r="Q125" s="506">
        <v>2.076438345513917</v>
      </c>
      <c r="R125" s="506">
        <v>2.076438345513917</v>
      </c>
      <c r="S125" s="506">
        <v>2.076438345513917</v>
      </c>
      <c r="T125" s="506">
        <v>2.076438345513917</v>
      </c>
      <c r="U125" s="506">
        <v>2.076438345513917</v>
      </c>
      <c r="V125" s="506">
        <v>2.076438345513917</v>
      </c>
      <c r="W125" s="506">
        <v>2.076438345513917</v>
      </c>
      <c r="X125" s="506">
        <v>2.076438345513917</v>
      </c>
      <c r="Y125" s="506">
        <v>2.076438345513917</v>
      </c>
      <c r="Z125" s="506">
        <v>2.076438345513917</v>
      </c>
      <c r="AA125" s="506">
        <v>2.076438345513917</v>
      </c>
      <c r="AB125" s="506">
        <v>2.076438345513917</v>
      </c>
      <c r="AC125" s="506">
        <v>2.076438345513917</v>
      </c>
    </row>
    <row r="126" spans="1:29">
      <c r="A126" s="510" t="s">
        <v>657</v>
      </c>
      <c r="C126" s="459"/>
    </row>
    <row r="128" spans="1:29" s="459" customFormat="1"/>
    <row r="130" spans="1:29" ht="15.6">
      <c r="A130" s="425" t="s">
        <v>651</v>
      </c>
      <c r="C130" s="459"/>
      <c r="D130" s="459"/>
      <c r="E130" s="459"/>
      <c r="F130" s="459"/>
      <c r="G130" s="459"/>
      <c r="H130" s="459"/>
      <c r="I130" s="459"/>
      <c r="J130" s="459"/>
      <c r="K130" s="459"/>
      <c r="L130" s="459"/>
      <c r="M130" s="459"/>
      <c r="N130" s="459"/>
      <c r="O130" s="459"/>
      <c r="P130" s="459"/>
      <c r="Q130" s="459"/>
      <c r="R130" s="459"/>
      <c r="S130" s="459"/>
      <c r="T130" s="459"/>
      <c r="U130" s="459"/>
      <c r="V130" s="459"/>
      <c r="W130" s="459"/>
      <c r="X130" s="459"/>
      <c r="Y130" s="459"/>
      <c r="Z130" s="459"/>
      <c r="AA130" s="459"/>
      <c r="AB130" s="459"/>
    </row>
    <row r="131" spans="1:29">
      <c r="A131" s="131" t="s">
        <v>648</v>
      </c>
      <c r="B131" s="131" t="s">
        <v>64</v>
      </c>
      <c r="C131" s="131" t="str">
        <f t="shared" ref="C131:AC131" si="48">C118</f>
        <v>IE</v>
      </c>
      <c r="D131" s="131" t="str">
        <f t="shared" si="48"/>
        <v>IE-CW</v>
      </c>
      <c r="E131" s="131" t="str">
        <f t="shared" si="48"/>
        <v>IE-D</v>
      </c>
      <c r="F131" s="131" t="str">
        <f t="shared" si="48"/>
        <v>IE-KE</v>
      </c>
      <c r="G131" s="131" t="str">
        <f t="shared" si="48"/>
        <v>IE-KK</v>
      </c>
      <c r="H131" s="131" t="str">
        <f t="shared" si="48"/>
        <v>IE-LS</v>
      </c>
      <c r="I131" s="131" t="str">
        <f t="shared" si="48"/>
        <v>IE-LD</v>
      </c>
      <c r="J131" s="131" t="str">
        <f t="shared" si="48"/>
        <v>IE-LH</v>
      </c>
      <c r="K131" s="131" t="str">
        <f t="shared" si="48"/>
        <v>IE-MH</v>
      </c>
      <c r="L131" s="131" t="str">
        <f t="shared" si="48"/>
        <v>IE-OY</v>
      </c>
      <c r="M131" s="131" t="str">
        <f t="shared" si="48"/>
        <v>IE-WH</v>
      </c>
      <c r="N131" s="131" t="str">
        <f t="shared" si="48"/>
        <v>IE-WX</v>
      </c>
      <c r="O131" s="131" t="str">
        <f t="shared" si="48"/>
        <v>IE-WW</v>
      </c>
      <c r="P131" s="131" t="str">
        <f t="shared" si="48"/>
        <v>IE-CE</v>
      </c>
      <c r="Q131" s="131" t="str">
        <f t="shared" si="48"/>
        <v>IE-CO</v>
      </c>
      <c r="R131" s="131" t="str">
        <f t="shared" si="48"/>
        <v>IE-KY</v>
      </c>
      <c r="S131" s="131" t="str">
        <f t="shared" si="48"/>
        <v>IE-LK</v>
      </c>
      <c r="T131" s="131" t="str">
        <f t="shared" si="48"/>
        <v>IE-TA</v>
      </c>
      <c r="U131" s="131" t="str">
        <f t="shared" si="48"/>
        <v>IE-WD</v>
      </c>
      <c r="V131" s="131" t="str">
        <f t="shared" si="48"/>
        <v>IE-G</v>
      </c>
      <c r="W131" s="131" t="str">
        <f t="shared" si="48"/>
        <v>IE-LM</v>
      </c>
      <c r="X131" s="131" t="str">
        <f t="shared" si="48"/>
        <v>IE-MO</v>
      </c>
      <c r="Y131" s="131" t="str">
        <f t="shared" si="48"/>
        <v>IE-RN</v>
      </c>
      <c r="Z131" s="131" t="str">
        <f t="shared" si="48"/>
        <v>IE-SO</v>
      </c>
      <c r="AA131" s="131" t="str">
        <f t="shared" si="48"/>
        <v>IE-CN</v>
      </c>
      <c r="AB131" s="131" t="str">
        <f t="shared" si="48"/>
        <v>IE-DL</v>
      </c>
      <c r="AC131" s="131" t="str">
        <f t="shared" si="48"/>
        <v>IE-MN</v>
      </c>
    </row>
    <row r="132" spans="1:29">
      <c r="A132" s="459" t="s">
        <v>669</v>
      </c>
      <c r="B132" s="459" t="s">
        <v>653</v>
      </c>
      <c r="C132" s="505">
        <f t="shared" ref="C132:AC132" si="49">SUMPRODUCT(C106:C112,C119:C125)</f>
        <v>1.7022463273155841</v>
      </c>
      <c r="D132" s="505">
        <f t="shared" si="49"/>
        <v>1.6998970075247635</v>
      </c>
      <c r="E132" s="505">
        <f t="shared" si="49"/>
        <v>1.707078344636435</v>
      </c>
      <c r="F132" s="505">
        <f t="shared" si="49"/>
        <v>1.6998384354477898</v>
      </c>
      <c r="G132" s="505">
        <f t="shared" si="49"/>
        <v>1.6957199485282941</v>
      </c>
      <c r="H132" s="505">
        <f t="shared" si="49"/>
        <v>1.6985255448399943</v>
      </c>
      <c r="I132" s="505">
        <f t="shared" si="49"/>
        <v>1.6976558910392572</v>
      </c>
      <c r="J132" s="505">
        <f t="shared" si="49"/>
        <v>1.6867379257497728</v>
      </c>
      <c r="K132" s="505">
        <f t="shared" si="49"/>
        <v>1.7021791945783817</v>
      </c>
      <c r="L132" s="505">
        <f t="shared" si="49"/>
        <v>1.6963837298008513</v>
      </c>
      <c r="M132" s="505">
        <f t="shared" si="49"/>
        <v>1.6968438030251216</v>
      </c>
      <c r="N132" s="505">
        <f t="shared" si="49"/>
        <v>1.6937089742036608</v>
      </c>
      <c r="O132" s="505">
        <f t="shared" si="49"/>
        <v>1.7043280433302512</v>
      </c>
      <c r="P132" s="505">
        <f t="shared" si="49"/>
        <v>1.7041583991355798</v>
      </c>
      <c r="Q132" s="505">
        <f t="shared" si="49"/>
        <v>1.7007269338927373</v>
      </c>
      <c r="R132" s="505">
        <f t="shared" si="49"/>
        <v>1.7064908319551184</v>
      </c>
      <c r="S132" s="505">
        <f t="shared" si="49"/>
        <v>1.7017970792260606</v>
      </c>
      <c r="T132" s="505">
        <f t="shared" si="49"/>
        <v>1.699965161824657</v>
      </c>
      <c r="U132" s="505">
        <f t="shared" si="49"/>
        <v>1.6924278720495911</v>
      </c>
      <c r="V132" s="505">
        <f t="shared" si="49"/>
        <v>1.7085214463396043</v>
      </c>
      <c r="W132" s="505">
        <f t="shared" si="49"/>
        <v>1.6964802724054577</v>
      </c>
      <c r="X132" s="505">
        <f t="shared" si="49"/>
        <v>1.7049765419025793</v>
      </c>
      <c r="Y132" s="505">
        <f t="shared" si="49"/>
        <v>1.6825853781247959</v>
      </c>
      <c r="Z132" s="505">
        <f t="shared" si="49"/>
        <v>1.6981794141448161</v>
      </c>
      <c r="AA132" s="505">
        <f t="shared" si="49"/>
        <v>1.6982565627355217</v>
      </c>
      <c r="AB132" s="505">
        <f t="shared" si="49"/>
        <v>1.6984300275564468</v>
      </c>
      <c r="AC132" s="505">
        <f t="shared" si="49"/>
        <v>1.6991539675987215</v>
      </c>
    </row>
    <row r="133" spans="1:29">
      <c r="A133" s="458"/>
      <c r="B133" s="458" t="s">
        <v>640</v>
      </c>
      <c r="C133" s="508">
        <f>1000/C132</f>
        <v>587.45904394282604</v>
      </c>
      <c r="D133" s="508">
        <f>1000/D132</f>
        <v>588.2709338115194</v>
      </c>
      <c r="E133" s="508">
        <f>1000/E132</f>
        <v>585.79619567078214</v>
      </c>
      <c r="F133" s="508">
        <f>1000/F132</f>
        <v>588.29120412056648</v>
      </c>
      <c r="G133" s="508">
        <f t="shared" ref="G133:AC133" si="50">1000/G132</f>
        <v>589.72001884385122</v>
      </c>
      <c r="H133" s="508">
        <f t="shared" si="50"/>
        <v>588.7459291018215</v>
      </c>
      <c r="I133" s="508">
        <f t="shared" si="50"/>
        <v>589.04752445905171</v>
      </c>
      <c r="J133" s="508">
        <f t="shared" si="50"/>
        <v>592.86032805332786</v>
      </c>
      <c r="K133" s="508">
        <f t="shared" si="50"/>
        <v>587.48221290984191</v>
      </c>
      <c r="L133" s="508">
        <f t="shared" si="50"/>
        <v>589.48926615642324</v>
      </c>
      <c r="M133" s="508">
        <f t="shared" si="50"/>
        <v>589.32943516498506</v>
      </c>
      <c r="N133" s="508">
        <f t="shared" si="50"/>
        <v>590.42020514189858</v>
      </c>
      <c r="O133" s="508">
        <f t="shared" si="50"/>
        <v>586.74150432096587</v>
      </c>
      <c r="P133" s="508">
        <f t="shared" si="50"/>
        <v>586.79991279404646</v>
      </c>
      <c r="Q133" s="508">
        <f t="shared" si="50"/>
        <v>587.9838674108214</v>
      </c>
      <c r="R133" s="508">
        <f t="shared" si="50"/>
        <v>585.99787427765125</v>
      </c>
      <c r="S133" s="508">
        <f t="shared" si="50"/>
        <v>587.61412403808902</v>
      </c>
      <c r="T133" s="508">
        <f t="shared" si="50"/>
        <v>588.24734909664289</v>
      </c>
      <c r="U133" s="508">
        <f t="shared" si="50"/>
        <v>590.8671303013723</v>
      </c>
      <c r="V133" s="508">
        <f t="shared" si="50"/>
        <v>585.30140323519777</v>
      </c>
      <c r="W133" s="508">
        <f t="shared" si="50"/>
        <v>589.45571974267</v>
      </c>
      <c r="X133" s="508">
        <f t="shared" si="50"/>
        <v>586.51833349220294</v>
      </c>
      <c r="Y133" s="508">
        <f t="shared" si="50"/>
        <v>594.32348159026424</v>
      </c>
      <c r="Z133" s="508">
        <f t="shared" si="50"/>
        <v>588.86592998984656</v>
      </c>
      <c r="AA133" s="508">
        <f t="shared" si="50"/>
        <v>588.83917892195132</v>
      </c>
      <c r="AB133" s="508">
        <f t="shared" si="50"/>
        <v>588.77903933358562</v>
      </c>
      <c r="AC133" s="508">
        <f t="shared" si="50"/>
        <v>588.52818465487269</v>
      </c>
    </row>
    <row r="136" spans="1:29">
      <c r="A136" s="511"/>
      <c r="B136" s="511"/>
      <c r="C136" s="511"/>
      <c r="D136" s="511"/>
      <c r="E136" s="511"/>
      <c r="F136" s="511"/>
      <c r="G136" s="511"/>
      <c r="H136" s="511"/>
      <c r="I136" s="511"/>
      <c r="J136" s="511"/>
      <c r="K136" s="511"/>
      <c r="L136" s="511"/>
      <c r="M136" s="511"/>
      <c r="N136" s="511"/>
      <c r="O136" s="511"/>
      <c r="P136" s="511"/>
      <c r="Q136" s="511"/>
      <c r="R136" s="511"/>
      <c r="S136" s="511"/>
      <c r="T136" s="511"/>
      <c r="U136" s="511"/>
      <c r="V136" s="511"/>
      <c r="W136" s="511"/>
      <c r="X136" s="511"/>
      <c r="Y136" s="511"/>
      <c r="Z136" s="511"/>
      <c r="AA136" s="511"/>
      <c r="AB136" s="511"/>
      <c r="AC136" s="511"/>
    </row>
    <row r="137" spans="1:29" ht="15.6">
      <c r="A137" s="425" t="s">
        <v>654</v>
      </c>
      <c r="C137" s="459"/>
      <c r="D137" s="459"/>
      <c r="E137" s="459"/>
      <c r="F137" s="459"/>
      <c r="G137" s="459"/>
      <c r="H137" s="459"/>
      <c r="I137" s="459"/>
      <c r="J137" s="459"/>
      <c r="K137" s="459"/>
      <c r="L137" s="459"/>
      <c r="M137" s="459"/>
      <c r="N137" s="459"/>
      <c r="O137" s="459"/>
      <c r="P137" s="459"/>
      <c r="Q137" s="459"/>
      <c r="R137" s="459"/>
      <c r="S137" s="459"/>
      <c r="T137" s="459"/>
      <c r="U137" s="459"/>
      <c r="V137" s="459"/>
      <c r="W137" s="459"/>
      <c r="X137" s="459"/>
      <c r="Y137" s="459"/>
      <c r="Z137" s="459"/>
      <c r="AA137" s="459"/>
      <c r="AB137" s="459"/>
      <c r="AC137" s="459"/>
    </row>
    <row r="138" spans="1:29">
      <c r="A138" s="131" t="s">
        <v>648</v>
      </c>
      <c r="B138" s="131" t="s">
        <v>64</v>
      </c>
      <c r="C138" s="131" t="str">
        <f t="shared" ref="C138:AC138" si="51">C131</f>
        <v>IE</v>
      </c>
      <c r="D138" s="131" t="str">
        <f t="shared" si="51"/>
        <v>IE-CW</v>
      </c>
      <c r="E138" s="131" t="str">
        <f t="shared" si="51"/>
        <v>IE-D</v>
      </c>
      <c r="F138" s="131" t="str">
        <f t="shared" si="51"/>
        <v>IE-KE</v>
      </c>
      <c r="G138" s="131" t="str">
        <f t="shared" si="51"/>
        <v>IE-KK</v>
      </c>
      <c r="H138" s="131" t="str">
        <f t="shared" si="51"/>
        <v>IE-LS</v>
      </c>
      <c r="I138" s="131" t="str">
        <f t="shared" si="51"/>
        <v>IE-LD</v>
      </c>
      <c r="J138" s="131" t="str">
        <f t="shared" si="51"/>
        <v>IE-LH</v>
      </c>
      <c r="K138" s="131" t="str">
        <f t="shared" si="51"/>
        <v>IE-MH</v>
      </c>
      <c r="L138" s="131" t="str">
        <f t="shared" si="51"/>
        <v>IE-OY</v>
      </c>
      <c r="M138" s="131" t="str">
        <f t="shared" si="51"/>
        <v>IE-WH</v>
      </c>
      <c r="N138" s="131" t="str">
        <f t="shared" si="51"/>
        <v>IE-WX</v>
      </c>
      <c r="O138" s="131" t="str">
        <f t="shared" si="51"/>
        <v>IE-WW</v>
      </c>
      <c r="P138" s="131" t="str">
        <f t="shared" si="51"/>
        <v>IE-CE</v>
      </c>
      <c r="Q138" s="131" t="str">
        <f t="shared" si="51"/>
        <v>IE-CO</v>
      </c>
      <c r="R138" s="131" t="str">
        <f t="shared" si="51"/>
        <v>IE-KY</v>
      </c>
      <c r="S138" s="131" t="str">
        <f t="shared" si="51"/>
        <v>IE-LK</v>
      </c>
      <c r="T138" s="131" t="str">
        <f t="shared" si="51"/>
        <v>IE-TA</v>
      </c>
      <c r="U138" s="131" t="str">
        <f t="shared" si="51"/>
        <v>IE-WD</v>
      </c>
      <c r="V138" s="131" t="str">
        <f t="shared" si="51"/>
        <v>IE-G</v>
      </c>
      <c r="W138" s="131" t="str">
        <f t="shared" si="51"/>
        <v>IE-LM</v>
      </c>
      <c r="X138" s="131" t="str">
        <f t="shared" si="51"/>
        <v>IE-MO</v>
      </c>
      <c r="Y138" s="131" t="str">
        <f t="shared" si="51"/>
        <v>IE-RN</v>
      </c>
      <c r="Z138" s="131" t="str">
        <f t="shared" si="51"/>
        <v>IE-SO</v>
      </c>
      <c r="AA138" s="131" t="str">
        <f t="shared" si="51"/>
        <v>IE-CN</v>
      </c>
      <c r="AB138" s="131" t="str">
        <f t="shared" si="51"/>
        <v>IE-DL</v>
      </c>
      <c r="AC138" s="131" t="str">
        <f t="shared" si="51"/>
        <v>IE-MN</v>
      </c>
    </row>
    <row r="139" spans="1:29">
      <c r="A139" s="459" t="s">
        <v>347</v>
      </c>
      <c r="B139" s="459" t="s">
        <v>539</v>
      </c>
      <c r="C139" s="36">
        <f>SUM(D139:AC139)</f>
        <v>179</v>
      </c>
      <c r="D139" s="459">
        <v>1</v>
      </c>
      <c r="E139" s="459">
        <v>80</v>
      </c>
      <c r="F139" s="459">
        <v>6</v>
      </c>
      <c r="G139" s="459">
        <v>2</v>
      </c>
      <c r="H139" s="459">
        <v>1</v>
      </c>
      <c r="I139" s="459">
        <v>1</v>
      </c>
      <c r="J139" s="459">
        <v>4</v>
      </c>
      <c r="K139" s="459">
        <v>4</v>
      </c>
      <c r="L139" s="459">
        <v>2</v>
      </c>
      <c r="M139" s="459">
        <v>5</v>
      </c>
      <c r="N139" s="459">
        <v>5</v>
      </c>
      <c r="O139" s="459">
        <v>3</v>
      </c>
      <c r="P139" s="459">
        <v>5</v>
      </c>
      <c r="Q139" s="459">
        <v>16</v>
      </c>
      <c r="R139" s="459">
        <v>4</v>
      </c>
      <c r="S139" s="459">
        <v>2</v>
      </c>
      <c r="T139" s="459">
        <v>7</v>
      </c>
      <c r="U139" s="459">
        <v>3</v>
      </c>
      <c r="V139" s="459">
        <v>12</v>
      </c>
      <c r="W139" s="459">
        <v>0</v>
      </c>
      <c r="X139" s="459">
        <v>3</v>
      </c>
      <c r="Y139" s="459">
        <v>0</v>
      </c>
      <c r="Z139" s="459">
        <v>2</v>
      </c>
      <c r="AA139" s="459">
        <v>2</v>
      </c>
      <c r="AB139" s="459">
        <v>4</v>
      </c>
      <c r="AC139" s="459">
        <v>5</v>
      </c>
    </row>
    <row r="140" spans="1:29">
      <c r="A140" s="459" t="s">
        <v>348</v>
      </c>
      <c r="B140" s="459" t="s">
        <v>539</v>
      </c>
      <c r="C140" s="36">
        <f t="shared" ref="C140:C145" si="52">SUM(D140:AC140)</f>
        <v>3839</v>
      </c>
      <c r="D140" s="459">
        <v>67</v>
      </c>
      <c r="E140" s="459">
        <v>576</v>
      </c>
      <c r="F140" s="459">
        <v>244</v>
      </c>
      <c r="G140" s="459">
        <v>148</v>
      </c>
      <c r="H140" s="459">
        <v>91</v>
      </c>
      <c r="I140" s="459">
        <v>54</v>
      </c>
      <c r="J140" s="459">
        <v>166</v>
      </c>
      <c r="K140" s="459">
        <v>155</v>
      </c>
      <c r="L140" s="459">
        <v>82</v>
      </c>
      <c r="M140" s="459">
        <v>112</v>
      </c>
      <c r="N140" s="459">
        <v>157</v>
      </c>
      <c r="O140" s="459">
        <v>142</v>
      </c>
      <c r="P140" s="459">
        <v>115</v>
      </c>
      <c r="Q140" s="459">
        <v>539</v>
      </c>
      <c r="R140" s="459">
        <v>95</v>
      </c>
      <c r="S140" s="459">
        <v>133</v>
      </c>
      <c r="T140" s="459">
        <v>142</v>
      </c>
      <c r="U140" s="459">
        <v>118</v>
      </c>
      <c r="V140" s="459">
        <v>156</v>
      </c>
      <c r="W140" s="459">
        <v>34</v>
      </c>
      <c r="X140" s="459">
        <v>107</v>
      </c>
      <c r="Y140" s="459">
        <v>64</v>
      </c>
      <c r="Z140" s="459">
        <v>55</v>
      </c>
      <c r="AA140" s="459">
        <v>61</v>
      </c>
      <c r="AB140" s="459">
        <v>140</v>
      </c>
      <c r="AC140" s="459">
        <v>86</v>
      </c>
    </row>
    <row r="141" spans="1:29">
      <c r="A141" s="459" t="s">
        <v>349</v>
      </c>
      <c r="B141" s="459" t="s">
        <v>539</v>
      </c>
      <c r="C141" s="36">
        <f t="shared" si="52"/>
        <v>81390</v>
      </c>
      <c r="D141" s="459">
        <v>1237</v>
      </c>
      <c r="E141" s="459">
        <v>9493</v>
      </c>
      <c r="F141" s="459">
        <v>3439</v>
      </c>
      <c r="G141" s="459">
        <v>2169</v>
      </c>
      <c r="H141" s="459">
        <v>1551</v>
      </c>
      <c r="I141" s="459">
        <v>909</v>
      </c>
      <c r="J141" s="459">
        <v>2423</v>
      </c>
      <c r="K141" s="459">
        <v>3563</v>
      </c>
      <c r="L141" s="459">
        <v>1912</v>
      </c>
      <c r="M141" s="459">
        <v>2040</v>
      </c>
      <c r="N141" s="459">
        <v>3371</v>
      </c>
      <c r="O141" s="459">
        <v>2275</v>
      </c>
      <c r="P141" s="459">
        <v>2575</v>
      </c>
      <c r="Q141" s="459">
        <v>10919</v>
      </c>
      <c r="R141" s="459">
        <v>3257</v>
      </c>
      <c r="S141" s="459">
        <v>4069</v>
      </c>
      <c r="T141" s="459">
        <v>3965</v>
      </c>
      <c r="U141" s="459">
        <v>2052</v>
      </c>
      <c r="V141" s="459">
        <v>4975</v>
      </c>
      <c r="W141" s="459">
        <v>750</v>
      </c>
      <c r="X141" s="459">
        <v>3380</v>
      </c>
      <c r="Y141" s="459">
        <v>1784</v>
      </c>
      <c r="Z141" s="459">
        <v>1336</v>
      </c>
      <c r="AA141" s="459">
        <v>1897</v>
      </c>
      <c r="AB141" s="459">
        <v>4575</v>
      </c>
      <c r="AC141" s="459">
        <v>1474</v>
      </c>
    </row>
    <row r="142" spans="1:29">
      <c r="A142" s="459" t="s">
        <v>350</v>
      </c>
      <c r="B142" s="459" t="s">
        <v>539</v>
      </c>
      <c r="C142" s="36">
        <f>SUM(D142:AC142)</f>
        <v>444692</v>
      </c>
      <c r="D142" s="459">
        <v>6881</v>
      </c>
      <c r="E142" s="459">
        <v>88739</v>
      </c>
      <c r="F142" s="459">
        <v>22962</v>
      </c>
      <c r="G142" s="459">
        <v>10824</v>
      </c>
      <c r="H142" s="459">
        <v>8987</v>
      </c>
      <c r="I142" s="459">
        <v>3898</v>
      </c>
      <c r="J142" s="459">
        <v>12590</v>
      </c>
      <c r="K142" s="459">
        <v>21168</v>
      </c>
      <c r="L142" s="459">
        <v>8883</v>
      </c>
      <c r="M142" s="459">
        <v>10196</v>
      </c>
      <c r="N142" s="459">
        <v>19196</v>
      </c>
      <c r="O142" s="459">
        <v>13033</v>
      </c>
      <c r="P142" s="459">
        <v>13659</v>
      </c>
      <c r="Q142" s="459">
        <v>52972</v>
      </c>
      <c r="R142" s="459">
        <v>15197</v>
      </c>
      <c r="S142" s="459">
        <v>19158</v>
      </c>
      <c r="T142" s="459">
        <v>18862</v>
      </c>
      <c r="U142" s="459">
        <v>12753</v>
      </c>
      <c r="V142" s="459">
        <v>24375</v>
      </c>
      <c r="W142" s="459">
        <v>3430</v>
      </c>
      <c r="X142" s="459">
        <v>13427</v>
      </c>
      <c r="Y142" s="459">
        <v>8411</v>
      </c>
      <c r="Z142" s="459">
        <v>6163</v>
      </c>
      <c r="AA142" s="459">
        <v>7969</v>
      </c>
      <c r="AB142" s="459">
        <v>14643</v>
      </c>
      <c r="AC142" s="459">
        <v>6316</v>
      </c>
    </row>
    <row r="143" spans="1:29">
      <c r="A143" s="459" t="s">
        <v>351</v>
      </c>
      <c r="B143" s="459" t="s">
        <v>539</v>
      </c>
      <c r="C143" s="36">
        <f t="shared" si="52"/>
        <v>89775</v>
      </c>
      <c r="D143" s="459">
        <v>1290</v>
      </c>
      <c r="E143" s="459">
        <v>17628</v>
      </c>
      <c r="F143" s="459">
        <v>4928</v>
      </c>
      <c r="G143" s="459">
        <v>2198</v>
      </c>
      <c r="H143" s="459">
        <v>1869</v>
      </c>
      <c r="I143" s="459">
        <v>888</v>
      </c>
      <c r="J143" s="459">
        <v>2315</v>
      </c>
      <c r="K143" s="459">
        <v>4045</v>
      </c>
      <c r="L143" s="459">
        <v>1636</v>
      </c>
      <c r="M143" s="459">
        <v>2067</v>
      </c>
      <c r="N143" s="459">
        <v>3248</v>
      </c>
      <c r="O143" s="459">
        <v>2633</v>
      </c>
      <c r="P143" s="459">
        <v>2374</v>
      </c>
      <c r="Q143" s="459">
        <v>11232</v>
      </c>
      <c r="R143" s="459">
        <v>3485</v>
      </c>
      <c r="S143" s="459">
        <v>3733</v>
      </c>
      <c r="T143" s="459">
        <v>3391</v>
      </c>
      <c r="U143" s="459">
        <v>2005</v>
      </c>
      <c r="V143" s="459">
        <v>5409</v>
      </c>
      <c r="W143" s="459">
        <v>743</v>
      </c>
      <c r="X143" s="459">
        <v>3143</v>
      </c>
      <c r="Y143" s="459">
        <v>1380</v>
      </c>
      <c r="Z143" s="459">
        <v>1419</v>
      </c>
      <c r="AA143" s="459">
        <v>1536</v>
      </c>
      <c r="AB143" s="459">
        <v>3578</v>
      </c>
      <c r="AC143" s="459">
        <v>1602</v>
      </c>
    </row>
    <row r="144" spans="1:29">
      <c r="A144" s="459" t="s">
        <v>352</v>
      </c>
      <c r="B144" s="459" t="s">
        <v>539</v>
      </c>
      <c r="C144" s="36">
        <f t="shared" si="52"/>
        <v>413535</v>
      </c>
      <c r="D144" s="459">
        <v>6579</v>
      </c>
      <c r="E144" s="459">
        <v>82131</v>
      </c>
      <c r="F144" s="459">
        <v>19797</v>
      </c>
      <c r="G144" s="459">
        <v>9208</v>
      </c>
      <c r="H144" s="459">
        <v>7889</v>
      </c>
      <c r="I144" s="459">
        <v>4791</v>
      </c>
      <c r="J144" s="459">
        <v>10149</v>
      </c>
      <c r="K144" s="459">
        <v>18487</v>
      </c>
      <c r="L144" s="459">
        <v>7788</v>
      </c>
      <c r="M144" s="459">
        <v>9942</v>
      </c>
      <c r="N144" s="459">
        <v>15412</v>
      </c>
      <c r="O144" s="459">
        <v>12254</v>
      </c>
      <c r="P144" s="459">
        <v>11483</v>
      </c>
      <c r="Q144" s="459">
        <v>46696</v>
      </c>
      <c r="R144" s="459">
        <v>14446</v>
      </c>
      <c r="S144" s="459">
        <v>17149</v>
      </c>
      <c r="T144" s="459">
        <v>17769</v>
      </c>
      <c r="U144" s="459">
        <v>10224</v>
      </c>
      <c r="V144" s="459">
        <v>26486</v>
      </c>
      <c r="W144" s="459">
        <v>4007</v>
      </c>
      <c r="X144" s="459">
        <v>15375</v>
      </c>
      <c r="Y144" s="459">
        <v>7542</v>
      </c>
      <c r="Z144" s="459">
        <v>7023</v>
      </c>
      <c r="AA144" s="459">
        <v>8032</v>
      </c>
      <c r="AB144" s="459">
        <v>15928</v>
      </c>
      <c r="AC144" s="459">
        <v>6948</v>
      </c>
    </row>
    <row r="145" spans="1:29">
      <c r="A145" s="459" t="s">
        <v>353</v>
      </c>
      <c r="B145" s="459" t="s">
        <v>539</v>
      </c>
      <c r="C145" s="36">
        <f t="shared" si="52"/>
        <v>95994</v>
      </c>
      <c r="D145" s="459">
        <v>1330</v>
      </c>
      <c r="E145" s="459">
        <v>27059</v>
      </c>
      <c r="F145" s="459">
        <v>5458</v>
      </c>
      <c r="G145" s="459">
        <v>2125</v>
      </c>
      <c r="H145" s="459">
        <v>1670</v>
      </c>
      <c r="I145" s="459">
        <v>729</v>
      </c>
      <c r="J145" s="459">
        <v>2300</v>
      </c>
      <c r="K145" s="459">
        <v>5002</v>
      </c>
      <c r="L145" s="459">
        <v>1482</v>
      </c>
      <c r="M145" s="459">
        <v>1751</v>
      </c>
      <c r="N145" s="459">
        <v>3582</v>
      </c>
      <c r="O145" s="459">
        <v>3855</v>
      </c>
      <c r="P145" s="459">
        <v>2373</v>
      </c>
      <c r="Q145" s="459">
        <v>9921</v>
      </c>
      <c r="R145" s="459">
        <v>2763</v>
      </c>
      <c r="S145" s="459">
        <v>3609</v>
      </c>
      <c r="T145" s="459">
        <v>3578</v>
      </c>
      <c r="U145" s="459">
        <v>2519</v>
      </c>
      <c r="V145" s="459">
        <v>4924</v>
      </c>
      <c r="W145" s="459">
        <v>490</v>
      </c>
      <c r="X145" s="459">
        <v>2559</v>
      </c>
      <c r="Y145" s="459">
        <v>1067</v>
      </c>
      <c r="Z145" s="459">
        <v>995</v>
      </c>
      <c r="AA145" s="459">
        <v>1393</v>
      </c>
      <c r="AB145" s="459">
        <v>2257</v>
      </c>
      <c r="AC145" s="459">
        <v>1203</v>
      </c>
    </row>
    <row r="146" spans="1:29">
      <c r="A146" s="458" t="s">
        <v>16</v>
      </c>
      <c r="B146" s="458" t="s">
        <v>539</v>
      </c>
      <c r="C146" s="504">
        <f>SUM(D146:AC146)</f>
        <v>1129404</v>
      </c>
      <c r="D146" s="504">
        <f t="shared" ref="D146:AC146" si="53">SUM(D139:D145)</f>
        <v>17385</v>
      </c>
      <c r="E146" s="504">
        <f t="shared" si="53"/>
        <v>225706</v>
      </c>
      <c r="F146" s="504">
        <f t="shared" si="53"/>
        <v>56834</v>
      </c>
      <c r="G146" s="504">
        <f t="shared" si="53"/>
        <v>26674</v>
      </c>
      <c r="H146" s="504">
        <f t="shared" si="53"/>
        <v>22058</v>
      </c>
      <c r="I146" s="504">
        <f t="shared" si="53"/>
        <v>11270</v>
      </c>
      <c r="J146" s="504">
        <f t="shared" si="53"/>
        <v>29947</v>
      </c>
      <c r="K146" s="504">
        <f t="shared" si="53"/>
        <v>52424</v>
      </c>
      <c r="L146" s="504">
        <f t="shared" si="53"/>
        <v>21785</v>
      </c>
      <c r="M146" s="504">
        <f t="shared" si="53"/>
        <v>26113</v>
      </c>
      <c r="N146" s="504">
        <f t="shared" si="53"/>
        <v>44971</v>
      </c>
      <c r="O146" s="504">
        <f t="shared" si="53"/>
        <v>34195</v>
      </c>
      <c r="P146" s="504">
        <f t="shared" si="53"/>
        <v>32584</v>
      </c>
      <c r="Q146" s="504">
        <f t="shared" si="53"/>
        <v>132295</v>
      </c>
      <c r="R146" s="504">
        <f t="shared" si="53"/>
        <v>39247</v>
      </c>
      <c r="S146" s="504">
        <f t="shared" si="53"/>
        <v>47853</v>
      </c>
      <c r="T146" s="504">
        <f t="shared" si="53"/>
        <v>47714</v>
      </c>
      <c r="U146" s="504">
        <f t="shared" si="53"/>
        <v>29674</v>
      </c>
      <c r="V146" s="504">
        <f t="shared" si="53"/>
        <v>66337</v>
      </c>
      <c r="W146" s="504">
        <f t="shared" si="53"/>
        <v>9454</v>
      </c>
      <c r="X146" s="504">
        <f t="shared" si="53"/>
        <v>37994</v>
      </c>
      <c r="Y146" s="504">
        <f t="shared" si="53"/>
        <v>20248</v>
      </c>
      <c r="Z146" s="504">
        <f t="shared" si="53"/>
        <v>16993</v>
      </c>
      <c r="AA146" s="504">
        <f t="shared" si="53"/>
        <v>20890</v>
      </c>
      <c r="AB146" s="504">
        <f t="shared" si="53"/>
        <v>41125</v>
      </c>
      <c r="AC146" s="504">
        <f t="shared" si="53"/>
        <v>17634</v>
      </c>
    </row>
    <row r="147" spans="1:29">
      <c r="A147" s="459" t="s">
        <v>659</v>
      </c>
      <c r="C147" s="459"/>
      <c r="D147" s="459"/>
      <c r="E147" s="459"/>
      <c r="F147" s="459"/>
      <c r="G147" s="459"/>
      <c r="H147" s="459"/>
      <c r="I147" s="459"/>
      <c r="J147" s="459"/>
      <c r="K147" s="459"/>
      <c r="L147" s="459"/>
      <c r="M147" s="459"/>
      <c r="N147" s="459"/>
      <c r="O147" s="459"/>
      <c r="P147" s="459"/>
      <c r="Q147" s="459"/>
      <c r="R147" s="459"/>
      <c r="S147" s="459"/>
      <c r="T147" s="459"/>
      <c r="U147" s="459"/>
      <c r="V147" s="459"/>
      <c r="W147" s="459"/>
      <c r="X147" s="459"/>
      <c r="Y147" s="459"/>
      <c r="Z147" s="459"/>
      <c r="AA147" s="459"/>
      <c r="AB147" s="459"/>
      <c r="AC147" s="459"/>
    </row>
    <row r="148" spans="1:29">
      <c r="A148" s="459"/>
      <c r="C148" s="459"/>
      <c r="D148" s="459"/>
      <c r="E148" s="459"/>
      <c r="F148" s="459"/>
      <c r="G148" s="459"/>
      <c r="H148" s="459"/>
      <c r="I148" s="459"/>
      <c r="J148" s="459"/>
      <c r="K148" s="459"/>
      <c r="L148" s="459"/>
      <c r="M148" s="459"/>
      <c r="N148" s="459"/>
      <c r="O148" s="459"/>
      <c r="P148" s="459"/>
      <c r="Q148" s="459"/>
      <c r="R148" s="459"/>
      <c r="S148" s="459"/>
      <c r="T148" s="459"/>
      <c r="U148" s="459"/>
      <c r="V148" s="459"/>
      <c r="W148" s="459"/>
      <c r="X148" s="459"/>
      <c r="Y148" s="459"/>
      <c r="Z148" s="459"/>
      <c r="AA148" s="459"/>
      <c r="AB148" s="459"/>
      <c r="AC148" s="459"/>
    </row>
    <row r="149" spans="1:29">
      <c r="A149" s="459"/>
      <c r="C149" s="459"/>
      <c r="D149" s="459"/>
      <c r="E149" s="459"/>
      <c r="F149" s="459"/>
      <c r="G149" s="459"/>
      <c r="H149" s="459"/>
      <c r="I149" s="459"/>
      <c r="J149" s="459"/>
      <c r="K149" s="459"/>
      <c r="L149" s="459"/>
      <c r="M149" s="459"/>
      <c r="N149" s="459"/>
      <c r="O149" s="459"/>
      <c r="P149" s="459"/>
      <c r="Q149" s="459"/>
      <c r="R149" s="459"/>
      <c r="S149" s="459"/>
      <c r="T149" s="459"/>
      <c r="U149" s="459"/>
      <c r="V149" s="459"/>
      <c r="W149" s="459"/>
      <c r="X149" s="459"/>
      <c r="Y149" s="459"/>
      <c r="Z149" s="459"/>
      <c r="AA149" s="459"/>
      <c r="AB149" s="459"/>
      <c r="AC149" s="459"/>
    </row>
    <row r="150" spans="1:29">
      <c r="A150" s="459"/>
      <c r="C150" s="459"/>
      <c r="D150" s="459"/>
      <c r="E150" s="459"/>
      <c r="F150" s="459"/>
      <c r="G150" s="459"/>
      <c r="H150" s="459"/>
      <c r="I150" s="459"/>
      <c r="J150" s="459"/>
      <c r="K150" s="459"/>
      <c r="L150" s="459"/>
      <c r="M150" s="459"/>
      <c r="N150" s="459"/>
      <c r="O150" s="459"/>
      <c r="P150" s="459"/>
      <c r="Q150" s="459"/>
      <c r="R150" s="459"/>
      <c r="S150" s="459"/>
      <c r="T150" s="459"/>
      <c r="U150" s="459"/>
      <c r="V150" s="459"/>
      <c r="W150" s="459"/>
      <c r="X150" s="459"/>
      <c r="Y150" s="459"/>
      <c r="Z150" s="459"/>
      <c r="AA150" s="459"/>
      <c r="AB150" s="459"/>
      <c r="AC150" s="459"/>
    </row>
    <row r="151" spans="1:29" ht="15.6">
      <c r="A151" s="425" t="s">
        <v>655</v>
      </c>
      <c r="C151" s="459"/>
      <c r="D151" s="459"/>
      <c r="E151" s="459"/>
      <c r="F151" s="459"/>
      <c r="G151" s="459"/>
      <c r="H151" s="459"/>
      <c r="I151" s="459"/>
      <c r="J151" s="459"/>
      <c r="K151" s="459"/>
      <c r="L151" s="459"/>
      <c r="M151" s="459"/>
      <c r="N151" s="459"/>
      <c r="O151" s="459"/>
      <c r="P151" s="459"/>
      <c r="Q151" s="459"/>
      <c r="R151" s="459"/>
      <c r="S151" s="459"/>
      <c r="T151" s="459"/>
      <c r="U151" s="459"/>
      <c r="V151" s="459"/>
      <c r="W151" s="459"/>
      <c r="X151" s="459"/>
      <c r="Y151" s="459"/>
      <c r="Z151" s="459"/>
      <c r="AA151" s="459"/>
      <c r="AB151" s="459"/>
      <c r="AC151" s="459"/>
    </row>
    <row r="152" spans="1:29">
      <c r="A152" s="131" t="s">
        <v>648</v>
      </c>
      <c r="B152" s="131" t="s">
        <v>64</v>
      </c>
      <c r="C152" s="131" t="str">
        <f>C138</f>
        <v>IE</v>
      </c>
      <c r="D152" s="131" t="str">
        <f t="shared" ref="D152:AC152" si="54">D138</f>
        <v>IE-CW</v>
      </c>
      <c r="E152" s="131" t="str">
        <f t="shared" si="54"/>
        <v>IE-D</v>
      </c>
      <c r="F152" s="131" t="str">
        <f t="shared" si="54"/>
        <v>IE-KE</v>
      </c>
      <c r="G152" s="131" t="str">
        <f t="shared" si="54"/>
        <v>IE-KK</v>
      </c>
      <c r="H152" s="131" t="str">
        <f t="shared" si="54"/>
        <v>IE-LS</v>
      </c>
      <c r="I152" s="131" t="str">
        <f t="shared" si="54"/>
        <v>IE-LD</v>
      </c>
      <c r="J152" s="131" t="str">
        <f t="shared" si="54"/>
        <v>IE-LH</v>
      </c>
      <c r="K152" s="131" t="str">
        <f t="shared" si="54"/>
        <v>IE-MH</v>
      </c>
      <c r="L152" s="131" t="str">
        <f t="shared" si="54"/>
        <v>IE-OY</v>
      </c>
      <c r="M152" s="131" t="str">
        <f t="shared" si="54"/>
        <v>IE-WH</v>
      </c>
      <c r="N152" s="131" t="str">
        <f t="shared" si="54"/>
        <v>IE-WX</v>
      </c>
      <c r="O152" s="131" t="str">
        <f t="shared" si="54"/>
        <v>IE-WW</v>
      </c>
      <c r="P152" s="131" t="str">
        <f t="shared" si="54"/>
        <v>IE-CE</v>
      </c>
      <c r="Q152" s="131" t="str">
        <f t="shared" si="54"/>
        <v>IE-CO</v>
      </c>
      <c r="R152" s="131" t="str">
        <f t="shared" si="54"/>
        <v>IE-KY</v>
      </c>
      <c r="S152" s="131" t="str">
        <f t="shared" si="54"/>
        <v>IE-LK</v>
      </c>
      <c r="T152" s="131" t="str">
        <f t="shared" si="54"/>
        <v>IE-TA</v>
      </c>
      <c r="U152" s="131" t="str">
        <f t="shared" si="54"/>
        <v>IE-WD</v>
      </c>
      <c r="V152" s="131" t="str">
        <f t="shared" si="54"/>
        <v>IE-G</v>
      </c>
      <c r="W152" s="131" t="str">
        <f t="shared" si="54"/>
        <v>IE-LM</v>
      </c>
      <c r="X152" s="131" t="str">
        <f t="shared" si="54"/>
        <v>IE-MO</v>
      </c>
      <c r="Y152" s="131" t="str">
        <f t="shared" si="54"/>
        <v>IE-RN</v>
      </c>
      <c r="Z152" s="131" t="str">
        <f t="shared" si="54"/>
        <v>IE-SO</v>
      </c>
      <c r="AA152" s="131" t="str">
        <f t="shared" si="54"/>
        <v>IE-CN</v>
      </c>
      <c r="AB152" s="131" t="str">
        <f t="shared" si="54"/>
        <v>IE-DL</v>
      </c>
      <c r="AC152" s="131" t="str">
        <f t="shared" si="54"/>
        <v>IE-MN</v>
      </c>
    </row>
    <row r="153" spans="1:29">
      <c r="A153" s="459" t="s">
        <v>347</v>
      </c>
      <c r="B153" s="507" t="s">
        <v>652</v>
      </c>
      <c r="C153" s="35">
        <f>C139/C$146</f>
        <v>1.584906729567099E-4</v>
      </c>
      <c r="D153" s="35">
        <f t="shared" ref="D153:AC159" si="55">D139/D$146</f>
        <v>5.7520851308599364E-5</v>
      </c>
      <c r="E153" s="35">
        <f t="shared" si="55"/>
        <v>3.5444339095992131E-4</v>
      </c>
      <c r="F153" s="35">
        <f t="shared" si="55"/>
        <v>1.0557060914241475E-4</v>
      </c>
      <c r="G153" s="35">
        <f t="shared" si="55"/>
        <v>7.4979380670315665E-5</v>
      </c>
      <c r="H153" s="35">
        <f t="shared" si="55"/>
        <v>4.5335025840964729E-5</v>
      </c>
      <c r="I153" s="35">
        <f t="shared" si="55"/>
        <v>8.8731144631765753E-5</v>
      </c>
      <c r="J153" s="35">
        <f t="shared" si="55"/>
        <v>1.3356930577353325E-4</v>
      </c>
      <c r="K153" s="35">
        <f t="shared" si="55"/>
        <v>7.6300930871356625E-5</v>
      </c>
      <c r="L153" s="35">
        <f t="shared" si="55"/>
        <v>9.1806288730778064E-5</v>
      </c>
      <c r="M153" s="35">
        <f t="shared" si="55"/>
        <v>1.914755102822349E-4</v>
      </c>
      <c r="N153" s="35">
        <f t="shared" si="55"/>
        <v>1.1118276222454471E-4</v>
      </c>
      <c r="O153" s="35">
        <f t="shared" si="55"/>
        <v>8.7732124579616906E-5</v>
      </c>
      <c r="P153" s="35">
        <f t="shared" si="55"/>
        <v>1.5344954578934447E-4</v>
      </c>
      <c r="Q153" s="35">
        <f t="shared" si="55"/>
        <v>1.2094183453645263E-4</v>
      </c>
      <c r="R153" s="35">
        <f t="shared" si="55"/>
        <v>1.0191861798354014E-4</v>
      </c>
      <c r="S153" s="35">
        <f t="shared" si="55"/>
        <v>4.179466282155769E-5</v>
      </c>
      <c r="T153" s="35">
        <f t="shared" si="55"/>
        <v>1.4670746531416355E-4</v>
      </c>
      <c r="U153" s="35">
        <f t="shared" si="55"/>
        <v>1.0109860483925321E-4</v>
      </c>
      <c r="V153" s="35">
        <f t="shared" si="55"/>
        <v>1.8089452341830351E-4</v>
      </c>
      <c r="W153" s="35">
        <f t="shared" si="55"/>
        <v>0</v>
      </c>
      <c r="X153" s="35">
        <f t="shared" si="55"/>
        <v>7.8959835763541613E-5</v>
      </c>
      <c r="Y153" s="35">
        <f t="shared" si="55"/>
        <v>0</v>
      </c>
      <c r="Z153" s="35">
        <f t="shared" si="55"/>
        <v>1.1769552168539987E-4</v>
      </c>
      <c r="AA153" s="35">
        <f t="shared" si="55"/>
        <v>9.5739588319770219E-5</v>
      </c>
      <c r="AB153" s="35">
        <f t="shared" si="55"/>
        <v>9.7264437689969604E-5</v>
      </c>
      <c r="AC153" s="35">
        <f t="shared" si="55"/>
        <v>2.8354315526823184E-4</v>
      </c>
    </row>
    <row r="154" spans="1:29">
      <c r="A154" s="459" t="s">
        <v>348</v>
      </c>
      <c r="B154" s="1" t="s">
        <v>652</v>
      </c>
      <c r="C154" s="35">
        <f t="shared" ref="C154:R159" si="56">C140/C$146</f>
        <v>3.3991379524067563E-3</v>
      </c>
      <c r="D154" s="35">
        <f t="shared" si="56"/>
        <v>3.8538970376761576E-3</v>
      </c>
      <c r="E154" s="35">
        <f t="shared" si="56"/>
        <v>2.5519924149114337E-3</v>
      </c>
      <c r="F154" s="35">
        <f t="shared" si="56"/>
        <v>4.2932047717915336E-3</v>
      </c>
      <c r="G154" s="35">
        <f t="shared" si="56"/>
        <v>5.5484741696033594E-3</v>
      </c>
      <c r="H154" s="35">
        <f t="shared" si="56"/>
        <v>4.1254873515277901E-3</v>
      </c>
      <c r="I154" s="35">
        <f t="shared" si="56"/>
        <v>4.7914818101153509E-3</v>
      </c>
      <c r="J154" s="35">
        <f t="shared" si="56"/>
        <v>5.5431261896016293E-3</v>
      </c>
      <c r="K154" s="35">
        <f t="shared" si="56"/>
        <v>2.9566610712650696E-3</v>
      </c>
      <c r="L154" s="35">
        <f t="shared" si="56"/>
        <v>3.7640578379619003E-3</v>
      </c>
      <c r="M154" s="35">
        <f t="shared" si="56"/>
        <v>4.2890514303220622E-3</v>
      </c>
      <c r="N154" s="35">
        <f t="shared" si="56"/>
        <v>3.4911387338507037E-3</v>
      </c>
      <c r="O154" s="35">
        <f t="shared" si="56"/>
        <v>4.1526538967685336E-3</v>
      </c>
      <c r="P154" s="35">
        <f t="shared" si="56"/>
        <v>3.5293395531549227E-3</v>
      </c>
      <c r="Q154" s="35">
        <f t="shared" si="56"/>
        <v>4.0742280509467477E-3</v>
      </c>
      <c r="R154" s="35">
        <f t="shared" si="56"/>
        <v>2.4205671771090785E-3</v>
      </c>
      <c r="S154" s="35">
        <f t="shared" si="55"/>
        <v>2.7793450776335861E-3</v>
      </c>
      <c r="T154" s="35">
        <f t="shared" si="55"/>
        <v>2.9760657249444608E-3</v>
      </c>
      <c r="U154" s="35">
        <f t="shared" si="55"/>
        <v>3.976545123677293E-3</v>
      </c>
      <c r="V154" s="35">
        <f t="shared" si="55"/>
        <v>2.3516288044379456E-3</v>
      </c>
      <c r="W154" s="35">
        <f t="shared" si="55"/>
        <v>3.5963613285381847E-3</v>
      </c>
      <c r="X154" s="35">
        <f t="shared" si="55"/>
        <v>2.816234142232984E-3</v>
      </c>
      <c r="Y154" s="35">
        <f t="shared" si="55"/>
        <v>3.1608060055314103E-3</v>
      </c>
      <c r="Z154" s="35">
        <f t="shared" si="55"/>
        <v>3.2366268463484963E-3</v>
      </c>
      <c r="AA154" s="35">
        <f t="shared" si="55"/>
        <v>2.920057443752992E-3</v>
      </c>
      <c r="AB154" s="35">
        <f t="shared" si="55"/>
        <v>3.4042553191489361E-3</v>
      </c>
      <c r="AC154" s="35">
        <f t="shared" si="55"/>
        <v>4.8769422706135875E-3</v>
      </c>
    </row>
    <row r="155" spans="1:29">
      <c r="A155" s="459" t="s">
        <v>349</v>
      </c>
      <c r="B155" s="1" t="s">
        <v>652</v>
      </c>
      <c r="C155" s="35">
        <f t="shared" si="56"/>
        <v>7.2064557943835858E-2</v>
      </c>
      <c r="D155" s="35">
        <f t="shared" si="55"/>
        <v>7.1153293068737411E-2</v>
      </c>
      <c r="E155" s="35">
        <f t="shared" si="55"/>
        <v>4.205913887978166E-2</v>
      </c>
      <c r="F155" s="35">
        <f t="shared" si="55"/>
        <v>6.0509554140127389E-2</v>
      </c>
      <c r="G155" s="35">
        <f t="shared" si="55"/>
        <v>8.1315138336957332E-2</v>
      </c>
      <c r="H155" s="35">
        <f t="shared" si="55"/>
        <v>7.0314625079336293E-2</v>
      </c>
      <c r="I155" s="35">
        <f t="shared" si="55"/>
        <v>8.0656610470275072E-2</v>
      </c>
      <c r="J155" s="35">
        <f t="shared" si="55"/>
        <v>8.0909606972317763E-2</v>
      </c>
      <c r="K155" s="35">
        <f t="shared" si="55"/>
        <v>6.7965054173660916E-2</v>
      </c>
      <c r="L155" s="35">
        <f t="shared" si="55"/>
        <v>8.7766812026623828E-2</v>
      </c>
      <c r="M155" s="35">
        <f t="shared" si="55"/>
        <v>7.8122008195151846E-2</v>
      </c>
      <c r="N155" s="35">
        <f t="shared" si="55"/>
        <v>7.4959418291788038E-2</v>
      </c>
      <c r="O155" s="35">
        <f t="shared" si="55"/>
        <v>6.6530194472876156E-2</v>
      </c>
      <c r="P155" s="35">
        <f t="shared" si="55"/>
        <v>7.9026516081512399E-2</v>
      </c>
      <c r="Q155" s="35">
        <f t="shared" si="55"/>
        <v>8.2535243206470391E-2</v>
      </c>
      <c r="R155" s="35">
        <f t="shared" si="55"/>
        <v>8.2987234693097559E-2</v>
      </c>
      <c r="S155" s="35">
        <f t="shared" si="55"/>
        <v>8.5031241510459113E-2</v>
      </c>
      <c r="T155" s="35">
        <f t="shared" si="55"/>
        <v>8.3099299995808354E-2</v>
      </c>
      <c r="U155" s="35">
        <f t="shared" si="55"/>
        <v>6.9151445710049206E-2</v>
      </c>
      <c r="V155" s="35">
        <f t="shared" si="55"/>
        <v>7.4995854500504999E-2</v>
      </c>
      <c r="W155" s="35">
        <f t="shared" si="55"/>
        <v>7.9331499894224666E-2</v>
      </c>
      <c r="X155" s="35">
        <f t="shared" si="55"/>
        <v>8.8961414960256877E-2</v>
      </c>
      <c r="Y155" s="35">
        <f t="shared" si="55"/>
        <v>8.8107467404188067E-2</v>
      </c>
      <c r="Z155" s="35">
        <f t="shared" si="55"/>
        <v>7.8620608485847107E-2</v>
      </c>
      <c r="AA155" s="35">
        <f t="shared" si="55"/>
        <v>9.0808999521302058E-2</v>
      </c>
      <c r="AB155" s="35">
        <f t="shared" si="55"/>
        <v>0.11124620060790273</v>
      </c>
      <c r="AC155" s="35">
        <f t="shared" si="55"/>
        <v>8.3588522173074747E-2</v>
      </c>
    </row>
    <row r="156" spans="1:29">
      <c r="A156" s="459" t="s">
        <v>350</v>
      </c>
      <c r="B156" s="1" t="s">
        <v>652</v>
      </c>
      <c r="C156" s="35">
        <f t="shared" si="56"/>
        <v>0.39374041529868853</v>
      </c>
      <c r="D156" s="35">
        <f t="shared" si="55"/>
        <v>0.39580097785447227</v>
      </c>
      <c r="E156" s="35">
        <f t="shared" si="55"/>
        <v>0.39316190087990571</v>
      </c>
      <c r="F156" s="35">
        <f t="shared" si="55"/>
        <v>0.40401872118802123</v>
      </c>
      <c r="G156" s="35">
        <f t="shared" si="55"/>
        <v>0.40578840818774836</v>
      </c>
      <c r="H156" s="35">
        <f t="shared" si="55"/>
        <v>0.40742587723275003</v>
      </c>
      <c r="I156" s="35">
        <f t="shared" si="55"/>
        <v>0.34587400177462291</v>
      </c>
      <c r="J156" s="35">
        <f t="shared" si="55"/>
        <v>0.4204093899221959</v>
      </c>
      <c r="K156" s="35">
        <f t="shared" si="55"/>
        <v>0.40378452617121929</v>
      </c>
      <c r="L156" s="35">
        <f t="shared" si="55"/>
        <v>0.40775763139775073</v>
      </c>
      <c r="M156" s="35">
        <f t="shared" si="55"/>
        <v>0.39045686056753343</v>
      </c>
      <c r="N156" s="35">
        <f t="shared" si="55"/>
        <v>0.42685286073247203</v>
      </c>
      <c r="O156" s="35">
        <f t="shared" si="55"/>
        <v>0.38113759321538238</v>
      </c>
      <c r="P156" s="35">
        <f t="shared" si="55"/>
        <v>0.41919346918733119</v>
      </c>
      <c r="Q156" s="35">
        <f t="shared" si="55"/>
        <v>0.40040817869156053</v>
      </c>
      <c r="R156" s="35">
        <f t="shared" si="55"/>
        <v>0.38721430937396489</v>
      </c>
      <c r="S156" s="35">
        <f t="shared" si="55"/>
        <v>0.40035107516770108</v>
      </c>
      <c r="T156" s="35">
        <f t="shared" si="55"/>
        <v>0.395313744393679</v>
      </c>
      <c r="U156" s="35">
        <f t="shared" si="55"/>
        <v>0.42977016917166544</v>
      </c>
      <c r="V156" s="35">
        <f t="shared" si="55"/>
        <v>0.36744200069342903</v>
      </c>
      <c r="W156" s="35">
        <f t="shared" si="55"/>
        <v>0.36280939284958746</v>
      </c>
      <c r="X156" s="35">
        <f t="shared" si="55"/>
        <v>0.35339790493235773</v>
      </c>
      <c r="Y156" s="35">
        <f t="shared" si="55"/>
        <v>0.41539905175819836</v>
      </c>
      <c r="Z156" s="35">
        <f t="shared" si="55"/>
        <v>0.36267875007355971</v>
      </c>
      <c r="AA156" s="35">
        <f t="shared" si="55"/>
        <v>0.38147438966012448</v>
      </c>
      <c r="AB156" s="35">
        <f t="shared" si="55"/>
        <v>0.35606079027355625</v>
      </c>
      <c r="AC156" s="35">
        <f t="shared" si="55"/>
        <v>0.35817171373483042</v>
      </c>
    </row>
    <row r="157" spans="1:29">
      <c r="A157" s="459" t="s">
        <v>351</v>
      </c>
      <c r="B157" s="1" t="s">
        <v>652</v>
      </c>
      <c r="C157" s="35">
        <f t="shared" si="56"/>
        <v>7.9488827735690687E-2</v>
      </c>
      <c r="D157" s="35">
        <f t="shared" si="55"/>
        <v>7.4201898188093182E-2</v>
      </c>
      <c r="E157" s="35">
        <f t="shared" si="55"/>
        <v>7.8101601198018664E-2</v>
      </c>
      <c r="F157" s="35">
        <f t="shared" si="55"/>
        <v>8.6708660308969981E-2</v>
      </c>
      <c r="G157" s="35">
        <f t="shared" si="55"/>
        <v>8.2402339356676915E-2</v>
      </c>
      <c r="H157" s="35">
        <f t="shared" si="55"/>
        <v>8.4731163296763085E-2</v>
      </c>
      <c r="I157" s="35">
        <f t="shared" si="55"/>
        <v>7.8793256433007983E-2</v>
      </c>
      <c r="J157" s="35">
        <f t="shared" si="55"/>
        <v>7.730323571643237E-2</v>
      </c>
      <c r="K157" s="35">
        <f t="shared" si="55"/>
        <v>7.7159316343659398E-2</v>
      </c>
      <c r="L157" s="35">
        <f t="shared" si="55"/>
        <v>7.5097544181776457E-2</v>
      </c>
      <c r="M157" s="35">
        <f t="shared" si="55"/>
        <v>7.9155975950675903E-2</v>
      </c>
      <c r="N157" s="35">
        <f t="shared" si="55"/>
        <v>7.222432234106424E-2</v>
      </c>
      <c r="O157" s="35">
        <f t="shared" si="55"/>
        <v>7.6999561339377104E-2</v>
      </c>
      <c r="P157" s="35">
        <f t="shared" si="55"/>
        <v>7.2857844340780756E-2</v>
      </c>
      <c r="Q157" s="35">
        <f t="shared" si="55"/>
        <v>8.4901167844589745E-2</v>
      </c>
      <c r="R157" s="35">
        <f t="shared" si="55"/>
        <v>8.8796595918159346E-2</v>
      </c>
      <c r="S157" s="35">
        <f t="shared" si="55"/>
        <v>7.8009738156437428E-2</v>
      </c>
      <c r="T157" s="35">
        <f t="shared" si="55"/>
        <v>7.1069287840046944E-2</v>
      </c>
      <c r="U157" s="35">
        <f t="shared" si="55"/>
        <v>6.7567567567567571E-2</v>
      </c>
      <c r="V157" s="35">
        <f t="shared" si="55"/>
        <v>8.1538206430800314E-2</v>
      </c>
      <c r="W157" s="35">
        <f t="shared" si="55"/>
        <v>7.8591072561878569E-2</v>
      </c>
      <c r="X157" s="35">
        <f t="shared" si="55"/>
        <v>8.2723587934937101E-2</v>
      </c>
      <c r="Y157" s="35">
        <f t="shared" si="55"/>
        <v>6.8154879494271042E-2</v>
      </c>
      <c r="Z157" s="35">
        <f t="shared" si="55"/>
        <v>8.3504972635791208E-2</v>
      </c>
      <c r="AA157" s="35">
        <f t="shared" si="55"/>
        <v>7.3528003829583535E-2</v>
      </c>
      <c r="AB157" s="35">
        <f t="shared" si="55"/>
        <v>8.7003039513677813E-2</v>
      </c>
      <c r="AC157" s="35">
        <f t="shared" si="55"/>
        <v>9.0847226947941478E-2</v>
      </c>
    </row>
    <row r="158" spans="1:29">
      <c r="A158" s="459" t="s">
        <v>352</v>
      </c>
      <c r="B158" s="1" t="s">
        <v>652</v>
      </c>
      <c r="C158" s="35">
        <f t="shared" si="56"/>
        <v>0.36615329855392753</v>
      </c>
      <c r="D158" s="35">
        <f t="shared" si="55"/>
        <v>0.37842968075927524</v>
      </c>
      <c r="E158" s="35">
        <f t="shared" si="55"/>
        <v>0.36388487678661624</v>
      </c>
      <c r="F158" s="35">
        <f t="shared" si="55"/>
        <v>0.3483302248653975</v>
      </c>
      <c r="G158" s="35">
        <f t="shared" si="55"/>
        <v>0.34520506860613331</v>
      </c>
      <c r="H158" s="35">
        <f t="shared" si="55"/>
        <v>0.35764801885937075</v>
      </c>
      <c r="I158" s="35">
        <f t="shared" si="55"/>
        <v>0.4251109139307897</v>
      </c>
      <c r="J158" s="35">
        <f t="shared" si="55"/>
        <v>0.33889872107389724</v>
      </c>
      <c r="K158" s="35">
        <f t="shared" si="55"/>
        <v>0.35264382725469251</v>
      </c>
      <c r="L158" s="35">
        <f t="shared" si="55"/>
        <v>0.35749368831764977</v>
      </c>
      <c r="M158" s="35">
        <f t="shared" si="55"/>
        <v>0.3807299046451959</v>
      </c>
      <c r="N158" s="35">
        <f t="shared" si="55"/>
        <v>0.34270974628093659</v>
      </c>
      <c r="O158" s="35">
        <f t="shared" si="55"/>
        <v>0.35835648486620852</v>
      </c>
      <c r="P158" s="35">
        <f t="shared" si="55"/>
        <v>0.3524122268598085</v>
      </c>
      <c r="Q158" s="35">
        <f t="shared" si="55"/>
        <v>0.35296874409463697</v>
      </c>
      <c r="R158" s="35">
        <f t="shared" si="55"/>
        <v>0.36807908884755525</v>
      </c>
      <c r="S158" s="35">
        <f t="shared" si="55"/>
        <v>0.35836833636344639</v>
      </c>
      <c r="T158" s="35">
        <f t="shared" si="55"/>
        <v>0.37240642159533888</v>
      </c>
      <c r="U158" s="35">
        <f t="shared" si="55"/>
        <v>0.34454404529217497</v>
      </c>
      <c r="V158" s="35">
        <f t="shared" si="55"/>
        <v>0.39926436227143225</v>
      </c>
      <c r="W158" s="35">
        <f t="shared" si="55"/>
        <v>0.42384176010154434</v>
      </c>
      <c r="X158" s="35">
        <f t="shared" si="55"/>
        <v>0.40466915828815075</v>
      </c>
      <c r="Y158" s="35">
        <f t="shared" si="55"/>
        <v>0.37248123271434214</v>
      </c>
      <c r="Z158" s="35">
        <f t="shared" si="55"/>
        <v>0.41328782439828166</v>
      </c>
      <c r="AA158" s="35">
        <f t="shared" si="55"/>
        <v>0.3844901866921972</v>
      </c>
      <c r="AB158" s="35">
        <f t="shared" si="55"/>
        <v>0.38730699088145898</v>
      </c>
      <c r="AC158" s="35">
        <f t="shared" si="55"/>
        <v>0.39401156856073494</v>
      </c>
    </row>
    <row r="159" spans="1:29">
      <c r="A159" s="459" t="s">
        <v>353</v>
      </c>
      <c r="B159" s="1" t="s">
        <v>652</v>
      </c>
      <c r="C159" s="35">
        <f t="shared" si="56"/>
        <v>8.4995271842493919E-2</v>
      </c>
      <c r="D159" s="35">
        <f t="shared" si="55"/>
        <v>7.650273224043716E-2</v>
      </c>
      <c r="E159" s="35">
        <f t="shared" si="55"/>
        <v>0.11988604644980638</v>
      </c>
      <c r="F159" s="35">
        <f t="shared" si="55"/>
        <v>9.6034064116549953E-2</v>
      </c>
      <c r="G159" s="35">
        <f t="shared" si="55"/>
        <v>7.9665591962210389E-2</v>
      </c>
      <c r="H159" s="35">
        <f t="shared" si="55"/>
        <v>7.5709493154411098E-2</v>
      </c>
      <c r="I159" s="35">
        <f t="shared" si="55"/>
        <v>6.4685004436557225E-2</v>
      </c>
      <c r="J159" s="35">
        <f t="shared" si="55"/>
        <v>7.6802350819781609E-2</v>
      </c>
      <c r="K159" s="35">
        <f t="shared" si="55"/>
        <v>9.5414314054631466E-2</v>
      </c>
      <c r="L159" s="35">
        <f t="shared" si="55"/>
        <v>6.8028459949506542E-2</v>
      </c>
      <c r="M159" s="35">
        <f t="shared" si="55"/>
        <v>6.7054723700838662E-2</v>
      </c>
      <c r="N159" s="35">
        <f t="shared" si="55"/>
        <v>7.9651330857663821E-2</v>
      </c>
      <c r="O159" s="35">
        <f t="shared" si="55"/>
        <v>0.11273578008480772</v>
      </c>
      <c r="P159" s="35">
        <f t="shared" si="55"/>
        <v>7.2827154431622881E-2</v>
      </c>
      <c r="Q159" s="35">
        <f t="shared" si="55"/>
        <v>7.4991496277259151E-2</v>
      </c>
      <c r="R159" s="35">
        <f t="shared" si="55"/>
        <v>7.0400285372130347E-2</v>
      </c>
      <c r="S159" s="35">
        <f t="shared" si="55"/>
        <v>7.5418469061500848E-2</v>
      </c>
      <c r="T159" s="35">
        <f t="shared" si="55"/>
        <v>7.4988472984868174E-2</v>
      </c>
      <c r="U159" s="35">
        <f t="shared" si="55"/>
        <v>8.4889128530026281E-2</v>
      </c>
      <c r="V159" s="35">
        <f t="shared" si="55"/>
        <v>7.4227052775977201E-2</v>
      </c>
      <c r="W159" s="35">
        <f t="shared" si="55"/>
        <v>5.1829913264226785E-2</v>
      </c>
      <c r="X159" s="35">
        <f t="shared" si="55"/>
        <v>6.7352739906301001E-2</v>
      </c>
      <c r="Y159" s="35">
        <f t="shared" si="55"/>
        <v>5.2696562623468987E-2</v>
      </c>
      <c r="Z159" s="35">
        <f t="shared" si="55"/>
        <v>5.8553522038486433E-2</v>
      </c>
      <c r="AA159" s="35">
        <f t="shared" si="55"/>
        <v>6.6682623264719965E-2</v>
      </c>
      <c r="AB159" s="35">
        <f t="shared" si="55"/>
        <v>5.488145896656535E-2</v>
      </c>
      <c r="AC159" s="35">
        <f t="shared" si="55"/>
        <v>6.8220483157536579E-2</v>
      </c>
    </row>
    <row r="160" spans="1:29">
      <c r="A160" s="458" t="s">
        <v>16</v>
      </c>
      <c r="B160" s="458" t="s">
        <v>652</v>
      </c>
      <c r="C160" s="403">
        <f t="shared" ref="C160:AC160" si="57">SUM(C153:C159)</f>
        <v>1</v>
      </c>
      <c r="D160" s="403">
        <f t="shared" si="57"/>
        <v>0.99999999999999989</v>
      </c>
      <c r="E160" s="403">
        <f t="shared" si="57"/>
        <v>1</v>
      </c>
      <c r="F160" s="403">
        <f t="shared" si="57"/>
        <v>0.99999999999999989</v>
      </c>
      <c r="G160" s="403">
        <f t="shared" si="57"/>
        <v>1</v>
      </c>
      <c r="H160" s="403">
        <f t="shared" si="57"/>
        <v>1</v>
      </c>
      <c r="I160" s="403">
        <f t="shared" si="57"/>
        <v>1</v>
      </c>
      <c r="J160" s="403">
        <f t="shared" si="57"/>
        <v>1.0000000000000002</v>
      </c>
      <c r="K160" s="403">
        <f t="shared" si="57"/>
        <v>1</v>
      </c>
      <c r="L160" s="403">
        <f t="shared" si="57"/>
        <v>1</v>
      </c>
      <c r="M160" s="403">
        <f t="shared" si="57"/>
        <v>1.0000000000000002</v>
      </c>
      <c r="N160" s="403">
        <f t="shared" si="57"/>
        <v>1</v>
      </c>
      <c r="O160" s="403">
        <f t="shared" si="57"/>
        <v>1</v>
      </c>
      <c r="P160" s="403">
        <f t="shared" si="57"/>
        <v>1</v>
      </c>
      <c r="Q160" s="403">
        <f t="shared" si="57"/>
        <v>1</v>
      </c>
      <c r="R160" s="403">
        <f t="shared" si="57"/>
        <v>1</v>
      </c>
      <c r="S160" s="403">
        <f t="shared" si="57"/>
        <v>1</v>
      </c>
      <c r="T160" s="403">
        <f t="shared" si="57"/>
        <v>1</v>
      </c>
      <c r="U160" s="403">
        <f t="shared" si="57"/>
        <v>1</v>
      </c>
      <c r="V160" s="403">
        <f t="shared" si="57"/>
        <v>1</v>
      </c>
      <c r="W160" s="403">
        <f t="shared" si="57"/>
        <v>1</v>
      </c>
      <c r="X160" s="403">
        <f t="shared" si="57"/>
        <v>0.99999999999999989</v>
      </c>
      <c r="Y160" s="403">
        <f t="shared" si="57"/>
        <v>1</v>
      </c>
      <c r="Z160" s="403">
        <f t="shared" si="57"/>
        <v>0.99999999999999989</v>
      </c>
      <c r="AA160" s="403">
        <f t="shared" si="57"/>
        <v>1</v>
      </c>
      <c r="AB160" s="403">
        <f t="shared" si="57"/>
        <v>1</v>
      </c>
      <c r="AC160" s="403">
        <f t="shared" si="57"/>
        <v>1</v>
      </c>
    </row>
    <row r="161" spans="1:29">
      <c r="A161" s="459"/>
      <c r="C161" s="459"/>
      <c r="D161" s="459"/>
      <c r="E161" s="459"/>
      <c r="F161" s="459"/>
      <c r="G161" s="459"/>
      <c r="H161" s="459"/>
      <c r="I161" s="459"/>
      <c r="J161" s="459"/>
      <c r="K161" s="459"/>
      <c r="L161" s="459"/>
      <c r="M161" s="459"/>
      <c r="N161" s="459"/>
      <c r="O161" s="459"/>
      <c r="P161" s="459"/>
      <c r="Q161" s="459"/>
      <c r="R161" s="459"/>
      <c r="S161" s="459"/>
      <c r="T161" s="459"/>
      <c r="U161" s="459"/>
      <c r="V161" s="459"/>
      <c r="W161" s="459"/>
      <c r="X161" s="459"/>
      <c r="Y161" s="459"/>
      <c r="Z161" s="459"/>
      <c r="AA161" s="459"/>
      <c r="AB161" s="459"/>
      <c r="AC161" s="459"/>
    </row>
    <row r="162" spans="1:29">
      <c r="A162" s="459"/>
      <c r="C162" s="459"/>
      <c r="D162" s="459"/>
      <c r="E162" s="459"/>
      <c r="F162" s="459"/>
      <c r="G162" s="459"/>
      <c r="H162" s="459"/>
      <c r="I162" s="459"/>
      <c r="J162" s="459"/>
      <c r="K162" s="459"/>
      <c r="L162" s="459"/>
      <c r="M162" s="459"/>
      <c r="N162" s="459"/>
      <c r="O162" s="459"/>
      <c r="P162" s="459"/>
      <c r="Q162" s="459"/>
      <c r="R162" s="459"/>
      <c r="S162" s="459"/>
      <c r="T162" s="459"/>
      <c r="U162" s="459"/>
      <c r="V162" s="459"/>
      <c r="W162" s="459"/>
      <c r="X162" s="459"/>
      <c r="Y162" s="459"/>
      <c r="Z162" s="459"/>
      <c r="AA162" s="459"/>
      <c r="AB162" s="459"/>
      <c r="AC162" s="459"/>
    </row>
    <row r="163" spans="1:29">
      <c r="A163" s="459"/>
      <c r="C163" s="459"/>
      <c r="D163" s="459"/>
      <c r="E163" s="459"/>
      <c r="F163" s="459"/>
      <c r="G163" s="459"/>
      <c r="H163" s="459"/>
      <c r="I163" s="459"/>
      <c r="J163" s="459"/>
      <c r="K163" s="459"/>
      <c r="L163" s="459"/>
      <c r="M163" s="459"/>
      <c r="N163" s="459"/>
      <c r="O163" s="459"/>
      <c r="P163" s="459"/>
      <c r="Q163" s="459"/>
      <c r="R163" s="459"/>
      <c r="S163" s="459"/>
      <c r="T163" s="459"/>
      <c r="U163" s="459"/>
      <c r="V163" s="459"/>
      <c r="W163" s="459"/>
      <c r="X163" s="459"/>
      <c r="Y163" s="459"/>
      <c r="Z163" s="459"/>
      <c r="AA163" s="459"/>
      <c r="AB163" s="459"/>
      <c r="AC163" s="459"/>
    </row>
    <row r="164" spans="1:29" ht="15.6">
      <c r="A164" s="425" t="s">
        <v>656</v>
      </c>
      <c r="C164" s="459"/>
      <c r="D164" s="459"/>
      <c r="E164" s="459"/>
      <c r="F164" s="459"/>
      <c r="G164" s="459"/>
      <c r="H164" s="459"/>
      <c r="I164" s="459"/>
      <c r="J164" s="459"/>
      <c r="K164" s="459"/>
      <c r="L164" s="459"/>
      <c r="M164" s="459"/>
      <c r="N164" s="459"/>
      <c r="O164" s="459"/>
      <c r="P164" s="459"/>
      <c r="Q164" s="459"/>
      <c r="R164" s="459"/>
      <c r="S164" s="459"/>
      <c r="T164" s="459"/>
      <c r="U164" s="459"/>
      <c r="V164" s="459"/>
      <c r="W164" s="459"/>
      <c r="X164" s="459"/>
      <c r="Y164" s="459"/>
      <c r="Z164" s="459"/>
      <c r="AA164" s="459"/>
      <c r="AB164" s="459"/>
      <c r="AC164" s="459"/>
    </row>
    <row r="165" spans="1:29">
      <c r="A165" s="131" t="s">
        <v>648</v>
      </c>
      <c r="B165" s="131" t="s">
        <v>64</v>
      </c>
      <c r="C165" s="131" t="str">
        <f>C152</f>
        <v>IE</v>
      </c>
      <c r="D165" s="131" t="str">
        <f t="shared" ref="D165:AC165" si="58">D152</f>
        <v>IE-CW</v>
      </c>
      <c r="E165" s="131" t="str">
        <f t="shared" si="58"/>
        <v>IE-D</v>
      </c>
      <c r="F165" s="131" t="str">
        <f t="shared" si="58"/>
        <v>IE-KE</v>
      </c>
      <c r="G165" s="131" t="str">
        <f t="shared" si="58"/>
        <v>IE-KK</v>
      </c>
      <c r="H165" s="131" t="str">
        <f t="shared" si="58"/>
        <v>IE-LS</v>
      </c>
      <c r="I165" s="131" t="str">
        <f t="shared" si="58"/>
        <v>IE-LD</v>
      </c>
      <c r="J165" s="131" t="str">
        <f t="shared" si="58"/>
        <v>IE-LH</v>
      </c>
      <c r="K165" s="131" t="str">
        <f t="shared" si="58"/>
        <v>IE-MH</v>
      </c>
      <c r="L165" s="131" t="str">
        <f t="shared" si="58"/>
        <v>IE-OY</v>
      </c>
      <c r="M165" s="131" t="str">
        <f t="shared" si="58"/>
        <v>IE-WH</v>
      </c>
      <c r="N165" s="131" t="str">
        <f t="shared" si="58"/>
        <v>IE-WX</v>
      </c>
      <c r="O165" s="131" t="str">
        <f t="shared" si="58"/>
        <v>IE-WW</v>
      </c>
      <c r="P165" s="131" t="str">
        <f t="shared" si="58"/>
        <v>IE-CE</v>
      </c>
      <c r="Q165" s="131" t="str">
        <f t="shared" si="58"/>
        <v>IE-CO</v>
      </c>
      <c r="R165" s="131" t="str">
        <f t="shared" si="58"/>
        <v>IE-KY</v>
      </c>
      <c r="S165" s="131" t="str">
        <f t="shared" si="58"/>
        <v>IE-LK</v>
      </c>
      <c r="T165" s="131" t="str">
        <f t="shared" si="58"/>
        <v>IE-TA</v>
      </c>
      <c r="U165" s="131" t="str">
        <f t="shared" si="58"/>
        <v>IE-WD</v>
      </c>
      <c r="V165" s="131" t="str">
        <f t="shared" si="58"/>
        <v>IE-G</v>
      </c>
      <c r="W165" s="131" t="str">
        <f t="shared" si="58"/>
        <v>IE-LM</v>
      </c>
      <c r="X165" s="131" t="str">
        <f t="shared" si="58"/>
        <v>IE-MO</v>
      </c>
      <c r="Y165" s="131" t="str">
        <f t="shared" si="58"/>
        <v>IE-RN</v>
      </c>
      <c r="Z165" s="131" t="str">
        <f t="shared" si="58"/>
        <v>IE-SO</v>
      </c>
      <c r="AA165" s="131" t="str">
        <f t="shared" si="58"/>
        <v>IE-CN</v>
      </c>
      <c r="AB165" s="131" t="str">
        <f t="shared" si="58"/>
        <v>IE-DL</v>
      </c>
      <c r="AC165" s="131" t="str">
        <f t="shared" si="58"/>
        <v>IE-MN</v>
      </c>
    </row>
    <row r="166" spans="1:29">
      <c r="A166" s="459" t="s">
        <v>347</v>
      </c>
      <c r="B166" s="459" t="s">
        <v>653</v>
      </c>
      <c r="C166" s="505">
        <v>1.376629219195896</v>
      </c>
      <c r="D166" s="505">
        <v>1.376629219195896</v>
      </c>
      <c r="E166" s="505">
        <v>1.376629219195896</v>
      </c>
      <c r="F166" s="505">
        <v>1.376629219195896</v>
      </c>
      <c r="G166" s="505">
        <v>1.376629219195896</v>
      </c>
      <c r="H166" s="505">
        <v>1.376629219195896</v>
      </c>
      <c r="I166" s="505">
        <v>1.376629219195896</v>
      </c>
      <c r="J166" s="505">
        <v>1.376629219195896</v>
      </c>
      <c r="K166" s="505">
        <v>1.376629219195896</v>
      </c>
      <c r="L166" s="505">
        <v>1.376629219195896</v>
      </c>
      <c r="M166" s="505">
        <v>1.376629219195896</v>
      </c>
      <c r="N166" s="505">
        <v>1.376629219195896</v>
      </c>
      <c r="O166" s="505">
        <v>1.376629219195896</v>
      </c>
      <c r="P166" s="505">
        <v>1.376629219195896</v>
      </c>
      <c r="Q166" s="505">
        <v>1.376629219195896</v>
      </c>
      <c r="R166" s="505">
        <v>1.376629219195896</v>
      </c>
      <c r="S166" s="505">
        <v>1.376629219195896</v>
      </c>
      <c r="T166" s="505">
        <v>1.376629219195896</v>
      </c>
      <c r="U166" s="505">
        <v>1.376629219195896</v>
      </c>
      <c r="V166" s="505">
        <v>1.376629219195896</v>
      </c>
      <c r="W166" s="505">
        <v>1.376629219195896</v>
      </c>
      <c r="X166" s="505">
        <v>1.376629219195896</v>
      </c>
      <c r="Y166" s="505">
        <v>1.376629219195896</v>
      </c>
      <c r="Z166" s="505">
        <v>1.376629219195896</v>
      </c>
      <c r="AA166" s="505">
        <v>1.376629219195896</v>
      </c>
      <c r="AB166" s="505">
        <v>1.376629219195896</v>
      </c>
      <c r="AC166" s="505">
        <v>1.376629219195896</v>
      </c>
    </row>
    <row r="167" spans="1:29">
      <c r="A167" s="459" t="s">
        <v>348</v>
      </c>
      <c r="B167" s="459" t="s">
        <v>653</v>
      </c>
      <c r="C167" s="505">
        <v>1.3798479828493471</v>
      </c>
      <c r="D167" s="505">
        <v>1.3798479828493471</v>
      </c>
      <c r="E167" s="505">
        <v>1.3798479828493471</v>
      </c>
      <c r="F167" s="505">
        <v>1.3798479828493471</v>
      </c>
      <c r="G167" s="505">
        <v>1.3798479828493471</v>
      </c>
      <c r="H167" s="505">
        <v>1.3798479828493471</v>
      </c>
      <c r="I167" s="505">
        <v>1.3798479828493471</v>
      </c>
      <c r="J167" s="505">
        <v>1.3798479828493471</v>
      </c>
      <c r="K167" s="505">
        <v>1.3798479828493471</v>
      </c>
      <c r="L167" s="505">
        <v>1.3798479828493471</v>
      </c>
      <c r="M167" s="505">
        <v>1.3798479828493471</v>
      </c>
      <c r="N167" s="505">
        <v>1.3798479828493471</v>
      </c>
      <c r="O167" s="505">
        <v>1.3798479828493471</v>
      </c>
      <c r="P167" s="505">
        <v>1.3798479828493471</v>
      </c>
      <c r="Q167" s="505">
        <v>1.3798479828493471</v>
      </c>
      <c r="R167" s="505">
        <v>1.3798479828493471</v>
      </c>
      <c r="S167" s="505">
        <v>1.3798479828493471</v>
      </c>
      <c r="T167" s="505">
        <v>1.3798479828493471</v>
      </c>
      <c r="U167" s="505">
        <v>1.3798479828493471</v>
      </c>
      <c r="V167" s="505">
        <v>1.3798479828493471</v>
      </c>
      <c r="W167" s="505">
        <v>1.3798479828493471</v>
      </c>
      <c r="X167" s="505">
        <v>1.3798479828493471</v>
      </c>
      <c r="Y167" s="505">
        <v>1.3798479828493471</v>
      </c>
      <c r="Z167" s="505">
        <v>1.3798479828493471</v>
      </c>
      <c r="AA167" s="505">
        <v>1.3798479828493471</v>
      </c>
      <c r="AB167" s="505">
        <v>1.3798479828493471</v>
      </c>
      <c r="AC167" s="505">
        <v>1.3798479828493471</v>
      </c>
    </row>
    <row r="168" spans="1:29">
      <c r="A168" s="459" t="s">
        <v>349</v>
      </c>
      <c r="B168" s="459" t="s">
        <v>653</v>
      </c>
      <c r="C168" s="505">
        <v>1.4199749047648353</v>
      </c>
      <c r="D168" s="505">
        <v>1.4199749047648353</v>
      </c>
      <c r="E168" s="505">
        <v>1.4199749047648353</v>
      </c>
      <c r="F168" s="505">
        <v>1.4199749047648353</v>
      </c>
      <c r="G168" s="505">
        <v>1.4199749047648353</v>
      </c>
      <c r="H168" s="505">
        <v>1.4199749047648353</v>
      </c>
      <c r="I168" s="505">
        <v>1.4199749047648353</v>
      </c>
      <c r="J168" s="505">
        <v>1.4199749047648353</v>
      </c>
      <c r="K168" s="505">
        <v>1.4199749047648353</v>
      </c>
      <c r="L168" s="505">
        <v>1.4199749047648353</v>
      </c>
      <c r="M168" s="505">
        <v>1.4199749047648353</v>
      </c>
      <c r="N168" s="505">
        <v>1.4199749047648353</v>
      </c>
      <c r="O168" s="505">
        <v>1.4199749047648353</v>
      </c>
      <c r="P168" s="505">
        <v>1.4199749047648353</v>
      </c>
      <c r="Q168" s="505">
        <v>1.4199749047648353</v>
      </c>
      <c r="R168" s="505">
        <v>1.4199749047648353</v>
      </c>
      <c r="S168" s="505">
        <v>1.4199749047648353</v>
      </c>
      <c r="T168" s="505">
        <v>1.4199749047648353</v>
      </c>
      <c r="U168" s="505">
        <v>1.4199749047648353</v>
      </c>
      <c r="V168" s="505">
        <v>1.4199749047648353</v>
      </c>
      <c r="W168" s="505">
        <v>1.4199749047648353</v>
      </c>
      <c r="X168" s="505">
        <v>1.4199749047648353</v>
      </c>
      <c r="Y168" s="505">
        <v>1.4199749047648353</v>
      </c>
      <c r="Z168" s="505">
        <v>1.4199749047648353</v>
      </c>
      <c r="AA168" s="505">
        <v>1.4199749047648353</v>
      </c>
      <c r="AB168" s="505">
        <v>1.4199749047648353</v>
      </c>
      <c r="AC168" s="505">
        <v>1.4199749047648353</v>
      </c>
    </row>
    <row r="169" spans="1:29">
      <c r="A169" s="459" t="s">
        <v>350</v>
      </c>
      <c r="B169" s="459" t="s">
        <v>653</v>
      </c>
      <c r="C169" s="505">
        <v>1.4290054727038648</v>
      </c>
      <c r="D169" s="505">
        <v>1.4290054727038648</v>
      </c>
      <c r="E169" s="505">
        <v>1.4290054727038648</v>
      </c>
      <c r="F169" s="505">
        <v>1.4290054727038648</v>
      </c>
      <c r="G169" s="505">
        <v>1.4290054727038648</v>
      </c>
      <c r="H169" s="505">
        <v>1.4290054727038648</v>
      </c>
      <c r="I169" s="505">
        <v>1.4290054727038648</v>
      </c>
      <c r="J169" s="505">
        <v>1.4290054727038648</v>
      </c>
      <c r="K169" s="505">
        <v>1.4290054727038648</v>
      </c>
      <c r="L169" s="505">
        <v>1.4290054727038648</v>
      </c>
      <c r="M169" s="505">
        <v>1.4290054727038648</v>
      </c>
      <c r="N169" s="505">
        <v>1.4290054727038648</v>
      </c>
      <c r="O169" s="505">
        <v>1.4290054727038648</v>
      </c>
      <c r="P169" s="505">
        <v>1.4290054727038648</v>
      </c>
      <c r="Q169" s="505">
        <v>1.4290054727038648</v>
      </c>
      <c r="R169" s="505">
        <v>1.4290054727038648</v>
      </c>
      <c r="S169" s="505">
        <v>1.4290054727038648</v>
      </c>
      <c r="T169" s="505">
        <v>1.4290054727038648</v>
      </c>
      <c r="U169" s="505">
        <v>1.4290054727038648</v>
      </c>
      <c r="V169" s="505">
        <v>1.4290054727038648</v>
      </c>
      <c r="W169" s="505">
        <v>1.4290054727038648</v>
      </c>
      <c r="X169" s="505">
        <v>1.4290054727038648</v>
      </c>
      <c r="Y169" s="505">
        <v>1.4290054727038648</v>
      </c>
      <c r="Z169" s="505">
        <v>1.4290054727038648</v>
      </c>
      <c r="AA169" s="505">
        <v>1.4290054727038648</v>
      </c>
      <c r="AB169" s="505">
        <v>1.4290054727038648</v>
      </c>
      <c r="AC169" s="505">
        <v>1.4290054727038648</v>
      </c>
    </row>
    <row r="170" spans="1:29">
      <c r="A170" s="459" t="s">
        <v>351</v>
      </c>
      <c r="B170" s="459" t="s">
        <v>653</v>
      </c>
      <c r="C170" s="505">
        <v>1.6214274500716734</v>
      </c>
      <c r="D170" s="505">
        <v>1.6214274500716734</v>
      </c>
      <c r="E170" s="505">
        <v>1.6214274500716734</v>
      </c>
      <c r="F170" s="505">
        <v>1.6214274500716734</v>
      </c>
      <c r="G170" s="505">
        <v>1.6214274500716734</v>
      </c>
      <c r="H170" s="505">
        <v>1.6214274500716734</v>
      </c>
      <c r="I170" s="505">
        <v>1.6214274500716734</v>
      </c>
      <c r="J170" s="505">
        <v>1.6214274500716734</v>
      </c>
      <c r="K170" s="505">
        <v>1.6214274500716734</v>
      </c>
      <c r="L170" s="505">
        <v>1.6214274500716734</v>
      </c>
      <c r="M170" s="505">
        <v>1.6214274500716734</v>
      </c>
      <c r="N170" s="505">
        <v>1.6214274500716734</v>
      </c>
      <c r="O170" s="505">
        <v>1.6214274500716734</v>
      </c>
      <c r="P170" s="505">
        <v>1.6214274500716734</v>
      </c>
      <c r="Q170" s="505">
        <v>1.6214274500716734</v>
      </c>
      <c r="R170" s="505">
        <v>1.6214274500716734</v>
      </c>
      <c r="S170" s="505">
        <v>1.6214274500716734</v>
      </c>
      <c r="T170" s="505">
        <v>1.6214274500716734</v>
      </c>
      <c r="U170" s="505">
        <v>1.6214274500716734</v>
      </c>
      <c r="V170" s="505">
        <v>1.6214274500716734</v>
      </c>
      <c r="W170" s="505">
        <v>1.6214274500716734</v>
      </c>
      <c r="X170" s="505">
        <v>1.6214274500716734</v>
      </c>
      <c r="Y170" s="505">
        <v>1.6214274500716734</v>
      </c>
      <c r="Z170" s="505">
        <v>1.6214274500716734</v>
      </c>
      <c r="AA170" s="505">
        <v>1.6214274500716734</v>
      </c>
      <c r="AB170" s="505">
        <v>1.6214274500716734</v>
      </c>
      <c r="AC170" s="505">
        <v>1.6214274500716734</v>
      </c>
    </row>
    <row r="171" spans="1:29">
      <c r="A171" s="459" t="s">
        <v>352</v>
      </c>
      <c r="B171" s="459" t="s">
        <v>653</v>
      </c>
      <c r="C171" s="505">
        <v>1.7083807871715502</v>
      </c>
      <c r="D171" s="505">
        <v>1.7083807871715502</v>
      </c>
      <c r="E171" s="505">
        <v>1.7083807871715502</v>
      </c>
      <c r="F171" s="505">
        <v>1.7083807871715502</v>
      </c>
      <c r="G171" s="505">
        <v>1.7083807871715502</v>
      </c>
      <c r="H171" s="505">
        <v>1.7083807871715502</v>
      </c>
      <c r="I171" s="505">
        <v>1.7083807871715502</v>
      </c>
      <c r="J171" s="505">
        <v>1.7083807871715502</v>
      </c>
      <c r="K171" s="505">
        <v>1.7083807871715502</v>
      </c>
      <c r="L171" s="505">
        <v>1.7083807871715502</v>
      </c>
      <c r="M171" s="505">
        <v>1.7083807871715502</v>
      </c>
      <c r="N171" s="505">
        <v>1.7083807871715502</v>
      </c>
      <c r="O171" s="505">
        <v>1.7083807871715502</v>
      </c>
      <c r="P171" s="505">
        <v>1.7083807871715502</v>
      </c>
      <c r="Q171" s="505">
        <v>1.7083807871715502</v>
      </c>
      <c r="R171" s="505">
        <v>1.7083807871715502</v>
      </c>
      <c r="S171" s="505">
        <v>1.7083807871715502</v>
      </c>
      <c r="T171" s="505">
        <v>1.7083807871715502</v>
      </c>
      <c r="U171" s="505">
        <v>1.7083807871715502</v>
      </c>
      <c r="V171" s="505">
        <v>1.7083807871715502</v>
      </c>
      <c r="W171" s="505">
        <v>1.7083807871715502</v>
      </c>
      <c r="X171" s="505">
        <v>1.7083807871715502</v>
      </c>
      <c r="Y171" s="505">
        <v>1.7083807871715502</v>
      </c>
      <c r="Z171" s="505">
        <v>1.7083807871715502</v>
      </c>
      <c r="AA171" s="505">
        <v>1.7083807871715502</v>
      </c>
      <c r="AB171" s="505">
        <v>1.7083807871715502</v>
      </c>
      <c r="AC171" s="505">
        <v>1.7083807871715502</v>
      </c>
    </row>
    <row r="172" spans="1:29">
      <c r="A172" s="458" t="s">
        <v>353</v>
      </c>
      <c r="B172" s="458" t="s">
        <v>653</v>
      </c>
      <c r="C172" s="506">
        <v>1.8833978763305677</v>
      </c>
      <c r="D172" s="506">
        <v>1.8833978763305677</v>
      </c>
      <c r="E172" s="506">
        <v>1.8833978763305677</v>
      </c>
      <c r="F172" s="506">
        <v>1.8833978763305677</v>
      </c>
      <c r="G172" s="506">
        <v>1.8833978763305677</v>
      </c>
      <c r="H172" s="506">
        <v>1.8833978763305677</v>
      </c>
      <c r="I172" s="506">
        <v>1.8833978763305677</v>
      </c>
      <c r="J172" s="506">
        <v>1.8833978763305677</v>
      </c>
      <c r="K172" s="506">
        <v>1.8833978763305677</v>
      </c>
      <c r="L172" s="506">
        <v>1.8833978763305677</v>
      </c>
      <c r="M172" s="506">
        <v>1.8833978763305677</v>
      </c>
      <c r="N172" s="506">
        <v>1.8833978763305677</v>
      </c>
      <c r="O172" s="506">
        <v>1.8833978763305677</v>
      </c>
      <c r="P172" s="506">
        <v>1.8833978763305677</v>
      </c>
      <c r="Q172" s="506">
        <v>1.8833978763305677</v>
      </c>
      <c r="R172" s="506">
        <v>1.8833978763305677</v>
      </c>
      <c r="S172" s="506">
        <v>1.8833978763305677</v>
      </c>
      <c r="T172" s="506">
        <v>1.8833978763305677</v>
      </c>
      <c r="U172" s="506">
        <v>1.8833978763305677</v>
      </c>
      <c r="V172" s="506">
        <v>1.8833978763305677</v>
      </c>
      <c r="W172" s="506">
        <v>1.8833978763305677</v>
      </c>
      <c r="X172" s="506">
        <v>1.8833978763305677</v>
      </c>
      <c r="Y172" s="506">
        <v>1.8833978763305677</v>
      </c>
      <c r="Z172" s="506">
        <v>1.8833978763305677</v>
      </c>
      <c r="AA172" s="506">
        <v>1.8833978763305677</v>
      </c>
      <c r="AB172" s="506">
        <v>1.8833978763305677</v>
      </c>
      <c r="AC172" s="506">
        <v>1.8833978763305677</v>
      </c>
    </row>
    <row r="173" spans="1:29">
      <c r="A173" s="510" t="s">
        <v>657</v>
      </c>
      <c r="C173" s="459"/>
      <c r="D173" s="459"/>
      <c r="E173" s="459"/>
      <c r="F173" s="459"/>
      <c r="G173" s="459"/>
      <c r="H173" s="459"/>
      <c r="I173" s="459"/>
      <c r="J173" s="459"/>
      <c r="K173" s="459"/>
      <c r="L173" s="459"/>
      <c r="M173" s="459"/>
      <c r="N173" s="459"/>
      <c r="O173" s="459"/>
      <c r="P173" s="459"/>
      <c r="Q173" s="459"/>
      <c r="R173" s="459"/>
      <c r="S173" s="459"/>
      <c r="T173" s="459"/>
      <c r="U173" s="459"/>
      <c r="V173" s="459"/>
      <c r="W173" s="459"/>
      <c r="X173" s="459"/>
      <c r="Y173" s="459"/>
      <c r="Z173" s="459"/>
      <c r="AA173" s="459"/>
      <c r="AB173" s="459"/>
      <c r="AC173" s="459"/>
    </row>
    <row r="174" spans="1:29">
      <c r="A174" s="459"/>
      <c r="C174" s="459"/>
      <c r="D174" s="459"/>
      <c r="E174" s="459"/>
      <c r="F174" s="459"/>
      <c r="G174" s="459"/>
      <c r="H174" s="459"/>
      <c r="I174" s="459"/>
      <c r="J174" s="459"/>
      <c r="K174" s="459"/>
      <c r="L174" s="459"/>
      <c r="M174" s="459"/>
      <c r="N174" s="459"/>
      <c r="O174" s="459"/>
      <c r="P174" s="459"/>
      <c r="Q174" s="459"/>
      <c r="R174" s="459"/>
      <c r="S174" s="459"/>
      <c r="T174" s="459"/>
      <c r="U174" s="459"/>
      <c r="V174" s="459"/>
      <c r="W174" s="459"/>
      <c r="X174" s="459"/>
      <c r="Y174" s="459"/>
      <c r="Z174" s="459"/>
      <c r="AA174" s="459"/>
      <c r="AB174" s="459"/>
      <c r="AC174" s="459"/>
    </row>
    <row r="175" spans="1:29">
      <c r="A175" s="459"/>
      <c r="C175" s="459"/>
      <c r="D175" s="459"/>
      <c r="E175" s="459"/>
      <c r="F175" s="459"/>
      <c r="G175" s="459"/>
      <c r="H175" s="459"/>
      <c r="I175" s="459"/>
      <c r="J175" s="459"/>
      <c r="K175" s="459"/>
      <c r="L175" s="459"/>
      <c r="M175" s="459"/>
      <c r="N175" s="459"/>
      <c r="O175" s="459"/>
      <c r="P175" s="459"/>
      <c r="Q175" s="459"/>
      <c r="R175" s="459"/>
      <c r="S175" s="459"/>
      <c r="T175" s="459"/>
      <c r="U175" s="459"/>
      <c r="V175" s="459"/>
      <c r="W175" s="459"/>
      <c r="X175" s="459"/>
      <c r="Y175" s="459"/>
      <c r="Z175" s="459"/>
      <c r="AA175" s="459"/>
      <c r="AB175" s="459"/>
      <c r="AC175" s="459"/>
    </row>
    <row r="176" spans="1:29" ht="15.6">
      <c r="A176" s="425" t="s">
        <v>656</v>
      </c>
      <c r="C176" s="459"/>
      <c r="D176" s="459"/>
      <c r="E176" s="459"/>
      <c r="F176" s="459"/>
      <c r="G176" s="459"/>
      <c r="H176" s="459"/>
      <c r="I176" s="459"/>
      <c r="J176" s="459"/>
      <c r="K176" s="459"/>
      <c r="L176" s="459"/>
      <c r="M176" s="459"/>
      <c r="N176" s="459"/>
      <c r="O176" s="459"/>
      <c r="P176" s="459"/>
      <c r="Q176" s="459"/>
      <c r="R176" s="459"/>
      <c r="S176" s="459"/>
      <c r="T176" s="459"/>
      <c r="U176" s="459"/>
      <c r="V176" s="459"/>
      <c r="W176" s="459"/>
      <c r="X176" s="459"/>
      <c r="Y176" s="459"/>
      <c r="Z176" s="459"/>
      <c r="AA176" s="459"/>
      <c r="AB176" s="459"/>
      <c r="AC176" s="459"/>
    </row>
    <row r="177" spans="1:29">
      <c r="A177" s="131" t="s">
        <v>648</v>
      </c>
      <c r="B177" s="131" t="s">
        <v>64</v>
      </c>
      <c r="C177" s="131" t="str">
        <f t="shared" ref="C177:AC177" si="59">C165</f>
        <v>IE</v>
      </c>
      <c r="D177" s="131" t="str">
        <f t="shared" si="59"/>
        <v>IE-CW</v>
      </c>
      <c r="E177" s="131" t="str">
        <f t="shared" si="59"/>
        <v>IE-D</v>
      </c>
      <c r="F177" s="131" t="str">
        <f t="shared" si="59"/>
        <v>IE-KE</v>
      </c>
      <c r="G177" s="131" t="str">
        <f t="shared" si="59"/>
        <v>IE-KK</v>
      </c>
      <c r="H177" s="131" t="str">
        <f t="shared" si="59"/>
        <v>IE-LS</v>
      </c>
      <c r="I177" s="131" t="str">
        <f t="shared" si="59"/>
        <v>IE-LD</v>
      </c>
      <c r="J177" s="131" t="str">
        <f t="shared" si="59"/>
        <v>IE-LH</v>
      </c>
      <c r="K177" s="131" t="str">
        <f t="shared" si="59"/>
        <v>IE-MH</v>
      </c>
      <c r="L177" s="131" t="str">
        <f t="shared" si="59"/>
        <v>IE-OY</v>
      </c>
      <c r="M177" s="131" t="str">
        <f t="shared" si="59"/>
        <v>IE-WH</v>
      </c>
      <c r="N177" s="131" t="str">
        <f t="shared" si="59"/>
        <v>IE-WX</v>
      </c>
      <c r="O177" s="131" t="str">
        <f t="shared" si="59"/>
        <v>IE-WW</v>
      </c>
      <c r="P177" s="131" t="str">
        <f t="shared" si="59"/>
        <v>IE-CE</v>
      </c>
      <c r="Q177" s="131" t="str">
        <f t="shared" si="59"/>
        <v>IE-CO</v>
      </c>
      <c r="R177" s="131" t="str">
        <f t="shared" si="59"/>
        <v>IE-KY</v>
      </c>
      <c r="S177" s="131" t="str">
        <f t="shared" si="59"/>
        <v>IE-LK</v>
      </c>
      <c r="T177" s="131" t="str">
        <f t="shared" si="59"/>
        <v>IE-TA</v>
      </c>
      <c r="U177" s="131" t="str">
        <f t="shared" si="59"/>
        <v>IE-WD</v>
      </c>
      <c r="V177" s="131" t="str">
        <f t="shared" si="59"/>
        <v>IE-G</v>
      </c>
      <c r="W177" s="131" t="str">
        <f t="shared" si="59"/>
        <v>IE-LM</v>
      </c>
      <c r="X177" s="131" t="str">
        <f t="shared" si="59"/>
        <v>IE-MO</v>
      </c>
      <c r="Y177" s="131" t="str">
        <f t="shared" si="59"/>
        <v>IE-RN</v>
      </c>
      <c r="Z177" s="131" t="str">
        <f t="shared" si="59"/>
        <v>IE-SO</v>
      </c>
      <c r="AA177" s="131" t="str">
        <f t="shared" si="59"/>
        <v>IE-CN</v>
      </c>
      <c r="AB177" s="131" t="str">
        <f t="shared" si="59"/>
        <v>IE-DL</v>
      </c>
      <c r="AC177" s="131" t="str">
        <f t="shared" si="59"/>
        <v>IE-MN</v>
      </c>
    </row>
    <row r="178" spans="1:29">
      <c r="A178" s="459" t="s">
        <v>669</v>
      </c>
      <c r="B178" s="459" t="s">
        <v>653</v>
      </c>
      <c r="C178" s="505">
        <f t="shared" ref="C178:AC178" si="60">SUMPRODUCT(C153:C159,C166:C172)</f>
        <v>1.5843900907881323</v>
      </c>
      <c r="D178" s="505">
        <f t="shared" si="60"/>
        <v>1.5829347048520703</v>
      </c>
      <c r="E178" s="505">
        <f t="shared" si="60"/>
        <v>1.5996458660626507</v>
      </c>
      <c r="F178" s="505">
        <f t="shared" si="60"/>
        <v>1.5858791317071375</v>
      </c>
      <c r="G178" s="505">
        <f t="shared" si="60"/>
        <v>1.5764917101153666</v>
      </c>
      <c r="H178" s="505">
        <f t="shared" si="60"/>
        <v>1.5787893029191562</v>
      </c>
      <c r="I178" s="505">
        <f t="shared" si="60"/>
        <v>1.591356337193566</v>
      </c>
      <c r="J178" s="505">
        <f t="shared" si="60"/>
        <v>1.5724485140113176</v>
      </c>
      <c r="K178" s="505">
        <f t="shared" si="60"/>
        <v>1.5849650391323977</v>
      </c>
      <c r="L178" s="505">
        <f t="shared" si="60"/>
        <v>1.5732599934129918</v>
      </c>
      <c r="M178" s="505">
        <f t="shared" si="60"/>
        <v>1.5801461621566462</v>
      </c>
      <c r="N178" s="505">
        <f t="shared" si="60"/>
        <v>1.5739862573686552</v>
      </c>
      <c r="O178" s="505">
        <f t="shared" si="60"/>
        <v>1.5943545837287585</v>
      </c>
      <c r="P178" s="505">
        <f t="shared" si="60"/>
        <v>1.5736771207233211</v>
      </c>
      <c r="Q178" s="505">
        <f t="shared" si="60"/>
        <v>1.577076689999642</v>
      </c>
      <c r="R178" s="505">
        <f t="shared" si="60"/>
        <v>1.5800397063731884</v>
      </c>
      <c r="S178" s="505">
        <f t="shared" si="60"/>
        <v>1.5774984117966608</v>
      </c>
      <c r="T178" s="505">
        <f t="shared" si="60"/>
        <v>1.5798917054446691</v>
      </c>
      <c r="U178" s="505">
        <f t="shared" si="60"/>
        <v>1.5760117848458575</v>
      </c>
      <c r="V178" s="505">
        <f t="shared" si="60"/>
        <v>1.5891657014009029</v>
      </c>
      <c r="W178" s="505">
        <f t="shared" si="60"/>
        <v>1.5851969695754595</v>
      </c>
      <c r="X178" s="505">
        <f t="shared" si="60"/>
        <v>1.5876365090748588</v>
      </c>
      <c r="Y178" s="505">
        <f t="shared" si="60"/>
        <v>1.5691759109001624</v>
      </c>
      <c r="Z178" s="505">
        <f t="shared" si="60"/>
        <v>1.5862670985371188</v>
      </c>
      <c r="AA178" s="505">
        <f t="shared" si="60"/>
        <v>1.5799024068601559</v>
      </c>
      <c r="AB178" s="505">
        <f t="shared" si="60"/>
        <v>1.5777114446657874</v>
      </c>
      <c r="AC178" s="505">
        <f t="shared" si="60"/>
        <v>1.5865530099438825</v>
      </c>
    </row>
    <row r="179" spans="1:29">
      <c r="A179" s="458"/>
      <c r="B179" s="458" t="s">
        <v>640</v>
      </c>
      <c r="C179" s="508">
        <f>1000/C178</f>
        <v>631.15769646259537</v>
      </c>
      <c r="D179" s="508">
        <f>1000/D178</f>
        <v>631.73799711053323</v>
      </c>
      <c r="E179" s="508">
        <f>1000/E178</f>
        <v>625.1383641939376</v>
      </c>
      <c r="F179" s="508">
        <f>1000/F178</f>
        <v>630.56507901931889</v>
      </c>
      <c r="G179" s="508">
        <f t="shared" ref="G179" si="61">1000/G178</f>
        <v>634.31985945985127</v>
      </c>
      <c r="H179" s="508">
        <f t="shared" ref="H179" si="62">1000/H178</f>
        <v>633.39674151010274</v>
      </c>
      <c r="I179" s="508">
        <f t="shared" ref="I179" si="63">1000/I178</f>
        <v>628.39477031495562</v>
      </c>
      <c r="J179" s="508">
        <f t="shared" ref="J179" si="64">1000/J178</f>
        <v>635.95086967203724</v>
      </c>
      <c r="K179" s="508">
        <f t="shared" ref="K179" si="65">1000/K178</f>
        <v>630.92874310173761</v>
      </c>
      <c r="L179" s="508">
        <f t="shared" ref="L179" si="66">1000/L178</f>
        <v>635.62284948886577</v>
      </c>
      <c r="M179" s="508">
        <f t="shared" ref="M179" si="67">1000/M178</f>
        <v>632.85284864734308</v>
      </c>
      <c r="N179" s="508">
        <f t="shared" ref="N179" si="68">1000/N178</f>
        <v>635.32956232525885</v>
      </c>
      <c r="O179" s="508">
        <f t="shared" ref="O179" si="69">1000/O178</f>
        <v>627.21304922100455</v>
      </c>
      <c r="P179" s="508">
        <f t="shared" ref="P179" si="70">1000/P178</f>
        <v>635.45436788225174</v>
      </c>
      <c r="Q179" s="508">
        <f t="shared" ref="Q179" si="71">1000/Q178</f>
        <v>634.08457327476378</v>
      </c>
      <c r="R179" s="508">
        <f t="shared" ref="R179" si="72">1000/R178</f>
        <v>632.89548735163919</v>
      </c>
      <c r="S179" s="508">
        <f t="shared" ref="S179" si="73">1000/S178</f>
        <v>633.91505976926442</v>
      </c>
      <c r="T179" s="508">
        <f t="shared" ref="T179" si="74">1000/T178</f>
        <v>632.95477566833904</v>
      </c>
      <c r="U179" s="508">
        <f t="shared" ref="U179" si="75">1000/U178</f>
        <v>634.51302180320022</v>
      </c>
      <c r="V179" s="508">
        <f t="shared" ref="V179" si="76">1000/V178</f>
        <v>629.2610009884221</v>
      </c>
      <c r="W179" s="508">
        <f t="shared" ref="W179" si="77">1000/W178</f>
        <v>630.83643180810247</v>
      </c>
      <c r="X179" s="508">
        <f t="shared" ref="X179" si="78">1000/X178</f>
        <v>629.8670975906922</v>
      </c>
      <c r="Y179" s="508">
        <f t="shared" ref="Y179" si="79">1000/Y178</f>
        <v>637.27718036809972</v>
      </c>
      <c r="Z179" s="508">
        <f t="shared" ref="Z179" si="80">1000/Z178</f>
        <v>630.41085635717729</v>
      </c>
      <c r="AA179" s="508">
        <f t="shared" ref="AA179" si="81">1000/AA178</f>
        <v>632.95048837058607</v>
      </c>
      <c r="AB179" s="508">
        <f t="shared" ref="AB179" si="82">1000/AB178</f>
        <v>633.82946443152275</v>
      </c>
      <c r="AC179" s="508">
        <f t="shared" ref="AC179" si="83">1000/AC178</f>
        <v>630.297250537737</v>
      </c>
    </row>
    <row r="181" spans="1:29" s="459" customFormat="1"/>
    <row r="183" spans="1:29">
      <c r="A183" s="511"/>
      <c r="B183" s="511"/>
      <c r="C183" s="511"/>
      <c r="D183" s="511"/>
      <c r="E183" s="511"/>
      <c r="F183" s="511"/>
      <c r="G183" s="511"/>
      <c r="H183" s="511"/>
      <c r="I183" s="511"/>
      <c r="J183" s="511"/>
      <c r="K183" s="511"/>
      <c r="L183" s="511"/>
      <c r="M183" s="511"/>
      <c r="N183" s="511"/>
      <c r="O183" s="511"/>
      <c r="P183" s="511"/>
      <c r="Q183" s="511"/>
      <c r="R183" s="511"/>
      <c r="S183" s="511"/>
      <c r="T183" s="511"/>
      <c r="U183" s="511"/>
      <c r="V183" s="511"/>
      <c r="W183" s="511"/>
      <c r="X183" s="511"/>
      <c r="Y183" s="511"/>
      <c r="Z183" s="511"/>
      <c r="AA183" s="511"/>
      <c r="AB183" s="511"/>
      <c r="AC183" s="511"/>
    </row>
    <row r="184" spans="1:29" ht="15.6">
      <c r="A184" s="401" t="s">
        <v>665</v>
      </c>
      <c r="C184" s="459"/>
      <c r="D184" s="459"/>
      <c r="E184" s="459"/>
      <c r="F184" s="459"/>
      <c r="G184" s="459"/>
      <c r="H184" s="459"/>
      <c r="I184" s="459"/>
      <c r="J184" s="459"/>
      <c r="K184" s="459"/>
      <c r="L184" s="459"/>
      <c r="M184" s="459"/>
      <c r="N184" s="459"/>
      <c r="O184" s="459"/>
      <c r="P184" s="459"/>
      <c r="Q184" s="459"/>
      <c r="R184" s="459"/>
      <c r="S184" s="459"/>
      <c r="T184" s="459"/>
      <c r="U184" s="459"/>
      <c r="V184" s="459"/>
      <c r="W184" s="459"/>
      <c r="X184" s="459"/>
      <c r="Y184" s="459"/>
      <c r="Z184" s="459"/>
      <c r="AA184" s="459"/>
      <c r="AB184" s="459"/>
      <c r="AC184" s="459"/>
    </row>
    <row r="185" spans="1:29">
      <c r="A185" s="131" t="s">
        <v>648</v>
      </c>
      <c r="B185" s="131" t="s">
        <v>64</v>
      </c>
      <c r="C185" s="131" t="str">
        <f>C177</f>
        <v>IE</v>
      </c>
      <c r="D185" s="131" t="str">
        <f t="shared" ref="D185:AC185" si="84">D177</f>
        <v>IE-CW</v>
      </c>
      <c r="E185" s="131" t="str">
        <f t="shared" si="84"/>
        <v>IE-D</v>
      </c>
      <c r="F185" s="131" t="str">
        <f t="shared" si="84"/>
        <v>IE-KE</v>
      </c>
      <c r="G185" s="131" t="str">
        <f t="shared" si="84"/>
        <v>IE-KK</v>
      </c>
      <c r="H185" s="131" t="str">
        <f t="shared" si="84"/>
        <v>IE-LS</v>
      </c>
      <c r="I185" s="131" t="str">
        <f t="shared" si="84"/>
        <v>IE-LD</v>
      </c>
      <c r="J185" s="131" t="str">
        <f t="shared" si="84"/>
        <v>IE-LH</v>
      </c>
      <c r="K185" s="131" t="str">
        <f t="shared" si="84"/>
        <v>IE-MH</v>
      </c>
      <c r="L185" s="131" t="str">
        <f t="shared" si="84"/>
        <v>IE-OY</v>
      </c>
      <c r="M185" s="131" t="str">
        <f t="shared" si="84"/>
        <v>IE-WH</v>
      </c>
      <c r="N185" s="131" t="str">
        <f t="shared" si="84"/>
        <v>IE-WX</v>
      </c>
      <c r="O185" s="131" t="str">
        <f t="shared" si="84"/>
        <v>IE-WW</v>
      </c>
      <c r="P185" s="131" t="str">
        <f t="shared" si="84"/>
        <v>IE-CE</v>
      </c>
      <c r="Q185" s="131" t="str">
        <f t="shared" si="84"/>
        <v>IE-CO</v>
      </c>
      <c r="R185" s="131" t="str">
        <f t="shared" si="84"/>
        <v>IE-KY</v>
      </c>
      <c r="S185" s="131" t="str">
        <f t="shared" si="84"/>
        <v>IE-LK</v>
      </c>
      <c r="T185" s="131" t="str">
        <f t="shared" si="84"/>
        <v>IE-TA</v>
      </c>
      <c r="U185" s="131" t="str">
        <f t="shared" si="84"/>
        <v>IE-WD</v>
      </c>
      <c r="V185" s="131" t="str">
        <f t="shared" si="84"/>
        <v>IE-G</v>
      </c>
      <c r="W185" s="131" t="str">
        <f t="shared" si="84"/>
        <v>IE-LM</v>
      </c>
      <c r="X185" s="131" t="str">
        <f t="shared" si="84"/>
        <v>IE-MO</v>
      </c>
      <c r="Y185" s="131" t="str">
        <f t="shared" si="84"/>
        <v>IE-RN</v>
      </c>
      <c r="Z185" s="131" t="str">
        <f t="shared" si="84"/>
        <v>IE-SO</v>
      </c>
      <c r="AA185" s="131" t="str">
        <f t="shared" si="84"/>
        <v>IE-CN</v>
      </c>
      <c r="AB185" s="131" t="str">
        <f t="shared" si="84"/>
        <v>IE-DL</v>
      </c>
      <c r="AC185" s="131" t="str">
        <f t="shared" si="84"/>
        <v>IE-MN</v>
      </c>
    </row>
    <row r="186" spans="1:29">
      <c r="A186" s="459" t="s">
        <v>347</v>
      </c>
      <c r="B186" s="459" t="s">
        <v>539</v>
      </c>
      <c r="C186" s="36">
        <f>SUM(D186:AC186)</f>
        <v>20</v>
      </c>
      <c r="D186" s="36"/>
      <c r="E186" s="36">
        <v>13</v>
      </c>
      <c r="F186" s="36"/>
      <c r="G186" s="36"/>
      <c r="H186" s="36"/>
      <c r="I186" s="36"/>
      <c r="J186" s="36"/>
      <c r="K186" s="36"/>
      <c r="L186" s="36"/>
      <c r="M186" s="36"/>
      <c r="N186" s="36"/>
      <c r="O186" s="36">
        <v>2</v>
      </c>
      <c r="P186" s="36"/>
      <c r="Q186" s="36"/>
      <c r="R186" s="36">
        <v>1</v>
      </c>
      <c r="S186" s="36"/>
      <c r="T186" s="36"/>
      <c r="U186" s="36"/>
      <c r="V186" s="36">
        <v>3</v>
      </c>
      <c r="W186" s="36"/>
      <c r="X186" s="36"/>
      <c r="Y186" s="36"/>
      <c r="Z186" s="36"/>
      <c r="AA186" s="36"/>
      <c r="AB186" s="36">
        <v>1</v>
      </c>
      <c r="AC186" s="36"/>
    </row>
    <row r="187" spans="1:29">
      <c r="A187" s="459" t="s">
        <v>348</v>
      </c>
      <c r="B187" s="459" t="s">
        <v>539</v>
      </c>
      <c r="C187" s="36">
        <f t="shared" ref="C187:C192" si="85">SUM(D187:AC187)</f>
        <v>0</v>
      </c>
      <c r="D187" s="36"/>
      <c r="E187" s="36"/>
      <c r="F187" s="36"/>
      <c r="G187" s="36"/>
      <c r="H187" s="36"/>
      <c r="I187" s="36"/>
      <c r="J187" s="36"/>
      <c r="K187" s="36"/>
      <c r="L187" s="36"/>
      <c r="M187" s="36"/>
      <c r="N187" s="36"/>
      <c r="O187" s="36"/>
      <c r="P187" s="36"/>
      <c r="Q187" s="36"/>
      <c r="R187" s="36"/>
      <c r="S187" s="36"/>
      <c r="T187" s="36"/>
      <c r="U187" s="36"/>
      <c r="V187" s="36"/>
      <c r="W187" s="36"/>
      <c r="X187" s="36"/>
      <c r="Y187" s="36"/>
      <c r="Z187" s="36"/>
      <c r="AA187" s="36"/>
      <c r="AB187" s="36"/>
      <c r="AC187" s="36"/>
    </row>
    <row r="188" spans="1:29">
      <c r="A188" s="459" t="s">
        <v>349</v>
      </c>
      <c r="B188" s="459" t="s">
        <v>539</v>
      </c>
      <c r="C188" s="36">
        <f t="shared" si="85"/>
        <v>7</v>
      </c>
      <c r="D188" s="36"/>
      <c r="E188" s="36">
        <v>3</v>
      </c>
      <c r="F188" s="36"/>
      <c r="G188" s="36"/>
      <c r="H188" s="36"/>
      <c r="I188" s="36"/>
      <c r="J188" s="36"/>
      <c r="K188" s="36"/>
      <c r="L188" s="36"/>
      <c r="M188" s="36"/>
      <c r="N188" s="36"/>
      <c r="O188" s="36">
        <v>2</v>
      </c>
      <c r="P188" s="36"/>
      <c r="Q188" s="36">
        <v>1</v>
      </c>
      <c r="R188" s="36"/>
      <c r="S188" s="36">
        <v>1</v>
      </c>
      <c r="T188" s="36"/>
      <c r="U188" s="36"/>
      <c r="V188" s="36"/>
      <c r="W188" s="36"/>
      <c r="X188" s="36"/>
      <c r="Y188" s="36"/>
      <c r="Z188" s="36"/>
      <c r="AA188" s="36"/>
      <c r="AB188" s="36"/>
      <c r="AC188" s="36"/>
    </row>
    <row r="189" spans="1:29">
      <c r="A189" s="459" t="s">
        <v>350</v>
      </c>
      <c r="B189" s="459" t="s">
        <v>539</v>
      </c>
      <c r="C189" s="36">
        <f t="shared" si="85"/>
        <v>9</v>
      </c>
      <c r="D189" s="36"/>
      <c r="E189" s="36">
        <v>1</v>
      </c>
      <c r="F189" s="36">
        <v>1</v>
      </c>
      <c r="G189" s="36"/>
      <c r="H189" s="36"/>
      <c r="I189" s="36"/>
      <c r="J189" s="36">
        <v>1</v>
      </c>
      <c r="K189" s="36"/>
      <c r="L189" s="36">
        <v>1</v>
      </c>
      <c r="M189" s="36"/>
      <c r="N189" s="36"/>
      <c r="O189" s="36"/>
      <c r="P189" s="36">
        <v>1</v>
      </c>
      <c r="Q189" s="36">
        <v>2</v>
      </c>
      <c r="R189" s="36">
        <v>1</v>
      </c>
      <c r="S189" s="36">
        <v>1</v>
      </c>
      <c r="T189" s="36"/>
      <c r="U189" s="36"/>
      <c r="V189" s="36"/>
      <c r="W189" s="36"/>
      <c r="X189" s="36"/>
      <c r="Y189" s="36"/>
      <c r="Z189" s="36"/>
      <c r="AA189" s="36"/>
      <c r="AB189" s="36"/>
      <c r="AC189" s="36"/>
    </row>
    <row r="190" spans="1:29">
      <c r="A190" s="459" t="s">
        <v>351</v>
      </c>
      <c r="B190" s="459" t="s">
        <v>539</v>
      </c>
      <c r="C190" s="36">
        <f t="shared" si="85"/>
        <v>3</v>
      </c>
      <c r="D190" s="36"/>
      <c r="E190" s="36"/>
      <c r="F190" s="36"/>
      <c r="G190" s="36"/>
      <c r="H190" s="36"/>
      <c r="I190" s="36"/>
      <c r="J190" s="36"/>
      <c r="K190" s="36">
        <v>1</v>
      </c>
      <c r="L190" s="36">
        <v>1</v>
      </c>
      <c r="M190" s="36"/>
      <c r="N190" s="36">
        <v>1</v>
      </c>
      <c r="O190" s="36"/>
      <c r="P190" s="36"/>
      <c r="Q190" s="36"/>
      <c r="R190" s="36"/>
      <c r="S190" s="36"/>
      <c r="T190" s="36"/>
      <c r="U190" s="36"/>
      <c r="V190" s="36"/>
      <c r="W190" s="36"/>
      <c r="X190" s="36"/>
      <c r="Y190" s="36"/>
      <c r="Z190" s="36"/>
      <c r="AA190" s="36"/>
      <c r="AB190" s="36"/>
      <c r="AC190" s="36"/>
    </row>
    <row r="191" spans="1:29">
      <c r="A191" s="459" t="s">
        <v>352</v>
      </c>
      <c r="B191" s="459" t="s">
        <v>539</v>
      </c>
      <c r="C191" s="36">
        <f t="shared" si="85"/>
        <v>24</v>
      </c>
      <c r="D191" s="36"/>
      <c r="E191" s="36">
        <v>10</v>
      </c>
      <c r="F191" s="36"/>
      <c r="G191" s="36">
        <v>1</v>
      </c>
      <c r="H191" s="36"/>
      <c r="I191" s="36">
        <v>2</v>
      </c>
      <c r="J191" s="36"/>
      <c r="K191" s="36">
        <v>1</v>
      </c>
      <c r="L191" s="36">
        <v>1</v>
      </c>
      <c r="M191" s="36">
        <v>1</v>
      </c>
      <c r="N191" s="36"/>
      <c r="O191" s="36">
        <v>1</v>
      </c>
      <c r="P191" s="36"/>
      <c r="Q191" s="36">
        <v>2</v>
      </c>
      <c r="R191" s="36">
        <v>1</v>
      </c>
      <c r="S191" s="36"/>
      <c r="T191" s="36"/>
      <c r="U191" s="36"/>
      <c r="V191" s="36">
        <v>3</v>
      </c>
      <c r="W191" s="36"/>
      <c r="X191" s="36"/>
      <c r="Y191" s="36"/>
      <c r="Z191" s="36"/>
      <c r="AA191" s="36"/>
      <c r="AB191" s="36">
        <v>1</v>
      </c>
      <c r="AC191" s="36"/>
    </row>
    <row r="192" spans="1:29">
      <c r="A192" s="459" t="s">
        <v>353</v>
      </c>
      <c r="B192" s="459" t="s">
        <v>539</v>
      </c>
      <c r="C192" s="36">
        <f t="shared" si="85"/>
        <v>4</v>
      </c>
      <c r="D192" s="36"/>
      <c r="E192" s="36">
        <v>1</v>
      </c>
      <c r="F192" s="36"/>
      <c r="G192" s="36"/>
      <c r="H192" s="36"/>
      <c r="I192" s="36"/>
      <c r="J192" s="36"/>
      <c r="K192" s="36"/>
      <c r="L192" s="36"/>
      <c r="M192" s="36"/>
      <c r="N192" s="36">
        <v>2</v>
      </c>
      <c r="O192" s="36"/>
      <c r="P192" s="36"/>
      <c r="Q192" s="36"/>
      <c r="R192" s="36"/>
      <c r="S192" s="36"/>
      <c r="T192" s="36"/>
      <c r="U192" s="36"/>
      <c r="V192" s="36">
        <v>1</v>
      </c>
      <c r="W192" s="36"/>
      <c r="X192" s="36"/>
      <c r="Y192" s="36"/>
      <c r="Z192" s="36"/>
      <c r="AA192" s="36"/>
      <c r="AB192" s="36"/>
      <c r="AC192" s="36"/>
    </row>
    <row r="193" spans="1:29">
      <c r="A193" s="458" t="s">
        <v>16</v>
      </c>
      <c r="B193" s="458" t="s">
        <v>539</v>
      </c>
      <c r="C193" s="504">
        <f>SUM(C186:C192)</f>
        <v>67</v>
      </c>
      <c r="D193" s="504">
        <f t="shared" ref="D193:AC193" si="86">SUM(D186:D192)</f>
        <v>0</v>
      </c>
      <c r="E193" s="504">
        <f t="shared" si="86"/>
        <v>28</v>
      </c>
      <c r="F193" s="504">
        <f t="shared" si="86"/>
        <v>1</v>
      </c>
      <c r="G193" s="504">
        <f t="shared" si="86"/>
        <v>1</v>
      </c>
      <c r="H193" s="504">
        <v>0</v>
      </c>
      <c r="I193" s="504">
        <f t="shared" si="86"/>
        <v>2</v>
      </c>
      <c r="J193" s="504">
        <f t="shared" si="86"/>
        <v>1</v>
      </c>
      <c r="K193" s="504">
        <f t="shared" si="86"/>
        <v>2</v>
      </c>
      <c r="L193" s="504">
        <f t="shared" si="86"/>
        <v>3</v>
      </c>
      <c r="M193" s="504">
        <f t="shared" si="86"/>
        <v>1</v>
      </c>
      <c r="N193" s="504">
        <f t="shared" si="86"/>
        <v>3</v>
      </c>
      <c r="O193" s="504">
        <f t="shared" si="86"/>
        <v>5</v>
      </c>
      <c r="P193" s="504">
        <f t="shared" si="86"/>
        <v>1</v>
      </c>
      <c r="Q193" s="504">
        <f t="shared" si="86"/>
        <v>5</v>
      </c>
      <c r="R193" s="504">
        <f t="shared" si="86"/>
        <v>3</v>
      </c>
      <c r="S193" s="504">
        <f t="shared" si="86"/>
        <v>2</v>
      </c>
      <c r="T193" s="504">
        <f t="shared" si="86"/>
        <v>0</v>
      </c>
      <c r="U193" s="504">
        <f t="shared" si="86"/>
        <v>0</v>
      </c>
      <c r="V193" s="504">
        <f t="shared" si="86"/>
        <v>7</v>
      </c>
      <c r="W193" s="504">
        <f t="shared" si="86"/>
        <v>0</v>
      </c>
      <c r="X193" s="504">
        <f t="shared" si="86"/>
        <v>0</v>
      </c>
      <c r="Y193" s="504">
        <f t="shared" si="86"/>
        <v>0</v>
      </c>
      <c r="Z193" s="504">
        <f t="shared" si="86"/>
        <v>0</v>
      </c>
      <c r="AA193" s="504">
        <f t="shared" si="86"/>
        <v>0</v>
      </c>
      <c r="AB193" s="504">
        <f t="shared" si="86"/>
        <v>2</v>
      </c>
      <c r="AC193" s="504">
        <f t="shared" si="86"/>
        <v>0</v>
      </c>
    </row>
    <row r="194" spans="1:29">
      <c r="A194" s="459" t="s">
        <v>659</v>
      </c>
      <c r="C194" s="459"/>
      <c r="D194" s="459"/>
      <c r="E194" s="459"/>
      <c r="F194" s="459"/>
      <c r="G194" s="459"/>
      <c r="H194" s="459"/>
      <c r="I194" s="459"/>
      <c r="J194" s="459"/>
      <c r="K194" s="459"/>
      <c r="L194" s="459"/>
      <c r="M194" s="459"/>
      <c r="N194" s="459"/>
      <c r="O194" s="459"/>
      <c r="P194" s="459"/>
      <c r="Q194" s="459"/>
      <c r="R194" s="459"/>
      <c r="S194" s="459"/>
      <c r="T194" s="459"/>
      <c r="U194" s="459"/>
      <c r="V194" s="459"/>
      <c r="W194" s="459"/>
      <c r="X194" s="459"/>
      <c r="Y194" s="459"/>
      <c r="Z194" s="459"/>
      <c r="AA194" s="459"/>
      <c r="AB194" s="459"/>
      <c r="AC194" s="459"/>
    </row>
    <row r="195" spans="1:29">
      <c r="A195" s="459"/>
      <c r="C195" s="459"/>
      <c r="D195" s="459"/>
      <c r="E195" s="459"/>
      <c r="F195" s="459"/>
      <c r="G195" s="459"/>
      <c r="H195" s="459"/>
      <c r="I195" s="459"/>
      <c r="J195" s="459"/>
      <c r="K195" s="459"/>
      <c r="L195" s="459"/>
      <c r="M195" s="459"/>
      <c r="N195" s="459"/>
      <c r="O195" s="459"/>
      <c r="P195" s="459"/>
      <c r="Q195" s="459"/>
      <c r="R195" s="459"/>
      <c r="S195" s="459"/>
      <c r="T195" s="459"/>
      <c r="U195" s="459"/>
      <c r="V195" s="459"/>
      <c r="W195" s="459"/>
      <c r="X195" s="459"/>
      <c r="Y195" s="459"/>
      <c r="Z195" s="459"/>
      <c r="AA195" s="459"/>
      <c r="AB195" s="459"/>
      <c r="AC195" s="459"/>
    </row>
    <row r="196" spans="1:29">
      <c r="A196" s="459"/>
      <c r="C196" s="459"/>
      <c r="D196" s="459"/>
      <c r="E196" s="459"/>
      <c r="F196" s="459"/>
      <c r="G196" s="459"/>
      <c r="H196" s="459"/>
      <c r="I196" s="459"/>
      <c r="J196" s="459"/>
      <c r="K196" s="459"/>
      <c r="L196" s="459"/>
      <c r="M196" s="459"/>
      <c r="N196" s="459"/>
      <c r="O196" s="459"/>
      <c r="P196" s="459"/>
      <c r="Q196" s="459"/>
      <c r="R196" s="459"/>
      <c r="S196" s="459"/>
      <c r="T196" s="459"/>
      <c r="U196" s="459"/>
      <c r="V196" s="459"/>
      <c r="W196" s="459"/>
      <c r="X196" s="459"/>
      <c r="Y196" s="459"/>
      <c r="Z196" s="459"/>
      <c r="AA196" s="459"/>
      <c r="AB196" s="459"/>
      <c r="AC196" s="459"/>
    </row>
    <row r="197" spans="1:29">
      <c r="A197" s="459"/>
      <c r="C197" s="459"/>
      <c r="D197" s="459"/>
      <c r="E197" s="459"/>
      <c r="F197" s="459"/>
      <c r="G197" s="459"/>
      <c r="H197" s="459"/>
      <c r="I197" s="459"/>
      <c r="J197" s="459"/>
      <c r="K197" s="459"/>
      <c r="L197" s="459"/>
      <c r="M197" s="459"/>
      <c r="N197" s="459"/>
      <c r="O197" s="459"/>
      <c r="P197" s="459"/>
      <c r="Q197" s="459"/>
      <c r="R197" s="459"/>
      <c r="S197" s="459"/>
      <c r="T197" s="459"/>
      <c r="U197" s="459"/>
      <c r="V197" s="459"/>
      <c r="W197" s="459"/>
      <c r="X197" s="459"/>
      <c r="Y197" s="459"/>
      <c r="Z197" s="459"/>
      <c r="AA197" s="459"/>
      <c r="AB197" s="459"/>
      <c r="AC197" s="459"/>
    </row>
    <row r="198" spans="1:29" ht="15.6">
      <c r="A198" s="425" t="s">
        <v>664</v>
      </c>
      <c r="C198" s="459"/>
      <c r="D198" s="459"/>
      <c r="E198" s="459"/>
      <c r="F198" s="459"/>
      <c r="G198" s="459"/>
      <c r="H198" s="459"/>
      <c r="I198" s="459"/>
      <c r="J198" s="459"/>
      <c r="K198" s="459"/>
      <c r="L198" s="459"/>
      <c r="M198" s="459"/>
      <c r="N198" s="459"/>
      <c r="O198" s="459"/>
      <c r="P198" s="459"/>
      <c r="Q198" s="459"/>
      <c r="R198" s="459"/>
      <c r="S198" s="459"/>
      <c r="T198" s="459"/>
      <c r="U198" s="459"/>
      <c r="V198" s="459"/>
      <c r="W198" s="459"/>
      <c r="X198" s="459"/>
      <c r="Y198" s="459"/>
      <c r="Z198" s="459"/>
      <c r="AA198" s="459"/>
      <c r="AB198" s="459"/>
      <c r="AC198" s="459"/>
    </row>
    <row r="199" spans="1:29">
      <c r="A199" s="131" t="s">
        <v>648</v>
      </c>
      <c r="B199" s="131" t="s">
        <v>64</v>
      </c>
      <c r="C199" s="131" t="str">
        <f>C185</f>
        <v>IE</v>
      </c>
      <c r="D199" s="131" t="str">
        <f t="shared" ref="D199:AC199" si="87">D185</f>
        <v>IE-CW</v>
      </c>
      <c r="E199" s="131" t="str">
        <f t="shared" si="87"/>
        <v>IE-D</v>
      </c>
      <c r="F199" s="131" t="str">
        <f t="shared" si="87"/>
        <v>IE-KE</v>
      </c>
      <c r="G199" s="131" t="str">
        <f t="shared" si="87"/>
        <v>IE-KK</v>
      </c>
      <c r="H199" s="131" t="str">
        <f t="shared" si="87"/>
        <v>IE-LS</v>
      </c>
      <c r="I199" s="131" t="str">
        <f t="shared" si="87"/>
        <v>IE-LD</v>
      </c>
      <c r="J199" s="131" t="str">
        <f t="shared" si="87"/>
        <v>IE-LH</v>
      </c>
      <c r="K199" s="131" t="str">
        <f t="shared" si="87"/>
        <v>IE-MH</v>
      </c>
      <c r="L199" s="131" t="str">
        <f t="shared" si="87"/>
        <v>IE-OY</v>
      </c>
      <c r="M199" s="131" t="str">
        <f t="shared" si="87"/>
        <v>IE-WH</v>
      </c>
      <c r="N199" s="131" t="str">
        <f t="shared" si="87"/>
        <v>IE-WX</v>
      </c>
      <c r="O199" s="131" t="str">
        <f t="shared" si="87"/>
        <v>IE-WW</v>
      </c>
      <c r="P199" s="131" t="str">
        <f t="shared" si="87"/>
        <v>IE-CE</v>
      </c>
      <c r="Q199" s="131" t="str">
        <f t="shared" si="87"/>
        <v>IE-CO</v>
      </c>
      <c r="R199" s="131" t="str">
        <f t="shared" si="87"/>
        <v>IE-KY</v>
      </c>
      <c r="S199" s="131" t="str">
        <f t="shared" si="87"/>
        <v>IE-LK</v>
      </c>
      <c r="T199" s="131" t="str">
        <f t="shared" si="87"/>
        <v>IE-TA</v>
      </c>
      <c r="U199" s="131" t="str">
        <f t="shared" si="87"/>
        <v>IE-WD</v>
      </c>
      <c r="V199" s="131" t="str">
        <f t="shared" si="87"/>
        <v>IE-G</v>
      </c>
      <c r="W199" s="131" t="str">
        <f t="shared" si="87"/>
        <v>IE-LM</v>
      </c>
      <c r="X199" s="131" t="str">
        <f t="shared" si="87"/>
        <v>IE-MO</v>
      </c>
      <c r="Y199" s="131" t="str">
        <f t="shared" si="87"/>
        <v>IE-RN</v>
      </c>
      <c r="Z199" s="131" t="str">
        <f t="shared" si="87"/>
        <v>IE-SO</v>
      </c>
      <c r="AA199" s="131" t="str">
        <f t="shared" si="87"/>
        <v>IE-CN</v>
      </c>
      <c r="AB199" s="131" t="str">
        <f t="shared" si="87"/>
        <v>IE-DL</v>
      </c>
      <c r="AC199" s="131" t="str">
        <f t="shared" si="87"/>
        <v>IE-MN</v>
      </c>
    </row>
    <row r="200" spans="1:29">
      <c r="A200" s="459" t="s">
        <v>347</v>
      </c>
      <c r="B200" s="507" t="s">
        <v>652</v>
      </c>
      <c r="C200" s="35">
        <f t="shared" ref="C200:AC200" si="88">C186/C$193</f>
        <v>0.29850746268656714</v>
      </c>
      <c r="D200" s="35" t="e">
        <f t="shared" si="88"/>
        <v>#DIV/0!</v>
      </c>
      <c r="E200" s="35">
        <f t="shared" si="88"/>
        <v>0.4642857142857143</v>
      </c>
      <c r="F200" s="35">
        <f t="shared" si="88"/>
        <v>0</v>
      </c>
      <c r="G200" s="35">
        <f t="shared" si="88"/>
        <v>0</v>
      </c>
      <c r="H200" s="35" t="e">
        <f t="shared" si="88"/>
        <v>#DIV/0!</v>
      </c>
      <c r="I200" s="35">
        <f t="shared" si="88"/>
        <v>0</v>
      </c>
      <c r="J200" s="35">
        <f t="shared" si="88"/>
        <v>0</v>
      </c>
      <c r="K200" s="35">
        <f t="shared" si="88"/>
        <v>0</v>
      </c>
      <c r="L200" s="35">
        <f t="shared" si="88"/>
        <v>0</v>
      </c>
      <c r="M200" s="35">
        <f t="shared" si="88"/>
        <v>0</v>
      </c>
      <c r="N200" s="35">
        <f t="shared" si="88"/>
        <v>0</v>
      </c>
      <c r="O200" s="35">
        <f t="shared" si="88"/>
        <v>0.4</v>
      </c>
      <c r="P200" s="35">
        <f t="shared" si="88"/>
        <v>0</v>
      </c>
      <c r="Q200" s="35">
        <f t="shared" si="88"/>
        <v>0</v>
      </c>
      <c r="R200" s="35">
        <f t="shared" si="88"/>
        <v>0.33333333333333331</v>
      </c>
      <c r="S200" s="35">
        <f t="shared" si="88"/>
        <v>0</v>
      </c>
      <c r="T200" s="35" t="e">
        <f t="shared" si="88"/>
        <v>#DIV/0!</v>
      </c>
      <c r="U200" s="35" t="e">
        <f t="shared" si="88"/>
        <v>#DIV/0!</v>
      </c>
      <c r="V200" s="35">
        <f t="shared" si="88"/>
        <v>0.42857142857142855</v>
      </c>
      <c r="W200" s="35" t="e">
        <f t="shared" si="88"/>
        <v>#DIV/0!</v>
      </c>
      <c r="X200" s="35" t="e">
        <f t="shared" si="88"/>
        <v>#DIV/0!</v>
      </c>
      <c r="Y200" s="35" t="e">
        <f t="shared" si="88"/>
        <v>#DIV/0!</v>
      </c>
      <c r="Z200" s="35" t="e">
        <f t="shared" si="88"/>
        <v>#DIV/0!</v>
      </c>
      <c r="AA200" s="35" t="e">
        <f t="shared" si="88"/>
        <v>#DIV/0!</v>
      </c>
      <c r="AB200" s="35">
        <f t="shared" si="88"/>
        <v>0.5</v>
      </c>
      <c r="AC200" s="35" t="e">
        <f t="shared" si="88"/>
        <v>#DIV/0!</v>
      </c>
    </row>
    <row r="201" spans="1:29">
      <c r="A201" s="459" t="s">
        <v>348</v>
      </c>
      <c r="B201" s="1" t="s">
        <v>652</v>
      </c>
      <c r="C201" s="35">
        <f t="shared" ref="C201:R206" si="89">C187/C$193</f>
        <v>0</v>
      </c>
      <c r="D201" s="35" t="e">
        <f t="shared" si="89"/>
        <v>#DIV/0!</v>
      </c>
      <c r="E201" s="35">
        <f t="shared" si="89"/>
        <v>0</v>
      </c>
      <c r="F201" s="35">
        <f t="shared" si="89"/>
        <v>0</v>
      </c>
      <c r="G201" s="35">
        <f t="shared" si="89"/>
        <v>0</v>
      </c>
      <c r="H201" s="35" t="e">
        <f t="shared" si="89"/>
        <v>#DIV/0!</v>
      </c>
      <c r="I201" s="35">
        <f t="shared" si="89"/>
        <v>0</v>
      </c>
      <c r="J201" s="35">
        <f t="shared" si="89"/>
        <v>0</v>
      </c>
      <c r="K201" s="35">
        <f t="shared" si="89"/>
        <v>0</v>
      </c>
      <c r="L201" s="35">
        <f t="shared" si="89"/>
        <v>0</v>
      </c>
      <c r="M201" s="35">
        <f t="shared" si="89"/>
        <v>0</v>
      </c>
      <c r="N201" s="35">
        <f t="shared" si="89"/>
        <v>0</v>
      </c>
      <c r="O201" s="35">
        <f t="shared" si="89"/>
        <v>0</v>
      </c>
      <c r="P201" s="35">
        <f t="shared" si="89"/>
        <v>0</v>
      </c>
      <c r="Q201" s="35">
        <f t="shared" si="89"/>
        <v>0</v>
      </c>
      <c r="R201" s="35">
        <f t="shared" si="89"/>
        <v>0</v>
      </c>
      <c r="S201" s="35">
        <f t="shared" ref="S201:AC201" si="90">S187/S$193</f>
        <v>0</v>
      </c>
      <c r="T201" s="35" t="e">
        <f t="shared" si="90"/>
        <v>#DIV/0!</v>
      </c>
      <c r="U201" s="35" t="e">
        <f t="shared" si="90"/>
        <v>#DIV/0!</v>
      </c>
      <c r="V201" s="35">
        <f t="shared" si="90"/>
        <v>0</v>
      </c>
      <c r="W201" s="35" t="e">
        <f t="shared" si="90"/>
        <v>#DIV/0!</v>
      </c>
      <c r="X201" s="35" t="e">
        <f t="shared" si="90"/>
        <v>#DIV/0!</v>
      </c>
      <c r="Y201" s="35" t="e">
        <f t="shared" si="90"/>
        <v>#DIV/0!</v>
      </c>
      <c r="Z201" s="35" t="e">
        <f t="shared" si="90"/>
        <v>#DIV/0!</v>
      </c>
      <c r="AA201" s="35" t="e">
        <f t="shared" si="90"/>
        <v>#DIV/0!</v>
      </c>
      <c r="AB201" s="35">
        <f t="shared" si="90"/>
        <v>0</v>
      </c>
      <c r="AC201" s="35" t="e">
        <f t="shared" si="90"/>
        <v>#DIV/0!</v>
      </c>
    </row>
    <row r="202" spans="1:29">
      <c r="A202" s="459" t="s">
        <v>349</v>
      </c>
      <c r="B202" s="1" t="s">
        <v>652</v>
      </c>
      <c r="C202" s="35">
        <f t="shared" si="89"/>
        <v>0.1044776119402985</v>
      </c>
      <c r="D202" s="35" t="e">
        <f t="shared" ref="D202:R202" si="91">D188/D$193</f>
        <v>#DIV/0!</v>
      </c>
      <c r="E202" s="35">
        <f t="shared" si="91"/>
        <v>0.10714285714285714</v>
      </c>
      <c r="F202" s="35">
        <f t="shared" si="91"/>
        <v>0</v>
      </c>
      <c r="G202" s="35">
        <f t="shared" si="91"/>
        <v>0</v>
      </c>
      <c r="H202" s="35" t="e">
        <f t="shared" si="91"/>
        <v>#DIV/0!</v>
      </c>
      <c r="I202" s="35">
        <f t="shared" si="91"/>
        <v>0</v>
      </c>
      <c r="J202" s="35">
        <f t="shared" si="91"/>
        <v>0</v>
      </c>
      <c r="K202" s="35">
        <f t="shared" si="91"/>
        <v>0</v>
      </c>
      <c r="L202" s="35">
        <f t="shared" si="91"/>
        <v>0</v>
      </c>
      <c r="M202" s="35">
        <f t="shared" si="91"/>
        <v>0</v>
      </c>
      <c r="N202" s="35">
        <f t="shared" si="91"/>
        <v>0</v>
      </c>
      <c r="O202" s="35">
        <f t="shared" si="91"/>
        <v>0.4</v>
      </c>
      <c r="P202" s="35">
        <f t="shared" si="91"/>
        <v>0</v>
      </c>
      <c r="Q202" s="35">
        <f t="shared" si="91"/>
        <v>0.2</v>
      </c>
      <c r="R202" s="35">
        <f t="shared" si="91"/>
        <v>0</v>
      </c>
      <c r="S202" s="35">
        <f t="shared" ref="S202:AC202" si="92">S188/S$193</f>
        <v>0.5</v>
      </c>
      <c r="T202" s="35" t="e">
        <f t="shared" si="92"/>
        <v>#DIV/0!</v>
      </c>
      <c r="U202" s="35" t="e">
        <f t="shared" si="92"/>
        <v>#DIV/0!</v>
      </c>
      <c r="V202" s="35">
        <f t="shared" si="92"/>
        <v>0</v>
      </c>
      <c r="W202" s="35" t="e">
        <f t="shared" si="92"/>
        <v>#DIV/0!</v>
      </c>
      <c r="X202" s="35" t="e">
        <f t="shared" si="92"/>
        <v>#DIV/0!</v>
      </c>
      <c r="Y202" s="35" t="e">
        <f t="shared" si="92"/>
        <v>#DIV/0!</v>
      </c>
      <c r="Z202" s="35" t="e">
        <f t="shared" si="92"/>
        <v>#DIV/0!</v>
      </c>
      <c r="AA202" s="35" t="e">
        <f t="shared" si="92"/>
        <v>#DIV/0!</v>
      </c>
      <c r="AB202" s="35">
        <f t="shared" si="92"/>
        <v>0</v>
      </c>
      <c r="AC202" s="35" t="e">
        <f t="shared" si="92"/>
        <v>#DIV/0!</v>
      </c>
    </row>
    <row r="203" spans="1:29">
      <c r="A203" s="459" t="s">
        <v>350</v>
      </c>
      <c r="B203" s="1" t="s">
        <v>652</v>
      </c>
      <c r="C203" s="35">
        <f t="shared" si="89"/>
        <v>0.13432835820895522</v>
      </c>
      <c r="D203" s="35" t="e">
        <f t="shared" si="89"/>
        <v>#DIV/0!</v>
      </c>
      <c r="E203" s="35">
        <f t="shared" si="89"/>
        <v>3.5714285714285712E-2</v>
      </c>
      <c r="F203" s="35">
        <f t="shared" si="89"/>
        <v>1</v>
      </c>
      <c r="G203" s="35">
        <f t="shared" si="89"/>
        <v>0</v>
      </c>
      <c r="H203" s="35" t="e">
        <f t="shared" si="89"/>
        <v>#DIV/0!</v>
      </c>
      <c r="I203" s="35">
        <f t="shared" si="89"/>
        <v>0</v>
      </c>
      <c r="J203" s="35">
        <f t="shared" si="89"/>
        <v>1</v>
      </c>
      <c r="K203" s="35">
        <f t="shared" si="89"/>
        <v>0</v>
      </c>
      <c r="L203" s="35">
        <f t="shared" si="89"/>
        <v>0.33333333333333331</v>
      </c>
      <c r="M203" s="35">
        <f t="shared" si="89"/>
        <v>0</v>
      </c>
      <c r="N203" s="35">
        <f t="shared" si="89"/>
        <v>0</v>
      </c>
      <c r="O203" s="35">
        <f t="shared" si="89"/>
        <v>0</v>
      </c>
      <c r="P203" s="35">
        <f t="shared" si="89"/>
        <v>1</v>
      </c>
      <c r="Q203" s="35">
        <f t="shared" si="89"/>
        <v>0.4</v>
      </c>
      <c r="R203" s="35">
        <f t="shared" si="89"/>
        <v>0.33333333333333331</v>
      </c>
      <c r="S203" s="35">
        <f t="shared" ref="S203:AC203" si="93">S189/S$193</f>
        <v>0.5</v>
      </c>
      <c r="T203" s="35" t="e">
        <f t="shared" si="93"/>
        <v>#DIV/0!</v>
      </c>
      <c r="U203" s="35" t="e">
        <f t="shared" si="93"/>
        <v>#DIV/0!</v>
      </c>
      <c r="V203" s="35">
        <f t="shared" si="93"/>
        <v>0</v>
      </c>
      <c r="W203" s="35" t="e">
        <f t="shared" si="93"/>
        <v>#DIV/0!</v>
      </c>
      <c r="X203" s="35" t="e">
        <f t="shared" si="93"/>
        <v>#DIV/0!</v>
      </c>
      <c r="Y203" s="35" t="e">
        <f t="shared" si="93"/>
        <v>#DIV/0!</v>
      </c>
      <c r="Z203" s="35" t="e">
        <f t="shared" si="93"/>
        <v>#DIV/0!</v>
      </c>
      <c r="AA203" s="35" t="e">
        <f t="shared" si="93"/>
        <v>#DIV/0!</v>
      </c>
      <c r="AB203" s="35">
        <f t="shared" si="93"/>
        <v>0</v>
      </c>
      <c r="AC203" s="35" t="e">
        <f t="shared" si="93"/>
        <v>#DIV/0!</v>
      </c>
    </row>
    <row r="204" spans="1:29">
      <c r="A204" s="459" t="s">
        <v>351</v>
      </c>
      <c r="B204" s="1" t="s">
        <v>652</v>
      </c>
      <c r="C204" s="35">
        <f t="shared" si="89"/>
        <v>4.4776119402985072E-2</v>
      </c>
      <c r="D204" s="35" t="e">
        <f t="shared" si="89"/>
        <v>#DIV/0!</v>
      </c>
      <c r="E204" s="35">
        <f t="shared" si="89"/>
        <v>0</v>
      </c>
      <c r="F204" s="35">
        <f t="shared" si="89"/>
        <v>0</v>
      </c>
      <c r="G204" s="35">
        <f t="shared" si="89"/>
        <v>0</v>
      </c>
      <c r="H204" s="35" t="e">
        <f t="shared" si="89"/>
        <v>#DIV/0!</v>
      </c>
      <c r="I204" s="35">
        <f t="shared" si="89"/>
        <v>0</v>
      </c>
      <c r="J204" s="35">
        <f t="shared" si="89"/>
        <v>0</v>
      </c>
      <c r="K204" s="35">
        <f t="shared" si="89"/>
        <v>0.5</v>
      </c>
      <c r="L204" s="35">
        <f t="shared" si="89"/>
        <v>0.33333333333333331</v>
      </c>
      <c r="M204" s="35">
        <f t="shared" si="89"/>
        <v>0</v>
      </c>
      <c r="N204" s="35">
        <f t="shared" si="89"/>
        <v>0.33333333333333331</v>
      </c>
      <c r="O204" s="35">
        <f t="shared" si="89"/>
        <v>0</v>
      </c>
      <c r="P204" s="35">
        <f t="shared" si="89"/>
        <v>0</v>
      </c>
      <c r="Q204" s="35">
        <f t="shared" si="89"/>
        <v>0</v>
      </c>
      <c r="R204" s="35">
        <f t="shared" si="89"/>
        <v>0</v>
      </c>
      <c r="S204" s="35">
        <f t="shared" ref="S204:AC204" si="94">S190/S$193</f>
        <v>0</v>
      </c>
      <c r="T204" s="35" t="e">
        <f t="shared" si="94"/>
        <v>#DIV/0!</v>
      </c>
      <c r="U204" s="35" t="e">
        <f t="shared" si="94"/>
        <v>#DIV/0!</v>
      </c>
      <c r="V204" s="35">
        <f t="shared" si="94"/>
        <v>0</v>
      </c>
      <c r="W204" s="35" t="e">
        <f t="shared" si="94"/>
        <v>#DIV/0!</v>
      </c>
      <c r="X204" s="35" t="e">
        <f t="shared" si="94"/>
        <v>#DIV/0!</v>
      </c>
      <c r="Y204" s="35" t="e">
        <f t="shared" si="94"/>
        <v>#DIV/0!</v>
      </c>
      <c r="Z204" s="35" t="e">
        <f t="shared" si="94"/>
        <v>#DIV/0!</v>
      </c>
      <c r="AA204" s="35" t="e">
        <f t="shared" si="94"/>
        <v>#DIV/0!</v>
      </c>
      <c r="AB204" s="35">
        <f t="shared" si="94"/>
        <v>0</v>
      </c>
      <c r="AC204" s="35" t="e">
        <f t="shared" si="94"/>
        <v>#DIV/0!</v>
      </c>
    </row>
    <row r="205" spans="1:29">
      <c r="A205" s="459" t="s">
        <v>352</v>
      </c>
      <c r="B205" s="1" t="s">
        <v>652</v>
      </c>
      <c r="C205" s="35">
        <f t="shared" si="89"/>
        <v>0.35820895522388058</v>
      </c>
      <c r="D205" s="35" t="e">
        <f t="shared" si="89"/>
        <v>#DIV/0!</v>
      </c>
      <c r="E205" s="35">
        <f t="shared" si="89"/>
        <v>0.35714285714285715</v>
      </c>
      <c r="F205" s="35">
        <f t="shared" si="89"/>
        <v>0</v>
      </c>
      <c r="G205" s="35">
        <f t="shared" si="89"/>
        <v>1</v>
      </c>
      <c r="H205" s="35" t="e">
        <f t="shared" si="89"/>
        <v>#DIV/0!</v>
      </c>
      <c r="I205" s="35">
        <f t="shared" si="89"/>
        <v>1</v>
      </c>
      <c r="J205" s="35">
        <f t="shared" si="89"/>
        <v>0</v>
      </c>
      <c r="K205" s="35">
        <f t="shared" si="89"/>
        <v>0.5</v>
      </c>
      <c r="L205" s="35">
        <f t="shared" si="89"/>
        <v>0.33333333333333331</v>
      </c>
      <c r="M205" s="35">
        <f t="shared" si="89"/>
        <v>1</v>
      </c>
      <c r="N205" s="35">
        <f t="shared" si="89"/>
        <v>0</v>
      </c>
      <c r="O205" s="35">
        <f t="shared" si="89"/>
        <v>0.2</v>
      </c>
      <c r="P205" s="35">
        <f t="shared" si="89"/>
        <v>0</v>
      </c>
      <c r="Q205" s="35">
        <f t="shared" si="89"/>
        <v>0.4</v>
      </c>
      <c r="R205" s="35">
        <f t="shared" si="89"/>
        <v>0.33333333333333331</v>
      </c>
      <c r="S205" s="35">
        <f t="shared" ref="S205:AC205" si="95">S191/S$193</f>
        <v>0</v>
      </c>
      <c r="T205" s="35" t="e">
        <f t="shared" si="95"/>
        <v>#DIV/0!</v>
      </c>
      <c r="U205" s="35" t="e">
        <f t="shared" si="95"/>
        <v>#DIV/0!</v>
      </c>
      <c r="V205" s="35">
        <f t="shared" si="95"/>
        <v>0.42857142857142855</v>
      </c>
      <c r="W205" s="35" t="e">
        <f t="shared" si="95"/>
        <v>#DIV/0!</v>
      </c>
      <c r="X205" s="35" t="e">
        <f t="shared" si="95"/>
        <v>#DIV/0!</v>
      </c>
      <c r="Y205" s="35" t="e">
        <f t="shared" si="95"/>
        <v>#DIV/0!</v>
      </c>
      <c r="Z205" s="35" t="e">
        <f t="shared" si="95"/>
        <v>#DIV/0!</v>
      </c>
      <c r="AA205" s="35" t="e">
        <f t="shared" si="95"/>
        <v>#DIV/0!</v>
      </c>
      <c r="AB205" s="35">
        <f t="shared" si="95"/>
        <v>0.5</v>
      </c>
      <c r="AC205" s="35" t="e">
        <f t="shared" si="95"/>
        <v>#DIV/0!</v>
      </c>
    </row>
    <row r="206" spans="1:29">
      <c r="A206" s="459" t="s">
        <v>353</v>
      </c>
      <c r="B206" s="1" t="s">
        <v>652</v>
      </c>
      <c r="C206" s="35">
        <f t="shared" si="89"/>
        <v>5.9701492537313432E-2</v>
      </c>
      <c r="D206" s="35" t="e">
        <f t="shared" si="89"/>
        <v>#DIV/0!</v>
      </c>
      <c r="E206" s="35">
        <f t="shared" si="89"/>
        <v>3.5714285714285712E-2</v>
      </c>
      <c r="F206" s="35">
        <f t="shared" si="89"/>
        <v>0</v>
      </c>
      <c r="G206" s="35">
        <f t="shared" si="89"/>
        <v>0</v>
      </c>
      <c r="H206" s="35" t="e">
        <f t="shared" si="89"/>
        <v>#DIV/0!</v>
      </c>
      <c r="I206" s="35">
        <f t="shared" si="89"/>
        <v>0</v>
      </c>
      <c r="J206" s="35">
        <f t="shared" si="89"/>
        <v>0</v>
      </c>
      <c r="K206" s="35">
        <f t="shared" si="89"/>
        <v>0</v>
      </c>
      <c r="L206" s="35">
        <f t="shared" si="89"/>
        <v>0</v>
      </c>
      <c r="M206" s="35">
        <f t="shared" si="89"/>
        <v>0</v>
      </c>
      <c r="N206" s="35">
        <f t="shared" si="89"/>
        <v>0.66666666666666663</v>
      </c>
      <c r="O206" s="35">
        <f t="shared" si="89"/>
        <v>0</v>
      </c>
      <c r="P206" s="35">
        <f t="shared" si="89"/>
        <v>0</v>
      </c>
      <c r="Q206" s="35">
        <f t="shared" si="89"/>
        <v>0</v>
      </c>
      <c r="R206" s="35">
        <f t="shared" si="89"/>
        <v>0</v>
      </c>
      <c r="S206" s="35">
        <f t="shared" ref="S206:AC206" si="96">S192/S$193</f>
        <v>0</v>
      </c>
      <c r="T206" s="35" t="e">
        <f t="shared" si="96"/>
        <v>#DIV/0!</v>
      </c>
      <c r="U206" s="35" t="e">
        <f t="shared" si="96"/>
        <v>#DIV/0!</v>
      </c>
      <c r="V206" s="35">
        <f t="shared" si="96"/>
        <v>0.14285714285714285</v>
      </c>
      <c r="W206" s="35" t="e">
        <f t="shared" si="96"/>
        <v>#DIV/0!</v>
      </c>
      <c r="X206" s="35" t="e">
        <f t="shared" si="96"/>
        <v>#DIV/0!</v>
      </c>
      <c r="Y206" s="35" t="e">
        <f t="shared" si="96"/>
        <v>#DIV/0!</v>
      </c>
      <c r="Z206" s="35" t="e">
        <f t="shared" si="96"/>
        <v>#DIV/0!</v>
      </c>
      <c r="AA206" s="35" t="e">
        <f t="shared" si="96"/>
        <v>#DIV/0!</v>
      </c>
      <c r="AB206" s="35">
        <f t="shared" si="96"/>
        <v>0</v>
      </c>
      <c r="AC206" s="35" t="e">
        <f t="shared" si="96"/>
        <v>#DIV/0!</v>
      </c>
    </row>
    <row r="207" spans="1:29">
      <c r="A207" s="458" t="s">
        <v>16</v>
      </c>
      <c r="B207" s="458" t="s">
        <v>652</v>
      </c>
      <c r="C207" s="403">
        <f t="shared" ref="C207:AC207" si="97">SUM(C200:C206)</f>
        <v>1</v>
      </c>
      <c r="D207" s="403" t="e">
        <f t="shared" si="97"/>
        <v>#DIV/0!</v>
      </c>
      <c r="E207" s="403">
        <f t="shared" si="97"/>
        <v>0.99999999999999989</v>
      </c>
      <c r="F207" s="403">
        <f t="shared" si="97"/>
        <v>1</v>
      </c>
      <c r="G207" s="403">
        <f t="shared" si="97"/>
        <v>1</v>
      </c>
      <c r="H207" s="403" t="e">
        <f t="shared" si="97"/>
        <v>#DIV/0!</v>
      </c>
      <c r="I207" s="403">
        <f t="shared" si="97"/>
        <v>1</v>
      </c>
      <c r="J207" s="403">
        <f t="shared" si="97"/>
        <v>1</v>
      </c>
      <c r="K207" s="403">
        <f t="shared" si="97"/>
        <v>1</v>
      </c>
      <c r="L207" s="403">
        <f t="shared" si="97"/>
        <v>1</v>
      </c>
      <c r="M207" s="403">
        <f t="shared" si="97"/>
        <v>1</v>
      </c>
      <c r="N207" s="403">
        <f t="shared" si="97"/>
        <v>1</v>
      </c>
      <c r="O207" s="403">
        <f t="shared" si="97"/>
        <v>1</v>
      </c>
      <c r="P207" s="403">
        <f t="shared" si="97"/>
        <v>1</v>
      </c>
      <c r="Q207" s="403">
        <f t="shared" si="97"/>
        <v>1</v>
      </c>
      <c r="R207" s="403">
        <f t="shared" si="97"/>
        <v>1</v>
      </c>
      <c r="S207" s="403">
        <f t="shared" si="97"/>
        <v>1</v>
      </c>
      <c r="T207" s="403" t="e">
        <f t="shared" si="97"/>
        <v>#DIV/0!</v>
      </c>
      <c r="U207" s="403" t="e">
        <f t="shared" si="97"/>
        <v>#DIV/0!</v>
      </c>
      <c r="V207" s="403">
        <f t="shared" si="97"/>
        <v>1</v>
      </c>
      <c r="W207" s="403" t="e">
        <f t="shared" si="97"/>
        <v>#DIV/0!</v>
      </c>
      <c r="X207" s="403" t="e">
        <f t="shared" si="97"/>
        <v>#DIV/0!</v>
      </c>
      <c r="Y207" s="403" t="e">
        <f t="shared" si="97"/>
        <v>#DIV/0!</v>
      </c>
      <c r="Z207" s="403" t="e">
        <f t="shared" si="97"/>
        <v>#DIV/0!</v>
      </c>
      <c r="AA207" s="403" t="e">
        <f t="shared" si="97"/>
        <v>#DIV/0!</v>
      </c>
      <c r="AB207" s="403">
        <f t="shared" si="97"/>
        <v>1</v>
      </c>
      <c r="AC207" s="403" t="e">
        <f t="shared" si="97"/>
        <v>#DIV/0!</v>
      </c>
    </row>
    <row r="208" spans="1:29">
      <c r="A208" s="459"/>
      <c r="C208" s="459"/>
      <c r="D208" s="459"/>
      <c r="E208" s="459"/>
      <c r="F208" s="459"/>
      <c r="G208" s="459"/>
      <c r="H208" s="459"/>
      <c r="I208" s="459"/>
      <c r="J208" s="459"/>
      <c r="K208" s="459"/>
      <c r="L208" s="459"/>
      <c r="M208" s="459"/>
      <c r="N208" s="459"/>
      <c r="O208" s="459"/>
      <c r="P208" s="459"/>
      <c r="Q208" s="459"/>
      <c r="R208" s="459"/>
      <c r="S208" s="459"/>
      <c r="T208" s="459"/>
      <c r="U208" s="459"/>
      <c r="V208" s="459"/>
      <c r="W208" s="459"/>
      <c r="X208" s="459"/>
      <c r="Y208" s="459"/>
      <c r="Z208" s="459"/>
      <c r="AA208" s="459"/>
      <c r="AB208" s="459"/>
      <c r="AC208" s="459"/>
    </row>
    <row r="209" spans="1:29">
      <c r="A209" s="459"/>
      <c r="C209" s="459"/>
      <c r="D209" s="459"/>
      <c r="E209" s="459"/>
      <c r="F209" s="459"/>
      <c r="G209" s="459"/>
      <c r="H209" s="459"/>
      <c r="I209" s="459"/>
      <c r="J209" s="459"/>
      <c r="K209" s="459"/>
      <c r="L209" s="459"/>
      <c r="M209" s="459"/>
      <c r="N209" s="459"/>
      <c r="O209" s="459"/>
      <c r="P209" s="459"/>
      <c r="Q209" s="459"/>
      <c r="R209" s="459"/>
      <c r="S209" s="459"/>
      <c r="T209" s="459"/>
      <c r="U209" s="459"/>
      <c r="V209" s="459"/>
      <c r="W209" s="459"/>
      <c r="X209" s="459"/>
      <c r="Y209" s="459"/>
      <c r="Z209" s="459"/>
      <c r="AA209" s="459"/>
      <c r="AB209" s="459"/>
      <c r="AC209" s="459"/>
    </row>
    <row r="210" spans="1:29">
      <c r="A210" s="459"/>
      <c r="C210" s="459"/>
      <c r="D210" s="459"/>
      <c r="E210" s="459"/>
      <c r="F210" s="459"/>
      <c r="G210" s="459"/>
      <c r="H210" s="459"/>
      <c r="I210" s="459"/>
      <c r="J210" s="459"/>
      <c r="K210" s="459"/>
      <c r="L210" s="459"/>
      <c r="M210" s="459"/>
      <c r="N210" s="459"/>
      <c r="O210" s="459"/>
      <c r="P210" s="459"/>
      <c r="Q210" s="459"/>
      <c r="R210" s="459"/>
      <c r="S210" s="459"/>
      <c r="T210" s="459"/>
      <c r="U210" s="459"/>
      <c r="V210" s="459"/>
      <c r="W210" s="459"/>
      <c r="X210" s="459"/>
      <c r="Y210" s="459"/>
      <c r="Z210" s="459"/>
      <c r="AA210" s="459"/>
      <c r="AB210" s="459"/>
      <c r="AC210" s="459"/>
    </row>
    <row r="211" spans="1:29" ht="15.6">
      <c r="A211" s="425" t="s">
        <v>663</v>
      </c>
      <c r="C211" s="459"/>
      <c r="D211" s="459"/>
      <c r="E211" s="459"/>
      <c r="F211" s="459"/>
      <c r="G211" s="459"/>
      <c r="H211" s="459"/>
      <c r="I211" s="459"/>
      <c r="J211" s="459"/>
      <c r="K211" s="459"/>
      <c r="L211" s="459"/>
      <c r="M211" s="459"/>
      <c r="N211" s="459"/>
      <c r="O211" s="459"/>
      <c r="P211" s="459"/>
      <c r="Q211" s="459"/>
      <c r="R211" s="459"/>
      <c r="S211" s="459"/>
      <c r="T211" s="459"/>
      <c r="U211" s="459"/>
      <c r="V211" s="459"/>
      <c r="W211" s="459"/>
      <c r="X211" s="459"/>
      <c r="Y211" s="459"/>
      <c r="Z211" s="459"/>
      <c r="AA211" s="459"/>
      <c r="AB211" s="459"/>
      <c r="AC211" s="459"/>
    </row>
    <row r="212" spans="1:29">
      <c r="A212" s="131" t="s">
        <v>648</v>
      </c>
      <c r="B212" s="131" t="s">
        <v>64</v>
      </c>
      <c r="C212" s="131" t="str">
        <f>C199</f>
        <v>IE</v>
      </c>
      <c r="D212" s="131" t="str">
        <f t="shared" ref="D212:AC212" si="98">D199</f>
        <v>IE-CW</v>
      </c>
      <c r="E212" s="131" t="str">
        <f t="shared" si="98"/>
        <v>IE-D</v>
      </c>
      <c r="F212" s="131" t="str">
        <f t="shared" si="98"/>
        <v>IE-KE</v>
      </c>
      <c r="G212" s="131" t="str">
        <f t="shared" si="98"/>
        <v>IE-KK</v>
      </c>
      <c r="H212" s="131" t="str">
        <f t="shared" si="98"/>
        <v>IE-LS</v>
      </c>
      <c r="I212" s="131" t="str">
        <f t="shared" si="98"/>
        <v>IE-LD</v>
      </c>
      <c r="J212" s="131" t="str">
        <f t="shared" si="98"/>
        <v>IE-LH</v>
      </c>
      <c r="K212" s="131" t="str">
        <f t="shared" si="98"/>
        <v>IE-MH</v>
      </c>
      <c r="L212" s="131" t="str">
        <f t="shared" si="98"/>
        <v>IE-OY</v>
      </c>
      <c r="M212" s="131" t="str">
        <f t="shared" si="98"/>
        <v>IE-WH</v>
      </c>
      <c r="N212" s="131" t="str">
        <f t="shared" si="98"/>
        <v>IE-WX</v>
      </c>
      <c r="O212" s="131" t="str">
        <f t="shared" si="98"/>
        <v>IE-WW</v>
      </c>
      <c r="P212" s="131" t="str">
        <f t="shared" si="98"/>
        <v>IE-CE</v>
      </c>
      <c r="Q212" s="131" t="str">
        <f t="shared" si="98"/>
        <v>IE-CO</v>
      </c>
      <c r="R212" s="131" t="str">
        <f t="shared" si="98"/>
        <v>IE-KY</v>
      </c>
      <c r="S212" s="131" t="str">
        <f t="shared" si="98"/>
        <v>IE-LK</v>
      </c>
      <c r="T212" s="131" t="str">
        <f t="shared" si="98"/>
        <v>IE-TA</v>
      </c>
      <c r="U212" s="131" t="str">
        <f t="shared" si="98"/>
        <v>IE-WD</v>
      </c>
      <c r="V212" s="131" t="str">
        <f t="shared" si="98"/>
        <v>IE-G</v>
      </c>
      <c r="W212" s="131" t="str">
        <f t="shared" si="98"/>
        <v>IE-LM</v>
      </c>
      <c r="X212" s="131" t="str">
        <f t="shared" si="98"/>
        <v>IE-MO</v>
      </c>
      <c r="Y212" s="131" t="str">
        <f t="shared" si="98"/>
        <v>IE-RN</v>
      </c>
      <c r="Z212" s="131" t="str">
        <f t="shared" si="98"/>
        <v>IE-SO</v>
      </c>
      <c r="AA212" s="131" t="str">
        <f t="shared" si="98"/>
        <v>IE-CN</v>
      </c>
      <c r="AB212" s="131" t="str">
        <f t="shared" si="98"/>
        <v>IE-DL</v>
      </c>
      <c r="AC212" s="131" t="str">
        <f t="shared" si="98"/>
        <v>IE-MN</v>
      </c>
    </row>
    <row r="213" spans="1:29">
      <c r="A213" s="459" t="s">
        <v>347</v>
      </c>
      <c r="B213" s="459" t="s">
        <v>653</v>
      </c>
      <c r="C213" s="505">
        <v>1.7001196099333908</v>
      </c>
      <c r="D213" s="505">
        <v>1.7001196099333908</v>
      </c>
      <c r="E213" s="505">
        <v>1.7001196099333908</v>
      </c>
      <c r="F213" s="505">
        <v>1.7001196099333908</v>
      </c>
      <c r="G213" s="505">
        <v>1.7001196099333908</v>
      </c>
      <c r="H213" s="505">
        <v>1.7001196099333908</v>
      </c>
      <c r="I213" s="505">
        <v>1.7001196099333908</v>
      </c>
      <c r="J213" s="505">
        <v>1.7001196099333908</v>
      </c>
      <c r="K213" s="505">
        <v>1.7001196099333908</v>
      </c>
      <c r="L213" s="505">
        <v>1.7001196099333908</v>
      </c>
      <c r="M213" s="505">
        <v>1.7001196099333908</v>
      </c>
      <c r="N213" s="505">
        <v>1.7001196099333908</v>
      </c>
      <c r="O213" s="505">
        <v>1.7001196099333908</v>
      </c>
      <c r="P213" s="505">
        <v>1.7001196099333908</v>
      </c>
      <c r="Q213" s="505">
        <v>1.7001196099333908</v>
      </c>
      <c r="R213" s="505">
        <v>1.7001196099333908</v>
      </c>
      <c r="S213" s="505">
        <v>1.7001196099333908</v>
      </c>
      <c r="T213" s="505">
        <v>1.7001196099333908</v>
      </c>
      <c r="U213" s="505">
        <v>1.7001196099333908</v>
      </c>
      <c r="V213" s="505">
        <v>1.7001196099333908</v>
      </c>
      <c r="W213" s="505">
        <v>1.7001196099333908</v>
      </c>
      <c r="X213" s="505">
        <v>1.7001196099333908</v>
      </c>
      <c r="Y213" s="505">
        <v>1.7001196099333908</v>
      </c>
      <c r="Z213" s="505">
        <v>1.7001196099333908</v>
      </c>
      <c r="AA213" s="505">
        <v>1.7001196099333908</v>
      </c>
      <c r="AB213" s="505">
        <v>1.7001196099333908</v>
      </c>
      <c r="AC213" s="505">
        <v>1.7001196099333908</v>
      </c>
    </row>
    <row r="214" spans="1:29">
      <c r="A214" s="459" t="s">
        <v>348</v>
      </c>
      <c r="B214" s="459" t="s">
        <v>653</v>
      </c>
      <c r="C214" s="505">
        <v>1.7309333107858809</v>
      </c>
      <c r="D214" s="505">
        <v>1.7309333107858809</v>
      </c>
      <c r="E214" s="505">
        <v>1.7309333107858809</v>
      </c>
      <c r="F214" s="505">
        <v>1.7309333107858809</v>
      </c>
      <c r="G214" s="505">
        <v>1.7309333107858809</v>
      </c>
      <c r="H214" s="505">
        <v>1.7309333107858809</v>
      </c>
      <c r="I214" s="505">
        <v>1.7309333107858809</v>
      </c>
      <c r="J214" s="505">
        <v>1.7309333107858809</v>
      </c>
      <c r="K214" s="505">
        <v>1.7309333107858809</v>
      </c>
      <c r="L214" s="505">
        <v>1.7309333107858809</v>
      </c>
      <c r="M214" s="505">
        <v>1.7309333107858809</v>
      </c>
      <c r="N214" s="505">
        <v>1.7309333107858809</v>
      </c>
      <c r="O214" s="505">
        <v>1.7309333107858809</v>
      </c>
      <c r="P214" s="505">
        <v>1.7309333107858809</v>
      </c>
      <c r="Q214" s="505">
        <v>1.7309333107858809</v>
      </c>
      <c r="R214" s="505">
        <v>1.7309333107858809</v>
      </c>
      <c r="S214" s="505">
        <v>1.7309333107858809</v>
      </c>
      <c r="T214" s="505">
        <v>1.7309333107858809</v>
      </c>
      <c r="U214" s="505">
        <v>1.7309333107858809</v>
      </c>
      <c r="V214" s="505">
        <v>1.7309333107858809</v>
      </c>
      <c r="W214" s="505">
        <v>1.7309333107858809</v>
      </c>
      <c r="X214" s="505">
        <v>1.7309333107858809</v>
      </c>
      <c r="Y214" s="505">
        <v>1.7309333107858809</v>
      </c>
      <c r="Z214" s="505">
        <v>1.7309333107858809</v>
      </c>
      <c r="AA214" s="505">
        <v>1.7309333107858809</v>
      </c>
      <c r="AB214" s="505">
        <v>1.7309333107858809</v>
      </c>
      <c r="AC214" s="505">
        <v>1.7309333107858809</v>
      </c>
    </row>
    <row r="215" spans="1:29">
      <c r="A215" s="459" t="s">
        <v>349</v>
      </c>
      <c r="B215" s="459" t="s">
        <v>653</v>
      </c>
      <c r="C215" s="505">
        <v>1.9263070883172582</v>
      </c>
      <c r="D215" s="505">
        <v>1.9263070883172582</v>
      </c>
      <c r="E215" s="505">
        <v>1.9263070883172582</v>
      </c>
      <c r="F215" s="505">
        <v>1.9263070883172582</v>
      </c>
      <c r="G215" s="505">
        <v>1.9263070883172582</v>
      </c>
      <c r="H215" s="505">
        <v>1.9263070883172582</v>
      </c>
      <c r="I215" s="505">
        <v>1.9263070883172582</v>
      </c>
      <c r="J215" s="505">
        <v>1.9263070883172582</v>
      </c>
      <c r="K215" s="505">
        <v>1.9263070883172582</v>
      </c>
      <c r="L215" s="505">
        <v>1.9263070883172582</v>
      </c>
      <c r="M215" s="505">
        <v>1.9263070883172582</v>
      </c>
      <c r="N215" s="505">
        <v>1.9263070883172582</v>
      </c>
      <c r="O215" s="505">
        <v>1.9263070883172582</v>
      </c>
      <c r="P215" s="505">
        <v>1.9263070883172582</v>
      </c>
      <c r="Q215" s="505">
        <v>1.9263070883172582</v>
      </c>
      <c r="R215" s="505">
        <v>1.9263070883172582</v>
      </c>
      <c r="S215" s="505">
        <v>1.9263070883172582</v>
      </c>
      <c r="T215" s="505">
        <v>1.9263070883172582</v>
      </c>
      <c r="U215" s="505">
        <v>1.9263070883172582</v>
      </c>
      <c r="V215" s="505">
        <v>1.9263070883172582</v>
      </c>
      <c r="W215" s="505">
        <v>1.9263070883172582</v>
      </c>
      <c r="X215" s="505">
        <v>1.9263070883172582</v>
      </c>
      <c r="Y215" s="505">
        <v>1.9263070883172582</v>
      </c>
      <c r="Z215" s="505">
        <v>1.9263070883172582</v>
      </c>
      <c r="AA215" s="505">
        <v>1.9263070883172582</v>
      </c>
      <c r="AB215" s="505">
        <v>1.9263070883172582</v>
      </c>
      <c r="AC215" s="505">
        <v>1.9263070883172582</v>
      </c>
    </row>
    <row r="216" spans="1:29">
      <c r="A216" s="459" t="s">
        <v>350</v>
      </c>
      <c r="B216" s="459" t="s">
        <v>653</v>
      </c>
      <c r="C216" s="505">
        <v>1.9413405466554232</v>
      </c>
      <c r="D216" s="505">
        <v>1.9413405466554232</v>
      </c>
      <c r="E216" s="505">
        <v>1.9413405466554232</v>
      </c>
      <c r="F216" s="505">
        <v>1.9413405466554232</v>
      </c>
      <c r="G216" s="505">
        <v>1.9413405466554232</v>
      </c>
      <c r="H216" s="505">
        <v>1.9413405466554232</v>
      </c>
      <c r="I216" s="505">
        <v>1.9413405466554232</v>
      </c>
      <c r="J216" s="505">
        <v>1.9413405466554232</v>
      </c>
      <c r="K216" s="505">
        <v>1.9413405466554232</v>
      </c>
      <c r="L216" s="505">
        <v>1.9413405466554232</v>
      </c>
      <c r="M216" s="505">
        <v>1.9413405466554232</v>
      </c>
      <c r="N216" s="505">
        <v>1.9413405466554232</v>
      </c>
      <c r="O216" s="505">
        <v>1.9413405466554232</v>
      </c>
      <c r="P216" s="505">
        <v>1.9413405466554232</v>
      </c>
      <c r="Q216" s="505">
        <v>1.9413405466554232</v>
      </c>
      <c r="R216" s="505">
        <v>1.9413405466554232</v>
      </c>
      <c r="S216" s="505">
        <v>1.9413405466554232</v>
      </c>
      <c r="T216" s="505">
        <v>1.9413405466554232</v>
      </c>
      <c r="U216" s="505">
        <v>1.9413405466554232</v>
      </c>
      <c r="V216" s="505">
        <v>1.9413405466554232</v>
      </c>
      <c r="W216" s="505">
        <v>1.9413405466554232</v>
      </c>
      <c r="X216" s="505">
        <v>1.9413405466554232</v>
      </c>
      <c r="Y216" s="505">
        <v>1.9413405466554232</v>
      </c>
      <c r="Z216" s="505">
        <v>1.9413405466554232</v>
      </c>
      <c r="AA216" s="505">
        <v>1.9413405466554232</v>
      </c>
      <c r="AB216" s="505">
        <v>1.9413405466554232</v>
      </c>
      <c r="AC216" s="505">
        <v>1.9413405466554232</v>
      </c>
    </row>
    <row r="217" spans="1:29">
      <c r="A217" s="459" t="s">
        <v>351</v>
      </c>
      <c r="B217" s="459" t="s">
        <v>653</v>
      </c>
      <c r="C217" s="505">
        <v>2.161431948665991</v>
      </c>
      <c r="D217" s="505">
        <v>2.161431948665991</v>
      </c>
      <c r="E217" s="505">
        <v>2.161431948665991</v>
      </c>
      <c r="F217" s="505">
        <v>2.161431948665991</v>
      </c>
      <c r="G217" s="505">
        <v>2.161431948665991</v>
      </c>
      <c r="H217" s="505">
        <v>2.161431948665991</v>
      </c>
      <c r="I217" s="505">
        <v>2.161431948665991</v>
      </c>
      <c r="J217" s="505">
        <v>2.161431948665991</v>
      </c>
      <c r="K217" s="505">
        <v>2.161431948665991</v>
      </c>
      <c r="L217" s="505">
        <v>2.161431948665991</v>
      </c>
      <c r="M217" s="505">
        <v>2.161431948665991</v>
      </c>
      <c r="N217" s="505">
        <v>2.161431948665991</v>
      </c>
      <c r="O217" s="505">
        <v>2.161431948665991</v>
      </c>
      <c r="P217" s="505">
        <v>2.161431948665991</v>
      </c>
      <c r="Q217" s="505">
        <v>2.161431948665991</v>
      </c>
      <c r="R217" s="505">
        <v>2.161431948665991</v>
      </c>
      <c r="S217" s="505">
        <v>2.161431948665991</v>
      </c>
      <c r="T217" s="505">
        <v>2.161431948665991</v>
      </c>
      <c r="U217" s="505">
        <v>2.161431948665991</v>
      </c>
      <c r="V217" s="505">
        <v>2.161431948665991</v>
      </c>
      <c r="W217" s="505">
        <v>2.161431948665991</v>
      </c>
      <c r="X217" s="505">
        <v>2.161431948665991</v>
      </c>
      <c r="Y217" s="505">
        <v>2.161431948665991</v>
      </c>
      <c r="Z217" s="505">
        <v>2.161431948665991</v>
      </c>
      <c r="AA217" s="505">
        <v>2.161431948665991</v>
      </c>
      <c r="AB217" s="505">
        <v>2.161431948665991</v>
      </c>
      <c r="AC217" s="505">
        <v>2.161431948665991</v>
      </c>
    </row>
    <row r="218" spans="1:29">
      <c r="A218" s="459" t="s">
        <v>352</v>
      </c>
      <c r="B218" s="459" t="s">
        <v>653</v>
      </c>
      <c r="C218" s="505">
        <v>2.1989941802073991</v>
      </c>
      <c r="D218" s="505">
        <v>2.1989941802073991</v>
      </c>
      <c r="E218" s="505">
        <v>2.1989941802073991</v>
      </c>
      <c r="F218" s="505">
        <v>2.1989941802073991</v>
      </c>
      <c r="G218" s="505">
        <v>2.1989941802073991</v>
      </c>
      <c r="H218" s="505">
        <v>2.1989941802073991</v>
      </c>
      <c r="I218" s="505">
        <v>2.1989941802073991</v>
      </c>
      <c r="J218" s="505">
        <v>2.1989941802073991</v>
      </c>
      <c r="K218" s="505">
        <v>2.1989941802073991</v>
      </c>
      <c r="L218" s="505">
        <v>2.1989941802073991</v>
      </c>
      <c r="M218" s="505">
        <v>2.1989941802073991</v>
      </c>
      <c r="N218" s="505">
        <v>2.1989941802073991</v>
      </c>
      <c r="O218" s="505">
        <v>2.1989941802073991</v>
      </c>
      <c r="P218" s="505">
        <v>2.1989941802073991</v>
      </c>
      <c r="Q218" s="505">
        <v>2.1989941802073991</v>
      </c>
      <c r="R218" s="505">
        <v>2.1989941802073991</v>
      </c>
      <c r="S218" s="505">
        <v>2.1989941802073991</v>
      </c>
      <c r="T218" s="505">
        <v>2.1989941802073991</v>
      </c>
      <c r="U218" s="505">
        <v>2.1989941802073991</v>
      </c>
      <c r="V218" s="505">
        <v>2.1989941802073991</v>
      </c>
      <c r="W218" s="505">
        <v>2.1989941802073991</v>
      </c>
      <c r="X218" s="505">
        <v>2.1989941802073991</v>
      </c>
      <c r="Y218" s="505">
        <v>2.1989941802073991</v>
      </c>
      <c r="Z218" s="505">
        <v>2.1989941802073991</v>
      </c>
      <c r="AA218" s="505">
        <v>2.1989941802073991</v>
      </c>
      <c r="AB218" s="505">
        <v>2.1989941802073991</v>
      </c>
      <c r="AC218" s="505">
        <v>2.1989941802073991</v>
      </c>
    </row>
    <row r="219" spans="1:29">
      <c r="A219" s="458" t="s">
        <v>353</v>
      </c>
      <c r="B219" s="458" t="s">
        <v>653</v>
      </c>
      <c r="C219" s="506">
        <v>2.290790924916851</v>
      </c>
      <c r="D219" s="506">
        <v>2.290790924916851</v>
      </c>
      <c r="E219" s="506">
        <v>2.290790924916851</v>
      </c>
      <c r="F219" s="506">
        <v>2.290790924916851</v>
      </c>
      <c r="G219" s="506">
        <v>2.290790924916851</v>
      </c>
      <c r="H219" s="506">
        <v>2.290790924916851</v>
      </c>
      <c r="I219" s="506">
        <v>2.290790924916851</v>
      </c>
      <c r="J219" s="506">
        <v>2.290790924916851</v>
      </c>
      <c r="K219" s="506">
        <v>2.290790924916851</v>
      </c>
      <c r="L219" s="506">
        <v>2.290790924916851</v>
      </c>
      <c r="M219" s="506">
        <v>2.290790924916851</v>
      </c>
      <c r="N219" s="506">
        <v>2.290790924916851</v>
      </c>
      <c r="O219" s="506">
        <v>2.290790924916851</v>
      </c>
      <c r="P219" s="506">
        <v>2.290790924916851</v>
      </c>
      <c r="Q219" s="506">
        <v>2.290790924916851</v>
      </c>
      <c r="R219" s="506">
        <v>2.290790924916851</v>
      </c>
      <c r="S219" s="506">
        <v>2.290790924916851</v>
      </c>
      <c r="T219" s="506">
        <v>2.290790924916851</v>
      </c>
      <c r="U219" s="506">
        <v>2.290790924916851</v>
      </c>
      <c r="V219" s="506">
        <v>2.290790924916851</v>
      </c>
      <c r="W219" s="506">
        <v>2.290790924916851</v>
      </c>
      <c r="X219" s="506">
        <v>2.290790924916851</v>
      </c>
      <c r="Y219" s="506">
        <v>2.290790924916851</v>
      </c>
      <c r="Z219" s="506">
        <v>2.290790924916851</v>
      </c>
      <c r="AA219" s="506">
        <v>2.290790924916851</v>
      </c>
      <c r="AB219" s="506">
        <v>2.290790924916851</v>
      </c>
      <c r="AC219" s="506">
        <v>2.290790924916851</v>
      </c>
    </row>
    <row r="220" spans="1:29">
      <c r="A220" s="510" t="s">
        <v>657</v>
      </c>
      <c r="C220" s="459"/>
      <c r="D220" s="459"/>
      <c r="E220" s="459"/>
      <c r="F220" s="459"/>
      <c r="G220" s="459"/>
      <c r="H220" s="459"/>
      <c r="I220" s="459"/>
      <c r="J220" s="459"/>
      <c r="K220" s="459"/>
      <c r="L220" s="459"/>
      <c r="M220" s="459"/>
      <c r="N220" s="459"/>
      <c r="O220" s="459"/>
      <c r="P220" s="459"/>
      <c r="Q220" s="459"/>
      <c r="R220" s="459"/>
      <c r="S220" s="459"/>
      <c r="T220" s="459"/>
      <c r="U220" s="459"/>
      <c r="V220" s="459"/>
      <c r="W220" s="459"/>
      <c r="X220" s="459"/>
      <c r="Y220" s="459"/>
      <c r="Z220" s="459"/>
      <c r="AA220" s="459"/>
      <c r="AB220" s="459"/>
      <c r="AC220" s="459"/>
    </row>
    <row r="223" spans="1:29">
      <c r="A223" s="459"/>
    </row>
    <row r="224" spans="1:29" ht="15.6">
      <c r="A224" s="425" t="s">
        <v>663</v>
      </c>
      <c r="C224" s="459"/>
      <c r="D224" s="459"/>
      <c r="E224" s="459"/>
      <c r="F224" s="459"/>
      <c r="G224" s="459"/>
      <c r="H224" s="459"/>
      <c r="I224" s="459"/>
      <c r="J224" s="459"/>
      <c r="K224" s="459"/>
      <c r="L224" s="459"/>
      <c r="M224" s="459"/>
      <c r="N224" s="459"/>
      <c r="O224" s="459"/>
      <c r="P224" s="459"/>
      <c r="Q224" s="459"/>
      <c r="R224" s="459"/>
      <c r="S224" s="459"/>
      <c r="T224" s="459"/>
      <c r="U224" s="459"/>
      <c r="V224" s="459"/>
      <c r="W224" s="459"/>
      <c r="X224" s="459"/>
      <c r="Y224" s="459"/>
      <c r="Z224" s="459"/>
      <c r="AA224" s="459"/>
      <c r="AB224" s="459"/>
      <c r="AC224" s="459"/>
    </row>
    <row r="225" spans="1:29">
      <c r="A225" s="131" t="s">
        <v>648</v>
      </c>
      <c r="B225" s="131" t="s">
        <v>64</v>
      </c>
      <c r="C225" s="131" t="str">
        <f>C212</f>
        <v>IE</v>
      </c>
      <c r="D225" s="131" t="str">
        <f t="shared" ref="D225:AC225" si="99">D212</f>
        <v>IE-CW</v>
      </c>
      <c r="E225" s="131" t="str">
        <f t="shared" si="99"/>
        <v>IE-D</v>
      </c>
      <c r="F225" s="131" t="str">
        <f t="shared" si="99"/>
        <v>IE-KE</v>
      </c>
      <c r="G225" s="131" t="str">
        <f t="shared" si="99"/>
        <v>IE-KK</v>
      </c>
      <c r="H225" s="131" t="str">
        <f t="shared" si="99"/>
        <v>IE-LS</v>
      </c>
      <c r="I225" s="131" t="str">
        <f t="shared" si="99"/>
        <v>IE-LD</v>
      </c>
      <c r="J225" s="131" t="str">
        <f t="shared" si="99"/>
        <v>IE-LH</v>
      </c>
      <c r="K225" s="131" t="str">
        <f t="shared" si="99"/>
        <v>IE-MH</v>
      </c>
      <c r="L225" s="131" t="str">
        <f t="shared" si="99"/>
        <v>IE-OY</v>
      </c>
      <c r="M225" s="131" t="str">
        <f t="shared" si="99"/>
        <v>IE-WH</v>
      </c>
      <c r="N225" s="131" t="str">
        <f t="shared" si="99"/>
        <v>IE-WX</v>
      </c>
      <c r="O225" s="131" t="str">
        <f t="shared" si="99"/>
        <v>IE-WW</v>
      </c>
      <c r="P225" s="131" t="str">
        <f t="shared" si="99"/>
        <v>IE-CE</v>
      </c>
      <c r="Q225" s="131" t="str">
        <f t="shared" si="99"/>
        <v>IE-CO</v>
      </c>
      <c r="R225" s="131" t="str">
        <f t="shared" si="99"/>
        <v>IE-KY</v>
      </c>
      <c r="S225" s="131" t="str">
        <f t="shared" si="99"/>
        <v>IE-LK</v>
      </c>
      <c r="T225" s="131" t="str">
        <f t="shared" si="99"/>
        <v>IE-TA</v>
      </c>
      <c r="U225" s="131" t="str">
        <f t="shared" si="99"/>
        <v>IE-WD</v>
      </c>
      <c r="V225" s="131" t="str">
        <f t="shared" si="99"/>
        <v>IE-G</v>
      </c>
      <c r="W225" s="131" t="str">
        <f t="shared" si="99"/>
        <v>IE-LM</v>
      </c>
      <c r="X225" s="131" t="str">
        <f t="shared" si="99"/>
        <v>IE-MO</v>
      </c>
      <c r="Y225" s="131" t="str">
        <f t="shared" si="99"/>
        <v>IE-RN</v>
      </c>
      <c r="Z225" s="131" t="str">
        <f t="shared" si="99"/>
        <v>IE-SO</v>
      </c>
      <c r="AA225" s="131" t="str">
        <f t="shared" si="99"/>
        <v>IE-CN</v>
      </c>
      <c r="AB225" s="131" t="str">
        <f t="shared" si="99"/>
        <v>IE-DL</v>
      </c>
      <c r="AC225" s="131" t="str">
        <f t="shared" si="99"/>
        <v>IE-MN</v>
      </c>
    </row>
    <row r="226" spans="1:29">
      <c r="A226" s="459" t="s">
        <v>669</v>
      </c>
      <c r="B226" s="459" t="s">
        <v>653</v>
      </c>
      <c r="C226" s="505">
        <f>SUMPRODUCT(C200:C206,C213:C219)</f>
        <v>1.9907750239914981</v>
      </c>
      <c r="D226" s="505">
        <f>IF(D193&gt;1,SUMPRODUCT(D200:D206,D213:D219),$C$226)</f>
        <v>1.9907750239914981</v>
      </c>
      <c r="E226" s="505">
        <f t="shared" ref="E226:AC226" si="100">IF(E193&gt;1,SUMPRODUCT(E200:E206,E213:E219),$C$226)</f>
        <v>1.9322339095618617</v>
      </c>
      <c r="F226" s="505">
        <f t="shared" si="100"/>
        <v>1.9907750239914981</v>
      </c>
      <c r="G226" s="505">
        <f t="shared" si="100"/>
        <v>1.9907750239914981</v>
      </c>
      <c r="H226" s="505">
        <f t="shared" si="100"/>
        <v>1.9907750239914981</v>
      </c>
      <c r="I226" s="505">
        <f t="shared" si="100"/>
        <v>2.1989941802073991</v>
      </c>
      <c r="J226" s="505">
        <f t="shared" si="100"/>
        <v>1.9907750239914981</v>
      </c>
      <c r="K226" s="505">
        <f t="shared" si="100"/>
        <v>2.1802130644366953</v>
      </c>
      <c r="L226" s="505">
        <f t="shared" si="100"/>
        <v>2.1005888918429378</v>
      </c>
      <c r="M226" s="505">
        <f t="shared" si="100"/>
        <v>1.9907750239914981</v>
      </c>
      <c r="N226" s="505">
        <f t="shared" si="100"/>
        <v>2.2476712661665643</v>
      </c>
      <c r="O226" s="505">
        <f t="shared" si="100"/>
        <v>1.8903695153417397</v>
      </c>
      <c r="P226" s="505">
        <f t="shared" si="100"/>
        <v>1.9907750239914981</v>
      </c>
      <c r="Q226" s="505">
        <f t="shared" si="100"/>
        <v>2.041395308408581</v>
      </c>
      <c r="R226" s="505">
        <f t="shared" si="100"/>
        <v>1.9468181122654045</v>
      </c>
      <c r="S226" s="505">
        <f t="shared" si="100"/>
        <v>1.9338238174863407</v>
      </c>
      <c r="T226" s="505">
        <f t="shared" si="100"/>
        <v>1.9907750239914981</v>
      </c>
      <c r="U226" s="505">
        <f t="shared" si="100"/>
        <v>1.9907750239914981</v>
      </c>
      <c r="V226" s="505">
        <f t="shared" si="100"/>
        <v>1.9983046136198885</v>
      </c>
      <c r="W226" s="505">
        <f t="shared" si="100"/>
        <v>1.9907750239914981</v>
      </c>
      <c r="X226" s="505">
        <f t="shared" si="100"/>
        <v>1.9907750239914981</v>
      </c>
      <c r="Y226" s="505">
        <f t="shared" si="100"/>
        <v>1.9907750239914981</v>
      </c>
      <c r="Z226" s="505">
        <f t="shared" si="100"/>
        <v>1.9907750239914981</v>
      </c>
      <c r="AA226" s="505">
        <f t="shared" si="100"/>
        <v>1.9907750239914981</v>
      </c>
      <c r="AB226" s="505">
        <f t="shared" si="100"/>
        <v>1.949556895070395</v>
      </c>
      <c r="AC226" s="505">
        <f t="shared" si="100"/>
        <v>1.9907750239914981</v>
      </c>
    </row>
    <row r="227" spans="1:29">
      <c r="A227" s="458"/>
      <c r="B227" s="458" t="s">
        <v>640</v>
      </c>
      <c r="C227" s="508">
        <f>1000/C226</f>
        <v>502.31693081772892</v>
      </c>
      <c r="D227" s="508">
        <f>1000/D226</f>
        <v>502.31693081772892</v>
      </c>
      <c r="E227" s="508">
        <f>1000/E226</f>
        <v>517.53568501794496</v>
      </c>
      <c r="F227" s="508">
        <f>1000/F226</f>
        <v>502.31693081772892</v>
      </c>
      <c r="G227" s="508">
        <f t="shared" ref="G227" si="101">1000/G226</f>
        <v>502.31693081772892</v>
      </c>
      <c r="H227" s="508">
        <f t="shared" ref="H227" si="102">1000/H226</f>
        <v>502.31693081772892</v>
      </c>
      <c r="I227" s="508">
        <f t="shared" ref="I227" si="103">1000/I226</f>
        <v>454.7533636063032</v>
      </c>
      <c r="J227" s="508">
        <f t="shared" ref="J227" si="104">1000/J226</f>
        <v>502.31693081772892</v>
      </c>
      <c r="K227" s="508">
        <f t="shared" ref="K227" si="105">1000/K226</f>
        <v>458.67076769323523</v>
      </c>
      <c r="L227" s="508">
        <f t="shared" ref="L227" si="106">1000/L226</f>
        <v>476.05697806135527</v>
      </c>
      <c r="M227" s="508">
        <f t="shared" ref="M227" si="107">1000/M226</f>
        <v>502.31693081772892</v>
      </c>
      <c r="N227" s="508">
        <f t="shared" ref="N227" si="108">1000/N226</f>
        <v>444.9049178377025</v>
      </c>
      <c r="O227" s="508">
        <f t="shared" ref="O227" si="109">1000/O226</f>
        <v>528.99710447310122</v>
      </c>
      <c r="P227" s="508">
        <f t="shared" ref="P227" si="110">1000/P226</f>
        <v>502.31693081772892</v>
      </c>
      <c r="Q227" s="508">
        <f t="shared" ref="Q227" si="111">1000/Q226</f>
        <v>489.86102587821375</v>
      </c>
      <c r="R227" s="508">
        <f t="shared" ref="R227" si="112">1000/R226</f>
        <v>513.65866882980424</v>
      </c>
      <c r="S227" s="508">
        <f t="shared" ref="S227" si="113">1000/S226</f>
        <v>517.11018912769362</v>
      </c>
      <c r="T227" s="508">
        <f t="shared" ref="T227" si="114">1000/T226</f>
        <v>502.31693081772892</v>
      </c>
      <c r="U227" s="508">
        <f t="shared" ref="U227" si="115">1000/U226</f>
        <v>502.31693081772892</v>
      </c>
      <c r="V227" s="508">
        <f t="shared" ref="V227" si="116">1000/V226</f>
        <v>500.42420619172776</v>
      </c>
      <c r="W227" s="508">
        <f t="shared" ref="W227" si="117">1000/W226</f>
        <v>502.31693081772892</v>
      </c>
      <c r="X227" s="508">
        <f t="shared" ref="X227" si="118">1000/X226</f>
        <v>502.31693081772892</v>
      </c>
      <c r="Y227" s="508">
        <f t="shared" ref="Y227" si="119">1000/Y226</f>
        <v>502.31693081772892</v>
      </c>
      <c r="Z227" s="508">
        <f t="shared" ref="Z227" si="120">1000/Z226</f>
        <v>502.31693081772892</v>
      </c>
      <c r="AA227" s="508">
        <f t="shared" ref="AA227" si="121">1000/AA226</f>
        <v>502.31693081772892</v>
      </c>
      <c r="AB227" s="508">
        <f t="shared" ref="AB227" si="122">1000/AB226</f>
        <v>512.93706920202078</v>
      </c>
      <c r="AC227" s="508">
        <f t="shared" ref="AC227" si="123">1000/AC226</f>
        <v>502.31693081772892</v>
      </c>
    </row>
    <row r="228" spans="1:29">
      <c r="A228" s="21" t="s">
        <v>658</v>
      </c>
    </row>
    <row r="230" spans="1:29" s="459" customFormat="1"/>
    <row r="232" spans="1:29">
      <c r="A232" s="511"/>
      <c r="B232" s="511"/>
      <c r="C232" s="511"/>
      <c r="D232" s="511"/>
      <c r="E232" s="511"/>
      <c r="F232" s="511"/>
      <c r="G232" s="511"/>
      <c r="H232" s="511"/>
      <c r="I232" s="511"/>
      <c r="J232" s="511"/>
      <c r="K232" s="511"/>
      <c r="L232" s="511"/>
      <c r="M232" s="511"/>
      <c r="N232" s="511"/>
      <c r="O232" s="511"/>
      <c r="P232" s="511"/>
      <c r="Q232" s="511"/>
      <c r="R232" s="511"/>
      <c r="S232" s="511"/>
      <c r="T232" s="511"/>
      <c r="U232" s="511"/>
      <c r="V232" s="511"/>
      <c r="W232" s="511"/>
      <c r="X232" s="511"/>
      <c r="Y232" s="511"/>
      <c r="Z232" s="511"/>
      <c r="AA232" s="511"/>
      <c r="AB232" s="511"/>
      <c r="AC232" s="511"/>
    </row>
    <row r="233" spans="1:29" ht="15.6">
      <c r="A233" s="401" t="s">
        <v>662</v>
      </c>
      <c r="C233" s="459"/>
      <c r="D233" s="459"/>
      <c r="E233" s="459"/>
      <c r="F233" s="459"/>
      <c r="G233" s="459"/>
      <c r="H233" s="459"/>
      <c r="I233" s="459"/>
      <c r="J233" s="459"/>
      <c r="K233" s="459"/>
      <c r="L233" s="459"/>
      <c r="M233" s="459"/>
      <c r="N233" s="459"/>
      <c r="O233" s="459"/>
      <c r="P233" s="459"/>
      <c r="Q233" s="459"/>
      <c r="R233" s="459"/>
      <c r="S233" s="459"/>
      <c r="T233" s="459"/>
      <c r="U233" s="459"/>
      <c r="V233" s="459"/>
      <c r="W233" s="459"/>
      <c r="X233" s="459"/>
      <c r="Y233" s="459"/>
      <c r="Z233" s="459"/>
      <c r="AA233" s="459"/>
      <c r="AB233" s="459"/>
      <c r="AC233" s="459"/>
    </row>
    <row r="234" spans="1:29">
      <c r="A234" s="131" t="s">
        <v>648</v>
      </c>
      <c r="B234" s="131" t="s">
        <v>64</v>
      </c>
      <c r="C234" s="131" t="str">
        <f>C225</f>
        <v>IE</v>
      </c>
      <c r="D234" s="131" t="str">
        <f t="shared" ref="D234:AC234" si="124">D225</f>
        <v>IE-CW</v>
      </c>
      <c r="E234" s="131" t="str">
        <f t="shared" si="124"/>
        <v>IE-D</v>
      </c>
      <c r="F234" s="131" t="str">
        <f t="shared" si="124"/>
        <v>IE-KE</v>
      </c>
      <c r="G234" s="131" t="str">
        <f t="shared" si="124"/>
        <v>IE-KK</v>
      </c>
      <c r="H234" s="131" t="str">
        <f t="shared" si="124"/>
        <v>IE-LS</v>
      </c>
      <c r="I234" s="131" t="str">
        <f t="shared" si="124"/>
        <v>IE-LD</v>
      </c>
      <c r="J234" s="131" t="str">
        <f t="shared" si="124"/>
        <v>IE-LH</v>
      </c>
      <c r="K234" s="131" t="str">
        <f t="shared" si="124"/>
        <v>IE-MH</v>
      </c>
      <c r="L234" s="131" t="str">
        <f t="shared" si="124"/>
        <v>IE-OY</v>
      </c>
      <c r="M234" s="131" t="str">
        <f t="shared" si="124"/>
        <v>IE-WH</v>
      </c>
      <c r="N234" s="131" t="str">
        <f t="shared" si="124"/>
        <v>IE-WX</v>
      </c>
      <c r="O234" s="131" t="str">
        <f t="shared" si="124"/>
        <v>IE-WW</v>
      </c>
      <c r="P234" s="131" t="str">
        <f t="shared" si="124"/>
        <v>IE-CE</v>
      </c>
      <c r="Q234" s="131" t="str">
        <f t="shared" si="124"/>
        <v>IE-CO</v>
      </c>
      <c r="R234" s="131" t="str">
        <f t="shared" si="124"/>
        <v>IE-KY</v>
      </c>
      <c r="S234" s="131" t="str">
        <f t="shared" si="124"/>
        <v>IE-LK</v>
      </c>
      <c r="T234" s="131" t="str">
        <f t="shared" si="124"/>
        <v>IE-TA</v>
      </c>
      <c r="U234" s="131" t="str">
        <f t="shared" si="124"/>
        <v>IE-WD</v>
      </c>
      <c r="V234" s="131" t="str">
        <f t="shared" si="124"/>
        <v>IE-G</v>
      </c>
      <c r="W234" s="131" t="str">
        <f t="shared" si="124"/>
        <v>IE-LM</v>
      </c>
      <c r="X234" s="131" t="str">
        <f t="shared" si="124"/>
        <v>IE-MO</v>
      </c>
      <c r="Y234" s="131" t="str">
        <f t="shared" si="124"/>
        <v>IE-RN</v>
      </c>
      <c r="Z234" s="131" t="str">
        <f t="shared" si="124"/>
        <v>IE-SO</v>
      </c>
      <c r="AA234" s="131" t="str">
        <f t="shared" si="124"/>
        <v>IE-CN</v>
      </c>
      <c r="AB234" s="131" t="str">
        <f t="shared" si="124"/>
        <v>IE-DL</v>
      </c>
      <c r="AC234" s="131" t="str">
        <f t="shared" si="124"/>
        <v>IE-MN</v>
      </c>
    </row>
    <row r="235" spans="1:29">
      <c r="A235" s="459" t="s">
        <v>347</v>
      </c>
      <c r="B235" s="459" t="s">
        <v>539</v>
      </c>
      <c r="C235" s="9">
        <f>SUM(D235:AC235)</f>
        <v>0</v>
      </c>
      <c r="D235" s="9">
        <v>0</v>
      </c>
      <c r="E235" s="9">
        <v>0</v>
      </c>
      <c r="F235" s="9">
        <v>0</v>
      </c>
      <c r="G235" s="9">
        <v>0</v>
      </c>
      <c r="H235" s="9">
        <v>0</v>
      </c>
      <c r="I235" s="9">
        <v>0</v>
      </c>
      <c r="J235" s="9">
        <v>0</v>
      </c>
      <c r="K235" s="9">
        <v>0</v>
      </c>
      <c r="L235" s="9">
        <v>0</v>
      </c>
      <c r="M235" s="9">
        <v>0</v>
      </c>
      <c r="N235" s="9">
        <v>0</v>
      </c>
      <c r="O235" s="9">
        <v>0</v>
      </c>
      <c r="P235" s="9">
        <v>0</v>
      </c>
      <c r="Q235" s="9">
        <v>0</v>
      </c>
      <c r="R235" s="9">
        <v>0</v>
      </c>
      <c r="S235" s="9">
        <v>0</v>
      </c>
      <c r="T235" s="9">
        <v>0</v>
      </c>
      <c r="U235" s="9">
        <v>0</v>
      </c>
      <c r="V235" s="9">
        <v>0</v>
      </c>
      <c r="W235" s="9">
        <v>0</v>
      </c>
      <c r="X235" s="9">
        <v>0</v>
      </c>
      <c r="Y235" s="9">
        <v>0</v>
      </c>
      <c r="Z235" s="9">
        <v>0</v>
      </c>
      <c r="AA235" s="9">
        <v>0</v>
      </c>
      <c r="AB235" s="9">
        <v>0</v>
      </c>
      <c r="AC235" s="9">
        <v>0</v>
      </c>
    </row>
    <row r="236" spans="1:29">
      <c r="A236" s="459" t="s">
        <v>348</v>
      </c>
      <c r="B236" s="459" t="s">
        <v>539</v>
      </c>
      <c r="C236" s="9">
        <f t="shared" ref="C236:C241" si="125">SUM(D236:AC236)</f>
        <v>5667</v>
      </c>
      <c r="D236" s="9">
        <v>72</v>
      </c>
      <c r="E236" s="9">
        <v>157</v>
      </c>
      <c r="F236" s="9">
        <v>210</v>
      </c>
      <c r="G236" s="9">
        <v>418</v>
      </c>
      <c r="H236" s="9">
        <v>87</v>
      </c>
      <c r="I236" s="9">
        <v>215</v>
      </c>
      <c r="J236" s="9">
        <v>32</v>
      </c>
      <c r="K236" s="9">
        <v>43</v>
      </c>
      <c r="L236" s="9">
        <v>43</v>
      </c>
      <c r="M236" s="9">
        <v>182</v>
      </c>
      <c r="N236" s="9">
        <v>147</v>
      </c>
      <c r="O236" s="9">
        <v>252</v>
      </c>
      <c r="P236" s="9">
        <v>144</v>
      </c>
      <c r="Q236" s="9">
        <v>806</v>
      </c>
      <c r="R236" s="9">
        <v>214</v>
      </c>
      <c r="S236" s="9">
        <v>25</v>
      </c>
      <c r="T236" s="9">
        <v>61</v>
      </c>
      <c r="U236" s="9">
        <v>160</v>
      </c>
      <c r="V236" s="9">
        <v>1421</v>
      </c>
      <c r="W236" s="9">
        <v>79</v>
      </c>
      <c r="X236" s="9">
        <v>194</v>
      </c>
      <c r="Y236" s="9">
        <v>64</v>
      </c>
      <c r="Z236" s="9">
        <v>59</v>
      </c>
      <c r="AA236" s="9">
        <v>75</v>
      </c>
      <c r="AB236" s="9">
        <v>145</v>
      </c>
      <c r="AC236" s="9">
        <v>362</v>
      </c>
    </row>
    <row r="237" spans="1:29">
      <c r="A237" s="459" t="s">
        <v>349</v>
      </c>
      <c r="B237" s="459" t="s">
        <v>539</v>
      </c>
      <c r="C237" s="9">
        <f t="shared" si="125"/>
        <v>0</v>
      </c>
      <c r="D237" s="9">
        <v>0</v>
      </c>
      <c r="E237" s="9">
        <v>0</v>
      </c>
      <c r="F237" s="9">
        <v>0</v>
      </c>
      <c r="G237" s="9">
        <v>0</v>
      </c>
      <c r="H237" s="9">
        <v>0</v>
      </c>
      <c r="I237" s="9">
        <v>0</v>
      </c>
      <c r="J237" s="9">
        <v>0</v>
      </c>
      <c r="K237" s="9">
        <v>0</v>
      </c>
      <c r="L237" s="9">
        <v>0</v>
      </c>
      <c r="M237" s="9">
        <v>0</v>
      </c>
      <c r="N237" s="9">
        <v>0</v>
      </c>
      <c r="O237" s="9">
        <v>0</v>
      </c>
      <c r="P237" s="9">
        <v>0</v>
      </c>
      <c r="Q237" s="9">
        <v>0</v>
      </c>
      <c r="R237" s="9">
        <v>0</v>
      </c>
      <c r="S237" s="9">
        <v>0</v>
      </c>
      <c r="T237" s="9">
        <v>0</v>
      </c>
      <c r="U237" s="9">
        <v>0</v>
      </c>
      <c r="V237" s="9">
        <v>0</v>
      </c>
      <c r="W237" s="9">
        <v>0</v>
      </c>
      <c r="X237" s="9">
        <v>0</v>
      </c>
      <c r="Y237" s="9">
        <v>0</v>
      </c>
      <c r="Z237" s="9">
        <v>0</v>
      </c>
      <c r="AA237" s="9">
        <v>0</v>
      </c>
      <c r="AB237" s="9">
        <v>0</v>
      </c>
      <c r="AC237" s="9">
        <v>0</v>
      </c>
    </row>
    <row r="238" spans="1:29">
      <c r="A238" s="459" t="s">
        <v>350</v>
      </c>
      <c r="B238" s="459" t="s">
        <v>539</v>
      </c>
      <c r="C238" s="9">
        <f t="shared" si="125"/>
        <v>33</v>
      </c>
      <c r="D238" s="9">
        <v>1</v>
      </c>
      <c r="E238" s="9"/>
      <c r="F238" s="9">
        <v>3</v>
      </c>
      <c r="G238" s="9">
        <v>2</v>
      </c>
      <c r="H238" s="9">
        <v>1</v>
      </c>
      <c r="I238" s="9">
        <v>1</v>
      </c>
      <c r="J238" s="9"/>
      <c r="K238" s="9">
        <v>1</v>
      </c>
      <c r="L238" s="9"/>
      <c r="M238" s="9"/>
      <c r="N238" s="9"/>
      <c r="O238" s="9"/>
      <c r="P238" s="9">
        <v>1</v>
      </c>
      <c r="Q238" s="9">
        <v>2</v>
      </c>
      <c r="R238" s="9">
        <v>1</v>
      </c>
      <c r="S238" s="9"/>
      <c r="T238" s="9"/>
      <c r="U238" s="9"/>
      <c r="V238" s="9">
        <v>14</v>
      </c>
      <c r="W238" s="9"/>
      <c r="X238" s="9">
        <v>1</v>
      </c>
      <c r="Y238" s="9">
        <v>1</v>
      </c>
      <c r="Z238" s="9"/>
      <c r="AA238" s="9"/>
      <c r="AB238" s="9"/>
      <c r="AC238" s="9">
        <v>4</v>
      </c>
    </row>
    <row r="239" spans="1:29">
      <c r="A239" s="459" t="s">
        <v>351</v>
      </c>
      <c r="B239" s="459" t="s">
        <v>539</v>
      </c>
      <c r="C239" s="9">
        <f t="shared" si="125"/>
        <v>1726</v>
      </c>
      <c r="D239" s="9">
        <v>18</v>
      </c>
      <c r="E239" s="9">
        <v>63</v>
      </c>
      <c r="F239" s="9">
        <v>42</v>
      </c>
      <c r="G239" s="9">
        <v>104</v>
      </c>
      <c r="H239" s="9">
        <v>19</v>
      </c>
      <c r="I239" s="9">
        <v>61</v>
      </c>
      <c r="J239" s="9">
        <v>9</v>
      </c>
      <c r="K239" s="9">
        <v>17</v>
      </c>
      <c r="L239" s="9">
        <v>3</v>
      </c>
      <c r="M239" s="9">
        <v>43</v>
      </c>
      <c r="N239" s="9">
        <v>13</v>
      </c>
      <c r="O239" s="9">
        <v>36</v>
      </c>
      <c r="P239" s="9">
        <v>42</v>
      </c>
      <c r="Q239" s="9">
        <v>212</v>
      </c>
      <c r="R239" s="9">
        <v>96</v>
      </c>
      <c r="S239" s="9">
        <v>2</v>
      </c>
      <c r="T239" s="9">
        <v>9</v>
      </c>
      <c r="U239" s="9">
        <v>45</v>
      </c>
      <c r="V239" s="9">
        <v>720</v>
      </c>
      <c r="W239" s="9">
        <v>21</v>
      </c>
      <c r="X239" s="9">
        <v>35</v>
      </c>
      <c r="Y239" s="9">
        <v>16</v>
      </c>
      <c r="Z239" s="9">
        <v>7</v>
      </c>
      <c r="AA239" s="9">
        <v>7</v>
      </c>
      <c r="AB239" s="9">
        <v>22</v>
      </c>
      <c r="AC239" s="9">
        <v>64</v>
      </c>
    </row>
    <row r="240" spans="1:29">
      <c r="A240" s="459" t="s">
        <v>352</v>
      </c>
      <c r="B240" s="459" t="s">
        <v>539</v>
      </c>
      <c r="C240" s="9">
        <f t="shared" si="125"/>
        <v>1103</v>
      </c>
      <c r="D240" s="9">
        <v>7</v>
      </c>
      <c r="E240" s="9">
        <v>45</v>
      </c>
      <c r="F240" s="9">
        <v>26</v>
      </c>
      <c r="G240" s="9">
        <v>50</v>
      </c>
      <c r="H240" s="9">
        <v>17</v>
      </c>
      <c r="I240" s="9">
        <v>39</v>
      </c>
      <c r="J240" s="9">
        <v>0</v>
      </c>
      <c r="K240" s="9">
        <v>22</v>
      </c>
      <c r="L240" s="9">
        <v>7</v>
      </c>
      <c r="M240" s="9">
        <v>35</v>
      </c>
      <c r="N240" s="9">
        <v>17</v>
      </c>
      <c r="O240" s="9">
        <v>27</v>
      </c>
      <c r="P240" s="9">
        <v>18</v>
      </c>
      <c r="Q240" s="9">
        <v>142</v>
      </c>
      <c r="R240" s="9">
        <v>39</v>
      </c>
      <c r="S240" s="9">
        <v>6</v>
      </c>
      <c r="T240" s="9">
        <v>5</v>
      </c>
      <c r="U240" s="9">
        <v>24</v>
      </c>
      <c r="V240" s="9">
        <v>471</v>
      </c>
      <c r="W240" s="9">
        <v>7</v>
      </c>
      <c r="X240" s="9">
        <v>17</v>
      </c>
      <c r="Y240" s="9">
        <v>4</v>
      </c>
      <c r="Z240" s="9">
        <v>9</v>
      </c>
      <c r="AA240" s="9">
        <v>9</v>
      </c>
      <c r="AB240" s="9">
        <v>18</v>
      </c>
      <c r="AC240" s="9">
        <v>42</v>
      </c>
    </row>
    <row r="241" spans="1:29">
      <c r="A241" s="459" t="s">
        <v>353</v>
      </c>
      <c r="B241" s="459" t="s">
        <v>539</v>
      </c>
      <c r="C241" s="9">
        <f t="shared" si="125"/>
        <v>0</v>
      </c>
      <c r="D241" s="396">
        <v>0</v>
      </c>
      <c r="E241" s="396">
        <v>0</v>
      </c>
      <c r="F241" s="396">
        <v>0</v>
      </c>
      <c r="G241" s="396">
        <v>0</v>
      </c>
      <c r="H241" s="396">
        <v>0</v>
      </c>
      <c r="I241" s="396">
        <v>0</v>
      </c>
      <c r="J241" s="396">
        <v>0</v>
      </c>
      <c r="K241" s="396">
        <v>0</v>
      </c>
      <c r="L241" s="396">
        <v>0</v>
      </c>
      <c r="M241" s="396">
        <v>0</v>
      </c>
      <c r="N241" s="396">
        <v>0</v>
      </c>
      <c r="O241" s="396">
        <v>0</v>
      </c>
      <c r="P241" s="396">
        <v>0</v>
      </c>
      <c r="Q241" s="396">
        <v>0</v>
      </c>
      <c r="R241" s="396">
        <v>0</v>
      </c>
      <c r="S241" s="396">
        <v>0</v>
      </c>
      <c r="T241" s="396">
        <v>0</v>
      </c>
      <c r="U241" s="396">
        <v>0</v>
      </c>
      <c r="V241" s="396">
        <v>0</v>
      </c>
      <c r="W241" s="396">
        <v>0</v>
      </c>
      <c r="X241" s="396">
        <v>0</v>
      </c>
      <c r="Y241" s="396">
        <v>0</v>
      </c>
      <c r="Z241" s="396">
        <v>0</v>
      </c>
      <c r="AA241" s="396">
        <v>0</v>
      </c>
      <c r="AB241" s="396">
        <v>0</v>
      </c>
      <c r="AC241" s="396">
        <v>0</v>
      </c>
    </row>
    <row r="242" spans="1:29">
      <c r="A242" s="458" t="s">
        <v>16</v>
      </c>
      <c r="B242" s="458" t="s">
        <v>539</v>
      </c>
      <c r="C242" s="504">
        <f>SUM(C235:C241)</f>
        <v>8529</v>
      </c>
      <c r="D242" s="504">
        <f t="shared" ref="D242:AC242" si="126">SUM(D235:D241)</f>
        <v>98</v>
      </c>
      <c r="E242" s="504">
        <f t="shared" si="126"/>
        <v>265</v>
      </c>
      <c r="F242" s="504">
        <f t="shared" si="126"/>
        <v>281</v>
      </c>
      <c r="G242" s="504">
        <f t="shared" si="126"/>
        <v>574</v>
      </c>
      <c r="H242" s="504">
        <f t="shared" si="126"/>
        <v>124</v>
      </c>
      <c r="I242" s="504">
        <f t="shared" si="126"/>
        <v>316</v>
      </c>
      <c r="J242" s="504">
        <f t="shared" si="126"/>
        <v>41</v>
      </c>
      <c r="K242" s="504">
        <f t="shared" si="126"/>
        <v>83</v>
      </c>
      <c r="L242" s="504">
        <f t="shared" si="126"/>
        <v>53</v>
      </c>
      <c r="M242" s="504">
        <f t="shared" si="126"/>
        <v>260</v>
      </c>
      <c r="N242" s="504">
        <f t="shared" si="126"/>
        <v>177</v>
      </c>
      <c r="O242" s="504">
        <f t="shared" si="126"/>
        <v>315</v>
      </c>
      <c r="P242" s="504">
        <f t="shared" si="126"/>
        <v>205</v>
      </c>
      <c r="Q242" s="504">
        <f t="shared" si="126"/>
        <v>1162</v>
      </c>
      <c r="R242" s="504">
        <f t="shared" si="126"/>
        <v>350</v>
      </c>
      <c r="S242" s="504">
        <f t="shared" si="126"/>
        <v>33</v>
      </c>
      <c r="T242" s="504">
        <f t="shared" si="126"/>
        <v>75</v>
      </c>
      <c r="U242" s="504">
        <f t="shared" si="126"/>
        <v>229</v>
      </c>
      <c r="V242" s="504">
        <f t="shared" si="126"/>
        <v>2626</v>
      </c>
      <c r="W242" s="504">
        <f t="shared" si="126"/>
        <v>107</v>
      </c>
      <c r="X242" s="504">
        <f t="shared" si="126"/>
        <v>247</v>
      </c>
      <c r="Y242" s="504">
        <f t="shared" si="126"/>
        <v>85</v>
      </c>
      <c r="Z242" s="504">
        <f t="shared" si="126"/>
        <v>75</v>
      </c>
      <c r="AA242" s="504">
        <f t="shared" si="126"/>
        <v>91</v>
      </c>
      <c r="AB242" s="504">
        <f t="shared" si="126"/>
        <v>185</v>
      </c>
      <c r="AC242" s="504">
        <f t="shared" si="126"/>
        <v>472</v>
      </c>
    </row>
    <row r="243" spans="1:29">
      <c r="A243" s="459" t="s">
        <v>659</v>
      </c>
      <c r="C243" s="459"/>
      <c r="D243" s="459"/>
      <c r="E243" s="459"/>
      <c r="F243" s="459"/>
      <c r="G243" s="459"/>
      <c r="H243" s="459"/>
      <c r="I243" s="459"/>
      <c r="J243" s="459"/>
      <c r="K243" s="459"/>
      <c r="L243" s="459"/>
      <c r="M243" s="459"/>
      <c r="N243" s="459"/>
      <c r="O243" s="459"/>
      <c r="P243" s="459"/>
      <c r="Q243" s="459"/>
      <c r="R243" s="459"/>
      <c r="S243" s="459"/>
      <c r="T243" s="459"/>
      <c r="U243" s="459"/>
      <c r="V243" s="459"/>
      <c r="W243" s="459"/>
      <c r="X243" s="459"/>
      <c r="Y243" s="459"/>
      <c r="Z243" s="459"/>
      <c r="AA243" s="459"/>
      <c r="AB243" s="459"/>
      <c r="AC243" s="459"/>
    </row>
    <row r="247" spans="1:29" ht="15.6">
      <c r="A247" s="425" t="s">
        <v>660</v>
      </c>
      <c r="C247" s="459"/>
      <c r="D247" s="459"/>
      <c r="E247" s="459"/>
      <c r="F247" s="459"/>
      <c r="G247" s="459"/>
      <c r="H247" s="459"/>
      <c r="I247" s="459"/>
      <c r="J247" s="459"/>
      <c r="K247" s="459"/>
      <c r="L247" s="459"/>
      <c r="M247" s="459"/>
      <c r="N247" s="459"/>
      <c r="O247" s="459"/>
      <c r="P247" s="459"/>
      <c r="Q247" s="459"/>
      <c r="R247" s="459"/>
      <c r="S247" s="459"/>
      <c r="T247" s="459"/>
      <c r="U247" s="459"/>
      <c r="V247" s="459"/>
      <c r="W247" s="459"/>
      <c r="X247" s="459"/>
      <c r="Y247" s="459"/>
      <c r="Z247" s="459"/>
      <c r="AA247" s="459"/>
      <c r="AB247" s="459"/>
      <c r="AC247" s="459"/>
    </row>
    <row r="248" spans="1:29">
      <c r="A248" s="131" t="s">
        <v>648</v>
      </c>
      <c r="B248" s="131" t="s">
        <v>64</v>
      </c>
      <c r="C248" s="131" t="str">
        <f>C234</f>
        <v>IE</v>
      </c>
      <c r="D248" s="131" t="str">
        <f t="shared" ref="D248:AC248" si="127">D234</f>
        <v>IE-CW</v>
      </c>
      <c r="E248" s="131" t="str">
        <f t="shared" si="127"/>
        <v>IE-D</v>
      </c>
      <c r="F248" s="131" t="str">
        <f t="shared" si="127"/>
        <v>IE-KE</v>
      </c>
      <c r="G248" s="131" t="str">
        <f t="shared" si="127"/>
        <v>IE-KK</v>
      </c>
      <c r="H248" s="131" t="str">
        <f t="shared" si="127"/>
        <v>IE-LS</v>
      </c>
      <c r="I248" s="131" t="str">
        <f t="shared" si="127"/>
        <v>IE-LD</v>
      </c>
      <c r="J248" s="131" t="str">
        <f t="shared" si="127"/>
        <v>IE-LH</v>
      </c>
      <c r="K248" s="131" t="str">
        <f t="shared" si="127"/>
        <v>IE-MH</v>
      </c>
      <c r="L248" s="131" t="str">
        <f t="shared" si="127"/>
        <v>IE-OY</v>
      </c>
      <c r="M248" s="131" t="str">
        <f t="shared" si="127"/>
        <v>IE-WH</v>
      </c>
      <c r="N248" s="131" t="str">
        <f t="shared" si="127"/>
        <v>IE-WX</v>
      </c>
      <c r="O248" s="131" t="str">
        <f t="shared" si="127"/>
        <v>IE-WW</v>
      </c>
      <c r="P248" s="131" t="str">
        <f t="shared" si="127"/>
        <v>IE-CE</v>
      </c>
      <c r="Q248" s="131" t="str">
        <f t="shared" si="127"/>
        <v>IE-CO</v>
      </c>
      <c r="R248" s="131" t="str">
        <f t="shared" si="127"/>
        <v>IE-KY</v>
      </c>
      <c r="S248" s="131" t="str">
        <f t="shared" si="127"/>
        <v>IE-LK</v>
      </c>
      <c r="T248" s="131" t="str">
        <f t="shared" si="127"/>
        <v>IE-TA</v>
      </c>
      <c r="U248" s="131" t="str">
        <f t="shared" si="127"/>
        <v>IE-WD</v>
      </c>
      <c r="V248" s="131" t="str">
        <f t="shared" si="127"/>
        <v>IE-G</v>
      </c>
      <c r="W248" s="131" t="str">
        <f t="shared" si="127"/>
        <v>IE-LM</v>
      </c>
      <c r="X248" s="131" t="str">
        <f t="shared" si="127"/>
        <v>IE-MO</v>
      </c>
      <c r="Y248" s="131" t="str">
        <f t="shared" si="127"/>
        <v>IE-RN</v>
      </c>
      <c r="Z248" s="131" t="str">
        <f t="shared" si="127"/>
        <v>IE-SO</v>
      </c>
      <c r="AA248" s="131" t="str">
        <f t="shared" si="127"/>
        <v>IE-CN</v>
      </c>
      <c r="AB248" s="131" t="str">
        <f t="shared" si="127"/>
        <v>IE-DL</v>
      </c>
      <c r="AC248" s="131" t="str">
        <f t="shared" si="127"/>
        <v>IE-MN</v>
      </c>
    </row>
    <row r="249" spans="1:29">
      <c r="A249" s="459" t="s">
        <v>347</v>
      </c>
      <c r="B249" s="507" t="s">
        <v>652</v>
      </c>
      <c r="C249" s="35">
        <f>C235/C$242</f>
        <v>0</v>
      </c>
      <c r="D249" s="35">
        <f t="shared" ref="D249:AC255" si="128">D235/D$242</f>
        <v>0</v>
      </c>
      <c r="E249" s="35">
        <f>E235/E$242</f>
        <v>0</v>
      </c>
      <c r="F249" s="35">
        <f t="shared" si="128"/>
        <v>0</v>
      </c>
      <c r="G249" s="35">
        <f t="shared" si="128"/>
        <v>0</v>
      </c>
      <c r="H249" s="35">
        <f t="shared" si="128"/>
        <v>0</v>
      </c>
      <c r="I249" s="35">
        <f t="shared" si="128"/>
        <v>0</v>
      </c>
      <c r="J249" s="35">
        <f t="shared" si="128"/>
        <v>0</v>
      </c>
      <c r="K249" s="35">
        <f t="shared" si="128"/>
        <v>0</v>
      </c>
      <c r="L249" s="35">
        <f t="shared" si="128"/>
        <v>0</v>
      </c>
      <c r="M249" s="35">
        <f t="shared" si="128"/>
        <v>0</v>
      </c>
      <c r="N249" s="35">
        <f t="shared" si="128"/>
        <v>0</v>
      </c>
      <c r="O249" s="35">
        <f t="shared" si="128"/>
        <v>0</v>
      </c>
      <c r="P249" s="35">
        <f t="shared" si="128"/>
        <v>0</v>
      </c>
      <c r="Q249" s="35">
        <f t="shared" si="128"/>
        <v>0</v>
      </c>
      <c r="R249" s="35">
        <f t="shared" si="128"/>
        <v>0</v>
      </c>
      <c r="S249" s="35">
        <f t="shared" si="128"/>
        <v>0</v>
      </c>
      <c r="T249" s="35">
        <f t="shared" si="128"/>
        <v>0</v>
      </c>
      <c r="U249" s="35">
        <f t="shared" si="128"/>
        <v>0</v>
      </c>
      <c r="V249" s="35">
        <f t="shared" si="128"/>
        <v>0</v>
      </c>
      <c r="W249" s="35">
        <f t="shared" si="128"/>
        <v>0</v>
      </c>
      <c r="X249" s="35">
        <f t="shared" si="128"/>
        <v>0</v>
      </c>
      <c r="Y249" s="35">
        <f t="shared" si="128"/>
        <v>0</v>
      </c>
      <c r="Z249" s="35">
        <f t="shared" si="128"/>
        <v>0</v>
      </c>
      <c r="AA249" s="35">
        <f t="shared" si="128"/>
        <v>0</v>
      </c>
      <c r="AB249" s="35">
        <f t="shared" si="128"/>
        <v>0</v>
      </c>
      <c r="AC249" s="35">
        <f t="shared" si="128"/>
        <v>0</v>
      </c>
    </row>
    <row r="250" spans="1:29">
      <c r="A250" s="459" t="s">
        <v>348</v>
      </c>
      <c r="B250" s="1" t="s">
        <v>652</v>
      </c>
      <c r="C250" s="35">
        <f t="shared" ref="C250:R254" si="129">C236/C$242</f>
        <v>0.6644389729159339</v>
      </c>
      <c r="D250" s="35">
        <f t="shared" si="129"/>
        <v>0.73469387755102045</v>
      </c>
      <c r="E250" s="35">
        <f t="shared" si="129"/>
        <v>0.59245283018867922</v>
      </c>
      <c r="F250" s="35">
        <f t="shared" si="129"/>
        <v>0.74733096085409256</v>
      </c>
      <c r="G250" s="35">
        <f t="shared" si="129"/>
        <v>0.72822299651567945</v>
      </c>
      <c r="H250" s="35">
        <f t="shared" si="129"/>
        <v>0.70161290322580649</v>
      </c>
      <c r="I250" s="35">
        <f t="shared" si="129"/>
        <v>0.680379746835443</v>
      </c>
      <c r="J250" s="35">
        <f t="shared" si="129"/>
        <v>0.78048780487804881</v>
      </c>
      <c r="K250" s="35">
        <f t="shared" si="129"/>
        <v>0.51807228915662651</v>
      </c>
      <c r="L250" s="35">
        <f t="shared" si="129"/>
        <v>0.81132075471698117</v>
      </c>
      <c r="M250" s="35">
        <f t="shared" si="129"/>
        <v>0.7</v>
      </c>
      <c r="N250" s="35">
        <f t="shared" si="129"/>
        <v>0.83050847457627119</v>
      </c>
      <c r="O250" s="35">
        <f t="shared" si="129"/>
        <v>0.8</v>
      </c>
      <c r="P250" s="35">
        <f t="shared" si="129"/>
        <v>0.70243902439024386</v>
      </c>
      <c r="Q250" s="35">
        <f t="shared" si="129"/>
        <v>0.69363166953528399</v>
      </c>
      <c r="R250" s="35">
        <f t="shared" si="129"/>
        <v>0.61142857142857143</v>
      </c>
      <c r="S250" s="35">
        <f t="shared" si="128"/>
        <v>0.75757575757575757</v>
      </c>
      <c r="T250" s="35">
        <f t="shared" si="128"/>
        <v>0.81333333333333335</v>
      </c>
      <c r="U250" s="35">
        <f t="shared" si="128"/>
        <v>0.69868995633187769</v>
      </c>
      <c r="V250" s="35">
        <f t="shared" si="128"/>
        <v>0.5411271896420411</v>
      </c>
      <c r="W250" s="35">
        <f t="shared" si="128"/>
        <v>0.73831775700934577</v>
      </c>
      <c r="X250" s="35">
        <f t="shared" si="128"/>
        <v>0.78542510121457487</v>
      </c>
      <c r="Y250" s="35">
        <f t="shared" si="128"/>
        <v>0.75294117647058822</v>
      </c>
      <c r="Z250" s="35">
        <f t="shared" si="128"/>
        <v>0.78666666666666663</v>
      </c>
      <c r="AA250" s="35">
        <f t="shared" si="128"/>
        <v>0.82417582417582413</v>
      </c>
      <c r="AB250" s="35">
        <f t="shared" si="128"/>
        <v>0.78378378378378377</v>
      </c>
      <c r="AC250" s="35">
        <f t="shared" si="128"/>
        <v>0.76694915254237284</v>
      </c>
    </row>
    <row r="251" spans="1:29">
      <c r="A251" s="459" t="s">
        <v>349</v>
      </c>
      <c r="B251" s="1" t="s">
        <v>652</v>
      </c>
      <c r="C251" s="35">
        <f t="shared" si="129"/>
        <v>0</v>
      </c>
      <c r="D251" s="35">
        <f t="shared" si="128"/>
        <v>0</v>
      </c>
      <c r="E251" s="35">
        <f t="shared" si="128"/>
        <v>0</v>
      </c>
      <c r="F251" s="35">
        <f t="shared" si="128"/>
        <v>0</v>
      </c>
      <c r="G251" s="35">
        <f t="shared" si="128"/>
        <v>0</v>
      </c>
      <c r="H251" s="35">
        <f t="shared" si="128"/>
        <v>0</v>
      </c>
      <c r="I251" s="35">
        <f t="shared" si="128"/>
        <v>0</v>
      </c>
      <c r="J251" s="35">
        <f t="shared" si="128"/>
        <v>0</v>
      </c>
      <c r="K251" s="35">
        <f t="shared" si="128"/>
        <v>0</v>
      </c>
      <c r="L251" s="35">
        <f t="shared" si="128"/>
        <v>0</v>
      </c>
      <c r="M251" s="35">
        <f t="shared" si="128"/>
        <v>0</v>
      </c>
      <c r="N251" s="35">
        <f t="shared" si="128"/>
        <v>0</v>
      </c>
      <c r="O251" s="35">
        <f t="shared" si="128"/>
        <v>0</v>
      </c>
      <c r="P251" s="35">
        <f t="shared" si="128"/>
        <v>0</v>
      </c>
      <c r="Q251" s="35">
        <f t="shared" si="128"/>
        <v>0</v>
      </c>
      <c r="R251" s="35">
        <f t="shared" si="128"/>
        <v>0</v>
      </c>
      <c r="S251" s="35">
        <f t="shared" si="128"/>
        <v>0</v>
      </c>
      <c r="T251" s="35">
        <f t="shared" si="128"/>
        <v>0</v>
      </c>
      <c r="U251" s="35">
        <f t="shared" si="128"/>
        <v>0</v>
      </c>
      <c r="V251" s="35">
        <f t="shared" si="128"/>
        <v>0</v>
      </c>
      <c r="W251" s="35">
        <f t="shared" si="128"/>
        <v>0</v>
      </c>
      <c r="X251" s="35">
        <f t="shared" si="128"/>
        <v>0</v>
      </c>
      <c r="Y251" s="35">
        <f t="shared" si="128"/>
        <v>0</v>
      </c>
      <c r="Z251" s="35">
        <f t="shared" si="128"/>
        <v>0</v>
      </c>
      <c r="AA251" s="35">
        <f t="shared" si="128"/>
        <v>0</v>
      </c>
      <c r="AB251" s="35">
        <f t="shared" si="128"/>
        <v>0</v>
      </c>
      <c r="AC251" s="35">
        <f t="shared" si="128"/>
        <v>0</v>
      </c>
    </row>
    <row r="252" spans="1:29">
      <c r="A252" s="459" t="s">
        <v>350</v>
      </c>
      <c r="B252" s="1" t="s">
        <v>652</v>
      </c>
      <c r="C252" s="35">
        <f t="shared" si="129"/>
        <v>3.8691523039043265E-3</v>
      </c>
      <c r="D252" s="35">
        <f t="shared" si="128"/>
        <v>1.020408163265306E-2</v>
      </c>
      <c r="E252" s="35">
        <f t="shared" si="128"/>
        <v>0</v>
      </c>
      <c r="F252" s="35">
        <f t="shared" si="128"/>
        <v>1.0676156583629894E-2</v>
      </c>
      <c r="G252" s="35">
        <f t="shared" si="128"/>
        <v>3.4843205574912892E-3</v>
      </c>
      <c r="H252" s="35">
        <f t="shared" si="128"/>
        <v>8.0645161290322578E-3</v>
      </c>
      <c r="I252" s="35">
        <f t="shared" si="128"/>
        <v>3.1645569620253164E-3</v>
      </c>
      <c r="J252" s="35">
        <f t="shared" si="128"/>
        <v>0</v>
      </c>
      <c r="K252" s="35">
        <f t="shared" si="128"/>
        <v>1.2048192771084338E-2</v>
      </c>
      <c r="L252" s="35">
        <f t="shared" si="128"/>
        <v>0</v>
      </c>
      <c r="M252" s="35">
        <f t="shared" si="128"/>
        <v>0</v>
      </c>
      <c r="N252" s="35">
        <f t="shared" si="128"/>
        <v>0</v>
      </c>
      <c r="O252" s="35">
        <f t="shared" si="128"/>
        <v>0</v>
      </c>
      <c r="P252" s="35">
        <f t="shared" si="128"/>
        <v>4.8780487804878049E-3</v>
      </c>
      <c r="Q252" s="35">
        <f t="shared" si="128"/>
        <v>1.7211703958691911E-3</v>
      </c>
      <c r="R252" s="35">
        <f t="shared" si="128"/>
        <v>2.8571428571428571E-3</v>
      </c>
      <c r="S252" s="35">
        <f t="shared" si="128"/>
        <v>0</v>
      </c>
      <c r="T252" s="35">
        <f t="shared" si="128"/>
        <v>0</v>
      </c>
      <c r="U252" s="35">
        <f t="shared" si="128"/>
        <v>0</v>
      </c>
      <c r="V252" s="35">
        <f t="shared" si="128"/>
        <v>5.3313023610053311E-3</v>
      </c>
      <c r="W252" s="35">
        <f t="shared" si="128"/>
        <v>0</v>
      </c>
      <c r="X252" s="35">
        <f t="shared" si="128"/>
        <v>4.048582995951417E-3</v>
      </c>
      <c r="Y252" s="35">
        <f t="shared" si="128"/>
        <v>1.1764705882352941E-2</v>
      </c>
      <c r="Z252" s="35">
        <f t="shared" si="128"/>
        <v>0</v>
      </c>
      <c r="AA252" s="35">
        <f t="shared" si="128"/>
        <v>0</v>
      </c>
      <c r="AB252" s="35">
        <f t="shared" si="128"/>
        <v>0</v>
      </c>
      <c r="AC252" s="35">
        <f t="shared" si="128"/>
        <v>8.4745762711864406E-3</v>
      </c>
    </row>
    <row r="253" spans="1:29">
      <c r="A253" s="459" t="s">
        <v>351</v>
      </c>
      <c r="B253" s="1" t="s">
        <v>652</v>
      </c>
      <c r="C253" s="35">
        <f t="shared" si="129"/>
        <v>0.20236839019814751</v>
      </c>
      <c r="D253" s="35">
        <f t="shared" si="128"/>
        <v>0.18367346938775511</v>
      </c>
      <c r="E253" s="35">
        <f t="shared" si="128"/>
        <v>0.23773584905660378</v>
      </c>
      <c r="F253" s="35">
        <f t="shared" si="128"/>
        <v>0.1494661921708185</v>
      </c>
      <c r="G253" s="35">
        <f t="shared" si="128"/>
        <v>0.18118466898954705</v>
      </c>
      <c r="H253" s="35">
        <f t="shared" si="128"/>
        <v>0.15322580645161291</v>
      </c>
      <c r="I253" s="35">
        <f t="shared" si="128"/>
        <v>0.19303797468354431</v>
      </c>
      <c r="J253" s="35">
        <f t="shared" si="128"/>
        <v>0.21951219512195122</v>
      </c>
      <c r="K253" s="35">
        <f t="shared" si="128"/>
        <v>0.20481927710843373</v>
      </c>
      <c r="L253" s="35">
        <f t="shared" si="128"/>
        <v>5.6603773584905662E-2</v>
      </c>
      <c r="M253" s="35">
        <f t="shared" si="128"/>
        <v>0.16538461538461538</v>
      </c>
      <c r="N253" s="35">
        <f t="shared" si="128"/>
        <v>7.3446327683615822E-2</v>
      </c>
      <c r="O253" s="35">
        <f t="shared" si="128"/>
        <v>0.11428571428571428</v>
      </c>
      <c r="P253" s="35">
        <f t="shared" si="128"/>
        <v>0.20487804878048779</v>
      </c>
      <c r="Q253" s="35">
        <f t="shared" si="128"/>
        <v>0.18244406196213425</v>
      </c>
      <c r="R253" s="35">
        <f t="shared" si="128"/>
        <v>0.2742857142857143</v>
      </c>
      <c r="S253" s="35">
        <f t="shared" si="128"/>
        <v>6.0606060606060608E-2</v>
      </c>
      <c r="T253" s="35">
        <f t="shared" si="128"/>
        <v>0.12</v>
      </c>
      <c r="U253" s="35">
        <f t="shared" si="128"/>
        <v>0.1965065502183406</v>
      </c>
      <c r="V253" s="35">
        <f t="shared" si="128"/>
        <v>0.27418126428027417</v>
      </c>
      <c r="W253" s="35">
        <f t="shared" si="128"/>
        <v>0.19626168224299065</v>
      </c>
      <c r="X253" s="35">
        <f t="shared" si="128"/>
        <v>0.1417004048582996</v>
      </c>
      <c r="Y253" s="35">
        <f t="shared" si="128"/>
        <v>0.18823529411764706</v>
      </c>
      <c r="Z253" s="35">
        <f t="shared" si="128"/>
        <v>9.3333333333333338E-2</v>
      </c>
      <c r="AA253" s="35">
        <f t="shared" si="128"/>
        <v>7.6923076923076927E-2</v>
      </c>
      <c r="AB253" s="35">
        <f t="shared" si="128"/>
        <v>0.11891891891891893</v>
      </c>
      <c r="AC253" s="35">
        <f t="shared" si="128"/>
        <v>0.13559322033898305</v>
      </c>
    </row>
    <row r="254" spans="1:29">
      <c r="A254" s="459" t="s">
        <v>352</v>
      </c>
      <c r="B254" s="1" t="s">
        <v>652</v>
      </c>
      <c r="C254" s="35">
        <f t="shared" si="129"/>
        <v>0.12932348458201431</v>
      </c>
      <c r="D254" s="35">
        <f t="shared" si="128"/>
        <v>7.1428571428571425E-2</v>
      </c>
      <c r="E254" s="35">
        <f t="shared" si="128"/>
        <v>0.16981132075471697</v>
      </c>
      <c r="F254" s="35">
        <f t="shared" si="128"/>
        <v>9.2526690391459068E-2</v>
      </c>
      <c r="G254" s="35">
        <f t="shared" si="128"/>
        <v>8.7108013937282236E-2</v>
      </c>
      <c r="H254" s="35">
        <f t="shared" si="128"/>
        <v>0.13709677419354838</v>
      </c>
      <c r="I254" s="35">
        <f t="shared" si="128"/>
        <v>0.12341772151898735</v>
      </c>
      <c r="J254" s="35">
        <f t="shared" si="128"/>
        <v>0</v>
      </c>
      <c r="K254" s="35">
        <f t="shared" si="128"/>
        <v>0.26506024096385544</v>
      </c>
      <c r="L254" s="35">
        <f t="shared" si="128"/>
        <v>0.13207547169811321</v>
      </c>
      <c r="M254" s="35">
        <f t="shared" si="128"/>
        <v>0.13461538461538461</v>
      </c>
      <c r="N254" s="35">
        <f t="shared" si="128"/>
        <v>9.6045197740112997E-2</v>
      </c>
      <c r="O254" s="35">
        <f t="shared" si="128"/>
        <v>8.5714285714285715E-2</v>
      </c>
      <c r="P254" s="35">
        <f t="shared" si="128"/>
        <v>8.7804878048780483E-2</v>
      </c>
      <c r="Q254" s="35">
        <f t="shared" si="128"/>
        <v>0.12220309810671257</v>
      </c>
      <c r="R254" s="35">
        <f t="shared" si="128"/>
        <v>0.11142857142857143</v>
      </c>
      <c r="S254" s="35">
        <f t="shared" si="128"/>
        <v>0.18181818181818182</v>
      </c>
      <c r="T254" s="35">
        <f t="shared" si="128"/>
        <v>6.6666666666666666E-2</v>
      </c>
      <c r="U254" s="35">
        <f t="shared" si="128"/>
        <v>0.10480349344978165</v>
      </c>
      <c r="V254" s="35">
        <f t="shared" si="128"/>
        <v>0.17936024371667936</v>
      </c>
      <c r="W254" s="35">
        <f t="shared" si="128"/>
        <v>6.5420560747663545E-2</v>
      </c>
      <c r="X254" s="35">
        <f t="shared" si="128"/>
        <v>6.8825910931174086E-2</v>
      </c>
      <c r="Y254" s="35">
        <f t="shared" si="128"/>
        <v>4.7058823529411764E-2</v>
      </c>
      <c r="Z254" s="35">
        <f t="shared" si="128"/>
        <v>0.12</v>
      </c>
      <c r="AA254" s="35">
        <f t="shared" si="128"/>
        <v>9.8901098901098897E-2</v>
      </c>
      <c r="AB254" s="35">
        <f t="shared" si="128"/>
        <v>9.7297297297297303E-2</v>
      </c>
      <c r="AC254" s="35">
        <f t="shared" si="128"/>
        <v>8.8983050847457626E-2</v>
      </c>
    </row>
    <row r="255" spans="1:29">
      <c r="A255" s="459" t="s">
        <v>353</v>
      </c>
      <c r="B255" s="1" t="s">
        <v>652</v>
      </c>
      <c r="C255" s="35">
        <f>C241/C$242</f>
        <v>0</v>
      </c>
      <c r="D255" s="35">
        <f>D241/D242</f>
        <v>0</v>
      </c>
      <c r="E255" s="35">
        <f>E241/E$242</f>
        <v>0</v>
      </c>
      <c r="F255" s="35">
        <f t="shared" si="128"/>
        <v>0</v>
      </c>
      <c r="G255" s="35">
        <f t="shared" si="128"/>
        <v>0</v>
      </c>
      <c r="H255" s="35">
        <f t="shared" si="128"/>
        <v>0</v>
      </c>
      <c r="I255" s="35">
        <f t="shared" si="128"/>
        <v>0</v>
      </c>
      <c r="J255" s="35">
        <f t="shared" si="128"/>
        <v>0</v>
      </c>
      <c r="K255" s="35">
        <f t="shared" si="128"/>
        <v>0</v>
      </c>
      <c r="L255" s="35">
        <f t="shared" si="128"/>
        <v>0</v>
      </c>
      <c r="M255" s="35">
        <f t="shared" si="128"/>
        <v>0</v>
      </c>
      <c r="N255" s="35">
        <f t="shared" si="128"/>
        <v>0</v>
      </c>
      <c r="O255" s="35">
        <f t="shared" si="128"/>
        <v>0</v>
      </c>
      <c r="P255" s="35">
        <f t="shared" si="128"/>
        <v>0</v>
      </c>
      <c r="Q255" s="35">
        <f t="shared" si="128"/>
        <v>0</v>
      </c>
      <c r="R255" s="35">
        <f t="shared" si="128"/>
        <v>0</v>
      </c>
      <c r="S255" s="35">
        <f t="shared" si="128"/>
        <v>0</v>
      </c>
      <c r="T255" s="35">
        <f t="shared" si="128"/>
        <v>0</v>
      </c>
      <c r="U255" s="35">
        <f t="shared" si="128"/>
        <v>0</v>
      </c>
      <c r="V255" s="35">
        <f t="shared" si="128"/>
        <v>0</v>
      </c>
      <c r="W255" s="35">
        <f t="shared" si="128"/>
        <v>0</v>
      </c>
      <c r="X255" s="35">
        <f t="shared" si="128"/>
        <v>0</v>
      </c>
      <c r="Y255" s="35">
        <f t="shared" si="128"/>
        <v>0</v>
      </c>
      <c r="Z255" s="35">
        <f t="shared" si="128"/>
        <v>0</v>
      </c>
      <c r="AA255" s="35">
        <f t="shared" si="128"/>
        <v>0</v>
      </c>
      <c r="AB255" s="35">
        <f t="shared" si="128"/>
        <v>0</v>
      </c>
      <c r="AC255" s="35">
        <f t="shared" si="128"/>
        <v>0</v>
      </c>
    </row>
    <row r="256" spans="1:29">
      <c r="A256" s="458" t="s">
        <v>16</v>
      </c>
      <c r="B256" s="458" t="s">
        <v>652</v>
      </c>
      <c r="C256" s="403">
        <f t="shared" ref="C256:AC256" si="130">SUM(C249:C255)</f>
        <v>1</v>
      </c>
      <c r="D256" s="403">
        <f t="shared" si="130"/>
        <v>1</v>
      </c>
      <c r="E256" s="403">
        <f t="shared" si="130"/>
        <v>1</v>
      </c>
      <c r="F256" s="403">
        <f t="shared" si="130"/>
        <v>1</v>
      </c>
      <c r="G256" s="403">
        <f t="shared" si="130"/>
        <v>1</v>
      </c>
      <c r="H256" s="403">
        <f t="shared" si="130"/>
        <v>1</v>
      </c>
      <c r="I256" s="403">
        <f t="shared" si="130"/>
        <v>1</v>
      </c>
      <c r="J256" s="403">
        <f t="shared" si="130"/>
        <v>1</v>
      </c>
      <c r="K256" s="403">
        <f t="shared" si="130"/>
        <v>1</v>
      </c>
      <c r="L256" s="403">
        <f t="shared" si="130"/>
        <v>1</v>
      </c>
      <c r="M256" s="403">
        <f t="shared" si="130"/>
        <v>0.99999999999999989</v>
      </c>
      <c r="N256" s="403">
        <f t="shared" si="130"/>
        <v>1</v>
      </c>
      <c r="O256" s="403">
        <f t="shared" si="130"/>
        <v>1</v>
      </c>
      <c r="P256" s="403">
        <f t="shared" si="130"/>
        <v>0.99999999999999989</v>
      </c>
      <c r="Q256" s="403">
        <f t="shared" si="130"/>
        <v>1</v>
      </c>
      <c r="R256" s="403">
        <f t="shared" si="130"/>
        <v>1</v>
      </c>
      <c r="S256" s="403">
        <f t="shared" si="130"/>
        <v>1</v>
      </c>
      <c r="T256" s="403">
        <f t="shared" si="130"/>
        <v>1</v>
      </c>
      <c r="U256" s="403">
        <f t="shared" si="130"/>
        <v>1</v>
      </c>
      <c r="V256" s="403">
        <f t="shared" si="130"/>
        <v>0.99999999999999989</v>
      </c>
      <c r="W256" s="403">
        <f t="shared" si="130"/>
        <v>1</v>
      </c>
      <c r="X256" s="403">
        <f t="shared" si="130"/>
        <v>1</v>
      </c>
      <c r="Y256" s="403">
        <f t="shared" si="130"/>
        <v>1</v>
      </c>
      <c r="Z256" s="403">
        <f t="shared" si="130"/>
        <v>1</v>
      </c>
      <c r="AA256" s="403">
        <f t="shared" si="130"/>
        <v>0.99999999999999989</v>
      </c>
      <c r="AB256" s="403">
        <f t="shared" si="130"/>
        <v>1</v>
      </c>
      <c r="AC256" s="403">
        <f t="shared" si="130"/>
        <v>0.99999999999999989</v>
      </c>
    </row>
    <row r="260" spans="1:29" ht="15.6">
      <c r="A260" s="425" t="s">
        <v>661</v>
      </c>
      <c r="C260" s="459"/>
      <c r="D260" s="459"/>
      <c r="E260" s="459"/>
      <c r="F260" s="459"/>
      <c r="G260" s="459"/>
      <c r="H260" s="459"/>
      <c r="I260" s="459"/>
      <c r="J260" s="459"/>
      <c r="K260" s="459"/>
      <c r="L260" s="459"/>
      <c r="M260" s="459"/>
      <c r="N260" s="459"/>
      <c r="O260" s="459"/>
      <c r="P260" s="459"/>
      <c r="Q260" s="459"/>
      <c r="R260" s="459"/>
      <c r="S260" s="459"/>
      <c r="T260" s="459"/>
      <c r="U260" s="459"/>
      <c r="V260" s="459"/>
      <c r="W260" s="459"/>
      <c r="X260" s="459"/>
      <c r="Y260" s="459"/>
      <c r="Z260" s="459"/>
      <c r="AA260" s="459"/>
      <c r="AB260" s="459"/>
      <c r="AC260" s="459"/>
    </row>
    <row r="261" spans="1:29">
      <c r="A261" s="131" t="s">
        <v>648</v>
      </c>
      <c r="B261" s="131" t="s">
        <v>64</v>
      </c>
      <c r="C261" s="131" t="str">
        <f>C248</f>
        <v>IE</v>
      </c>
      <c r="D261" s="131" t="str">
        <f t="shared" ref="D261:AC261" si="131">D248</f>
        <v>IE-CW</v>
      </c>
      <c r="E261" s="131" t="str">
        <f t="shared" si="131"/>
        <v>IE-D</v>
      </c>
      <c r="F261" s="131" t="str">
        <f t="shared" si="131"/>
        <v>IE-KE</v>
      </c>
      <c r="G261" s="131" t="str">
        <f t="shared" si="131"/>
        <v>IE-KK</v>
      </c>
      <c r="H261" s="131" t="str">
        <f t="shared" si="131"/>
        <v>IE-LS</v>
      </c>
      <c r="I261" s="131" t="str">
        <f t="shared" si="131"/>
        <v>IE-LD</v>
      </c>
      <c r="J261" s="131" t="str">
        <f t="shared" si="131"/>
        <v>IE-LH</v>
      </c>
      <c r="K261" s="131" t="str">
        <f t="shared" si="131"/>
        <v>IE-MH</v>
      </c>
      <c r="L261" s="131" t="str">
        <f t="shared" si="131"/>
        <v>IE-OY</v>
      </c>
      <c r="M261" s="131" t="str">
        <f t="shared" si="131"/>
        <v>IE-WH</v>
      </c>
      <c r="N261" s="131" t="str">
        <f t="shared" si="131"/>
        <v>IE-WX</v>
      </c>
      <c r="O261" s="131" t="str">
        <f t="shared" si="131"/>
        <v>IE-WW</v>
      </c>
      <c r="P261" s="131" t="str">
        <f t="shared" si="131"/>
        <v>IE-CE</v>
      </c>
      <c r="Q261" s="131" t="str">
        <f t="shared" si="131"/>
        <v>IE-CO</v>
      </c>
      <c r="R261" s="131" t="str">
        <f t="shared" si="131"/>
        <v>IE-KY</v>
      </c>
      <c r="S261" s="131" t="str">
        <f t="shared" si="131"/>
        <v>IE-LK</v>
      </c>
      <c r="T261" s="131" t="str">
        <f t="shared" si="131"/>
        <v>IE-TA</v>
      </c>
      <c r="U261" s="131" t="str">
        <f t="shared" si="131"/>
        <v>IE-WD</v>
      </c>
      <c r="V261" s="131" t="str">
        <f t="shared" si="131"/>
        <v>IE-G</v>
      </c>
      <c r="W261" s="131" t="str">
        <f t="shared" si="131"/>
        <v>IE-LM</v>
      </c>
      <c r="X261" s="131" t="str">
        <f t="shared" si="131"/>
        <v>IE-MO</v>
      </c>
      <c r="Y261" s="131" t="str">
        <f t="shared" si="131"/>
        <v>IE-RN</v>
      </c>
      <c r="Z261" s="131" t="str">
        <f t="shared" si="131"/>
        <v>IE-SO</v>
      </c>
      <c r="AA261" s="131" t="str">
        <f t="shared" si="131"/>
        <v>IE-CN</v>
      </c>
      <c r="AB261" s="131" t="str">
        <f t="shared" si="131"/>
        <v>IE-DL</v>
      </c>
      <c r="AC261" s="131" t="str">
        <f t="shared" si="131"/>
        <v>IE-MN</v>
      </c>
    </row>
    <row r="262" spans="1:29">
      <c r="A262" s="459" t="s">
        <v>347</v>
      </c>
      <c r="B262" s="459" t="s">
        <v>653</v>
      </c>
      <c r="C262" s="505">
        <v>1.5410369892896236</v>
      </c>
      <c r="D262" s="505">
        <v>1.5410369892896236</v>
      </c>
      <c r="E262" s="505">
        <v>1.5410369892896236</v>
      </c>
      <c r="F262" s="505">
        <v>1.5410369892896236</v>
      </c>
      <c r="G262" s="505">
        <v>1.5410369892896236</v>
      </c>
      <c r="H262" s="505">
        <v>1.5410369892896236</v>
      </c>
      <c r="I262" s="505">
        <v>1.5410369892896236</v>
      </c>
      <c r="J262" s="505">
        <v>1.5410369892896236</v>
      </c>
      <c r="K262" s="505">
        <v>1.5410369892896236</v>
      </c>
      <c r="L262" s="505">
        <v>1.5410369892896236</v>
      </c>
      <c r="M262" s="505">
        <v>1.5410369892896236</v>
      </c>
      <c r="N262" s="505">
        <v>1.5410369892896236</v>
      </c>
      <c r="O262" s="505">
        <v>1.5410369892896236</v>
      </c>
      <c r="P262" s="505">
        <v>1.5410369892896236</v>
      </c>
      <c r="Q262" s="505">
        <v>1.5410369892896236</v>
      </c>
      <c r="R262" s="505">
        <v>1.5410369892896236</v>
      </c>
      <c r="S262" s="505">
        <v>1.5410369892896236</v>
      </c>
      <c r="T262" s="505">
        <v>1.5410369892896236</v>
      </c>
      <c r="U262" s="505">
        <v>1.5410369892896236</v>
      </c>
      <c r="V262" s="505">
        <v>1.5410369892896236</v>
      </c>
      <c r="W262" s="505">
        <v>1.5410369892896236</v>
      </c>
      <c r="X262" s="505">
        <v>1.5410369892896236</v>
      </c>
      <c r="Y262" s="505">
        <v>1.5410369892896236</v>
      </c>
      <c r="Z262" s="505">
        <v>1.5410369892896236</v>
      </c>
      <c r="AA262" s="505">
        <v>1.5410369892896236</v>
      </c>
      <c r="AB262" s="505">
        <v>1.5410369892896236</v>
      </c>
      <c r="AC262" s="505">
        <v>1.5410369892896236</v>
      </c>
    </row>
    <row r="263" spans="1:29">
      <c r="A263" s="459" t="s">
        <v>348</v>
      </c>
      <c r="B263" s="459" t="s">
        <v>653</v>
      </c>
      <c r="C263" s="505">
        <v>1.5689674081337737</v>
      </c>
      <c r="D263" s="505">
        <v>1.5689674081337737</v>
      </c>
      <c r="E263" s="505">
        <v>1.5689674081337737</v>
      </c>
      <c r="F263" s="505">
        <v>1.5689674081337737</v>
      </c>
      <c r="G263" s="505">
        <v>1.5689674081337737</v>
      </c>
      <c r="H263" s="505">
        <v>1.5689674081337737</v>
      </c>
      <c r="I263" s="505">
        <v>1.5689674081337737</v>
      </c>
      <c r="J263" s="505">
        <v>1.5689674081337737</v>
      </c>
      <c r="K263" s="505">
        <v>1.5689674081337737</v>
      </c>
      <c r="L263" s="505">
        <v>1.5689674081337737</v>
      </c>
      <c r="M263" s="505">
        <v>1.5689674081337737</v>
      </c>
      <c r="N263" s="505">
        <v>1.5689674081337737</v>
      </c>
      <c r="O263" s="505">
        <v>1.5689674081337737</v>
      </c>
      <c r="P263" s="505">
        <v>1.5689674081337737</v>
      </c>
      <c r="Q263" s="505">
        <v>1.5689674081337737</v>
      </c>
      <c r="R263" s="505">
        <v>1.5689674081337737</v>
      </c>
      <c r="S263" s="505">
        <v>1.5689674081337737</v>
      </c>
      <c r="T263" s="505">
        <v>1.5689674081337737</v>
      </c>
      <c r="U263" s="505">
        <v>1.5689674081337737</v>
      </c>
      <c r="V263" s="505">
        <v>1.5689674081337737</v>
      </c>
      <c r="W263" s="505">
        <v>1.5689674081337737</v>
      </c>
      <c r="X263" s="505">
        <v>1.5689674081337737</v>
      </c>
      <c r="Y263" s="505">
        <v>1.5689674081337737</v>
      </c>
      <c r="Z263" s="505">
        <v>1.5689674081337737</v>
      </c>
      <c r="AA263" s="505">
        <v>1.5689674081337737</v>
      </c>
      <c r="AB263" s="505">
        <v>1.5689674081337737</v>
      </c>
      <c r="AC263" s="505">
        <v>1.5689674081337737</v>
      </c>
    </row>
    <row r="264" spans="1:29">
      <c r="A264" s="459" t="s">
        <v>349</v>
      </c>
      <c r="B264" s="459" t="s">
        <v>653</v>
      </c>
      <c r="C264" s="505">
        <v>1.7415357309829498</v>
      </c>
      <c r="D264" s="505">
        <v>1.7415357309829498</v>
      </c>
      <c r="E264" s="505">
        <v>1.7415357309829498</v>
      </c>
      <c r="F264" s="505">
        <v>1.7415357309829498</v>
      </c>
      <c r="G264" s="505">
        <v>1.7415357309829498</v>
      </c>
      <c r="H264" s="505">
        <v>1.7415357309829498</v>
      </c>
      <c r="I264" s="505">
        <v>1.7415357309829498</v>
      </c>
      <c r="J264" s="505">
        <v>1.7415357309829498</v>
      </c>
      <c r="K264" s="505">
        <v>1.7415357309829498</v>
      </c>
      <c r="L264" s="505">
        <v>1.7415357309829498</v>
      </c>
      <c r="M264" s="505">
        <v>1.7415357309829498</v>
      </c>
      <c r="N264" s="505">
        <v>1.7415357309829498</v>
      </c>
      <c r="O264" s="505">
        <v>1.7415357309829498</v>
      </c>
      <c r="P264" s="505">
        <v>1.7415357309829498</v>
      </c>
      <c r="Q264" s="505">
        <v>1.7415357309829498</v>
      </c>
      <c r="R264" s="505">
        <v>1.7415357309829498</v>
      </c>
      <c r="S264" s="505">
        <v>1.7415357309829498</v>
      </c>
      <c r="T264" s="505">
        <v>1.7415357309829498</v>
      </c>
      <c r="U264" s="505">
        <v>1.7415357309829498</v>
      </c>
      <c r="V264" s="505">
        <v>1.7415357309829498</v>
      </c>
      <c r="W264" s="505">
        <v>1.7415357309829498</v>
      </c>
      <c r="X264" s="505">
        <v>1.7415357309829498</v>
      </c>
      <c r="Y264" s="505">
        <v>1.7415357309829498</v>
      </c>
      <c r="Z264" s="505">
        <v>1.7415357309829498</v>
      </c>
      <c r="AA264" s="505">
        <v>1.7415357309829498</v>
      </c>
      <c r="AB264" s="505">
        <v>1.7415357309829498</v>
      </c>
      <c r="AC264" s="505">
        <v>1.7415357309829498</v>
      </c>
    </row>
    <row r="265" spans="1:29">
      <c r="A265" s="459" t="s">
        <v>350</v>
      </c>
      <c r="B265" s="459" t="s">
        <v>653</v>
      </c>
      <c r="C265" s="505">
        <v>1.7596865383612372</v>
      </c>
      <c r="D265" s="505">
        <v>1.7596865383612372</v>
      </c>
      <c r="E265" s="505">
        <v>1.7596865383612372</v>
      </c>
      <c r="F265" s="505">
        <v>1.7596865383612372</v>
      </c>
      <c r="G265" s="505">
        <v>1.7596865383612372</v>
      </c>
      <c r="H265" s="505">
        <v>1.7596865383612372</v>
      </c>
      <c r="I265" s="505">
        <v>1.7596865383612372</v>
      </c>
      <c r="J265" s="505">
        <v>1.7596865383612372</v>
      </c>
      <c r="K265" s="505">
        <v>1.7596865383612372</v>
      </c>
      <c r="L265" s="505">
        <v>1.7596865383612372</v>
      </c>
      <c r="M265" s="505">
        <v>1.7596865383612372</v>
      </c>
      <c r="N265" s="505">
        <v>1.7596865383612372</v>
      </c>
      <c r="O265" s="505">
        <v>1.7596865383612372</v>
      </c>
      <c r="P265" s="505">
        <v>1.7596865383612372</v>
      </c>
      <c r="Q265" s="505">
        <v>1.7596865383612372</v>
      </c>
      <c r="R265" s="505">
        <v>1.7596865383612372</v>
      </c>
      <c r="S265" s="505">
        <v>1.7596865383612372</v>
      </c>
      <c r="T265" s="505">
        <v>1.7596865383612372</v>
      </c>
      <c r="U265" s="505">
        <v>1.7596865383612372</v>
      </c>
      <c r="V265" s="505">
        <v>1.7596865383612372</v>
      </c>
      <c r="W265" s="505">
        <v>1.7596865383612372</v>
      </c>
      <c r="X265" s="505">
        <v>1.7596865383612372</v>
      </c>
      <c r="Y265" s="505">
        <v>1.7596865383612372</v>
      </c>
      <c r="Z265" s="505">
        <v>1.7596865383612372</v>
      </c>
      <c r="AA265" s="505">
        <v>1.7596865383612372</v>
      </c>
      <c r="AB265" s="505">
        <v>1.7596865383612372</v>
      </c>
      <c r="AC265" s="505">
        <v>1.7596865383612372</v>
      </c>
    </row>
    <row r="266" spans="1:29">
      <c r="A266" s="459" t="s">
        <v>351</v>
      </c>
      <c r="B266" s="459" t="s">
        <v>653</v>
      </c>
      <c r="C266" s="505">
        <v>1.8433586255014824</v>
      </c>
      <c r="D266" s="505">
        <v>1.8433586255014824</v>
      </c>
      <c r="E266" s="505">
        <v>1.8433586255014824</v>
      </c>
      <c r="F266" s="505">
        <v>1.8433586255014824</v>
      </c>
      <c r="G266" s="505">
        <v>1.8433586255014824</v>
      </c>
      <c r="H266" s="505">
        <v>1.8433586255014824</v>
      </c>
      <c r="I266" s="505">
        <v>1.8433586255014824</v>
      </c>
      <c r="J266" s="505">
        <v>1.8433586255014824</v>
      </c>
      <c r="K266" s="505">
        <v>1.8433586255014824</v>
      </c>
      <c r="L266" s="505">
        <v>1.8433586255014824</v>
      </c>
      <c r="M266" s="505">
        <v>1.8433586255014824</v>
      </c>
      <c r="N266" s="505">
        <v>1.8433586255014824</v>
      </c>
      <c r="O266" s="505">
        <v>1.8433586255014824</v>
      </c>
      <c r="P266" s="505">
        <v>1.8433586255014824</v>
      </c>
      <c r="Q266" s="505">
        <v>1.8433586255014824</v>
      </c>
      <c r="R266" s="505">
        <v>1.8433586255014824</v>
      </c>
      <c r="S266" s="505">
        <v>1.8433586255014824</v>
      </c>
      <c r="T266" s="505">
        <v>1.8433586255014824</v>
      </c>
      <c r="U266" s="505">
        <v>1.8433586255014824</v>
      </c>
      <c r="V266" s="505">
        <v>1.8433586255014824</v>
      </c>
      <c r="W266" s="505">
        <v>1.8433586255014824</v>
      </c>
      <c r="X266" s="505">
        <v>1.8433586255014824</v>
      </c>
      <c r="Y266" s="505">
        <v>1.8433586255014824</v>
      </c>
      <c r="Z266" s="505">
        <v>1.8433586255014824</v>
      </c>
      <c r="AA266" s="505">
        <v>1.8433586255014824</v>
      </c>
      <c r="AB266" s="505">
        <v>1.8433586255014824</v>
      </c>
      <c r="AC266" s="505">
        <v>1.8433586255014824</v>
      </c>
    </row>
    <row r="267" spans="1:29">
      <c r="A267" s="459" t="s">
        <v>352</v>
      </c>
      <c r="B267" s="459" t="s">
        <v>653</v>
      </c>
      <c r="C267" s="505">
        <v>1.8529030871906271</v>
      </c>
      <c r="D267" s="505">
        <v>1.8529030871906271</v>
      </c>
      <c r="E267" s="505">
        <v>1.8529030871906271</v>
      </c>
      <c r="F267" s="505">
        <v>1.8529030871906271</v>
      </c>
      <c r="G267" s="505">
        <v>1.8529030871906271</v>
      </c>
      <c r="H267" s="505">
        <v>1.8529030871906271</v>
      </c>
      <c r="I267" s="505">
        <v>1.8529030871906271</v>
      </c>
      <c r="J267" s="505">
        <v>1.8529030871906271</v>
      </c>
      <c r="K267" s="505">
        <v>1.8529030871906271</v>
      </c>
      <c r="L267" s="505">
        <v>1.8529030871906271</v>
      </c>
      <c r="M267" s="505">
        <v>1.8529030871906271</v>
      </c>
      <c r="N267" s="505">
        <v>1.8529030871906271</v>
      </c>
      <c r="O267" s="505">
        <v>1.8529030871906271</v>
      </c>
      <c r="P267" s="505">
        <v>1.8529030871906271</v>
      </c>
      <c r="Q267" s="505">
        <v>1.8529030871906271</v>
      </c>
      <c r="R267" s="505">
        <v>1.8529030871906271</v>
      </c>
      <c r="S267" s="505">
        <v>1.8529030871906271</v>
      </c>
      <c r="T267" s="505">
        <v>1.8529030871906271</v>
      </c>
      <c r="U267" s="505">
        <v>1.8529030871906271</v>
      </c>
      <c r="V267" s="505">
        <v>1.8529030871906271</v>
      </c>
      <c r="W267" s="505">
        <v>1.8529030871906271</v>
      </c>
      <c r="X267" s="505">
        <v>1.8529030871906271</v>
      </c>
      <c r="Y267" s="505">
        <v>1.8529030871906271</v>
      </c>
      <c r="Z267" s="505">
        <v>1.8529030871906271</v>
      </c>
      <c r="AA267" s="505">
        <v>1.8529030871906271</v>
      </c>
      <c r="AB267" s="505">
        <v>1.8529030871906271</v>
      </c>
      <c r="AC267" s="505">
        <v>1.8529030871906271</v>
      </c>
    </row>
    <row r="268" spans="1:29">
      <c r="A268" s="458" t="s">
        <v>353</v>
      </c>
      <c r="B268" s="458" t="s">
        <v>653</v>
      </c>
      <c r="C268" s="506">
        <v>2.076438345513917</v>
      </c>
      <c r="D268" s="506">
        <v>2.076438345513917</v>
      </c>
      <c r="E268" s="506">
        <v>2.076438345513917</v>
      </c>
      <c r="F268" s="506">
        <v>2.076438345513917</v>
      </c>
      <c r="G268" s="506">
        <v>2.076438345513917</v>
      </c>
      <c r="H268" s="506">
        <v>2.076438345513917</v>
      </c>
      <c r="I268" s="506">
        <v>2.076438345513917</v>
      </c>
      <c r="J268" s="506">
        <v>2.076438345513917</v>
      </c>
      <c r="K268" s="506">
        <v>2.076438345513917</v>
      </c>
      <c r="L268" s="506">
        <v>2.076438345513917</v>
      </c>
      <c r="M268" s="506">
        <v>2.076438345513917</v>
      </c>
      <c r="N268" s="506">
        <v>2.076438345513917</v>
      </c>
      <c r="O268" s="506">
        <v>2.076438345513917</v>
      </c>
      <c r="P268" s="506">
        <v>2.076438345513917</v>
      </c>
      <c r="Q268" s="506">
        <v>2.076438345513917</v>
      </c>
      <c r="R268" s="506">
        <v>2.076438345513917</v>
      </c>
      <c r="S268" s="506">
        <v>2.076438345513917</v>
      </c>
      <c r="T268" s="506">
        <v>2.076438345513917</v>
      </c>
      <c r="U268" s="506">
        <v>2.076438345513917</v>
      </c>
      <c r="V268" s="506">
        <v>2.076438345513917</v>
      </c>
      <c r="W268" s="506">
        <v>2.076438345513917</v>
      </c>
      <c r="X268" s="506">
        <v>2.076438345513917</v>
      </c>
      <c r="Y268" s="506">
        <v>2.076438345513917</v>
      </c>
      <c r="Z268" s="506">
        <v>2.076438345513917</v>
      </c>
      <c r="AA268" s="506">
        <v>2.076438345513917</v>
      </c>
      <c r="AB268" s="506">
        <v>2.076438345513917</v>
      </c>
      <c r="AC268" s="506">
        <v>2.076438345513917</v>
      </c>
    </row>
    <row r="269" spans="1:29">
      <c r="A269" s="510" t="s">
        <v>657</v>
      </c>
      <c r="C269" s="459"/>
      <c r="D269" s="459"/>
      <c r="E269" s="459"/>
      <c r="F269" s="459"/>
      <c r="G269" s="459"/>
      <c r="H269" s="459"/>
      <c r="I269" s="459"/>
      <c r="J269" s="459"/>
      <c r="K269" s="459"/>
      <c r="L269" s="459"/>
      <c r="M269" s="459"/>
      <c r="N269" s="459"/>
      <c r="O269" s="459"/>
      <c r="P269" s="459"/>
      <c r="Q269" s="459"/>
      <c r="R269" s="459"/>
      <c r="S269" s="459"/>
      <c r="T269" s="459"/>
      <c r="U269" s="459"/>
      <c r="V269" s="459"/>
      <c r="W269" s="459"/>
      <c r="X269" s="459"/>
      <c r="Y269" s="459"/>
      <c r="Z269" s="459"/>
      <c r="AA269" s="459"/>
      <c r="AB269" s="459"/>
      <c r="AC269" s="459"/>
    </row>
    <row r="272" spans="1:29">
      <c r="A272" s="459"/>
      <c r="C272" s="459"/>
      <c r="D272" s="459"/>
      <c r="E272" s="459"/>
      <c r="F272" s="459"/>
      <c r="G272" s="459"/>
      <c r="H272" s="459"/>
      <c r="I272" s="459"/>
      <c r="J272" s="459"/>
      <c r="K272" s="459"/>
      <c r="L272" s="459"/>
      <c r="M272" s="459"/>
      <c r="N272" s="459"/>
      <c r="O272" s="459"/>
      <c r="P272" s="459"/>
      <c r="Q272" s="459"/>
      <c r="R272" s="459"/>
      <c r="S272" s="459"/>
      <c r="T272" s="459"/>
      <c r="U272" s="459"/>
      <c r="V272" s="459"/>
      <c r="W272" s="459"/>
      <c r="X272" s="459"/>
      <c r="Y272" s="459"/>
      <c r="Z272" s="459"/>
      <c r="AA272" s="459"/>
      <c r="AB272" s="459"/>
      <c r="AC272" s="459"/>
    </row>
    <row r="273" spans="1:29" ht="15.6">
      <c r="A273" s="425" t="s">
        <v>661</v>
      </c>
      <c r="C273" s="459"/>
      <c r="D273" s="459"/>
      <c r="E273" s="459"/>
      <c r="F273" s="459"/>
      <c r="G273" s="459"/>
      <c r="H273" s="459"/>
      <c r="I273" s="459"/>
      <c r="J273" s="459"/>
      <c r="K273" s="459"/>
      <c r="L273" s="459"/>
      <c r="M273" s="459"/>
      <c r="N273" s="459"/>
      <c r="O273" s="459"/>
      <c r="P273" s="459"/>
      <c r="Q273" s="459"/>
      <c r="R273" s="459"/>
      <c r="S273" s="459"/>
      <c r="T273" s="459"/>
      <c r="U273" s="459"/>
      <c r="V273" s="459"/>
      <c r="W273" s="459"/>
      <c r="X273" s="459"/>
      <c r="Y273" s="459"/>
      <c r="Z273" s="459"/>
      <c r="AA273" s="459"/>
      <c r="AB273" s="459"/>
      <c r="AC273" s="459"/>
    </row>
    <row r="274" spans="1:29">
      <c r="A274" s="131" t="s">
        <v>648</v>
      </c>
      <c r="B274" s="131" t="s">
        <v>64</v>
      </c>
      <c r="C274" s="131" t="str">
        <f>C261</f>
        <v>IE</v>
      </c>
      <c r="D274" s="131" t="str">
        <f t="shared" ref="D274:AC274" si="132">D261</f>
        <v>IE-CW</v>
      </c>
      <c r="E274" s="131" t="str">
        <f t="shared" si="132"/>
        <v>IE-D</v>
      </c>
      <c r="F274" s="131" t="str">
        <f t="shared" si="132"/>
        <v>IE-KE</v>
      </c>
      <c r="G274" s="131" t="str">
        <f t="shared" si="132"/>
        <v>IE-KK</v>
      </c>
      <c r="H274" s="131" t="str">
        <f t="shared" si="132"/>
        <v>IE-LS</v>
      </c>
      <c r="I274" s="131" t="str">
        <f t="shared" si="132"/>
        <v>IE-LD</v>
      </c>
      <c r="J274" s="131" t="str">
        <f t="shared" si="132"/>
        <v>IE-LH</v>
      </c>
      <c r="K274" s="131" t="str">
        <f t="shared" si="132"/>
        <v>IE-MH</v>
      </c>
      <c r="L274" s="131" t="str">
        <f t="shared" si="132"/>
        <v>IE-OY</v>
      </c>
      <c r="M274" s="131" t="str">
        <f t="shared" si="132"/>
        <v>IE-WH</v>
      </c>
      <c r="N274" s="131" t="str">
        <f t="shared" si="132"/>
        <v>IE-WX</v>
      </c>
      <c r="O274" s="131" t="str">
        <f t="shared" si="132"/>
        <v>IE-WW</v>
      </c>
      <c r="P274" s="131" t="str">
        <f t="shared" si="132"/>
        <v>IE-CE</v>
      </c>
      <c r="Q274" s="131" t="str">
        <f t="shared" si="132"/>
        <v>IE-CO</v>
      </c>
      <c r="R274" s="131" t="str">
        <f t="shared" si="132"/>
        <v>IE-KY</v>
      </c>
      <c r="S274" s="131" t="str">
        <f t="shared" si="132"/>
        <v>IE-LK</v>
      </c>
      <c r="T274" s="131" t="str">
        <f t="shared" si="132"/>
        <v>IE-TA</v>
      </c>
      <c r="U274" s="131" t="str">
        <f t="shared" si="132"/>
        <v>IE-WD</v>
      </c>
      <c r="V274" s="131" t="str">
        <f t="shared" si="132"/>
        <v>IE-G</v>
      </c>
      <c r="W274" s="131" t="str">
        <f t="shared" si="132"/>
        <v>IE-LM</v>
      </c>
      <c r="X274" s="131" t="str">
        <f t="shared" si="132"/>
        <v>IE-MO</v>
      </c>
      <c r="Y274" s="131" t="str">
        <f t="shared" si="132"/>
        <v>IE-RN</v>
      </c>
      <c r="Z274" s="131" t="str">
        <f t="shared" si="132"/>
        <v>IE-SO</v>
      </c>
      <c r="AA274" s="131" t="str">
        <f t="shared" si="132"/>
        <v>IE-CN</v>
      </c>
      <c r="AB274" s="131" t="str">
        <f t="shared" si="132"/>
        <v>IE-DL</v>
      </c>
      <c r="AC274" s="131" t="str">
        <f t="shared" si="132"/>
        <v>IE-MN</v>
      </c>
    </row>
    <row r="275" spans="1:29">
      <c r="A275" s="459" t="s">
        <v>669</v>
      </c>
      <c r="B275" s="459" t="s">
        <v>653</v>
      </c>
      <c r="C275" s="505">
        <f>SUMPRODUCT(C249:C255,C262:C268)</f>
        <v>1.6619529898518981</v>
      </c>
      <c r="D275" s="505">
        <f>IF(D242&gt;1,SUMPRODUCT(D249:D255,D262:D268),$C$226)</f>
        <v>1.6415930285036124</v>
      </c>
      <c r="E275" s="505">
        <f t="shared" ref="E275:AC275" si="133">IF(E242&gt;1,SUMPRODUCT(E249:E255,E262:E268),$C$226)</f>
        <v>1.6824155298383927</v>
      </c>
      <c r="F275" s="505">
        <f t="shared" si="133"/>
        <v>1.6382873945238248</v>
      </c>
      <c r="G275" s="505">
        <f t="shared" si="133"/>
        <v>1.6440804897009154</v>
      </c>
      <c r="H275" s="505">
        <f t="shared" si="133"/>
        <v>1.6514759468771643</v>
      </c>
      <c r="I275" s="505">
        <f t="shared" si="133"/>
        <v>1.6575815691238844</v>
      </c>
      <c r="J275" s="505">
        <f t="shared" si="133"/>
        <v>1.6291996265803439</v>
      </c>
      <c r="K275" s="505">
        <f t="shared" si="133"/>
        <v>1.7027258992750904</v>
      </c>
      <c r="L275" s="505">
        <f t="shared" si="133"/>
        <v>1.6219999252187001</v>
      </c>
      <c r="M275" s="505">
        <f t="shared" si="133"/>
        <v>1.6525696047253173</v>
      </c>
      <c r="N275" s="505">
        <f t="shared" si="133"/>
        <v>1.6163910938385573</v>
      </c>
      <c r="O275" s="505">
        <f t="shared" si="133"/>
        <v>1.6246637483235278</v>
      </c>
      <c r="P275" s="505">
        <f t="shared" si="133"/>
        <v>1.6510454202444789</v>
      </c>
      <c r="Q275" s="505">
        <f t="shared" si="133"/>
        <v>1.6540545361617276</v>
      </c>
      <c r="R275" s="505">
        <f t="shared" si="133"/>
        <v>1.6764124580787587</v>
      </c>
      <c r="S275" s="505">
        <f t="shared" si="133"/>
        <v>1.6372218478027598</v>
      </c>
      <c r="T275" s="505">
        <f t="shared" si="133"/>
        <v>1.6208233994883556</v>
      </c>
      <c r="U275" s="505">
        <f t="shared" si="133"/>
        <v>1.6526445307491071</v>
      </c>
      <c r="V275" s="505">
        <f t="shared" si="133"/>
        <v>1.6961438929638242</v>
      </c>
      <c r="W275" s="505">
        <f t="shared" si="133"/>
        <v>1.6413951213872302</v>
      </c>
      <c r="X275" s="505">
        <f t="shared" si="133"/>
        <v>1.6281630287089306</v>
      </c>
      <c r="Y275" s="505">
        <f t="shared" si="133"/>
        <v>1.636222953125988</v>
      </c>
      <c r="Z275" s="505">
        <f t="shared" si="133"/>
        <v>1.6286495365749154</v>
      </c>
      <c r="AA275" s="505">
        <f t="shared" si="133"/>
        <v>1.618155975530319</v>
      </c>
      <c r="AB275" s="505">
        <f t="shared" si="133"/>
        <v>1.6292238892424922</v>
      </c>
      <c r="AC275" s="505">
        <f t="shared" si="133"/>
        <v>1.6330547237118052</v>
      </c>
    </row>
    <row r="276" spans="1:29">
      <c r="A276" s="458"/>
      <c r="B276" s="458" t="s">
        <v>640</v>
      </c>
      <c r="C276" s="508">
        <f>1000/C275</f>
        <v>601.70173651488972</v>
      </c>
      <c r="D276" s="508">
        <f>1000/D275</f>
        <v>609.16438035287342</v>
      </c>
      <c r="E276" s="508">
        <f>1000/E275</f>
        <v>594.38348152674075</v>
      </c>
      <c r="F276" s="508">
        <f>1000/F275</f>
        <v>610.39351419208981</v>
      </c>
      <c r="G276" s="508">
        <f t="shared" ref="G276" si="134">1000/G275</f>
        <v>608.24272671827407</v>
      </c>
      <c r="H276" s="508">
        <f t="shared" ref="H276" si="135">1000/H275</f>
        <v>605.51896132119646</v>
      </c>
      <c r="I276" s="508">
        <f t="shared" ref="I276" si="136">1000/I275</f>
        <v>603.28856125526931</v>
      </c>
      <c r="J276" s="508">
        <f t="shared" ref="J276" si="137">1000/J275</f>
        <v>613.79832384259703</v>
      </c>
      <c r="K276" s="508">
        <f t="shared" ref="K276" si="138">1000/K275</f>
        <v>587.29358637566668</v>
      </c>
      <c r="L276" s="508">
        <f t="shared" ref="L276" si="139">1000/L275</f>
        <v>616.52283976842136</v>
      </c>
      <c r="M276" s="508">
        <f t="shared" ref="M276" si="140">1000/M275</f>
        <v>605.11823353196394</v>
      </c>
      <c r="N276" s="508">
        <f t="shared" ref="N276" si="141">1000/N275</f>
        <v>618.66215658565022</v>
      </c>
      <c r="O276" s="508">
        <f t="shared" ref="O276" si="142">1000/O275</f>
        <v>615.51197965233655</v>
      </c>
      <c r="P276" s="508">
        <f t="shared" ref="P276" si="143">1000/P275</f>
        <v>605.67685645615052</v>
      </c>
      <c r="Q276" s="508">
        <f t="shared" ref="Q276" si="144">1000/Q275</f>
        <v>604.57498718302452</v>
      </c>
      <c r="R276" s="508">
        <f t="shared" ref="R276" si="145">1000/R275</f>
        <v>596.51191160082601</v>
      </c>
      <c r="S276" s="508">
        <f t="shared" ref="S276" si="146">1000/S275</f>
        <v>610.79077422650698</v>
      </c>
      <c r="T276" s="508">
        <f t="shared" ref="T276" si="147">1000/T275</f>
        <v>616.9703622958981</v>
      </c>
      <c r="U276" s="508">
        <f t="shared" ref="U276" si="148">1000/U275</f>
        <v>605.09079925779452</v>
      </c>
      <c r="V276" s="508">
        <f t="shared" ref="V276" si="149">1000/V275</f>
        <v>589.57262066522571</v>
      </c>
      <c r="W276" s="508">
        <f t="shared" ref="W276" si="150">1000/W275</f>
        <v>609.23782882627734</v>
      </c>
      <c r="X276" s="508">
        <f t="shared" ref="X276" si="151">1000/X275</f>
        <v>614.18910905559676</v>
      </c>
      <c r="Y276" s="508">
        <f t="shared" ref="Y276" si="152">1000/Y275</f>
        <v>611.16365473880546</v>
      </c>
      <c r="Z276" s="508">
        <f t="shared" ref="Z276" si="153">1000/Z275</f>
        <v>614.00563936119818</v>
      </c>
      <c r="AA276" s="508">
        <f t="shared" ref="AA276" si="154">1000/AA275</f>
        <v>617.98739745856051</v>
      </c>
      <c r="AB276" s="508">
        <f t="shared" ref="AB276" si="155">1000/AB275</f>
        <v>613.78918306000912</v>
      </c>
      <c r="AC276" s="508">
        <f t="shared" ref="AC276" si="156">1000/AC275</f>
        <v>612.34935086993198</v>
      </c>
    </row>
    <row r="280" spans="1:29">
      <c r="A280" s="511"/>
      <c r="B280" s="511"/>
      <c r="C280" s="511"/>
      <c r="D280" s="511"/>
      <c r="E280" s="511"/>
      <c r="F280" s="511"/>
      <c r="G280" s="511"/>
      <c r="H280" s="511"/>
      <c r="I280" s="511"/>
      <c r="J280" s="511"/>
      <c r="K280" s="511"/>
      <c r="L280" s="511"/>
      <c r="M280" s="511"/>
      <c r="N280" s="511"/>
      <c r="O280" s="511"/>
      <c r="P280" s="511"/>
      <c r="Q280" s="511"/>
      <c r="R280" s="511"/>
      <c r="S280" s="511"/>
      <c r="T280" s="511"/>
      <c r="U280" s="511"/>
      <c r="V280" s="511"/>
      <c r="W280" s="511"/>
      <c r="X280" s="511"/>
      <c r="Y280" s="511"/>
      <c r="Z280" s="511"/>
      <c r="AA280" s="511"/>
      <c r="AB280" s="511"/>
      <c r="AC280" s="511"/>
    </row>
    <row r="281" spans="1:29" ht="15.6">
      <c r="A281" s="401" t="s">
        <v>668</v>
      </c>
      <c r="C281" s="459"/>
      <c r="D281" s="459"/>
      <c r="E281" s="459"/>
      <c r="F281" s="459"/>
      <c r="G281" s="459"/>
      <c r="H281" s="459"/>
      <c r="I281" s="459"/>
      <c r="J281" s="459"/>
      <c r="K281" s="459"/>
      <c r="L281" s="459"/>
      <c r="M281" s="459"/>
      <c r="N281" s="459"/>
      <c r="O281" s="459"/>
      <c r="P281" s="459"/>
      <c r="Q281" s="459"/>
      <c r="R281" s="459"/>
      <c r="S281" s="459"/>
      <c r="T281" s="459"/>
      <c r="U281" s="459"/>
      <c r="V281" s="459"/>
      <c r="W281" s="459"/>
      <c r="X281" s="459"/>
      <c r="Y281" s="459"/>
      <c r="Z281" s="459"/>
      <c r="AA281" s="459"/>
      <c r="AB281" s="459"/>
      <c r="AC281" s="459"/>
    </row>
    <row r="282" spans="1:29">
      <c r="A282" s="131" t="s">
        <v>648</v>
      </c>
      <c r="B282" s="131" t="s">
        <v>64</v>
      </c>
      <c r="C282" s="131" t="str">
        <f t="shared" ref="C282:AC282" si="157">C274</f>
        <v>IE</v>
      </c>
      <c r="D282" s="131" t="str">
        <f t="shared" si="157"/>
        <v>IE-CW</v>
      </c>
      <c r="E282" s="131" t="str">
        <f t="shared" si="157"/>
        <v>IE-D</v>
      </c>
      <c r="F282" s="131" t="str">
        <f t="shared" si="157"/>
        <v>IE-KE</v>
      </c>
      <c r="G282" s="131" t="str">
        <f t="shared" si="157"/>
        <v>IE-KK</v>
      </c>
      <c r="H282" s="131" t="str">
        <f t="shared" si="157"/>
        <v>IE-LS</v>
      </c>
      <c r="I282" s="131" t="str">
        <f t="shared" si="157"/>
        <v>IE-LD</v>
      </c>
      <c r="J282" s="131" t="str">
        <f t="shared" si="157"/>
        <v>IE-LH</v>
      </c>
      <c r="K282" s="131" t="str">
        <f t="shared" si="157"/>
        <v>IE-MH</v>
      </c>
      <c r="L282" s="131" t="str">
        <f t="shared" si="157"/>
        <v>IE-OY</v>
      </c>
      <c r="M282" s="131" t="str">
        <f t="shared" si="157"/>
        <v>IE-WH</v>
      </c>
      <c r="N282" s="131" t="str">
        <f t="shared" si="157"/>
        <v>IE-WX</v>
      </c>
      <c r="O282" s="131" t="str">
        <f t="shared" si="157"/>
        <v>IE-WW</v>
      </c>
      <c r="P282" s="131" t="str">
        <f t="shared" si="157"/>
        <v>IE-CE</v>
      </c>
      <c r="Q282" s="131" t="str">
        <f t="shared" si="157"/>
        <v>IE-CO</v>
      </c>
      <c r="R282" s="131" t="str">
        <f t="shared" si="157"/>
        <v>IE-KY</v>
      </c>
      <c r="S282" s="131" t="str">
        <f t="shared" si="157"/>
        <v>IE-LK</v>
      </c>
      <c r="T282" s="131" t="str">
        <f t="shared" si="157"/>
        <v>IE-TA</v>
      </c>
      <c r="U282" s="131" t="str">
        <f t="shared" si="157"/>
        <v>IE-WD</v>
      </c>
      <c r="V282" s="131" t="str">
        <f t="shared" si="157"/>
        <v>IE-G</v>
      </c>
      <c r="W282" s="131" t="str">
        <f t="shared" si="157"/>
        <v>IE-LM</v>
      </c>
      <c r="X282" s="131" t="str">
        <f t="shared" si="157"/>
        <v>IE-MO</v>
      </c>
      <c r="Y282" s="131" t="str">
        <f t="shared" si="157"/>
        <v>IE-RN</v>
      </c>
      <c r="Z282" s="131" t="str">
        <f t="shared" si="157"/>
        <v>IE-SO</v>
      </c>
      <c r="AA282" s="131" t="str">
        <f t="shared" si="157"/>
        <v>IE-CN</v>
      </c>
      <c r="AB282" s="131" t="str">
        <f t="shared" si="157"/>
        <v>IE-DL</v>
      </c>
      <c r="AC282" s="131" t="str">
        <f t="shared" si="157"/>
        <v>IE-MN</v>
      </c>
    </row>
    <row r="283" spans="1:29">
      <c r="A283" s="459" t="s">
        <v>347</v>
      </c>
      <c r="B283" s="459" t="s">
        <v>539</v>
      </c>
      <c r="C283" s="9">
        <f>SUM(D283:AC283)</f>
        <v>2</v>
      </c>
      <c r="D283" s="512">
        <v>0</v>
      </c>
      <c r="E283" s="512">
        <v>0</v>
      </c>
      <c r="F283" s="512">
        <v>0</v>
      </c>
      <c r="G283" s="512">
        <v>0</v>
      </c>
      <c r="H283" s="512">
        <v>0</v>
      </c>
      <c r="I283" s="512">
        <v>0</v>
      </c>
      <c r="J283" s="512">
        <v>0</v>
      </c>
      <c r="K283" s="512">
        <v>0</v>
      </c>
      <c r="L283" s="512">
        <v>0</v>
      </c>
      <c r="M283" s="512">
        <v>0</v>
      </c>
      <c r="N283" s="512">
        <v>0</v>
      </c>
      <c r="O283" s="512">
        <v>0</v>
      </c>
      <c r="P283" s="512">
        <v>0</v>
      </c>
      <c r="Q283" s="512">
        <v>0</v>
      </c>
      <c r="R283" s="512">
        <v>1</v>
      </c>
      <c r="S283" s="512">
        <v>0</v>
      </c>
      <c r="T283" s="512">
        <v>0</v>
      </c>
      <c r="U283" s="512">
        <v>0</v>
      </c>
      <c r="V283" s="512">
        <v>1</v>
      </c>
      <c r="W283" s="512">
        <v>0</v>
      </c>
      <c r="X283" s="512">
        <v>0</v>
      </c>
      <c r="Y283" s="512">
        <v>0</v>
      </c>
      <c r="Z283" s="512">
        <v>0</v>
      </c>
      <c r="AA283" s="512">
        <v>0</v>
      </c>
      <c r="AB283" s="512">
        <v>0</v>
      </c>
      <c r="AC283" s="512">
        <v>0</v>
      </c>
    </row>
    <row r="284" spans="1:29">
      <c r="A284" s="459" t="s">
        <v>348</v>
      </c>
      <c r="B284" s="459" t="s">
        <v>539</v>
      </c>
      <c r="C284" s="9">
        <f t="shared" ref="C284:C289" si="158">SUM(D284:AC284)</f>
        <v>0</v>
      </c>
      <c r="D284" s="512">
        <v>0</v>
      </c>
      <c r="E284" s="512">
        <v>0</v>
      </c>
      <c r="F284" s="512">
        <v>0</v>
      </c>
      <c r="G284" s="512">
        <v>0</v>
      </c>
      <c r="H284" s="512">
        <v>0</v>
      </c>
      <c r="I284" s="512">
        <v>0</v>
      </c>
      <c r="J284" s="512">
        <v>0</v>
      </c>
      <c r="K284" s="512">
        <v>0</v>
      </c>
      <c r="L284" s="512">
        <v>0</v>
      </c>
      <c r="M284" s="512">
        <v>0</v>
      </c>
      <c r="N284" s="512">
        <v>0</v>
      </c>
      <c r="O284" s="512">
        <v>0</v>
      </c>
      <c r="P284" s="512">
        <v>0</v>
      </c>
      <c r="Q284" s="512">
        <v>0</v>
      </c>
      <c r="R284" s="512">
        <v>0</v>
      </c>
      <c r="S284" s="512">
        <v>0</v>
      </c>
      <c r="T284" s="512">
        <v>0</v>
      </c>
      <c r="U284" s="512">
        <v>0</v>
      </c>
      <c r="V284" s="512">
        <v>0</v>
      </c>
      <c r="W284" s="512">
        <v>0</v>
      </c>
      <c r="X284" s="512">
        <v>0</v>
      </c>
      <c r="Y284" s="512">
        <v>0</v>
      </c>
      <c r="Z284" s="512">
        <v>0</v>
      </c>
      <c r="AA284" s="512">
        <v>0</v>
      </c>
      <c r="AB284" s="512">
        <v>0</v>
      </c>
      <c r="AC284" s="512">
        <v>0</v>
      </c>
    </row>
    <row r="285" spans="1:29">
      <c r="A285" s="459" t="s">
        <v>349</v>
      </c>
      <c r="B285" s="459" t="s">
        <v>539</v>
      </c>
      <c r="C285" s="9">
        <f t="shared" si="158"/>
        <v>3181</v>
      </c>
      <c r="D285" s="512">
        <v>26</v>
      </c>
      <c r="E285" s="512">
        <v>122</v>
      </c>
      <c r="F285" s="512">
        <v>40</v>
      </c>
      <c r="G285" s="512">
        <v>187</v>
      </c>
      <c r="H285" s="512">
        <v>39</v>
      </c>
      <c r="I285" s="512">
        <v>75</v>
      </c>
      <c r="J285" s="512">
        <v>10</v>
      </c>
      <c r="K285" s="512">
        <v>35</v>
      </c>
      <c r="L285" s="512">
        <v>11</v>
      </c>
      <c r="M285" s="512">
        <v>50</v>
      </c>
      <c r="N285" s="512">
        <v>31</v>
      </c>
      <c r="O285" s="512">
        <v>67</v>
      </c>
      <c r="P285" s="512">
        <v>52</v>
      </c>
      <c r="Q285" s="512">
        <v>216</v>
      </c>
      <c r="R285" s="512">
        <v>109</v>
      </c>
      <c r="S285" s="512">
        <v>9</v>
      </c>
      <c r="T285" s="512">
        <v>16</v>
      </c>
      <c r="U285" s="512">
        <v>70</v>
      </c>
      <c r="V285" s="512">
        <v>1666</v>
      </c>
      <c r="W285" s="512">
        <v>55</v>
      </c>
      <c r="X285" s="512">
        <v>58</v>
      </c>
      <c r="Y285" s="512">
        <v>35</v>
      </c>
      <c r="Z285" s="512">
        <v>18</v>
      </c>
      <c r="AA285" s="512">
        <v>23</v>
      </c>
      <c r="AB285" s="512">
        <v>20</v>
      </c>
      <c r="AC285" s="512">
        <v>141</v>
      </c>
    </row>
    <row r="286" spans="1:29">
      <c r="A286" s="459" t="s">
        <v>350</v>
      </c>
      <c r="B286" s="459" t="s">
        <v>539</v>
      </c>
      <c r="C286" s="9">
        <f t="shared" si="158"/>
        <v>7669</v>
      </c>
      <c r="D286" s="512">
        <v>57</v>
      </c>
      <c r="E286" s="512">
        <v>320</v>
      </c>
      <c r="F286" s="512">
        <v>170</v>
      </c>
      <c r="G286" s="512">
        <v>357</v>
      </c>
      <c r="H286" s="512">
        <v>118</v>
      </c>
      <c r="I286" s="512">
        <v>219</v>
      </c>
      <c r="J286" s="512">
        <v>38</v>
      </c>
      <c r="K286" s="512">
        <v>107</v>
      </c>
      <c r="L286" s="512">
        <v>49</v>
      </c>
      <c r="M286" s="512">
        <v>134</v>
      </c>
      <c r="N286" s="512">
        <v>157</v>
      </c>
      <c r="O286" s="512">
        <v>177</v>
      </c>
      <c r="P286" s="512">
        <v>151</v>
      </c>
      <c r="Q286" s="512">
        <v>702</v>
      </c>
      <c r="R286" s="512">
        <v>406</v>
      </c>
      <c r="S286" s="512">
        <v>25</v>
      </c>
      <c r="T286" s="512">
        <v>107</v>
      </c>
      <c r="U286" s="512">
        <v>155</v>
      </c>
      <c r="V286" s="512">
        <v>3249</v>
      </c>
      <c r="W286" s="512">
        <v>89</v>
      </c>
      <c r="X286" s="512">
        <v>187</v>
      </c>
      <c r="Y286" s="512">
        <v>117</v>
      </c>
      <c r="Z286" s="512">
        <v>58</v>
      </c>
      <c r="AA286" s="512">
        <v>74</v>
      </c>
      <c r="AB286" s="512">
        <v>189</v>
      </c>
      <c r="AC286" s="512">
        <v>257</v>
      </c>
    </row>
    <row r="287" spans="1:29">
      <c r="A287" s="459" t="s">
        <v>351</v>
      </c>
      <c r="B287" s="459" t="s">
        <v>539</v>
      </c>
      <c r="C287" s="9">
        <f t="shared" si="158"/>
        <v>12248</v>
      </c>
      <c r="D287" s="512">
        <v>75</v>
      </c>
      <c r="E287" s="512">
        <v>421</v>
      </c>
      <c r="F287" s="512">
        <v>250</v>
      </c>
      <c r="G287" s="512">
        <v>607</v>
      </c>
      <c r="H287" s="512">
        <v>153</v>
      </c>
      <c r="I287" s="512">
        <v>381</v>
      </c>
      <c r="J287" s="512">
        <v>81</v>
      </c>
      <c r="K287" s="512">
        <v>212</v>
      </c>
      <c r="L287" s="512">
        <v>69</v>
      </c>
      <c r="M287" s="512">
        <v>152</v>
      </c>
      <c r="N287" s="512">
        <v>221</v>
      </c>
      <c r="O287" s="512">
        <v>279</v>
      </c>
      <c r="P287" s="512">
        <v>197</v>
      </c>
      <c r="Q287" s="512">
        <v>1273</v>
      </c>
      <c r="R287" s="512">
        <v>710</v>
      </c>
      <c r="S287" s="512">
        <v>39</v>
      </c>
      <c r="T287" s="512">
        <v>121</v>
      </c>
      <c r="U287" s="512">
        <v>239</v>
      </c>
      <c r="V287" s="512">
        <v>5301</v>
      </c>
      <c r="W287" s="512">
        <v>121</v>
      </c>
      <c r="X287" s="512">
        <v>252</v>
      </c>
      <c r="Y287" s="512">
        <v>133</v>
      </c>
      <c r="Z287" s="512">
        <v>124</v>
      </c>
      <c r="AA287" s="512">
        <v>107</v>
      </c>
      <c r="AB287" s="512">
        <v>278</v>
      </c>
      <c r="AC287" s="512">
        <v>452</v>
      </c>
    </row>
    <row r="288" spans="1:29">
      <c r="A288" s="459" t="s">
        <v>352</v>
      </c>
      <c r="B288" s="459" t="s">
        <v>539</v>
      </c>
      <c r="C288" s="9">
        <f t="shared" si="158"/>
        <v>157</v>
      </c>
      <c r="D288" s="512">
        <v>1</v>
      </c>
      <c r="E288" s="512">
        <v>8</v>
      </c>
      <c r="F288" s="512">
        <v>4</v>
      </c>
      <c r="G288" s="512">
        <v>8</v>
      </c>
      <c r="H288" s="512">
        <v>0</v>
      </c>
      <c r="I288" s="512">
        <v>4</v>
      </c>
      <c r="J288" s="512">
        <v>0</v>
      </c>
      <c r="K288" s="512">
        <v>1</v>
      </c>
      <c r="L288" s="512">
        <v>1</v>
      </c>
      <c r="M288" s="512">
        <v>4</v>
      </c>
      <c r="N288" s="512">
        <v>2</v>
      </c>
      <c r="O288" s="512">
        <v>1</v>
      </c>
      <c r="P288" s="512">
        <v>1</v>
      </c>
      <c r="Q288" s="512">
        <v>14</v>
      </c>
      <c r="R288" s="512">
        <v>11</v>
      </c>
      <c r="S288" s="512">
        <v>0</v>
      </c>
      <c r="T288" s="512">
        <v>1</v>
      </c>
      <c r="U288" s="512">
        <v>3</v>
      </c>
      <c r="V288" s="512">
        <v>81</v>
      </c>
      <c r="W288" s="512">
        <v>1</v>
      </c>
      <c r="X288" s="512">
        <v>2</v>
      </c>
      <c r="Y288" s="512">
        <v>1</v>
      </c>
      <c r="Z288" s="512">
        <v>2</v>
      </c>
      <c r="AA288" s="512">
        <v>0</v>
      </c>
      <c r="AB288" s="512">
        <v>2</v>
      </c>
      <c r="AC288" s="512">
        <v>4</v>
      </c>
    </row>
    <row r="289" spans="1:29">
      <c r="A289" s="459" t="s">
        <v>353</v>
      </c>
      <c r="B289" s="459" t="s">
        <v>539</v>
      </c>
      <c r="C289" s="9">
        <f t="shared" si="158"/>
        <v>6543</v>
      </c>
      <c r="D289" s="512">
        <v>46</v>
      </c>
      <c r="E289" s="512">
        <v>238</v>
      </c>
      <c r="F289" s="512">
        <v>108</v>
      </c>
      <c r="G289" s="512">
        <v>269</v>
      </c>
      <c r="H289" s="512">
        <v>55</v>
      </c>
      <c r="I289" s="512">
        <v>126</v>
      </c>
      <c r="J289" s="512">
        <v>30</v>
      </c>
      <c r="K289" s="512">
        <v>102</v>
      </c>
      <c r="L289" s="512">
        <v>31</v>
      </c>
      <c r="M289" s="512">
        <v>78</v>
      </c>
      <c r="N289" s="512">
        <v>77</v>
      </c>
      <c r="O289" s="512">
        <v>92</v>
      </c>
      <c r="P289" s="512">
        <v>91</v>
      </c>
      <c r="Q289" s="512">
        <v>724</v>
      </c>
      <c r="R289" s="512">
        <v>426</v>
      </c>
      <c r="S289" s="512">
        <v>17</v>
      </c>
      <c r="T289" s="512">
        <v>28</v>
      </c>
      <c r="U289" s="512">
        <v>98</v>
      </c>
      <c r="V289" s="512">
        <v>3271</v>
      </c>
      <c r="W289" s="512">
        <v>41</v>
      </c>
      <c r="X289" s="512">
        <v>84</v>
      </c>
      <c r="Y289" s="512">
        <v>61</v>
      </c>
      <c r="Z289" s="512">
        <v>63</v>
      </c>
      <c r="AA289" s="512">
        <v>52</v>
      </c>
      <c r="AB289" s="512">
        <v>84</v>
      </c>
      <c r="AC289" s="512">
        <v>251</v>
      </c>
    </row>
    <row r="290" spans="1:29">
      <c r="A290" s="458" t="s">
        <v>16</v>
      </c>
      <c r="B290" s="458" t="s">
        <v>539</v>
      </c>
      <c r="C290" s="504">
        <f>SUM(C283:C289)</f>
        <v>29800</v>
      </c>
      <c r="D290" s="504">
        <f>SUM(D283:D289)</f>
        <v>205</v>
      </c>
      <c r="E290" s="504">
        <f t="shared" ref="E290" si="159">SUM(E283:E289)</f>
        <v>1109</v>
      </c>
      <c r="F290" s="504">
        <f t="shared" ref="F290" si="160">SUM(F283:F289)</f>
        <v>572</v>
      </c>
      <c r="G290" s="504">
        <f t="shared" ref="G290" si="161">SUM(G283:G289)</f>
        <v>1428</v>
      </c>
      <c r="H290" s="504">
        <f t="shared" ref="H290" si="162">SUM(H283:H289)</f>
        <v>365</v>
      </c>
      <c r="I290" s="504">
        <f t="shared" ref="I290" si="163">SUM(I283:I289)</f>
        <v>805</v>
      </c>
      <c r="J290" s="504">
        <f t="shared" ref="J290" si="164">SUM(J283:J289)</f>
        <v>159</v>
      </c>
      <c r="K290" s="504">
        <f t="shared" ref="K290" si="165">SUM(K283:K289)</f>
        <v>457</v>
      </c>
      <c r="L290" s="504">
        <f t="shared" ref="L290" si="166">SUM(L283:L289)</f>
        <v>161</v>
      </c>
      <c r="M290" s="504">
        <f t="shared" ref="M290" si="167">SUM(M283:M289)</f>
        <v>418</v>
      </c>
      <c r="N290" s="504">
        <f t="shared" ref="N290" si="168">SUM(N283:N289)</f>
        <v>488</v>
      </c>
      <c r="O290" s="504">
        <f t="shared" ref="O290" si="169">SUM(O283:O289)</f>
        <v>616</v>
      </c>
      <c r="P290" s="504">
        <f t="shared" ref="P290" si="170">SUM(P283:P289)</f>
        <v>492</v>
      </c>
      <c r="Q290" s="504">
        <f t="shared" ref="Q290" si="171">SUM(Q283:Q289)</f>
        <v>2929</v>
      </c>
      <c r="R290" s="504">
        <f t="shared" ref="R290" si="172">SUM(R283:R289)</f>
        <v>1663</v>
      </c>
      <c r="S290" s="504">
        <f t="shared" ref="S290" si="173">SUM(S283:S289)</f>
        <v>90</v>
      </c>
      <c r="T290" s="504">
        <f t="shared" ref="T290" si="174">SUM(T283:T289)</f>
        <v>273</v>
      </c>
      <c r="U290" s="504">
        <f t="shared" ref="U290" si="175">SUM(U283:U289)</f>
        <v>565</v>
      </c>
      <c r="V290" s="504">
        <f t="shared" ref="V290" si="176">SUM(V283:V289)</f>
        <v>13569</v>
      </c>
      <c r="W290" s="504">
        <f t="shared" ref="W290" si="177">SUM(W283:W289)</f>
        <v>307</v>
      </c>
      <c r="X290" s="504">
        <f t="shared" ref="X290" si="178">SUM(X283:X289)</f>
        <v>583</v>
      </c>
      <c r="Y290" s="504">
        <f t="shared" ref="Y290" si="179">SUM(Y283:Y289)</f>
        <v>347</v>
      </c>
      <c r="Z290" s="504">
        <f t="shared" ref="Z290" si="180">SUM(Z283:Z289)</f>
        <v>265</v>
      </c>
      <c r="AA290" s="504">
        <f t="shared" ref="AA290" si="181">SUM(AA283:AA289)</f>
        <v>256</v>
      </c>
      <c r="AB290" s="504">
        <f t="shared" ref="AB290" si="182">SUM(AB283:AB289)</f>
        <v>573</v>
      </c>
      <c r="AC290" s="504">
        <f t="shared" ref="AC290" si="183">SUM(AC283:AC289)</f>
        <v>1105</v>
      </c>
    </row>
    <row r="291" spans="1:29">
      <c r="A291" s="459" t="s">
        <v>659</v>
      </c>
      <c r="C291" s="459"/>
      <c r="D291" s="459"/>
      <c r="E291" s="459"/>
      <c r="F291" s="459"/>
      <c r="G291" s="459"/>
      <c r="H291" s="459"/>
      <c r="I291" s="459"/>
      <c r="J291" s="459"/>
      <c r="K291" s="459"/>
      <c r="L291" s="459"/>
      <c r="M291" s="459"/>
      <c r="N291" s="459"/>
      <c r="O291" s="459"/>
      <c r="P291" s="459"/>
      <c r="Q291" s="459"/>
      <c r="R291" s="459"/>
      <c r="S291" s="459"/>
      <c r="T291" s="459"/>
      <c r="U291" s="459"/>
      <c r="V291" s="459"/>
      <c r="W291" s="459"/>
      <c r="X291" s="459"/>
      <c r="Y291" s="459"/>
      <c r="Z291" s="459"/>
      <c r="AA291" s="459"/>
      <c r="AB291" s="459"/>
      <c r="AC291" s="459"/>
    </row>
    <row r="295" spans="1:29" ht="15.6">
      <c r="A295" s="401" t="s">
        <v>667</v>
      </c>
      <c r="C295" s="459"/>
      <c r="D295" s="459"/>
      <c r="E295" s="459"/>
      <c r="F295" s="459"/>
      <c r="G295" s="459"/>
      <c r="H295" s="459"/>
      <c r="I295" s="459"/>
      <c r="J295" s="459"/>
      <c r="K295" s="459"/>
      <c r="L295" s="459"/>
      <c r="M295" s="459"/>
      <c r="N295" s="459"/>
      <c r="O295" s="459"/>
      <c r="P295" s="459"/>
      <c r="Q295" s="459"/>
      <c r="R295" s="459"/>
      <c r="S295" s="459"/>
      <c r="T295" s="459"/>
      <c r="U295" s="459"/>
      <c r="V295" s="459"/>
      <c r="W295" s="459"/>
      <c r="X295" s="459"/>
      <c r="Y295" s="459"/>
      <c r="Z295" s="459"/>
      <c r="AA295" s="459"/>
      <c r="AB295" s="459"/>
      <c r="AC295" s="459"/>
    </row>
    <row r="296" spans="1:29">
      <c r="A296" s="131" t="s">
        <v>648</v>
      </c>
      <c r="B296" s="131" t="s">
        <v>64</v>
      </c>
      <c r="C296" s="131" t="str">
        <f>C282</f>
        <v>IE</v>
      </c>
      <c r="D296" s="131" t="str">
        <f t="shared" ref="D296:AC296" si="184">D282</f>
        <v>IE-CW</v>
      </c>
      <c r="E296" s="131" t="str">
        <f t="shared" si="184"/>
        <v>IE-D</v>
      </c>
      <c r="F296" s="131" t="str">
        <f t="shared" si="184"/>
        <v>IE-KE</v>
      </c>
      <c r="G296" s="131" t="str">
        <f t="shared" si="184"/>
        <v>IE-KK</v>
      </c>
      <c r="H296" s="131" t="str">
        <f t="shared" si="184"/>
        <v>IE-LS</v>
      </c>
      <c r="I296" s="131" t="str">
        <f t="shared" si="184"/>
        <v>IE-LD</v>
      </c>
      <c r="J296" s="131" t="str">
        <f t="shared" si="184"/>
        <v>IE-LH</v>
      </c>
      <c r="K296" s="131" t="str">
        <f t="shared" si="184"/>
        <v>IE-MH</v>
      </c>
      <c r="L296" s="131" t="str">
        <f t="shared" si="184"/>
        <v>IE-OY</v>
      </c>
      <c r="M296" s="131" t="str">
        <f t="shared" si="184"/>
        <v>IE-WH</v>
      </c>
      <c r="N296" s="131" t="str">
        <f t="shared" si="184"/>
        <v>IE-WX</v>
      </c>
      <c r="O296" s="131" t="str">
        <f t="shared" si="184"/>
        <v>IE-WW</v>
      </c>
      <c r="P296" s="131" t="str">
        <f t="shared" si="184"/>
        <v>IE-CE</v>
      </c>
      <c r="Q296" s="131" t="str">
        <f t="shared" si="184"/>
        <v>IE-CO</v>
      </c>
      <c r="R296" s="131" t="str">
        <f t="shared" si="184"/>
        <v>IE-KY</v>
      </c>
      <c r="S296" s="131" t="str">
        <f t="shared" si="184"/>
        <v>IE-LK</v>
      </c>
      <c r="T296" s="131" t="str">
        <f t="shared" si="184"/>
        <v>IE-TA</v>
      </c>
      <c r="U296" s="131" t="str">
        <f t="shared" si="184"/>
        <v>IE-WD</v>
      </c>
      <c r="V296" s="131" t="str">
        <f t="shared" si="184"/>
        <v>IE-G</v>
      </c>
      <c r="W296" s="131" t="str">
        <f t="shared" si="184"/>
        <v>IE-LM</v>
      </c>
      <c r="X296" s="131" t="str">
        <f t="shared" si="184"/>
        <v>IE-MO</v>
      </c>
      <c r="Y296" s="131" t="str">
        <f t="shared" si="184"/>
        <v>IE-RN</v>
      </c>
      <c r="Z296" s="131" t="str">
        <f t="shared" si="184"/>
        <v>IE-SO</v>
      </c>
      <c r="AA296" s="131" t="str">
        <f t="shared" si="184"/>
        <v>IE-CN</v>
      </c>
      <c r="AB296" s="131" t="str">
        <f t="shared" si="184"/>
        <v>IE-DL</v>
      </c>
      <c r="AC296" s="131" t="str">
        <f t="shared" si="184"/>
        <v>IE-MN</v>
      </c>
    </row>
    <row r="297" spans="1:29">
      <c r="A297" s="459" t="s">
        <v>347</v>
      </c>
      <c r="B297" s="507" t="s">
        <v>652</v>
      </c>
      <c r="C297" s="35">
        <f t="shared" ref="C297:AC297" si="185">C283/C$290</f>
        <v>6.7114093959731537E-5</v>
      </c>
      <c r="D297" s="35">
        <f t="shared" si="185"/>
        <v>0</v>
      </c>
      <c r="E297" s="35">
        <f t="shared" si="185"/>
        <v>0</v>
      </c>
      <c r="F297" s="35">
        <f t="shared" si="185"/>
        <v>0</v>
      </c>
      <c r="G297" s="35">
        <f t="shared" si="185"/>
        <v>0</v>
      </c>
      <c r="H297" s="35">
        <f t="shared" si="185"/>
        <v>0</v>
      </c>
      <c r="I297" s="35">
        <f t="shared" si="185"/>
        <v>0</v>
      </c>
      <c r="J297" s="35">
        <f t="shared" si="185"/>
        <v>0</v>
      </c>
      <c r="K297" s="35">
        <f t="shared" si="185"/>
        <v>0</v>
      </c>
      <c r="L297" s="35">
        <f t="shared" si="185"/>
        <v>0</v>
      </c>
      <c r="M297" s="35">
        <f t="shared" si="185"/>
        <v>0</v>
      </c>
      <c r="N297" s="35">
        <f t="shared" si="185"/>
        <v>0</v>
      </c>
      <c r="O297" s="35">
        <f t="shared" si="185"/>
        <v>0</v>
      </c>
      <c r="P297" s="35">
        <f t="shared" si="185"/>
        <v>0</v>
      </c>
      <c r="Q297" s="35">
        <f t="shared" si="185"/>
        <v>0</v>
      </c>
      <c r="R297" s="35">
        <f t="shared" si="185"/>
        <v>6.0132291040288638E-4</v>
      </c>
      <c r="S297" s="35">
        <f t="shared" si="185"/>
        <v>0</v>
      </c>
      <c r="T297" s="35">
        <f t="shared" si="185"/>
        <v>0</v>
      </c>
      <c r="U297" s="35">
        <f t="shared" si="185"/>
        <v>0</v>
      </c>
      <c r="V297" s="35">
        <f t="shared" si="185"/>
        <v>7.3697398481833586E-5</v>
      </c>
      <c r="W297" s="35">
        <f t="shared" si="185"/>
        <v>0</v>
      </c>
      <c r="X297" s="35">
        <f t="shared" si="185"/>
        <v>0</v>
      </c>
      <c r="Y297" s="35">
        <f t="shared" si="185"/>
        <v>0</v>
      </c>
      <c r="Z297" s="35">
        <f t="shared" si="185"/>
        <v>0</v>
      </c>
      <c r="AA297" s="35">
        <f t="shared" si="185"/>
        <v>0</v>
      </c>
      <c r="AB297" s="35">
        <f t="shared" si="185"/>
        <v>0</v>
      </c>
      <c r="AC297" s="35">
        <f t="shared" si="185"/>
        <v>0</v>
      </c>
    </row>
    <row r="298" spans="1:29">
      <c r="A298" s="459" t="s">
        <v>348</v>
      </c>
      <c r="B298" s="1" t="s">
        <v>652</v>
      </c>
      <c r="C298" s="35">
        <f t="shared" ref="C298:R303" si="186">C284/C$290</f>
        <v>0</v>
      </c>
      <c r="D298" s="35">
        <f t="shared" si="186"/>
        <v>0</v>
      </c>
      <c r="E298" s="35">
        <f t="shared" si="186"/>
        <v>0</v>
      </c>
      <c r="F298" s="35">
        <f t="shared" si="186"/>
        <v>0</v>
      </c>
      <c r="G298" s="35">
        <f t="shared" si="186"/>
        <v>0</v>
      </c>
      <c r="H298" s="35">
        <f t="shared" si="186"/>
        <v>0</v>
      </c>
      <c r="I298" s="35">
        <f t="shared" si="186"/>
        <v>0</v>
      </c>
      <c r="J298" s="35">
        <f t="shared" si="186"/>
        <v>0</v>
      </c>
      <c r="K298" s="35">
        <f t="shared" si="186"/>
        <v>0</v>
      </c>
      <c r="L298" s="35">
        <f t="shared" si="186"/>
        <v>0</v>
      </c>
      <c r="M298" s="35">
        <f t="shared" si="186"/>
        <v>0</v>
      </c>
      <c r="N298" s="35">
        <f t="shared" si="186"/>
        <v>0</v>
      </c>
      <c r="O298" s="35">
        <f t="shared" si="186"/>
        <v>0</v>
      </c>
      <c r="P298" s="35">
        <f t="shared" si="186"/>
        <v>0</v>
      </c>
      <c r="Q298" s="35">
        <f t="shared" si="186"/>
        <v>0</v>
      </c>
      <c r="R298" s="35">
        <f t="shared" si="186"/>
        <v>0</v>
      </c>
      <c r="S298" s="35">
        <f t="shared" ref="S298:AC298" si="187">S284/S$290</f>
        <v>0</v>
      </c>
      <c r="T298" s="35">
        <f t="shared" si="187"/>
        <v>0</v>
      </c>
      <c r="U298" s="35">
        <f t="shared" si="187"/>
        <v>0</v>
      </c>
      <c r="V298" s="35">
        <f t="shared" si="187"/>
        <v>0</v>
      </c>
      <c r="W298" s="35">
        <f t="shared" si="187"/>
        <v>0</v>
      </c>
      <c r="X298" s="35">
        <f t="shared" si="187"/>
        <v>0</v>
      </c>
      <c r="Y298" s="35">
        <f t="shared" si="187"/>
        <v>0</v>
      </c>
      <c r="Z298" s="35">
        <f t="shared" si="187"/>
        <v>0</v>
      </c>
      <c r="AA298" s="35">
        <f t="shared" si="187"/>
        <v>0</v>
      </c>
      <c r="AB298" s="35">
        <f t="shared" si="187"/>
        <v>0</v>
      </c>
      <c r="AC298" s="35">
        <f t="shared" si="187"/>
        <v>0</v>
      </c>
    </row>
    <row r="299" spans="1:29">
      <c r="A299" s="459" t="s">
        <v>349</v>
      </c>
      <c r="B299" s="1" t="s">
        <v>652</v>
      </c>
      <c r="C299" s="35">
        <f t="shared" si="186"/>
        <v>0.10674496644295302</v>
      </c>
      <c r="D299" s="35">
        <f t="shared" ref="D299:R299" si="188">D285/D$290</f>
        <v>0.12682926829268293</v>
      </c>
      <c r="E299" s="35">
        <f t="shared" si="188"/>
        <v>0.11000901713255185</v>
      </c>
      <c r="F299" s="35">
        <f t="shared" si="188"/>
        <v>6.9930069930069935E-2</v>
      </c>
      <c r="G299" s="35">
        <f t="shared" si="188"/>
        <v>0.13095238095238096</v>
      </c>
      <c r="H299" s="35">
        <f t="shared" si="188"/>
        <v>0.10684931506849316</v>
      </c>
      <c r="I299" s="35">
        <f t="shared" si="188"/>
        <v>9.3167701863354033E-2</v>
      </c>
      <c r="J299" s="35">
        <f t="shared" si="188"/>
        <v>6.2893081761006289E-2</v>
      </c>
      <c r="K299" s="35">
        <f t="shared" si="188"/>
        <v>7.6586433260393869E-2</v>
      </c>
      <c r="L299" s="35">
        <f t="shared" si="188"/>
        <v>6.8322981366459631E-2</v>
      </c>
      <c r="M299" s="35">
        <f t="shared" si="188"/>
        <v>0.11961722488038277</v>
      </c>
      <c r="N299" s="35">
        <f t="shared" si="188"/>
        <v>6.3524590163934427E-2</v>
      </c>
      <c r="O299" s="35">
        <f t="shared" si="188"/>
        <v>0.10876623376623376</v>
      </c>
      <c r="P299" s="35">
        <f t="shared" si="188"/>
        <v>0.10569105691056911</v>
      </c>
      <c r="Q299" s="35">
        <f t="shared" si="188"/>
        <v>7.3745305565039262E-2</v>
      </c>
      <c r="R299" s="35">
        <f t="shared" si="188"/>
        <v>6.5544197233914608E-2</v>
      </c>
      <c r="S299" s="35">
        <f t="shared" ref="S299:AC299" si="189">S285/S$290</f>
        <v>0.1</v>
      </c>
      <c r="T299" s="35">
        <f t="shared" si="189"/>
        <v>5.8608058608058608E-2</v>
      </c>
      <c r="U299" s="35">
        <f t="shared" si="189"/>
        <v>0.12389380530973451</v>
      </c>
      <c r="V299" s="35">
        <f t="shared" si="189"/>
        <v>0.12277986587073476</v>
      </c>
      <c r="W299" s="35">
        <f t="shared" si="189"/>
        <v>0.17915309446254071</v>
      </c>
      <c r="X299" s="35">
        <f t="shared" si="189"/>
        <v>9.9485420240137221E-2</v>
      </c>
      <c r="Y299" s="35">
        <f t="shared" si="189"/>
        <v>0.10086455331412104</v>
      </c>
      <c r="Z299" s="35">
        <f t="shared" si="189"/>
        <v>6.7924528301886791E-2</v>
      </c>
      <c r="AA299" s="35">
        <f t="shared" si="189"/>
        <v>8.984375E-2</v>
      </c>
      <c r="AB299" s="35">
        <f t="shared" si="189"/>
        <v>3.4904013961605584E-2</v>
      </c>
      <c r="AC299" s="35">
        <f t="shared" si="189"/>
        <v>0.12760180995475112</v>
      </c>
    </row>
    <row r="300" spans="1:29">
      <c r="A300" s="459" t="s">
        <v>350</v>
      </c>
      <c r="B300" s="1" t="s">
        <v>652</v>
      </c>
      <c r="C300" s="35">
        <f t="shared" si="186"/>
        <v>0.25734899328859062</v>
      </c>
      <c r="D300" s="35">
        <f t="shared" si="186"/>
        <v>0.2780487804878049</v>
      </c>
      <c r="E300" s="35">
        <f t="shared" si="186"/>
        <v>0.28854824165915238</v>
      </c>
      <c r="F300" s="35">
        <f t="shared" si="186"/>
        <v>0.29720279720279719</v>
      </c>
      <c r="G300" s="35">
        <f t="shared" si="186"/>
        <v>0.25</v>
      </c>
      <c r="H300" s="35">
        <f t="shared" si="186"/>
        <v>0.32328767123287672</v>
      </c>
      <c r="I300" s="35">
        <f t="shared" si="186"/>
        <v>0.27204968944099378</v>
      </c>
      <c r="J300" s="35">
        <f t="shared" si="186"/>
        <v>0.2389937106918239</v>
      </c>
      <c r="K300" s="35">
        <f t="shared" si="186"/>
        <v>0.23413566739606126</v>
      </c>
      <c r="L300" s="35">
        <f t="shared" si="186"/>
        <v>0.30434782608695654</v>
      </c>
      <c r="M300" s="35">
        <f t="shared" si="186"/>
        <v>0.32057416267942584</v>
      </c>
      <c r="N300" s="35">
        <f t="shared" si="186"/>
        <v>0.32172131147540983</v>
      </c>
      <c r="O300" s="35">
        <f t="shared" si="186"/>
        <v>0.28733766233766234</v>
      </c>
      <c r="P300" s="35">
        <f t="shared" si="186"/>
        <v>0.30691056910569103</v>
      </c>
      <c r="Q300" s="35">
        <f t="shared" si="186"/>
        <v>0.23967224308637761</v>
      </c>
      <c r="R300" s="35">
        <f t="shared" si="186"/>
        <v>0.24413710162357186</v>
      </c>
      <c r="S300" s="35">
        <f t="shared" ref="S300:AC300" si="190">S286/S$290</f>
        <v>0.27777777777777779</v>
      </c>
      <c r="T300" s="35">
        <f t="shared" si="190"/>
        <v>0.39194139194139194</v>
      </c>
      <c r="U300" s="35">
        <f t="shared" si="190"/>
        <v>0.27433628318584069</v>
      </c>
      <c r="V300" s="35">
        <f t="shared" si="190"/>
        <v>0.23944284766747734</v>
      </c>
      <c r="W300" s="35">
        <f t="shared" si="190"/>
        <v>0.28990228013029318</v>
      </c>
      <c r="X300" s="35">
        <f t="shared" si="190"/>
        <v>0.32075471698113206</v>
      </c>
      <c r="Y300" s="35">
        <f t="shared" si="190"/>
        <v>0.33717579250720459</v>
      </c>
      <c r="Z300" s="35">
        <f t="shared" si="190"/>
        <v>0.21886792452830189</v>
      </c>
      <c r="AA300" s="35">
        <f t="shared" si="190"/>
        <v>0.2890625</v>
      </c>
      <c r="AB300" s="35">
        <f t="shared" si="190"/>
        <v>0.32984293193717279</v>
      </c>
      <c r="AC300" s="35">
        <f t="shared" si="190"/>
        <v>0.232579185520362</v>
      </c>
    </row>
    <row r="301" spans="1:29">
      <c r="A301" s="459" t="s">
        <v>351</v>
      </c>
      <c r="B301" s="1" t="s">
        <v>652</v>
      </c>
      <c r="C301" s="35">
        <f t="shared" si="186"/>
        <v>0.41100671140939599</v>
      </c>
      <c r="D301" s="35">
        <f t="shared" si="186"/>
        <v>0.36585365853658536</v>
      </c>
      <c r="E301" s="35">
        <f t="shared" si="186"/>
        <v>0.37962128043282234</v>
      </c>
      <c r="F301" s="35">
        <f t="shared" si="186"/>
        <v>0.43706293706293708</v>
      </c>
      <c r="G301" s="35">
        <f t="shared" si="186"/>
        <v>0.42507002801120447</v>
      </c>
      <c r="H301" s="35">
        <f t="shared" si="186"/>
        <v>0.41917808219178082</v>
      </c>
      <c r="I301" s="35">
        <f t="shared" si="186"/>
        <v>0.47329192546583854</v>
      </c>
      <c r="J301" s="35">
        <f t="shared" si="186"/>
        <v>0.50943396226415094</v>
      </c>
      <c r="K301" s="35">
        <f t="shared" si="186"/>
        <v>0.46389496717724288</v>
      </c>
      <c r="L301" s="35">
        <f t="shared" si="186"/>
        <v>0.42857142857142855</v>
      </c>
      <c r="M301" s="35">
        <f t="shared" si="186"/>
        <v>0.36363636363636365</v>
      </c>
      <c r="N301" s="35">
        <f t="shared" si="186"/>
        <v>0.45286885245901637</v>
      </c>
      <c r="O301" s="35">
        <f t="shared" si="186"/>
        <v>0.45292207792207795</v>
      </c>
      <c r="P301" s="35">
        <f t="shared" si="186"/>
        <v>0.40040650406504064</v>
      </c>
      <c r="Q301" s="35">
        <f t="shared" si="186"/>
        <v>0.43461932400136566</v>
      </c>
      <c r="R301" s="35">
        <f t="shared" si="186"/>
        <v>0.42693926638604929</v>
      </c>
      <c r="S301" s="35">
        <f t="shared" ref="S301:AC301" si="191">S287/S$290</f>
        <v>0.43333333333333335</v>
      </c>
      <c r="T301" s="35">
        <f t="shared" si="191"/>
        <v>0.4432234432234432</v>
      </c>
      <c r="U301" s="35">
        <f t="shared" si="191"/>
        <v>0.4230088495575221</v>
      </c>
      <c r="V301" s="35">
        <f t="shared" si="191"/>
        <v>0.39066990935219986</v>
      </c>
      <c r="W301" s="35">
        <f t="shared" si="191"/>
        <v>0.39413680781758959</v>
      </c>
      <c r="X301" s="35">
        <f t="shared" si="191"/>
        <v>0.43224699828473412</v>
      </c>
      <c r="Y301" s="35">
        <f t="shared" si="191"/>
        <v>0.38328530259365995</v>
      </c>
      <c r="Z301" s="35">
        <f t="shared" si="191"/>
        <v>0.4679245283018868</v>
      </c>
      <c r="AA301" s="35">
        <f t="shared" si="191"/>
        <v>0.41796875</v>
      </c>
      <c r="AB301" s="35">
        <f t="shared" si="191"/>
        <v>0.4851657940663176</v>
      </c>
      <c r="AC301" s="35">
        <f t="shared" si="191"/>
        <v>0.4090497737556561</v>
      </c>
    </row>
    <row r="302" spans="1:29">
      <c r="A302" s="459" t="s">
        <v>352</v>
      </c>
      <c r="B302" s="1" t="s">
        <v>652</v>
      </c>
      <c r="C302" s="35">
        <f t="shared" si="186"/>
        <v>5.2684563758389263E-3</v>
      </c>
      <c r="D302" s="35">
        <f t="shared" si="186"/>
        <v>4.8780487804878049E-3</v>
      </c>
      <c r="E302" s="35">
        <f t="shared" si="186"/>
        <v>7.2137060414788094E-3</v>
      </c>
      <c r="F302" s="35">
        <f t="shared" si="186"/>
        <v>6.993006993006993E-3</v>
      </c>
      <c r="G302" s="35">
        <f t="shared" si="186"/>
        <v>5.6022408963585435E-3</v>
      </c>
      <c r="H302" s="35">
        <f t="shared" si="186"/>
        <v>0</v>
      </c>
      <c r="I302" s="35">
        <f t="shared" si="186"/>
        <v>4.9689440993788822E-3</v>
      </c>
      <c r="J302" s="35">
        <f t="shared" si="186"/>
        <v>0</v>
      </c>
      <c r="K302" s="35">
        <f t="shared" si="186"/>
        <v>2.1881838074398249E-3</v>
      </c>
      <c r="L302" s="35">
        <f t="shared" si="186"/>
        <v>6.2111801242236021E-3</v>
      </c>
      <c r="M302" s="35">
        <f t="shared" si="186"/>
        <v>9.5693779904306216E-3</v>
      </c>
      <c r="N302" s="35">
        <f t="shared" si="186"/>
        <v>4.0983606557377051E-3</v>
      </c>
      <c r="O302" s="35">
        <f t="shared" si="186"/>
        <v>1.6233766233766235E-3</v>
      </c>
      <c r="P302" s="35">
        <f t="shared" si="186"/>
        <v>2.0325203252032522E-3</v>
      </c>
      <c r="Q302" s="35">
        <f t="shared" si="186"/>
        <v>4.7797883236599522E-3</v>
      </c>
      <c r="R302" s="35">
        <f t="shared" si="186"/>
        <v>6.6145520144317502E-3</v>
      </c>
      <c r="S302" s="35">
        <f t="shared" ref="S302:AC302" si="192">S288/S$290</f>
        <v>0</v>
      </c>
      <c r="T302" s="35">
        <f t="shared" si="192"/>
        <v>3.663003663003663E-3</v>
      </c>
      <c r="U302" s="35">
        <f t="shared" si="192"/>
        <v>5.3097345132743362E-3</v>
      </c>
      <c r="V302" s="35">
        <f t="shared" si="192"/>
        <v>5.9694892770285205E-3</v>
      </c>
      <c r="W302" s="35">
        <f t="shared" si="192"/>
        <v>3.2573289902280132E-3</v>
      </c>
      <c r="X302" s="35">
        <f t="shared" si="192"/>
        <v>3.4305317324185248E-3</v>
      </c>
      <c r="Y302" s="35">
        <f t="shared" si="192"/>
        <v>2.881844380403458E-3</v>
      </c>
      <c r="Z302" s="35">
        <f t="shared" si="192"/>
        <v>7.5471698113207548E-3</v>
      </c>
      <c r="AA302" s="35">
        <f t="shared" si="192"/>
        <v>0</v>
      </c>
      <c r="AB302" s="35">
        <f t="shared" si="192"/>
        <v>3.4904013961605585E-3</v>
      </c>
      <c r="AC302" s="35">
        <f t="shared" si="192"/>
        <v>3.6199095022624436E-3</v>
      </c>
    </row>
    <row r="303" spans="1:29">
      <c r="A303" s="459" t="s">
        <v>353</v>
      </c>
      <c r="B303" s="1" t="s">
        <v>652</v>
      </c>
      <c r="C303" s="35">
        <f t="shared" si="186"/>
        <v>0.21956375838926173</v>
      </c>
      <c r="D303" s="35">
        <f t="shared" si="186"/>
        <v>0.22439024390243903</v>
      </c>
      <c r="E303" s="35">
        <f t="shared" si="186"/>
        <v>0.2146077547339946</v>
      </c>
      <c r="F303" s="35">
        <f t="shared" si="186"/>
        <v>0.1888111888111888</v>
      </c>
      <c r="G303" s="35">
        <f t="shared" si="186"/>
        <v>0.18837535014005602</v>
      </c>
      <c r="H303" s="35">
        <f t="shared" si="186"/>
        <v>0.15068493150684931</v>
      </c>
      <c r="I303" s="35">
        <f t="shared" si="186"/>
        <v>0.15652173913043479</v>
      </c>
      <c r="J303" s="35">
        <f t="shared" si="186"/>
        <v>0.18867924528301888</v>
      </c>
      <c r="K303" s="35">
        <f t="shared" si="186"/>
        <v>0.22319474835886213</v>
      </c>
      <c r="L303" s="35">
        <f t="shared" si="186"/>
        <v>0.19254658385093168</v>
      </c>
      <c r="M303" s="35">
        <f t="shared" si="186"/>
        <v>0.18660287081339713</v>
      </c>
      <c r="N303" s="35">
        <f t="shared" si="186"/>
        <v>0.15778688524590165</v>
      </c>
      <c r="O303" s="35">
        <f t="shared" si="186"/>
        <v>0.14935064935064934</v>
      </c>
      <c r="P303" s="35">
        <f t="shared" si="186"/>
        <v>0.18495934959349594</v>
      </c>
      <c r="Q303" s="35">
        <f t="shared" si="186"/>
        <v>0.24718333902355752</v>
      </c>
      <c r="R303" s="35">
        <f t="shared" si="186"/>
        <v>0.25616355983162958</v>
      </c>
      <c r="S303" s="35">
        <f t="shared" ref="S303:AC303" si="193">S289/S$290</f>
        <v>0.18888888888888888</v>
      </c>
      <c r="T303" s="35">
        <f t="shared" si="193"/>
        <v>0.10256410256410256</v>
      </c>
      <c r="U303" s="35">
        <f t="shared" si="193"/>
        <v>0.17345132743362832</v>
      </c>
      <c r="V303" s="35">
        <f t="shared" si="193"/>
        <v>0.24106419043407767</v>
      </c>
      <c r="W303" s="35">
        <f t="shared" si="193"/>
        <v>0.13355048859934854</v>
      </c>
      <c r="X303" s="35">
        <f t="shared" si="193"/>
        <v>0.14408233276157806</v>
      </c>
      <c r="Y303" s="35">
        <f t="shared" si="193"/>
        <v>0.17579250720461095</v>
      </c>
      <c r="Z303" s="35">
        <f t="shared" si="193"/>
        <v>0.23773584905660378</v>
      </c>
      <c r="AA303" s="35">
        <f t="shared" si="193"/>
        <v>0.203125</v>
      </c>
      <c r="AB303" s="35">
        <f t="shared" si="193"/>
        <v>0.14659685863874344</v>
      </c>
      <c r="AC303" s="35">
        <f t="shared" si="193"/>
        <v>0.22714932126696832</v>
      </c>
    </row>
    <row r="304" spans="1:29">
      <c r="A304" s="458" t="s">
        <v>16</v>
      </c>
      <c r="B304" s="458" t="s">
        <v>652</v>
      </c>
      <c r="C304" s="403">
        <f t="shared" ref="C304:AC304" si="194">SUM(C297:C303)</f>
        <v>1</v>
      </c>
      <c r="D304" s="403">
        <f t="shared" si="194"/>
        <v>1</v>
      </c>
      <c r="E304" s="403">
        <f t="shared" si="194"/>
        <v>1</v>
      </c>
      <c r="F304" s="403">
        <f t="shared" si="194"/>
        <v>1</v>
      </c>
      <c r="G304" s="403">
        <f t="shared" si="194"/>
        <v>1</v>
      </c>
      <c r="H304" s="403">
        <f t="shared" si="194"/>
        <v>1</v>
      </c>
      <c r="I304" s="403">
        <f t="shared" si="194"/>
        <v>1</v>
      </c>
      <c r="J304" s="403">
        <f t="shared" si="194"/>
        <v>1</v>
      </c>
      <c r="K304" s="403">
        <f t="shared" si="194"/>
        <v>0.99999999999999989</v>
      </c>
      <c r="L304" s="403">
        <f t="shared" si="194"/>
        <v>1</v>
      </c>
      <c r="M304" s="403">
        <f t="shared" si="194"/>
        <v>1</v>
      </c>
      <c r="N304" s="403">
        <f t="shared" si="194"/>
        <v>1</v>
      </c>
      <c r="O304" s="403">
        <f t="shared" si="194"/>
        <v>1</v>
      </c>
      <c r="P304" s="403">
        <f t="shared" si="194"/>
        <v>1</v>
      </c>
      <c r="Q304" s="403">
        <f t="shared" si="194"/>
        <v>1</v>
      </c>
      <c r="R304" s="403">
        <f t="shared" si="194"/>
        <v>1</v>
      </c>
      <c r="S304" s="403">
        <f t="shared" si="194"/>
        <v>1</v>
      </c>
      <c r="T304" s="403">
        <f t="shared" si="194"/>
        <v>0.99999999999999989</v>
      </c>
      <c r="U304" s="403">
        <f t="shared" si="194"/>
        <v>1</v>
      </c>
      <c r="V304" s="403">
        <f t="shared" si="194"/>
        <v>1</v>
      </c>
      <c r="W304" s="403">
        <f t="shared" si="194"/>
        <v>1</v>
      </c>
      <c r="X304" s="403">
        <f t="shared" si="194"/>
        <v>1</v>
      </c>
      <c r="Y304" s="403">
        <f t="shared" si="194"/>
        <v>1</v>
      </c>
      <c r="Z304" s="403">
        <f t="shared" si="194"/>
        <v>1</v>
      </c>
      <c r="AA304" s="403">
        <f t="shared" si="194"/>
        <v>1</v>
      </c>
      <c r="AB304" s="403">
        <f t="shared" si="194"/>
        <v>1</v>
      </c>
      <c r="AC304" s="403">
        <f t="shared" si="194"/>
        <v>0.99999999999999989</v>
      </c>
    </row>
    <row r="308" spans="1:29" ht="15.6">
      <c r="A308" s="425" t="s">
        <v>666</v>
      </c>
      <c r="C308" s="459"/>
      <c r="D308" s="459"/>
      <c r="E308" s="459"/>
      <c r="F308" s="459"/>
      <c r="G308" s="459"/>
      <c r="H308" s="459"/>
      <c r="I308" s="459"/>
      <c r="J308" s="459"/>
      <c r="K308" s="459"/>
      <c r="L308" s="459"/>
      <c r="M308" s="459"/>
      <c r="N308" s="459"/>
      <c r="O308" s="459"/>
      <c r="P308" s="459"/>
      <c r="Q308" s="459"/>
      <c r="R308" s="459"/>
      <c r="S308" s="459"/>
      <c r="T308" s="459"/>
      <c r="U308" s="459"/>
      <c r="V308" s="459"/>
      <c r="W308" s="459"/>
      <c r="X308" s="459"/>
      <c r="Y308" s="459"/>
      <c r="Z308" s="459"/>
      <c r="AA308" s="459"/>
      <c r="AB308" s="459"/>
      <c r="AC308" s="459"/>
    </row>
    <row r="309" spans="1:29">
      <c r="A309" s="131" t="s">
        <v>648</v>
      </c>
      <c r="B309" s="131" t="s">
        <v>64</v>
      </c>
      <c r="C309" s="131" t="str">
        <f>C296</f>
        <v>IE</v>
      </c>
      <c r="D309" s="131" t="str">
        <f t="shared" ref="D309:AC309" si="195">D296</f>
        <v>IE-CW</v>
      </c>
      <c r="E309" s="131" t="str">
        <f t="shared" si="195"/>
        <v>IE-D</v>
      </c>
      <c r="F309" s="131" t="str">
        <f t="shared" si="195"/>
        <v>IE-KE</v>
      </c>
      <c r="G309" s="131" t="str">
        <f t="shared" si="195"/>
        <v>IE-KK</v>
      </c>
      <c r="H309" s="131" t="str">
        <f t="shared" si="195"/>
        <v>IE-LS</v>
      </c>
      <c r="I309" s="131" t="str">
        <f t="shared" si="195"/>
        <v>IE-LD</v>
      </c>
      <c r="J309" s="131" t="str">
        <f t="shared" si="195"/>
        <v>IE-LH</v>
      </c>
      <c r="K309" s="131" t="str">
        <f t="shared" si="195"/>
        <v>IE-MH</v>
      </c>
      <c r="L309" s="131" t="str">
        <f t="shared" si="195"/>
        <v>IE-OY</v>
      </c>
      <c r="M309" s="131" t="str">
        <f t="shared" si="195"/>
        <v>IE-WH</v>
      </c>
      <c r="N309" s="131" t="str">
        <f t="shared" si="195"/>
        <v>IE-WX</v>
      </c>
      <c r="O309" s="131" t="str">
        <f t="shared" si="195"/>
        <v>IE-WW</v>
      </c>
      <c r="P309" s="131" t="str">
        <f t="shared" si="195"/>
        <v>IE-CE</v>
      </c>
      <c r="Q309" s="131" t="str">
        <f t="shared" si="195"/>
        <v>IE-CO</v>
      </c>
      <c r="R309" s="131" t="str">
        <f t="shared" si="195"/>
        <v>IE-KY</v>
      </c>
      <c r="S309" s="131" t="str">
        <f t="shared" si="195"/>
        <v>IE-LK</v>
      </c>
      <c r="T309" s="131" t="str">
        <f t="shared" si="195"/>
        <v>IE-TA</v>
      </c>
      <c r="U309" s="131" t="str">
        <f t="shared" si="195"/>
        <v>IE-WD</v>
      </c>
      <c r="V309" s="131" t="str">
        <f t="shared" si="195"/>
        <v>IE-G</v>
      </c>
      <c r="W309" s="131" t="str">
        <f t="shared" si="195"/>
        <v>IE-LM</v>
      </c>
      <c r="X309" s="131" t="str">
        <f t="shared" si="195"/>
        <v>IE-MO</v>
      </c>
      <c r="Y309" s="131" t="str">
        <f t="shared" si="195"/>
        <v>IE-RN</v>
      </c>
      <c r="Z309" s="131" t="str">
        <f t="shared" si="195"/>
        <v>IE-SO</v>
      </c>
      <c r="AA309" s="131" t="str">
        <f t="shared" si="195"/>
        <v>IE-CN</v>
      </c>
      <c r="AB309" s="131" t="str">
        <f t="shared" si="195"/>
        <v>IE-DL</v>
      </c>
      <c r="AC309" s="131" t="str">
        <f t="shared" si="195"/>
        <v>IE-MN</v>
      </c>
    </row>
    <row r="310" spans="1:29">
      <c r="A310" s="459" t="s">
        <v>347</v>
      </c>
      <c r="B310" s="459" t="s">
        <v>653</v>
      </c>
      <c r="C310" s="505">
        <v>1.171188111860114</v>
      </c>
      <c r="D310" s="505">
        <v>1.171188111860114</v>
      </c>
      <c r="E310" s="505">
        <v>1.171188111860114</v>
      </c>
      <c r="F310" s="505">
        <v>1.171188111860114</v>
      </c>
      <c r="G310" s="505">
        <v>1.171188111860114</v>
      </c>
      <c r="H310" s="505">
        <v>1.171188111860114</v>
      </c>
      <c r="I310" s="505">
        <v>1.171188111860114</v>
      </c>
      <c r="J310" s="505">
        <v>1.171188111860114</v>
      </c>
      <c r="K310" s="505">
        <v>1.171188111860114</v>
      </c>
      <c r="L310" s="505">
        <v>1.171188111860114</v>
      </c>
      <c r="M310" s="505">
        <v>1.171188111860114</v>
      </c>
      <c r="N310" s="505">
        <v>1.171188111860114</v>
      </c>
      <c r="O310" s="505">
        <v>1.171188111860114</v>
      </c>
      <c r="P310" s="505">
        <v>1.171188111860114</v>
      </c>
      <c r="Q310" s="505">
        <v>1.171188111860114</v>
      </c>
      <c r="R310" s="505">
        <v>1.171188111860114</v>
      </c>
      <c r="S310" s="505">
        <v>1.171188111860114</v>
      </c>
      <c r="T310" s="505">
        <v>1.171188111860114</v>
      </c>
      <c r="U310" s="505">
        <v>1.171188111860114</v>
      </c>
      <c r="V310" s="505">
        <v>1.171188111860114</v>
      </c>
      <c r="W310" s="505">
        <v>1.171188111860114</v>
      </c>
      <c r="X310" s="505">
        <v>1.171188111860114</v>
      </c>
      <c r="Y310" s="505">
        <v>1.171188111860114</v>
      </c>
      <c r="Z310" s="505">
        <v>1.171188111860114</v>
      </c>
      <c r="AA310" s="505">
        <v>1.171188111860114</v>
      </c>
      <c r="AB310" s="505">
        <v>1.171188111860114</v>
      </c>
      <c r="AC310" s="505">
        <v>1.171188111860114</v>
      </c>
    </row>
    <row r="311" spans="1:29">
      <c r="A311" s="459" t="s">
        <v>348</v>
      </c>
      <c r="B311" s="459" t="s">
        <v>653</v>
      </c>
      <c r="C311" s="505">
        <v>1.192415230181668</v>
      </c>
      <c r="D311" s="505">
        <v>1.192415230181668</v>
      </c>
      <c r="E311" s="505">
        <v>1.192415230181668</v>
      </c>
      <c r="F311" s="505">
        <v>1.192415230181668</v>
      </c>
      <c r="G311" s="505">
        <v>1.192415230181668</v>
      </c>
      <c r="H311" s="505">
        <v>1.192415230181668</v>
      </c>
      <c r="I311" s="505">
        <v>1.192415230181668</v>
      </c>
      <c r="J311" s="505">
        <v>1.192415230181668</v>
      </c>
      <c r="K311" s="505">
        <v>1.192415230181668</v>
      </c>
      <c r="L311" s="505">
        <v>1.192415230181668</v>
      </c>
      <c r="M311" s="505">
        <v>1.192415230181668</v>
      </c>
      <c r="N311" s="505">
        <v>1.192415230181668</v>
      </c>
      <c r="O311" s="505">
        <v>1.192415230181668</v>
      </c>
      <c r="P311" s="505">
        <v>1.192415230181668</v>
      </c>
      <c r="Q311" s="505">
        <v>1.192415230181668</v>
      </c>
      <c r="R311" s="505">
        <v>1.192415230181668</v>
      </c>
      <c r="S311" s="505">
        <v>1.192415230181668</v>
      </c>
      <c r="T311" s="505">
        <v>1.192415230181668</v>
      </c>
      <c r="U311" s="505">
        <v>1.192415230181668</v>
      </c>
      <c r="V311" s="505">
        <v>1.192415230181668</v>
      </c>
      <c r="W311" s="505">
        <v>1.192415230181668</v>
      </c>
      <c r="X311" s="505">
        <v>1.192415230181668</v>
      </c>
      <c r="Y311" s="505">
        <v>1.192415230181668</v>
      </c>
      <c r="Z311" s="505">
        <v>1.192415230181668</v>
      </c>
      <c r="AA311" s="505">
        <v>1.192415230181668</v>
      </c>
      <c r="AB311" s="505">
        <v>1.192415230181668</v>
      </c>
      <c r="AC311" s="505">
        <v>1.192415230181668</v>
      </c>
    </row>
    <row r="312" spans="1:29">
      <c r="A312" s="459" t="s">
        <v>349</v>
      </c>
      <c r="B312" s="459" t="s">
        <v>653</v>
      </c>
      <c r="C312" s="505">
        <v>1.3235671555470419</v>
      </c>
      <c r="D312" s="505">
        <v>1.3235671555470419</v>
      </c>
      <c r="E312" s="505">
        <v>1.3235671555470419</v>
      </c>
      <c r="F312" s="505">
        <v>1.3235671555470419</v>
      </c>
      <c r="G312" s="505">
        <v>1.3235671555470419</v>
      </c>
      <c r="H312" s="505">
        <v>1.3235671555470419</v>
      </c>
      <c r="I312" s="505">
        <v>1.3235671555470419</v>
      </c>
      <c r="J312" s="505">
        <v>1.3235671555470419</v>
      </c>
      <c r="K312" s="505">
        <v>1.3235671555470419</v>
      </c>
      <c r="L312" s="505">
        <v>1.3235671555470419</v>
      </c>
      <c r="M312" s="505">
        <v>1.3235671555470419</v>
      </c>
      <c r="N312" s="505">
        <v>1.3235671555470419</v>
      </c>
      <c r="O312" s="505">
        <v>1.3235671555470419</v>
      </c>
      <c r="P312" s="505">
        <v>1.3235671555470419</v>
      </c>
      <c r="Q312" s="505">
        <v>1.3235671555470419</v>
      </c>
      <c r="R312" s="505">
        <v>1.3235671555470419</v>
      </c>
      <c r="S312" s="505">
        <v>1.3235671555470419</v>
      </c>
      <c r="T312" s="505">
        <v>1.3235671555470419</v>
      </c>
      <c r="U312" s="505">
        <v>1.3235671555470419</v>
      </c>
      <c r="V312" s="505">
        <v>1.3235671555470419</v>
      </c>
      <c r="W312" s="505">
        <v>1.3235671555470419</v>
      </c>
      <c r="X312" s="505">
        <v>1.3235671555470419</v>
      </c>
      <c r="Y312" s="505">
        <v>1.3235671555470419</v>
      </c>
      <c r="Z312" s="505">
        <v>1.3235671555470419</v>
      </c>
      <c r="AA312" s="505">
        <v>1.3235671555470419</v>
      </c>
      <c r="AB312" s="505">
        <v>1.3235671555470419</v>
      </c>
      <c r="AC312" s="505">
        <v>1.3235671555470419</v>
      </c>
    </row>
    <row r="313" spans="1:29">
      <c r="A313" s="459" t="s">
        <v>350</v>
      </c>
      <c r="B313" s="459" t="s">
        <v>653</v>
      </c>
      <c r="C313" s="505">
        <v>1.3373617691545401</v>
      </c>
      <c r="D313" s="505">
        <v>1.3373617691545401</v>
      </c>
      <c r="E313" s="505">
        <v>1.3373617691545401</v>
      </c>
      <c r="F313" s="505">
        <v>1.3373617691545401</v>
      </c>
      <c r="G313" s="505">
        <v>1.3373617691545401</v>
      </c>
      <c r="H313" s="505">
        <v>1.3373617691545401</v>
      </c>
      <c r="I313" s="505">
        <v>1.3373617691545401</v>
      </c>
      <c r="J313" s="505">
        <v>1.3373617691545401</v>
      </c>
      <c r="K313" s="505">
        <v>1.3373617691545401</v>
      </c>
      <c r="L313" s="505">
        <v>1.3373617691545401</v>
      </c>
      <c r="M313" s="505">
        <v>1.3373617691545401</v>
      </c>
      <c r="N313" s="505">
        <v>1.3373617691545401</v>
      </c>
      <c r="O313" s="505">
        <v>1.3373617691545401</v>
      </c>
      <c r="P313" s="505">
        <v>1.3373617691545401</v>
      </c>
      <c r="Q313" s="505">
        <v>1.3373617691545401</v>
      </c>
      <c r="R313" s="505">
        <v>1.3373617691545401</v>
      </c>
      <c r="S313" s="505">
        <v>1.3373617691545401</v>
      </c>
      <c r="T313" s="505">
        <v>1.3373617691545401</v>
      </c>
      <c r="U313" s="505">
        <v>1.3373617691545401</v>
      </c>
      <c r="V313" s="505">
        <v>1.3373617691545401</v>
      </c>
      <c r="W313" s="505">
        <v>1.3373617691545401</v>
      </c>
      <c r="X313" s="505">
        <v>1.3373617691545401</v>
      </c>
      <c r="Y313" s="505">
        <v>1.3373617691545401</v>
      </c>
      <c r="Z313" s="505">
        <v>1.3373617691545401</v>
      </c>
      <c r="AA313" s="505">
        <v>1.3373617691545401</v>
      </c>
      <c r="AB313" s="505">
        <v>1.3373617691545401</v>
      </c>
      <c r="AC313" s="505">
        <v>1.3373617691545401</v>
      </c>
    </row>
    <row r="314" spans="1:29">
      <c r="A314" s="459" t="s">
        <v>351</v>
      </c>
      <c r="B314" s="459" t="s">
        <v>653</v>
      </c>
      <c r="C314" s="505">
        <v>1.4009525553811268</v>
      </c>
      <c r="D314" s="505">
        <v>1.4009525553811268</v>
      </c>
      <c r="E314" s="505">
        <v>1.4009525553811268</v>
      </c>
      <c r="F314" s="505">
        <v>1.4009525553811268</v>
      </c>
      <c r="G314" s="505">
        <v>1.4009525553811268</v>
      </c>
      <c r="H314" s="505">
        <v>1.4009525553811268</v>
      </c>
      <c r="I314" s="505">
        <v>1.4009525553811268</v>
      </c>
      <c r="J314" s="505">
        <v>1.4009525553811268</v>
      </c>
      <c r="K314" s="505">
        <v>1.4009525553811268</v>
      </c>
      <c r="L314" s="505">
        <v>1.4009525553811268</v>
      </c>
      <c r="M314" s="505">
        <v>1.4009525553811268</v>
      </c>
      <c r="N314" s="505">
        <v>1.4009525553811268</v>
      </c>
      <c r="O314" s="505">
        <v>1.4009525553811268</v>
      </c>
      <c r="P314" s="505">
        <v>1.4009525553811268</v>
      </c>
      <c r="Q314" s="505">
        <v>1.4009525553811268</v>
      </c>
      <c r="R314" s="505">
        <v>1.4009525553811268</v>
      </c>
      <c r="S314" s="505">
        <v>1.4009525553811268</v>
      </c>
      <c r="T314" s="505">
        <v>1.4009525553811268</v>
      </c>
      <c r="U314" s="505">
        <v>1.4009525553811268</v>
      </c>
      <c r="V314" s="505">
        <v>1.4009525553811268</v>
      </c>
      <c r="W314" s="505">
        <v>1.4009525553811268</v>
      </c>
      <c r="X314" s="505">
        <v>1.4009525553811268</v>
      </c>
      <c r="Y314" s="505">
        <v>1.4009525553811268</v>
      </c>
      <c r="Z314" s="505">
        <v>1.4009525553811268</v>
      </c>
      <c r="AA314" s="505">
        <v>1.4009525553811268</v>
      </c>
      <c r="AB314" s="505">
        <v>1.4009525553811268</v>
      </c>
      <c r="AC314" s="505">
        <v>1.4009525553811268</v>
      </c>
    </row>
    <row r="315" spans="1:29">
      <c r="A315" s="459" t="s">
        <v>352</v>
      </c>
      <c r="B315" s="459" t="s">
        <v>653</v>
      </c>
      <c r="C315" s="505">
        <v>1.4082063462648766</v>
      </c>
      <c r="D315" s="505">
        <v>1.4082063462648766</v>
      </c>
      <c r="E315" s="505">
        <v>1.4082063462648766</v>
      </c>
      <c r="F315" s="505">
        <v>1.4082063462648766</v>
      </c>
      <c r="G315" s="505">
        <v>1.4082063462648766</v>
      </c>
      <c r="H315" s="505">
        <v>1.4082063462648766</v>
      </c>
      <c r="I315" s="505">
        <v>1.4082063462648766</v>
      </c>
      <c r="J315" s="505">
        <v>1.4082063462648766</v>
      </c>
      <c r="K315" s="505">
        <v>1.4082063462648766</v>
      </c>
      <c r="L315" s="505">
        <v>1.4082063462648766</v>
      </c>
      <c r="M315" s="505">
        <v>1.4082063462648766</v>
      </c>
      <c r="N315" s="505">
        <v>1.4082063462648766</v>
      </c>
      <c r="O315" s="505">
        <v>1.4082063462648766</v>
      </c>
      <c r="P315" s="505">
        <v>1.4082063462648766</v>
      </c>
      <c r="Q315" s="505">
        <v>1.4082063462648766</v>
      </c>
      <c r="R315" s="505">
        <v>1.4082063462648766</v>
      </c>
      <c r="S315" s="505">
        <v>1.4082063462648766</v>
      </c>
      <c r="T315" s="505">
        <v>1.4082063462648766</v>
      </c>
      <c r="U315" s="505">
        <v>1.4082063462648766</v>
      </c>
      <c r="V315" s="505">
        <v>1.4082063462648766</v>
      </c>
      <c r="W315" s="505">
        <v>1.4082063462648766</v>
      </c>
      <c r="X315" s="505">
        <v>1.4082063462648766</v>
      </c>
      <c r="Y315" s="505">
        <v>1.4082063462648766</v>
      </c>
      <c r="Z315" s="505">
        <v>1.4082063462648766</v>
      </c>
      <c r="AA315" s="505">
        <v>1.4082063462648766</v>
      </c>
      <c r="AB315" s="505">
        <v>1.4082063462648766</v>
      </c>
      <c r="AC315" s="505">
        <v>1.4082063462648766</v>
      </c>
    </row>
    <row r="316" spans="1:29">
      <c r="A316" s="458" t="s">
        <v>353</v>
      </c>
      <c r="B316" s="458" t="s">
        <v>653</v>
      </c>
      <c r="C316" s="506">
        <v>1.5780931425905766</v>
      </c>
      <c r="D316" s="506">
        <v>1.5780931425905766</v>
      </c>
      <c r="E316" s="506">
        <v>1.5780931425905766</v>
      </c>
      <c r="F316" s="506">
        <v>1.5780931425905766</v>
      </c>
      <c r="G316" s="506">
        <v>1.5780931425905766</v>
      </c>
      <c r="H316" s="506">
        <v>1.5780931425905766</v>
      </c>
      <c r="I316" s="506">
        <v>1.5780931425905766</v>
      </c>
      <c r="J316" s="506">
        <v>1.5780931425905766</v>
      </c>
      <c r="K316" s="506">
        <v>1.5780931425905766</v>
      </c>
      <c r="L316" s="506">
        <v>1.5780931425905766</v>
      </c>
      <c r="M316" s="506">
        <v>1.5780931425905766</v>
      </c>
      <c r="N316" s="506">
        <v>1.5780931425905766</v>
      </c>
      <c r="O316" s="506">
        <v>1.5780931425905766</v>
      </c>
      <c r="P316" s="506">
        <v>1.5780931425905766</v>
      </c>
      <c r="Q316" s="506">
        <v>1.5780931425905766</v>
      </c>
      <c r="R316" s="506">
        <v>1.5780931425905766</v>
      </c>
      <c r="S316" s="506">
        <v>1.5780931425905766</v>
      </c>
      <c r="T316" s="506">
        <v>1.5780931425905766</v>
      </c>
      <c r="U316" s="506">
        <v>1.5780931425905766</v>
      </c>
      <c r="V316" s="506">
        <v>1.5780931425905766</v>
      </c>
      <c r="W316" s="506">
        <v>1.5780931425905766</v>
      </c>
      <c r="X316" s="506">
        <v>1.5780931425905766</v>
      </c>
      <c r="Y316" s="506">
        <v>1.5780931425905766</v>
      </c>
      <c r="Z316" s="506">
        <v>1.5780931425905766</v>
      </c>
      <c r="AA316" s="506">
        <v>1.5780931425905766</v>
      </c>
      <c r="AB316" s="506">
        <v>1.5780931425905766</v>
      </c>
      <c r="AC316" s="506">
        <v>1.5780931425905766</v>
      </c>
    </row>
    <row r="317" spans="1:29">
      <c r="A317" s="510" t="s">
        <v>657</v>
      </c>
      <c r="C317" s="459"/>
      <c r="D317" s="459"/>
      <c r="E317" s="459"/>
      <c r="F317" s="459"/>
      <c r="G317" s="459"/>
      <c r="H317" s="459"/>
      <c r="I317" s="459"/>
      <c r="J317" s="459"/>
      <c r="K317" s="459"/>
      <c r="L317" s="459"/>
      <c r="M317" s="459"/>
      <c r="N317" s="459"/>
      <c r="O317" s="459"/>
      <c r="P317" s="459"/>
      <c r="Q317" s="459"/>
      <c r="R317" s="459"/>
      <c r="S317" s="459"/>
      <c r="T317" s="459"/>
      <c r="U317" s="459"/>
      <c r="V317" s="459"/>
      <c r="W317" s="459"/>
      <c r="X317" s="459"/>
      <c r="Y317" s="459"/>
      <c r="Z317" s="459"/>
      <c r="AA317" s="459"/>
      <c r="AB317" s="459"/>
      <c r="AC317" s="459"/>
    </row>
    <row r="321" spans="1:29" ht="15.6">
      <c r="A321" s="425" t="s">
        <v>666</v>
      </c>
      <c r="C321" s="459"/>
      <c r="D321" s="459"/>
      <c r="E321" s="459"/>
      <c r="F321" s="459"/>
      <c r="G321" s="459"/>
      <c r="H321" s="459"/>
      <c r="I321" s="459"/>
      <c r="J321" s="459"/>
      <c r="K321" s="459"/>
      <c r="L321" s="459"/>
      <c r="M321" s="459"/>
      <c r="N321" s="459"/>
      <c r="O321" s="459"/>
      <c r="P321" s="459"/>
      <c r="Q321" s="459"/>
      <c r="R321" s="459"/>
      <c r="S321" s="459"/>
      <c r="T321" s="459"/>
      <c r="U321" s="459"/>
      <c r="V321" s="459"/>
      <c r="W321" s="459"/>
      <c r="X321" s="459"/>
      <c r="Y321" s="459"/>
      <c r="Z321" s="459"/>
      <c r="AA321" s="459"/>
      <c r="AB321" s="459"/>
      <c r="AC321" s="459"/>
    </row>
    <row r="322" spans="1:29">
      <c r="A322" s="131" t="s">
        <v>648</v>
      </c>
      <c r="B322" s="131" t="s">
        <v>64</v>
      </c>
      <c r="C322" s="131" t="str">
        <f>C309</f>
        <v>IE</v>
      </c>
      <c r="D322" s="131" t="str">
        <f t="shared" ref="D322:AC322" si="196">D309</f>
        <v>IE-CW</v>
      </c>
      <c r="E322" s="131" t="str">
        <f t="shared" si="196"/>
        <v>IE-D</v>
      </c>
      <c r="F322" s="131" t="str">
        <f t="shared" si="196"/>
        <v>IE-KE</v>
      </c>
      <c r="G322" s="131" t="str">
        <f t="shared" si="196"/>
        <v>IE-KK</v>
      </c>
      <c r="H322" s="131" t="str">
        <f t="shared" si="196"/>
        <v>IE-LS</v>
      </c>
      <c r="I322" s="131" t="str">
        <f t="shared" si="196"/>
        <v>IE-LD</v>
      </c>
      <c r="J322" s="131" t="str">
        <f t="shared" si="196"/>
        <v>IE-LH</v>
      </c>
      <c r="K322" s="131" t="str">
        <f t="shared" si="196"/>
        <v>IE-MH</v>
      </c>
      <c r="L322" s="131" t="str">
        <f t="shared" si="196"/>
        <v>IE-OY</v>
      </c>
      <c r="M322" s="131" t="str">
        <f t="shared" si="196"/>
        <v>IE-WH</v>
      </c>
      <c r="N322" s="131" t="str">
        <f t="shared" si="196"/>
        <v>IE-WX</v>
      </c>
      <c r="O322" s="131" t="str">
        <f t="shared" si="196"/>
        <v>IE-WW</v>
      </c>
      <c r="P322" s="131" t="str">
        <f t="shared" si="196"/>
        <v>IE-CE</v>
      </c>
      <c r="Q322" s="131" t="str">
        <f t="shared" si="196"/>
        <v>IE-CO</v>
      </c>
      <c r="R322" s="131" t="str">
        <f t="shared" si="196"/>
        <v>IE-KY</v>
      </c>
      <c r="S322" s="131" t="str">
        <f t="shared" si="196"/>
        <v>IE-LK</v>
      </c>
      <c r="T322" s="131" t="str">
        <f t="shared" si="196"/>
        <v>IE-TA</v>
      </c>
      <c r="U322" s="131" t="str">
        <f t="shared" si="196"/>
        <v>IE-WD</v>
      </c>
      <c r="V322" s="131" t="str">
        <f t="shared" si="196"/>
        <v>IE-G</v>
      </c>
      <c r="W322" s="131" t="str">
        <f t="shared" si="196"/>
        <v>IE-LM</v>
      </c>
      <c r="X322" s="131" t="str">
        <f t="shared" si="196"/>
        <v>IE-MO</v>
      </c>
      <c r="Y322" s="131" t="str">
        <f t="shared" si="196"/>
        <v>IE-RN</v>
      </c>
      <c r="Z322" s="131" t="str">
        <f t="shared" si="196"/>
        <v>IE-SO</v>
      </c>
      <c r="AA322" s="131" t="str">
        <f t="shared" si="196"/>
        <v>IE-CN</v>
      </c>
      <c r="AB322" s="131" t="str">
        <f t="shared" si="196"/>
        <v>IE-DL</v>
      </c>
      <c r="AC322" s="131" t="str">
        <f t="shared" si="196"/>
        <v>IE-MN</v>
      </c>
    </row>
    <row r="323" spans="1:29">
      <c r="A323" s="459" t="s">
        <v>669</v>
      </c>
      <c r="B323" s="459" t="s">
        <v>653</v>
      </c>
      <c r="C323" s="505">
        <f>SUMPRODUCT(C297:C303,C310:C316)</f>
        <v>1.415243477594188</v>
      </c>
      <c r="D323" s="505">
        <f>IF(D290&gt;1,SUMPRODUCT(D297:D303,D310:D316),$C$226)</f>
        <v>1.4132404850977942</v>
      </c>
      <c r="E323" s="505">
        <f t="shared" ref="E323:AC323" si="197">IF(E290&gt;1,SUMPRODUCT(E297:E303,E310:E316),$C$226)</f>
        <v>1.4121585244619679</v>
      </c>
      <c r="F323" s="505">
        <f t="shared" si="197"/>
        <v>1.4101384800844001</v>
      </c>
      <c r="G323" s="505">
        <f t="shared" si="197"/>
        <v>1.4083306140887928</v>
      </c>
      <c r="H323" s="505">
        <f t="shared" si="197"/>
        <v>1.3988182784722314</v>
      </c>
      <c r="I323" s="505">
        <f t="shared" si="197"/>
        <v>1.4042052783385763</v>
      </c>
      <c r="J323" s="505">
        <f t="shared" si="197"/>
        <v>1.4143105034398209</v>
      </c>
      <c r="K323" s="505">
        <f t="shared" si="197"/>
        <v>1.4196897338621113</v>
      </c>
      <c r="L323" s="505">
        <f t="shared" si="197"/>
        <v>1.4104645061332943</v>
      </c>
      <c r="M323" s="505">
        <f t="shared" si="197"/>
        <v>1.404434721935685</v>
      </c>
      <c r="N323" s="505">
        <f t="shared" si="197"/>
        <v>1.4035583585869964</v>
      </c>
      <c r="O323" s="505">
        <f t="shared" si="197"/>
        <v>1.400731446392756</v>
      </c>
      <c r="P323" s="505">
        <f t="shared" si="197"/>
        <v>1.4060354775668111</v>
      </c>
      <c r="Q323" s="505">
        <f t="shared" si="197"/>
        <v>1.4238256724575309</v>
      </c>
      <c r="R323" s="505">
        <f t="shared" si="197"/>
        <v>1.4256423025955085</v>
      </c>
      <c r="S323" s="505">
        <f t="shared" si="197"/>
        <v>1.4090097968076738</v>
      </c>
      <c r="T323" s="505">
        <f t="shared" si="197"/>
        <v>1.3896881220813402</v>
      </c>
      <c r="U323" s="505">
        <f t="shared" si="197"/>
        <v>1.4046835094796584</v>
      </c>
      <c r="V323" s="505">
        <f t="shared" si="197"/>
        <v>1.4189534480634474</v>
      </c>
      <c r="W323" s="505">
        <f t="shared" si="197"/>
        <v>1.3923344475681962</v>
      </c>
      <c r="X323" s="505">
        <f t="shared" si="197"/>
        <v>1.3984045051111655</v>
      </c>
      <c r="Y323" s="505">
        <f t="shared" si="197"/>
        <v>1.4028667301014628</v>
      </c>
      <c r="Z323" s="505">
        <f t="shared" si="197"/>
        <v>1.4239456186936073</v>
      </c>
      <c r="AA323" s="505">
        <f t="shared" si="197"/>
        <v>1.4115999309980802</v>
      </c>
      <c r="AB323" s="505">
        <f t="shared" si="197"/>
        <v>1.4032700951958821</v>
      </c>
      <c r="AC323" s="505">
        <f t="shared" si="197"/>
        <v>1.4165517672510526</v>
      </c>
    </row>
    <row r="324" spans="1:29">
      <c r="A324" s="458"/>
      <c r="B324" s="458" t="s">
        <v>640</v>
      </c>
      <c r="C324" s="508">
        <f>1000/C323</f>
        <v>706.59219832613394</v>
      </c>
      <c r="D324" s="508">
        <f>1000/D323</f>
        <v>707.59365482711985</v>
      </c>
      <c r="E324" s="508">
        <f>1000/E323</f>
        <v>708.13579543486435</v>
      </c>
      <c r="F324" s="508">
        <f>1000/F323</f>
        <v>709.15021050992641</v>
      </c>
      <c r="G324" s="508">
        <f t="shared" ref="G324" si="198">1000/G323</f>
        <v>710.06054259994357</v>
      </c>
      <c r="H324" s="508">
        <f t="shared" ref="H324" si="199">1000/H323</f>
        <v>714.88914277856395</v>
      </c>
      <c r="I324" s="508">
        <f t="shared" ref="I324" si="200">1000/I323</f>
        <v>712.14658955218943</v>
      </c>
      <c r="J324" s="508">
        <f t="shared" ref="J324" si="201">1000/J323</f>
        <v>707.0583139754998</v>
      </c>
      <c r="K324" s="508">
        <f t="shared" ref="K324" si="202">1000/K323</f>
        <v>704.37925706457634</v>
      </c>
      <c r="L324" s="508">
        <f t="shared" ref="L324" si="203">1000/L323</f>
        <v>708.98629185745438</v>
      </c>
      <c r="M324" s="508">
        <f t="shared" ref="M324" si="204">1000/M323</f>
        <v>712.03024560780852</v>
      </c>
      <c r="N324" s="508">
        <f t="shared" ref="N324" si="205">1000/N323</f>
        <v>712.47482791291236</v>
      </c>
      <c r="O324" s="508">
        <f t="shared" ref="O324" si="206">1000/O323</f>
        <v>713.91272222470434</v>
      </c>
      <c r="P324" s="508">
        <f t="shared" ref="P324" si="207">1000/P323</f>
        <v>711.21960715424598</v>
      </c>
      <c r="Q324" s="508">
        <f t="shared" ref="Q324" si="208">1000/Q323</f>
        <v>702.33317135938034</v>
      </c>
      <c r="R324" s="508">
        <f t="shared" ref="R324" si="209">1000/R323</f>
        <v>701.43822063880339</v>
      </c>
      <c r="S324" s="508">
        <f t="shared" ref="S324" si="210">1000/S323</f>
        <v>709.71827326229538</v>
      </c>
      <c r="T324" s="508">
        <f t="shared" ref="T324" si="211">1000/T323</f>
        <v>719.58591579691779</v>
      </c>
      <c r="U324" s="508">
        <f t="shared" ref="U324" si="212">1000/U323</f>
        <v>711.90413587928674</v>
      </c>
      <c r="V324" s="508">
        <f t="shared" ref="V324" si="213">1000/V323</f>
        <v>704.74475492115357</v>
      </c>
      <c r="W324" s="508">
        <f t="shared" ref="W324" si="214">1000/W323</f>
        <v>718.2182425684905</v>
      </c>
      <c r="X324" s="508">
        <f t="shared" ref="X324" si="215">1000/X323</f>
        <v>715.10067104689813</v>
      </c>
      <c r="Y324" s="508">
        <f t="shared" ref="Y324" si="216">1000/Y323</f>
        <v>712.8260857164064</v>
      </c>
      <c r="Z324" s="508">
        <f t="shared" ref="Z324" si="217">1000/Z323</f>
        <v>702.27401023744551</v>
      </c>
      <c r="AA324" s="508">
        <f t="shared" ref="AA324" si="218">1000/AA323</f>
        <v>708.41601649338702</v>
      </c>
      <c r="AB324" s="508">
        <f t="shared" ref="AB324" si="219">1000/AB323</f>
        <v>712.62118634432261</v>
      </c>
      <c r="AC324" s="508">
        <f t="shared" ref="AC324" si="220">1000/AC323</f>
        <v>705.93960850480664</v>
      </c>
    </row>
    <row r="328" spans="1:29">
      <c r="A328" s="511"/>
      <c r="B328" s="511"/>
      <c r="C328" s="511"/>
      <c r="D328" s="511"/>
      <c r="E328" s="511"/>
      <c r="F328" s="511"/>
      <c r="G328" s="511"/>
      <c r="H328" s="511"/>
      <c r="I328" s="511"/>
      <c r="J328" s="511"/>
      <c r="K328" s="511"/>
      <c r="L328" s="511"/>
      <c r="M328" s="511"/>
      <c r="N328" s="511"/>
      <c r="O328" s="511"/>
      <c r="P328" s="511"/>
      <c r="Q328" s="511"/>
      <c r="R328" s="511"/>
      <c r="S328" s="511"/>
      <c r="T328" s="511"/>
      <c r="U328" s="511"/>
      <c r="V328" s="511"/>
      <c r="W328" s="511"/>
      <c r="X328" s="511"/>
      <c r="Y328" s="511"/>
      <c r="Z328" s="511"/>
      <c r="AA328" s="511"/>
      <c r="AB328" s="511"/>
      <c r="AC328" s="511"/>
    </row>
    <row r="329" spans="1:29" ht="15.6">
      <c r="A329" s="401" t="s">
        <v>670</v>
      </c>
      <c r="C329" s="459"/>
      <c r="D329" s="459"/>
      <c r="E329" s="459"/>
      <c r="F329" s="459"/>
      <c r="G329" s="459"/>
      <c r="H329" s="459"/>
      <c r="I329" s="459"/>
      <c r="J329" s="459"/>
      <c r="K329" s="459"/>
      <c r="L329" s="459"/>
      <c r="M329" s="459"/>
      <c r="N329" s="459"/>
      <c r="O329" s="459"/>
      <c r="P329" s="459"/>
      <c r="Q329" s="459"/>
      <c r="R329" s="459"/>
      <c r="S329" s="459"/>
      <c r="T329" s="459"/>
      <c r="U329" s="459"/>
      <c r="V329" s="459"/>
      <c r="W329" s="459"/>
      <c r="X329" s="459"/>
      <c r="Y329" s="459"/>
      <c r="Z329" s="459"/>
      <c r="AA329" s="459"/>
      <c r="AB329" s="459"/>
      <c r="AC329" s="459"/>
    </row>
    <row r="330" spans="1:29">
      <c r="A330" s="131" t="s">
        <v>648</v>
      </c>
      <c r="B330" s="131" t="s">
        <v>64</v>
      </c>
      <c r="C330" s="131" t="str">
        <f t="shared" ref="C330:AC330" si="221">C322</f>
        <v>IE</v>
      </c>
      <c r="D330" s="131" t="str">
        <f t="shared" si="221"/>
        <v>IE-CW</v>
      </c>
      <c r="E330" s="131" t="str">
        <f t="shared" si="221"/>
        <v>IE-D</v>
      </c>
      <c r="F330" s="131" t="str">
        <f t="shared" si="221"/>
        <v>IE-KE</v>
      </c>
      <c r="G330" s="131" t="str">
        <f t="shared" si="221"/>
        <v>IE-KK</v>
      </c>
      <c r="H330" s="131" t="str">
        <f t="shared" si="221"/>
        <v>IE-LS</v>
      </c>
      <c r="I330" s="131" t="str">
        <f t="shared" si="221"/>
        <v>IE-LD</v>
      </c>
      <c r="J330" s="131" t="str">
        <f t="shared" si="221"/>
        <v>IE-LH</v>
      </c>
      <c r="K330" s="131" t="str">
        <f t="shared" si="221"/>
        <v>IE-MH</v>
      </c>
      <c r="L330" s="131" t="str">
        <f t="shared" si="221"/>
        <v>IE-OY</v>
      </c>
      <c r="M330" s="131" t="str">
        <f t="shared" si="221"/>
        <v>IE-WH</v>
      </c>
      <c r="N330" s="131" t="str">
        <f t="shared" si="221"/>
        <v>IE-WX</v>
      </c>
      <c r="O330" s="131" t="str">
        <f t="shared" si="221"/>
        <v>IE-WW</v>
      </c>
      <c r="P330" s="131" t="str">
        <f t="shared" si="221"/>
        <v>IE-CE</v>
      </c>
      <c r="Q330" s="131" t="str">
        <f t="shared" si="221"/>
        <v>IE-CO</v>
      </c>
      <c r="R330" s="131" t="str">
        <f t="shared" si="221"/>
        <v>IE-KY</v>
      </c>
      <c r="S330" s="131" t="str">
        <f t="shared" si="221"/>
        <v>IE-LK</v>
      </c>
      <c r="T330" s="131" t="str">
        <f t="shared" si="221"/>
        <v>IE-TA</v>
      </c>
      <c r="U330" s="131" t="str">
        <f t="shared" si="221"/>
        <v>IE-WD</v>
      </c>
      <c r="V330" s="131" t="str">
        <f t="shared" si="221"/>
        <v>IE-G</v>
      </c>
      <c r="W330" s="131" t="str">
        <f t="shared" si="221"/>
        <v>IE-LM</v>
      </c>
      <c r="X330" s="131" t="str">
        <f t="shared" si="221"/>
        <v>IE-MO</v>
      </c>
      <c r="Y330" s="131" t="str">
        <f t="shared" si="221"/>
        <v>IE-RN</v>
      </c>
      <c r="Z330" s="131" t="str">
        <f t="shared" si="221"/>
        <v>IE-SO</v>
      </c>
      <c r="AA330" s="131" t="str">
        <f t="shared" si="221"/>
        <v>IE-CN</v>
      </c>
      <c r="AB330" s="131" t="str">
        <f t="shared" si="221"/>
        <v>IE-DL</v>
      </c>
      <c r="AC330" s="131" t="str">
        <f t="shared" si="221"/>
        <v>IE-MN</v>
      </c>
    </row>
    <row r="331" spans="1:29">
      <c r="A331" s="459" t="s">
        <v>347</v>
      </c>
      <c r="B331" s="459" t="s">
        <v>539</v>
      </c>
      <c r="C331" s="463">
        <f>SUM(D331:AC331)</f>
        <v>0</v>
      </c>
      <c r="D331" s="513">
        <v>0</v>
      </c>
      <c r="E331" s="513">
        <v>0</v>
      </c>
      <c r="F331" s="513">
        <v>0</v>
      </c>
      <c r="G331" s="513">
        <v>0</v>
      </c>
      <c r="H331" s="513">
        <v>0</v>
      </c>
      <c r="I331" s="513">
        <v>0</v>
      </c>
      <c r="J331" s="513">
        <v>0</v>
      </c>
      <c r="K331" s="513">
        <v>0</v>
      </c>
      <c r="L331" s="513">
        <v>0</v>
      </c>
      <c r="M331" s="513">
        <v>0</v>
      </c>
      <c r="N331" s="513">
        <v>0</v>
      </c>
      <c r="O331" s="513">
        <v>0</v>
      </c>
      <c r="P331" s="513">
        <v>0</v>
      </c>
      <c r="Q331" s="513">
        <v>0</v>
      </c>
      <c r="R331" s="513">
        <v>0</v>
      </c>
      <c r="S331" s="513">
        <v>0</v>
      </c>
      <c r="T331" s="513">
        <v>0</v>
      </c>
      <c r="U331" s="513">
        <v>0</v>
      </c>
      <c r="V331" s="513">
        <v>0</v>
      </c>
      <c r="W331" s="513">
        <v>0</v>
      </c>
      <c r="X331" s="513">
        <v>0</v>
      </c>
      <c r="Y331" s="513">
        <v>0</v>
      </c>
      <c r="Z331" s="513">
        <v>0</v>
      </c>
      <c r="AA331" s="513">
        <v>0</v>
      </c>
      <c r="AB331" s="513">
        <v>0</v>
      </c>
      <c r="AC331" s="513">
        <v>0</v>
      </c>
    </row>
    <row r="332" spans="1:29">
      <c r="A332" s="459" t="s">
        <v>348</v>
      </c>
      <c r="B332" s="459" t="s">
        <v>539</v>
      </c>
      <c r="C332" s="463">
        <f t="shared" ref="C332:C337" si="222">SUM(D332:AC332)</f>
        <v>0</v>
      </c>
      <c r="D332" s="513">
        <v>0</v>
      </c>
      <c r="E332" s="513">
        <v>0</v>
      </c>
      <c r="F332" s="513">
        <v>0</v>
      </c>
      <c r="G332" s="513">
        <v>0</v>
      </c>
      <c r="H332" s="513">
        <v>0</v>
      </c>
      <c r="I332" s="513">
        <v>0</v>
      </c>
      <c r="J332" s="513">
        <v>0</v>
      </c>
      <c r="K332" s="513">
        <v>0</v>
      </c>
      <c r="L332" s="513">
        <v>0</v>
      </c>
      <c r="M332" s="513">
        <v>0</v>
      </c>
      <c r="N332" s="513">
        <v>0</v>
      </c>
      <c r="O332" s="513">
        <v>0</v>
      </c>
      <c r="P332" s="513">
        <v>0</v>
      </c>
      <c r="Q332" s="513">
        <v>0</v>
      </c>
      <c r="R332" s="513">
        <v>0</v>
      </c>
      <c r="S332" s="513">
        <v>0</v>
      </c>
      <c r="T332" s="513">
        <v>0</v>
      </c>
      <c r="U332" s="513">
        <v>0</v>
      </c>
      <c r="V332" s="513">
        <v>0</v>
      </c>
      <c r="W332" s="513">
        <v>0</v>
      </c>
      <c r="X332" s="513">
        <v>0</v>
      </c>
      <c r="Y332" s="513">
        <v>0</v>
      </c>
      <c r="Z332" s="513">
        <v>0</v>
      </c>
      <c r="AA332" s="513">
        <v>0</v>
      </c>
      <c r="AB332" s="513">
        <v>0</v>
      </c>
      <c r="AC332" s="513">
        <v>0</v>
      </c>
    </row>
    <row r="333" spans="1:29">
      <c r="A333" s="459" t="s">
        <v>349</v>
      </c>
      <c r="B333" s="459" t="s">
        <v>539</v>
      </c>
      <c r="C333" s="463">
        <f t="shared" si="222"/>
        <v>1</v>
      </c>
      <c r="D333" s="513">
        <v>0</v>
      </c>
      <c r="E333" s="513">
        <v>0</v>
      </c>
      <c r="F333" s="513">
        <v>0</v>
      </c>
      <c r="G333" s="513">
        <v>0</v>
      </c>
      <c r="H333" s="513">
        <v>0</v>
      </c>
      <c r="I333" s="513">
        <v>0</v>
      </c>
      <c r="J333" s="513">
        <v>0</v>
      </c>
      <c r="K333" s="513">
        <v>0</v>
      </c>
      <c r="L333" s="513">
        <v>0</v>
      </c>
      <c r="M333" s="513">
        <v>1</v>
      </c>
      <c r="N333" s="513">
        <v>0</v>
      </c>
      <c r="O333" s="513">
        <v>0</v>
      </c>
      <c r="P333" s="513">
        <v>0</v>
      </c>
      <c r="Q333" s="513">
        <v>0</v>
      </c>
      <c r="R333" s="513">
        <v>0</v>
      </c>
      <c r="S333" s="513">
        <v>0</v>
      </c>
      <c r="T333" s="513">
        <v>0</v>
      </c>
      <c r="U333" s="513">
        <v>0</v>
      </c>
      <c r="V333" s="513">
        <v>0</v>
      </c>
      <c r="W333" s="513">
        <v>0</v>
      </c>
      <c r="X333" s="513">
        <v>0</v>
      </c>
      <c r="Y333" s="513">
        <v>0</v>
      </c>
      <c r="Z333" s="513">
        <v>0</v>
      </c>
      <c r="AA333" s="513">
        <v>0</v>
      </c>
      <c r="AB333" s="513">
        <v>0</v>
      </c>
      <c r="AC333" s="513">
        <v>0</v>
      </c>
    </row>
    <row r="334" spans="1:29">
      <c r="A334" s="459" t="s">
        <v>350</v>
      </c>
      <c r="B334" s="459" t="s">
        <v>539</v>
      </c>
      <c r="C334" s="463">
        <f t="shared" si="222"/>
        <v>4</v>
      </c>
      <c r="D334" s="513">
        <v>0</v>
      </c>
      <c r="E334" s="513">
        <v>0</v>
      </c>
      <c r="F334" s="513">
        <v>1</v>
      </c>
      <c r="G334" s="513">
        <v>0</v>
      </c>
      <c r="H334" s="513">
        <v>0</v>
      </c>
      <c r="I334" s="513">
        <v>0</v>
      </c>
      <c r="J334" s="513">
        <v>0</v>
      </c>
      <c r="K334" s="513">
        <v>0</v>
      </c>
      <c r="L334" s="513">
        <v>0</v>
      </c>
      <c r="M334" s="513">
        <v>0</v>
      </c>
      <c r="N334" s="513">
        <v>0</v>
      </c>
      <c r="O334" s="513">
        <v>0</v>
      </c>
      <c r="P334" s="513">
        <v>0</v>
      </c>
      <c r="Q334" s="513">
        <v>0</v>
      </c>
      <c r="R334" s="513">
        <v>0</v>
      </c>
      <c r="S334" s="513">
        <v>0</v>
      </c>
      <c r="T334" s="513">
        <v>0</v>
      </c>
      <c r="U334" s="513">
        <v>0</v>
      </c>
      <c r="V334" s="513">
        <v>0</v>
      </c>
      <c r="W334" s="513">
        <v>0</v>
      </c>
      <c r="X334" s="513">
        <v>0</v>
      </c>
      <c r="Y334" s="513">
        <v>0</v>
      </c>
      <c r="Z334" s="513">
        <v>1</v>
      </c>
      <c r="AA334" s="513">
        <v>1</v>
      </c>
      <c r="AB334" s="513">
        <v>1</v>
      </c>
      <c r="AC334" s="513">
        <v>0</v>
      </c>
    </row>
    <row r="335" spans="1:29">
      <c r="A335" s="459" t="s">
        <v>351</v>
      </c>
      <c r="B335" s="459" t="s">
        <v>539</v>
      </c>
      <c r="C335" s="463">
        <f t="shared" si="222"/>
        <v>0</v>
      </c>
      <c r="D335" s="513">
        <v>0</v>
      </c>
      <c r="E335" s="513">
        <v>0</v>
      </c>
      <c r="F335" s="513">
        <v>0</v>
      </c>
      <c r="G335" s="513">
        <v>0</v>
      </c>
      <c r="H335" s="513">
        <v>0</v>
      </c>
      <c r="I335" s="513">
        <v>0</v>
      </c>
      <c r="J335" s="513">
        <v>0</v>
      </c>
      <c r="K335" s="513">
        <v>0</v>
      </c>
      <c r="L335" s="513">
        <v>0</v>
      </c>
      <c r="M335" s="513">
        <v>0</v>
      </c>
      <c r="N335" s="513">
        <v>0</v>
      </c>
      <c r="O335" s="513">
        <v>0</v>
      </c>
      <c r="P335" s="513">
        <v>0</v>
      </c>
      <c r="Q335" s="513">
        <v>0</v>
      </c>
      <c r="R335" s="513">
        <v>0</v>
      </c>
      <c r="S335" s="513">
        <v>0</v>
      </c>
      <c r="T335" s="513">
        <v>0</v>
      </c>
      <c r="U335" s="513">
        <v>0</v>
      </c>
      <c r="V335" s="513">
        <v>0</v>
      </c>
      <c r="W335" s="513">
        <v>0</v>
      </c>
      <c r="X335" s="513">
        <v>0</v>
      </c>
      <c r="Y335" s="513">
        <v>0</v>
      </c>
      <c r="Z335" s="513">
        <v>0</v>
      </c>
      <c r="AA335" s="513">
        <v>0</v>
      </c>
      <c r="AB335" s="513">
        <v>0</v>
      </c>
      <c r="AC335" s="513">
        <v>0</v>
      </c>
    </row>
    <row r="336" spans="1:29">
      <c r="A336" s="459" t="s">
        <v>352</v>
      </c>
      <c r="B336" s="459" t="s">
        <v>539</v>
      </c>
      <c r="C336" s="463">
        <f t="shared" si="222"/>
        <v>110</v>
      </c>
      <c r="D336" s="513">
        <v>2</v>
      </c>
      <c r="E336" s="513">
        <v>5</v>
      </c>
      <c r="F336" s="513">
        <v>3</v>
      </c>
      <c r="G336" s="513">
        <v>8</v>
      </c>
      <c r="H336" s="513">
        <v>2</v>
      </c>
      <c r="I336" s="513">
        <v>1</v>
      </c>
      <c r="J336" s="513">
        <v>1</v>
      </c>
      <c r="K336" s="513">
        <v>1</v>
      </c>
      <c r="L336" s="513">
        <v>0</v>
      </c>
      <c r="M336" s="513">
        <v>5</v>
      </c>
      <c r="N336" s="513">
        <v>3</v>
      </c>
      <c r="O336" s="513">
        <v>1</v>
      </c>
      <c r="P336" s="513">
        <v>3</v>
      </c>
      <c r="Q336" s="513">
        <v>15</v>
      </c>
      <c r="R336" s="513">
        <v>2</v>
      </c>
      <c r="S336" s="513">
        <v>0</v>
      </c>
      <c r="T336" s="513">
        <v>1</v>
      </c>
      <c r="U336" s="513">
        <v>3</v>
      </c>
      <c r="V336" s="513">
        <v>35</v>
      </c>
      <c r="W336" s="513">
        <v>1</v>
      </c>
      <c r="X336" s="513">
        <v>0</v>
      </c>
      <c r="Y336" s="513">
        <v>3</v>
      </c>
      <c r="Z336" s="513">
        <v>0</v>
      </c>
      <c r="AA336" s="513">
        <v>3</v>
      </c>
      <c r="AB336" s="513">
        <v>6</v>
      </c>
      <c r="AC336" s="513">
        <v>6</v>
      </c>
    </row>
    <row r="337" spans="1:29">
      <c r="A337" s="459" t="s">
        <v>353</v>
      </c>
      <c r="B337" s="459" t="s">
        <v>539</v>
      </c>
      <c r="C337" s="463">
        <f t="shared" si="222"/>
        <v>658</v>
      </c>
      <c r="D337" s="513">
        <v>12</v>
      </c>
      <c r="E337" s="513">
        <v>28</v>
      </c>
      <c r="F337" s="513">
        <v>15</v>
      </c>
      <c r="G337" s="513">
        <v>35</v>
      </c>
      <c r="H337" s="513">
        <v>14</v>
      </c>
      <c r="I337" s="513">
        <v>23</v>
      </c>
      <c r="J337" s="513">
        <v>7</v>
      </c>
      <c r="K337" s="513">
        <v>12</v>
      </c>
      <c r="L337" s="513">
        <v>10</v>
      </c>
      <c r="M337" s="513">
        <v>17</v>
      </c>
      <c r="N337" s="513">
        <v>13</v>
      </c>
      <c r="O337" s="513">
        <v>16</v>
      </c>
      <c r="P337" s="513">
        <v>10</v>
      </c>
      <c r="Q337" s="513">
        <v>56</v>
      </c>
      <c r="R337" s="513">
        <v>30</v>
      </c>
      <c r="S337" s="513">
        <v>2</v>
      </c>
      <c r="T337" s="513">
        <v>3</v>
      </c>
      <c r="U337" s="513">
        <v>10</v>
      </c>
      <c r="V337" s="513">
        <v>252</v>
      </c>
      <c r="W337" s="513">
        <v>15</v>
      </c>
      <c r="X337" s="513">
        <v>17</v>
      </c>
      <c r="Y337" s="513">
        <v>8</v>
      </c>
      <c r="Z337" s="513">
        <v>4</v>
      </c>
      <c r="AA337" s="513">
        <v>12</v>
      </c>
      <c r="AB337" s="513">
        <v>5</v>
      </c>
      <c r="AC337" s="513">
        <v>32</v>
      </c>
    </row>
    <row r="338" spans="1:29">
      <c r="A338" s="458" t="s">
        <v>16</v>
      </c>
      <c r="B338" s="458" t="s">
        <v>539</v>
      </c>
      <c r="C338" s="504">
        <f>SUM(C331:C337)</f>
        <v>773</v>
      </c>
      <c r="D338" s="504">
        <f>SUM(D331:D337)</f>
        <v>14</v>
      </c>
      <c r="E338" s="504">
        <f t="shared" ref="E338:AC338" si="223">SUM(E331:E337)</f>
        <v>33</v>
      </c>
      <c r="F338" s="504">
        <f t="shared" si="223"/>
        <v>19</v>
      </c>
      <c r="G338" s="504">
        <f t="shared" si="223"/>
        <v>43</v>
      </c>
      <c r="H338" s="504">
        <f t="shared" si="223"/>
        <v>16</v>
      </c>
      <c r="I338" s="504">
        <f t="shared" si="223"/>
        <v>24</v>
      </c>
      <c r="J338" s="504">
        <f t="shared" si="223"/>
        <v>8</v>
      </c>
      <c r="K338" s="504">
        <f t="shared" si="223"/>
        <v>13</v>
      </c>
      <c r="L338" s="504">
        <f t="shared" si="223"/>
        <v>10</v>
      </c>
      <c r="M338" s="504">
        <f t="shared" si="223"/>
        <v>23</v>
      </c>
      <c r="N338" s="504">
        <f t="shared" si="223"/>
        <v>16</v>
      </c>
      <c r="O338" s="504">
        <f t="shared" si="223"/>
        <v>17</v>
      </c>
      <c r="P338" s="504">
        <f t="shared" si="223"/>
        <v>13</v>
      </c>
      <c r="Q338" s="504">
        <f t="shared" si="223"/>
        <v>71</v>
      </c>
      <c r="R338" s="504">
        <f t="shared" si="223"/>
        <v>32</v>
      </c>
      <c r="S338" s="504">
        <f t="shared" si="223"/>
        <v>2</v>
      </c>
      <c r="T338" s="504">
        <f t="shared" si="223"/>
        <v>4</v>
      </c>
      <c r="U338" s="504">
        <f t="shared" si="223"/>
        <v>13</v>
      </c>
      <c r="V338" s="504">
        <f t="shared" si="223"/>
        <v>287</v>
      </c>
      <c r="W338" s="504">
        <f t="shared" si="223"/>
        <v>16</v>
      </c>
      <c r="X338" s="504">
        <f t="shared" si="223"/>
        <v>17</v>
      </c>
      <c r="Y338" s="504">
        <f t="shared" si="223"/>
        <v>11</v>
      </c>
      <c r="Z338" s="504">
        <f t="shared" si="223"/>
        <v>5</v>
      </c>
      <c r="AA338" s="504">
        <f t="shared" si="223"/>
        <v>16</v>
      </c>
      <c r="AB338" s="504">
        <f t="shared" si="223"/>
        <v>12</v>
      </c>
      <c r="AC338" s="504">
        <f t="shared" si="223"/>
        <v>38</v>
      </c>
    </row>
    <row r="339" spans="1:29">
      <c r="A339" s="459" t="s">
        <v>659</v>
      </c>
      <c r="C339" s="459"/>
      <c r="D339" s="459"/>
      <c r="E339" s="459"/>
      <c r="F339" s="459"/>
      <c r="G339" s="459"/>
      <c r="H339" s="459"/>
      <c r="I339" s="459"/>
      <c r="J339" s="459"/>
      <c r="K339" s="459"/>
      <c r="L339" s="459"/>
      <c r="M339" s="459"/>
      <c r="N339" s="459"/>
      <c r="O339" s="459"/>
      <c r="P339" s="459"/>
      <c r="Q339" s="459"/>
      <c r="R339" s="459"/>
      <c r="S339" s="459"/>
      <c r="T339" s="459"/>
      <c r="U339" s="459"/>
      <c r="V339" s="459"/>
      <c r="W339" s="459"/>
      <c r="X339" s="459"/>
      <c r="Y339" s="459"/>
      <c r="Z339" s="459"/>
      <c r="AA339" s="459"/>
      <c r="AB339" s="459"/>
      <c r="AC339" s="459"/>
    </row>
    <row r="340" spans="1:29">
      <c r="A340" s="459"/>
      <c r="C340" s="459"/>
      <c r="D340" s="459"/>
      <c r="E340" s="459"/>
      <c r="F340" s="459"/>
      <c r="G340" s="459"/>
      <c r="H340" s="459"/>
      <c r="I340" s="459"/>
      <c r="J340" s="459"/>
      <c r="K340" s="459"/>
      <c r="L340" s="459"/>
      <c r="M340" s="459"/>
      <c r="N340" s="459"/>
      <c r="O340" s="459"/>
      <c r="P340" s="459"/>
      <c r="Q340" s="459"/>
      <c r="R340" s="459"/>
      <c r="S340" s="459"/>
      <c r="T340" s="459"/>
      <c r="U340" s="459"/>
      <c r="V340" s="459"/>
      <c r="W340" s="459"/>
      <c r="X340" s="459"/>
      <c r="Y340" s="459"/>
      <c r="Z340" s="459"/>
      <c r="AA340" s="459"/>
      <c r="AB340" s="459"/>
      <c r="AC340" s="459"/>
    </row>
    <row r="341" spans="1:29">
      <c r="A341" s="459"/>
      <c r="C341" s="459"/>
      <c r="D341" s="459"/>
      <c r="E341" s="459"/>
      <c r="F341" s="459"/>
      <c r="G341" s="459"/>
      <c r="H341" s="459"/>
      <c r="I341" s="459"/>
      <c r="J341" s="459"/>
      <c r="K341" s="459"/>
      <c r="L341" s="459"/>
      <c r="M341" s="459"/>
      <c r="N341" s="459"/>
      <c r="O341" s="459"/>
      <c r="P341" s="459"/>
      <c r="Q341" s="459"/>
      <c r="R341" s="459"/>
      <c r="S341" s="459"/>
      <c r="T341" s="459"/>
      <c r="U341" s="459"/>
      <c r="V341" s="459"/>
      <c r="W341" s="459"/>
      <c r="X341" s="459"/>
      <c r="Y341" s="459"/>
      <c r="Z341" s="459"/>
      <c r="AA341" s="459"/>
      <c r="AB341" s="459"/>
      <c r="AC341" s="459"/>
    </row>
    <row r="342" spans="1:29">
      <c r="A342" s="459"/>
      <c r="C342" s="459"/>
      <c r="D342" s="459"/>
      <c r="E342" s="459"/>
      <c r="F342" s="459"/>
      <c r="G342" s="459"/>
      <c r="H342" s="459"/>
      <c r="I342" s="459"/>
      <c r="J342" s="459"/>
      <c r="K342" s="459"/>
      <c r="L342" s="459"/>
      <c r="M342" s="459"/>
      <c r="N342" s="459"/>
      <c r="O342" s="459"/>
      <c r="P342" s="459"/>
      <c r="Q342" s="459"/>
      <c r="R342" s="459"/>
      <c r="S342" s="459"/>
      <c r="T342" s="459"/>
      <c r="U342" s="459"/>
      <c r="V342" s="459"/>
      <c r="W342" s="459"/>
      <c r="X342" s="459"/>
      <c r="Y342" s="459"/>
      <c r="Z342" s="459"/>
      <c r="AA342" s="459"/>
      <c r="AB342" s="459"/>
      <c r="AC342" s="459"/>
    </row>
    <row r="343" spans="1:29" ht="15.6">
      <c r="A343" s="401" t="s">
        <v>671</v>
      </c>
      <c r="C343" s="459"/>
      <c r="D343" s="459"/>
      <c r="E343" s="459"/>
      <c r="F343" s="459"/>
      <c r="G343" s="459"/>
      <c r="H343" s="459"/>
      <c r="I343" s="459"/>
      <c r="J343" s="459"/>
      <c r="K343" s="459"/>
      <c r="L343" s="459"/>
      <c r="M343" s="459"/>
      <c r="N343" s="459"/>
      <c r="O343" s="459"/>
      <c r="P343" s="459"/>
      <c r="Q343" s="459"/>
      <c r="R343" s="459"/>
      <c r="S343" s="459"/>
      <c r="T343" s="459"/>
      <c r="U343" s="459"/>
      <c r="V343" s="459"/>
      <c r="W343" s="459"/>
      <c r="X343" s="459"/>
      <c r="Y343" s="459"/>
      <c r="Z343" s="459"/>
      <c r="AA343" s="459"/>
      <c r="AB343" s="459"/>
      <c r="AC343" s="459"/>
    </row>
    <row r="344" spans="1:29">
      <c r="A344" s="131" t="s">
        <v>648</v>
      </c>
      <c r="B344" s="131" t="s">
        <v>64</v>
      </c>
      <c r="C344" s="131" t="str">
        <f>C330</f>
        <v>IE</v>
      </c>
      <c r="D344" s="131" t="str">
        <f t="shared" ref="D344:AC344" si="224">D330</f>
        <v>IE-CW</v>
      </c>
      <c r="E344" s="131" t="str">
        <f t="shared" si="224"/>
        <v>IE-D</v>
      </c>
      <c r="F344" s="131" t="str">
        <f t="shared" si="224"/>
        <v>IE-KE</v>
      </c>
      <c r="G344" s="131" t="str">
        <f t="shared" si="224"/>
        <v>IE-KK</v>
      </c>
      <c r="H344" s="131" t="str">
        <f t="shared" si="224"/>
        <v>IE-LS</v>
      </c>
      <c r="I344" s="131" t="str">
        <f t="shared" si="224"/>
        <v>IE-LD</v>
      </c>
      <c r="J344" s="131" t="str">
        <f t="shared" si="224"/>
        <v>IE-LH</v>
      </c>
      <c r="K344" s="131" t="str">
        <f t="shared" si="224"/>
        <v>IE-MH</v>
      </c>
      <c r="L344" s="131" t="str">
        <f t="shared" si="224"/>
        <v>IE-OY</v>
      </c>
      <c r="M344" s="131" t="str">
        <f t="shared" si="224"/>
        <v>IE-WH</v>
      </c>
      <c r="N344" s="131" t="str">
        <f t="shared" si="224"/>
        <v>IE-WX</v>
      </c>
      <c r="O344" s="131" t="str">
        <f t="shared" si="224"/>
        <v>IE-WW</v>
      </c>
      <c r="P344" s="131" t="str">
        <f t="shared" si="224"/>
        <v>IE-CE</v>
      </c>
      <c r="Q344" s="131" t="str">
        <f t="shared" si="224"/>
        <v>IE-CO</v>
      </c>
      <c r="R344" s="131" t="str">
        <f t="shared" si="224"/>
        <v>IE-KY</v>
      </c>
      <c r="S344" s="131" t="str">
        <f t="shared" si="224"/>
        <v>IE-LK</v>
      </c>
      <c r="T344" s="131" t="str">
        <f t="shared" si="224"/>
        <v>IE-TA</v>
      </c>
      <c r="U344" s="131" t="str">
        <f t="shared" si="224"/>
        <v>IE-WD</v>
      </c>
      <c r="V344" s="131" t="str">
        <f t="shared" si="224"/>
        <v>IE-G</v>
      </c>
      <c r="W344" s="131" t="str">
        <f t="shared" si="224"/>
        <v>IE-LM</v>
      </c>
      <c r="X344" s="131" t="str">
        <f t="shared" si="224"/>
        <v>IE-MO</v>
      </c>
      <c r="Y344" s="131" t="str">
        <f t="shared" si="224"/>
        <v>IE-RN</v>
      </c>
      <c r="Z344" s="131" t="str">
        <f t="shared" si="224"/>
        <v>IE-SO</v>
      </c>
      <c r="AA344" s="131" t="str">
        <f t="shared" si="224"/>
        <v>IE-CN</v>
      </c>
      <c r="AB344" s="131" t="str">
        <f t="shared" si="224"/>
        <v>IE-DL</v>
      </c>
      <c r="AC344" s="131" t="str">
        <f t="shared" si="224"/>
        <v>IE-MN</v>
      </c>
    </row>
    <row r="345" spans="1:29">
      <c r="A345" s="459" t="s">
        <v>347</v>
      </c>
      <c r="B345" s="507" t="s">
        <v>652</v>
      </c>
      <c r="C345" s="35">
        <f>C331/C$338</f>
        <v>0</v>
      </c>
      <c r="D345" s="35">
        <f t="shared" ref="D345:AC351" si="225">D331/D$338</f>
        <v>0</v>
      </c>
      <c r="E345" s="35">
        <f t="shared" si="225"/>
        <v>0</v>
      </c>
      <c r="F345" s="35">
        <f t="shared" si="225"/>
        <v>0</v>
      </c>
      <c r="G345" s="35">
        <f t="shared" si="225"/>
        <v>0</v>
      </c>
      <c r="H345" s="35">
        <f t="shared" si="225"/>
        <v>0</v>
      </c>
      <c r="I345" s="35">
        <f t="shared" si="225"/>
        <v>0</v>
      </c>
      <c r="J345" s="35">
        <f t="shared" si="225"/>
        <v>0</v>
      </c>
      <c r="K345" s="35">
        <f t="shared" si="225"/>
        <v>0</v>
      </c>
      <c r="L345" s="35">
        <f t="shared" si="225"/>
        <v>0</v>
      </c>
      <c r="M345" s="35">
        <f t="shared" si="225"/>
        <v>0</v>
      </c>
      <c r="N345" s="35">
        <f t="shared" si="225"/>
        <v>0</v>
      </c>
      <c r="O345" s="35">
        <f t="shared" si="225"/>
        <v>0</v>
      </c>
      <c r="P345" s="35">
        <f t="shared" si="225"/>
        <v>0</v>
      </c>
      <c r="Q345" s="35">
        <f t="shared" si="225"/>
        <v>0</v>
      </c>
      <c r="R345" s="35">
        <f t="shared" si="225"/>
        <v>0</v>
      </c>
      <c r="S345" s="35">
        <f t="shared" si="225"/>
        <v>0</v>
      </c>
      <c r="T345" s="35">
        <f t="shared" si="225"/>
        <v>0</v>
      </c>
      <c r="U345" s="35">
        <f t="shared" si="225"/>
        <v>0</v>
      </c>
      <c r="V345" s="35">
        <f t="shared" si="225"/>
        <v>0</v>
      </c>
      <c r="W345" s="35">
        <f t="shared" si="225"/>
        <v>0</v>
      </c>
      <c r="X345" s="35">
        <f t="shared" si="225"/>
        <v>0</v>
      </c>
      <c r="Y345" s="35">
        <f t="shared" si="225"/>
        <v>0</v>
      </c>
      <c r="Z345" s="35">
        <f t="shared" si="225"/>
        <v>0</v>
      </c>
      <c r="AA345" s="35">
        <f t="shared" si="225"/>
        <v>0</v>
      </c>
      <c r="AB345" s="35">
        <f t="shared" si="225"/>
        <v>0</v>
      </c>
      <c r="AC345" s="35">
        <f t="shared" si="225"/>
        <v>0</v>
      </c>
    </row>
    <row r="346" spans="1:29">
      <c r="A346" s="459" t="s">
        <v>348</v>
      </c>
      <c r="B346" s="1" t="s">
        <v>652</v>
      </c>
      <c r="C346" s="35">
        <f t="shared" ref="C346:R351" si="226">C332/C$338</f>
        <v>0</v>
      </c>
      <c r="D346" s="35">
        <f t="shared" si="226"/>
        <v>0</v>
      </c>
      <c r="E346" s="35">
        <f t="shared" si="226"/>
        <v>0</v>
      </c>
      <c r="F346" s="35">
        <f t="shared" si="226"/>
        <v>0</v>
      </c>
      <c r="G346" s="35">
        <f t="shared" si="226"/>
        <v>0</v>
      </c>
      <c r="H346" s="35">
        <f t="shared" si="226"/>
        <v>0</v>
      </c>
      <c r="I346" s="35">
        <f t="shared" si="226"/>
        <v>0</v>
      </c>
      <c r="J346" s="35">
        <f t="shared" si="226"/>
        <v>0</v>
      </c>
      <c r="K346" s="35">
        <f t="shared" si="226"/>
        <v>0</v>
      </c>
      <c r="L346" s="35">
        <f t="shared" si="226"/>
        <v>0</v>
      </c>
      <c r="M346" s="35">
        <f t="shared" si="226"/>
        <v>0</v>
      </c>
      <c r="N346" s="35">
        <f t="shared" si="226"/>
        <v>0</v>
      </c>
      <c r="O346" s="35">
        <f t="shared" si="226"/>
        <v>0</v>
      </c>
      <c r="P346" s="35">
        <f t="shared" si="226"/>
        <v>0</v>
      </c>
      <c r="Q346" s="35">
        <f t="shared" si="226"/>
        <v>0</v>
      </c>
      <c r="R346" s="35">
        <f t="shared" si="226"/>
        <v>0</v>
      </c>
      <c r="S346" s="35">
        <f t="shared" si="225"/>
        <v>0</v>
      </c>
      <c r="T346" s="35">
        <f t="shared" si="225"/>
        <v>0</v>
      </c>
      <c r="U346" s="35">
        <f t="shared" si="225"/>
        <v>0</v>
      </c>
      <c r="V346" s="35">
        <f t="shared" si="225"/>
        <v>0</v>
      </c>
      <c r="W346" s="35">
        <f t="shared" si="225"/>
        <v>0</v>
      </c>
      <c r="X346" s="35">
        <f t="shared" si="225"/>
        <v>0</v>
      </c>
      <c r="Y346" s="35">
        <f t="shared" si="225"/>
        <v>0</v>
      </c>
      <c r="Z346" s="35">
        <f t="shared" si="225"/>
        <v>0</v>
      </c>
      <c r="AA346" s="35">
        <f t="shared" si="225"/>
        <v>0</v>
      </c>
      <c r="AB346" s="35">
        <f t="shared" si="225"/>
        <v>0</v>
      </c>
      <c r="AC346" s="35">
        <f t="shared" si="225"/>
        <v>0</v>
      </c>
    </row>
    <row r="347" spans="1:29">
      <c r="A347" s="459" t="s">
        <v>349</v>
      </c>
      <c r="B347" s="1" t="s">
        <v>652</v>
      </c>
      <c r="C347" s="35">
        <f t="shared" si="226"/>
        <v>1.29366106080207E-3</v>
      </c>
      <c r="D347" s="35">
        <f t="shared" si="225"/>
        <v>0</v>
      </c>
      <c r="E347" s="35">
        <f t="shared" si="225"/>
        <v>0</v>
      </c>
      <c r="F347" s="35">
        <f t="shared" si="225"/>
        <v>0</v>
      </c>
      <c r="G347" s="35">
        <f t="shared" si="225"/>
        <v>0</v>
      </c>
      <c r="H347" s="35">
        <f t="shared" si="225"/>
        <v>0</v>
      </c>
      <c r="I347" s="35">
        <f t="shared" si="225"/>
        <v>0</v>
      </c>
      <c r="J347" s="35">
        <f t="shared" si="225"/>
        <v>0</v>
      </c>
      <c r="K347" s="35">
        <f t="shared" si="225"/>
        <v>0</v>
      </c>
      <c r="L347" s="35">
        <f t="shared" si="225"/>
        <v>0</v>
      </c>
      <c r="M347" s="35">
        <f t="shared" si="225"/>
        <v>4.3478260869565216E-2</v>
      </c>
      <c r="N347" s="35">
        <f t="shared" si="225"/>
        <v>0</v>
      </c>
      <c r="O347" s="35">
        <f t="shared" si="225"/>
        <v>0</v>
      </c>
      <c r="P347" s="35">
        <f t="shared" si="225"/>
        <v>0</v>
      </c>
      <c r="Q347" s="35">
        <f t="shared" si="225"/>
        <v>0</v>
      </c>
      <c r="R347" s="35">
        <f t="shared" si="225"/>
        <v>0</v>
      </c>
      <c r="S347" s="35">
        <f t="shared" si="225"/>
        <v>0</v>
      </c>
      <c r="T347" s="35">
        <f t="shared" si="225"/>
        <v>0</v>
      </c>
      <c r="U347" s="35">
        <f t="shared" si="225"/>
        <v>0</v>
      </c>
      <c r="V347" s="35">
        <f t="shared" si="225"/>
        <v>0</v>
      </c>
      <c r="W347" s="35">
        <f t="shared" si="225"/>
        <v>0</v>
      </c>
      <c r="X347" s="35">
        <f t="shared" si="225"/>
        <v>0</v>
      </c>
      <c r="Y347" s="35">
        <f t="shared" si="225"/>
        <v>0</v>
      </c>
      <c r="Z347" s="35">
        <f t="shared" si="225"/>
        <v>0</v>
      </c>
      <c r="AA347" s="35">
        <f t="shared" si="225"/>
        <v>0</v>
      </c>
      <c r="AB347" s="35">
        <f t="shared" si="225"/>
        <v>0</v>
      </c>
      <c r="AC347" s="35">
        <f t="shared" si="225"/>
        <v>0</v>
      </c>
    </row>
    <row r="348" spans="1:29">
      <c r="A348" s="459" t="s">
        <v>350</v>
      </c>
      <c r="B348" s="1" t="s">
        <v>652</v>
      </c>
      <c r="C348" s="35">
        <f t="shared" si="226"/>
        <v>5.1746442432082798E-3</v>
      </c>
      <c r="D348" s="35">
        <f t="shared" si="225"/>
        <v>0</v>
      </c>
      <c r="E348" s="35">
        <f t="shared" si="225"/>
        <v>0</v>
      </c>
      <c r="F348" s="35">
        <f t="shared" si="225"/>
        <v>5.2631578947368418E-2</v>
      </c>
      <c r="G348" s="35">
        <f t="shared" si="225"/>
        <v>0</v>
      </c>
      <c r="H348" s="35">
        <f t="shared" si="225"/>
        <v>0</v>
      </c>
      <c r="I348" s="35">
        <f t="shared" si="225"/>
        <v>0</v>
      </c>
      <c r="J348" s="35">
        <f t="shared" si="225"/>
        <v>0</v>
      </c>
      <c r="K348" s="35">
        <f t="shared" si="225"/>
        <v>0</v>
      </c>
      <c r="L348" s="35">
        <f t="shared" si="225"/>
        <v>0</v>
      </c>
      <c r="M348" s="35">
        <f t="shared" si="225"/>
        <v>0</v>
      </c>
      <c r="N348" s="35">
        <f t="shared" si="225"/>
        <v>0</v>
      </c>
      <c r="O348" s="35">
        <f t="shared" si="225"/>
        <v>0</v>
      </c>
      <c r="P348" s="35">
        <f t="shared" si="225"/>
        <v>0</v>
      </c>
      <c r="Q348" s="35">
        <f t="shared" si="225"/>
        <v>0</v>
      </c>
      <c r="R348" s="35">
        <f t="shared" si="225"/>
        <v>0</v>
      </c>
      <c r="S348" s="35">
        <f t="shared" si="225"/>
        <v>0</v>
      </c>
      <c r="T348" s="35">
        <f t="shared" si="225"/>
        <v>0</v>
      </c>
      <c r="U348" s="35">
        <f t="shared" si="225"/>
        <v>0</v>
      </c>
      <c r="V348" s="35">
        <f t="shared" si="225"/>
        <v>0</v>
      </c>
      <c r="W348" s="35">
        <f t="shared" si="225"/>
        <v>0</v>
      </c>
      <c r="X348" s="35">
        <f t="shared" si="225"/>
        <v>0</v>
      </c>
      <c r="Y348" s="35">
        <f t="shared" si="225"/>
        <v>0</v>
      </c>
      <c r="Z348" s="35">
        <f t="shared" si="225"/>
        <v>0.2</v>
      </c>
      <c r="AA348" s="35">
        <f t="shared" si="225"/>
        <v>6.25E-2</v>
      </c>
      <c r="AB348" s="35">
        <f t="shared" si="225"/>
        <v>8.3333333333333329E-2</v>
      </c>
      <c r="AC348" s="35">
        <f t="shared" si="225"/>
        <v>0</v>
      </c>
    </row>
    <row r="349" spans="1:29">
      <c r="A349" s="459" t="s">
        <v>351</v>
      </c>
      <c r="B349" s="1" t="s">
        <v>652</v>
      </c>
      <c r="C349" s="35">
        <f t="shared" si="226"/>
        <v>0</v>
      </c>
      <c r="D349" s="35">
        <f t="shared" si="225"/>
        <v>0</v>
      </c>
      <c r="E349" s="35">
        <f t="shared" si="225"/>
        <v>0</v>
      </c>
      <c r="F349" s="35">
        <f t="shared" si="225"/>
        <v>0</v>
      </c>
      <c r="G349" s="35">
        <f t="shared" si="225"/>
        <v>0</v>
      </c>
      <c r="H349" s="35">
        <f t="shared" si="225"/>
        <v>0</v>
      </c>
      <c r="I349" s="35">
        <f t="shared" si="225"/>
        <v>0</v>
      </c>
      <c r="J349" s="35">
        <f t="shared" si="225"/>
        <v>0</v>
      </c>
      <c r="K349" s="35">
        <f t="shared" si="225"/>
        <v>0</v>
      </c>
      <c r="L349" s="35">
        <f t="shared" si="225"/>
        <v>0</v>
      </c>
      <c r="M349" s="35">
        <f t="shared" si="225"/>
        <v>0</v>
      </c>
      <c r="N349" s="35">
        <f t="shared" si="225"/>
        <v>0</v>
      </c>
      <c r="O349" s="35">
        <f t="shared" si="225"/>
        <v>0</v>
      </c>
      <c r="P349" s="35">
        <f t="shared" si="225"/>
        <v>0</v>
      </c>
      <c r="Q349" s="35">
        <f t="shared" si="225"/>
        <v>0</v>
      </c>
      <c r="R349" s="35">
        <f t="shared" si="225"/>
        <v>0</v>
      </c>
      <c r="S349" s="35">
        <f t="shared" si="225"/>
        <v>0</v>
      </c>
      <c r="T349" s="35">
        <f t="shared" si="225"/>
        <v>0</v>
      </c>
      <c r="U349" s="35">
        <f t="shared" si="225"/>
        <v>0</v>
      </c>
      <c r="V349" s="35">
        <f t="shared" si="225"/>
        <v>0</v>
      </c>
      <c r="W349" s="35">
        <f t="shared" si="225"/>
        <v>0</v>
      </c>
      <c r="X349" s="35">
        <f t="shared" si="225"/>
        <v>0</v>
      </c>
      <c r="Y349" s="35">
        <f t="shared" si="225"/>
        <v>0</v>
      </c>
      <c r="Z349" s="35">
        <f t="shared" si="225"/>
        <v>0</v>
      </c>
      <c r="AA349" s="35">
        <f t="shared" si="225"/>
        <v>0</v>
      </c>
      <c r="AB349" s="35">
        <f t="shared" si="225"/>
        <v>0</v>
      </c>
      <c r="AC349" s="35">
        <f t="shared" si="225"/>
        <v>0</v>
      </c>
    </row>
    <row r="350" spans="1:29">
      <c r="A350" s="459" t="s">
        <v>352</v>
      </c>
      <c r="B350" s="1" t="s">
        <v>652</v>
      </c>
      <c r="C350" s="35">
        <f t="shared" si="226"/>
        <v>0.14230271668822769</v>
      </c>
      <c r="D350" s="35">
        <f t="shared" si="225"/>
        <v>0.14285714285714285</v>
      </c>
      <c r="E350" s="35">
        <f t="shared" si="225"/>
        <v>0.15151515151515152</v>
      </c>
      <c r="F350" s="35">
        <f t="shared" si="225"/>
        <v>0.15789473684210525</v>
      </c>
      <c r="G350" s="35">
        <f t="shared" si="225"/>
        <v>0.18604651162790697</v>
      </c>
      <c r="H350" s="35">
        <f t="shared" si="225"/>
        <v>0.125</v>
      </c>
      <c r="I350" s="35">
        <f t="shared" si="225"/>
        <v>4.1666666666666664E-2</v>
      </c>
      <c r="J350" s="35">
        <f t="shared" si="225"/>
        <v>0.125</v>
      </c>
      <c r="K350" s="35">
        <f t="shared" si="225"/>
        <v>7.6923076923076927E-2</v>
      </c>
      <c r="L350" s="35">
        <f t="shared" si="225"/>
        <v>0</v>
      </c>
      <c r="M350" s="35">
        <f t="shared" si="225"/>
        <v>0.21739130434782608</v>
      </c>
      <c r="N350" s="35">
        <f t="shared" si="225"/>
        <v>0.1875</v>
      </c>
      <c r="O350" s="35">
        <f t="shared" si="225"/>
        <v>5.8823529411764705E-2</v>
      </c>
      <c r="P350" s="35">
        <f t="shared" si="225"/>
        <v>0.23076923076923078</v>
      </c>
      <c r="Q350" s="35">
        <f t="shared" si="225"/>
        <v>0.21126760563380281</v>
      </c>
      <c r="R350" s="35">
        <f t="shared" si="225"/>
        <v>6.25E-2</v>
      </c>
      <c r="S350" s="35">
        <f t="shared" si="225"/>
        <v>0</v>
      </c>
      <c r="T350" s="35">
        <f t="shared" si="225"/>
        <v>0.25</v>
      </c>
      <c r="U350" s="35">
        <f t="shared" si="225"/>
        <v>0.23076923076923078</v>
      </c>
      <c r="V350" s="35">
        <f t="shared" si="225"/>
        <v>0.12195121951219512</v>
      </c>
      <c r="W350" s="35">
        <f t="shared" si="225"/>
        <v>6.25E-2</v>
      </c>
      <c r="X350" s="35">
        <f t="shared" si="225"/>
        <v>0</v>
      </c>
      <c r="Y350" s="35">
        <f t="shared" si="225"/>
        <v>0.27272727272727271</v>
      </c>
      <c r="Z350" s="35">
        <f t="shared" si="225"/>
        <v>0</v>
      </c>
      <c r="AA350" s="35">
        <f t="shared" si="225"/>
        <v>0.1875</v>
      </c>
      <c r="AB350" s="35">
        <f t="shared" si="225"/>
        <v>0.5</v>
      </c>
      <c r="AC350" s="35">
        <f t="shared" si="225"/>
        <v>0.15789473684210525</v>
      </c>
    </row>
    <row r="351" spans="1:29">
      <c r="A351" s="459" t="s">
        <v>353</v>
      </c>
      <c r="B351" s="1" t="s">
        <v>652</v>
      </c>
      <c r="C351" s="35">
        <f t="shared" si="226"/>
        <v>0.85122897800776198</v>
      </c>
      <c r="D351" s="35">
        <f t="shared" si="225"/>
        <v>0.8571428571428571</v>
      </c>
      <c r="E351" s="35">
        <f t="shared" si="225"/>
        <v>0.84848484848484851</v>
      </c>
      <c r="F351" s="35">
        <f t="shared" si="225"/>
        <v>0.78947368421052633</v>
      </c>
      <c r="G351" s="35">
        <f t="shared" si="225"/>
        <v>0.81395348837209303</v>
      </c>
      <c r="H351" s="35">
        <f t="shared" si="225"/>
        <v>0.875</v>
      </c>
      <c r="I351" s="35">
        <f t="shared" si="225"/>
        <v>0.95833333333333337</v>
      </c>
      <c r="J351" s="35">
        <f t="shared" si="225"/>
        <v>0.875</v>
      </c>
      <c r="K351" s="35">
        <f t="shared" si="225"/>
        <v>0.92307692307692313</v>
      </c>
      <c r="L351" s="35">
        <f t="shared" si="225"/>
        <v>1</v>
      </c>
      <c r="M351" s="35">
        <f t="shared" si="225"/>
        <v>0.73913043478260865</v>
      </c>
      <c r="N351" s="35">
        <f t="shared" si="225"/>
        <v>0.8125</v>
      </c>
      <c r="O351" s="35">
        <f t="shared" si="225"/>
        <v>0.94117647058823528</v>
      </c>
      <c r="P351" s="35">
        <f t="shared" si="225"/>
        <v>0.76923076923076927</v>
      </c>
      <c r="Q351" s="35">
        <f t="shared" si="225"/>
        <v>0.78873239436619713</v>
      </c>
      <c r="R351" s="35">
        <f t="shared" si="225"/>
        <v>0.9375</v>
      </c>
      <c r="S351" s="35">
        <f t="shared" si="225"/>
        <v>1</v>
      </c>
      <c r="T351" s="35">
        <f t="shared" si="225"/>
        <v>0.75</v>
      </c>
      <c r="U351" s="35">
        <f t="shared" si="225"/>
        <v>0.76923076923076927</v>
      </c>
      <c r="V351" s="35">
        <f t="shared" si="225"/>
        <v>0.87804878048780488</v>
      </c>
      <c r="W351" s="35">
        <f t="shared" si="225"/>
        <v>0.9375</v>
      </c>
      <c r="X351" s="35">
        <f t="shared" si="225"/>
        <v>1</v>
      </c>
      <c r="Y351" s="35">
        <f t="shared" si="225"/>
        <v>0.72727272727272729</v>
      </c>
      <c r="Z351" s="35">
        <f t="shared" si="225"/>
        <v>0.8</v>
      </c>
      <c r="AA351" s="35">
        <f t="shared" si="225"/>
        <v>0.75</v>
      </c>
      <c r="AB351" s="35">
        <f t="shared" si="225"/>
        <v>0.41666666666666669</v>
      </c>
      <c r="AC351" s="35">
        <f t="shared" si="225"/>
        <v>0.84210526315789469</v>
      </c>
    </row>
    <row r="352" spans="1:29">
      <c r="A352" s="458" t="s">
        <v>16</v>
      </c>
      <c r="B352" s="458" t="s">
        <v>652</v>
      </c>
      <c r="C352" s="403">
        <f t="shared" ref="C352:AC352" si="227">SUM(C345:C351)</f>
        <v>1</v>
      </c>
      <c r="D352" s="403">
        <f t="shared" si="227"/>
        <v>1</v>
      </c>
      <c r="E352" s="403">
        <f t="shared" si="227"/>
        <v>1</v>
      </c>
      <c r="F352" s="403">
        <f t="shared" si="227"/>
        <v>1</v>
      </c>
      <c r="G352" s="403">
        <f t="shared" si="227"/>
        <v>1</v>
      </c>
      <c r="H352" s="403">
        <f t="shared" si="227"/>
        <v>1</v>
      </c>
      <c r="I352" s="403">
        <f t="shared" si="227"/>
        <v>1</v>
      </c>
      <c r="J352" s="403">
        <f t="shared" si="227"/>
        <v>1</v>
      </c>
      <c r="K352" s="403">
        <f t="shared" si="227"/>
        <v>1</v>
      </c>
      <c r="L352" s="403">
        <f t="shared" si="227"/>
        <v>1</v>
      </c>
      <c r="M352" s="403">
        <f t="shared" si="227"/>
        <v>1</v>
      </c>
      <c r="N352" s="403">
        <f t="shared" si="227"/>
        <v>1</v>
      </c>
      <c r="O352" s="403">
        <f t="shared" si="227"/>
        <v>1</v>
      </c>
      <c r="P352" s="403">
        <f t="shared" si="227"/>
        <v>1</v>
      </c>
      <c r="Q352" s="403">
        <f t="shared" si="227"/>
        <v>1</v>
      </c>
      <c r="R352" s="403">
        <f t="shared" si="227"/>
        <v>1</v>
      </c>
      <c r="S352" s="403">
        <f t="shared" si="227"/>
        <v>1</v>
      </c>
      <c r="T352" s="403">
        <f t="shared" si="227"/>
        <v>1</v>
      </c>
      <c r="U352" s="403">
        <f t="shared" si="227"/>
        <v>1</v>
      </c>
      <c r="V352" s="403">
        <f t="shared" si="227"/>
        <v>1</v>
      </c>
      <c r="W352" s="403">
        <f t="shared" si="227"/>
        <v>1</v>
      </c>
      <c r="X352" s="403">
        <f t="shared" si="227"/>
        <v>1</v>
      </c>
      <c r="Y352" s="403">
        <f t="shared" si="227"/>
        <v>1</v>
      </c>
      <c r="Z352" s="403">
        <f t="shared" si="227"/>
        <v>1</v>
      </c>
      <c r="AA352" s="403">
        <f t="shared" si="227"/>
        <v>1</v>
      </c>
      <c r="AB352" s="403">
        <f t="shared" si="227"/>
        <v>1</v>
      </c>
      <c r="AC352" s="403">
        <f t="shared" si="227"/>
        <v>1</v>
      </c>
    </row>
    <row r="353" spans="1:29">
      <c r="A353" s="459"/>
      <c r="C353" s="459"/>
      <c r="D353" s="459"/>
      <c r="E353" s="459"/>
      <c r="F353" s="459"/>
      <c r="G353" s="459"/>
      <c r="H353" s="459"/>
      <c r="I353" s="459"/>
      <c r="J353" s="459"/>
      <c r="K353" s="459"/>
      <c r="L353" s="459"/>
      <c r="M353" s="459"/>
      <c r="N353" s="459"/>
      <c r="O353" s="459"/>
      <c r="P353" s="459"/>
      <c r="Q353" s="459"/>
      <c r="R353" s="459"/>
      <c r="S353" s="459"/>
      <c r="T353" s="459"/>
      <c r="U353" s="459"/>
      <c r="V353" s="459"/>
      <c r="W353" s="459"/>
      <c r="X353" s="459"/>
      <c r="Y353" s="459"/>
      <c r="Z353" s="459"/>
      <c r="AA353" s="459"/>
      <c r="AB353" s="459"/>
      <c r="AC353" s="459"/>
    </row>
    <row r="354" spans="1:29">
      <c r="A354" s="459"/>
      <c r="C354" s="459"/>
      <c r="D354" s="459"/>
      <c r="E354" s="459"/>
      <c r="F354" s="459"/>
      <c r="G354" s="459"/>
      <c r="H354" s="459"/>
      <c r="I354" s="459"/>
      <c r="J354" s="459"/>
      <c r="K354" s="459"/>
      <c r="L354" s="459"/>
      <c r="M354" s="459"/>
      <c r="N354" s="459"/>
      <c r="O354" s="459"/>
      <c r="P354" s="459"/>
      <c r="Q354" s="459"/>
      <c r="R354" s="459"/>
      <c r="S354" s="459"/>
      <c r="T354" s="459"/>
      <c r="U354" s="459"/>
      <c r="V354" s="459"/>
      <c r="W354" s="459"/>
      <c r="X354" s="459"/>
      <c r="Y354" s="459"/>
      <c r="Z354" s="459"/>
      <c r="AA354" s="459"/>
      <c r="AB354" s="459"/>
      <c r="AC354" s="459"/>
    </row>
    <row r="355" spans="1:29">
      <c r="A355" s="459"/>
      <c r="C355" s="459"/>
      <c r="D355" s="459"/>
      <c r="E355" s="459"/>
      <c r="F355" s="459"/>
      <c r="G355" s="459"/>
      <c r="H355" s="459"/>
      <c r="I355" s="459"/>
      <c r="J355" s="459"/>
      <c r="K355" s="459"/>
      <c r="L355" s="459"/>
      <c r="M355" s="459"/>
      <c r="N355" s="459"/>
      <c r="O355" s="459"/>
      <c r="P355" s="459"/>
      <c r="Q355" s="459"/>
      <c r="R355" s="459"/>
      <c r="S355" s="459"/>
      <c r="T355" s="459"/>
      <c r="U355" s="459"/>
      <c r="V355" s="459"/>
      <c r="W355" s="459"/>
      <c r="X355" s="459"/>
      <c r="Y355" s="459"/>
      <c r="Z355" s="459"/>
      <c r="AA355" s="459"/>
      <c r="AB355" s="459"/>
      <c r="AC355" s="459"/>
    </row>
    <row r="356" spans="1:29" ht="15.6">
      <c r="A356" s="425" t="s">
        <v>672</v>
      </c>
      <c r="C356" s="459"/>
      <c r="D356" s="459"/>
      <c r="E356" s="459"/>
      <c r="F356" s="459"/>
      <c r="G356" s="459"/>
      <c r="H356" s="459"/>
      <c r="I356" s="459"/>
      <c r="J356" s="459"/>
      <c r="K356" s="459"/>
      <c r="L356" s="459"/>
      <c r="M356" s="459"/>
      <c r="N356" s="459"/>
      <c r="O356" s="459"/>
      <c r="P356" s="459"/>
      <c r="Q356" s="459"/>
      <c r="R356" s="459"/>
      <c r="S356" s="459"/>
      <c r="T356" s="459"/>
      <c r="U356" s="459"/>
      <c r="V356" s="459"/>
      <c r="W356" s="459"/>
      <c r="X356" s="459"/>
      <c r="Y356" s="459"/>
      <c r="Z356" s="459"/>
      <c r="AA356" s="459"/>
      <c r="AB356" s="459"/>
      <c r="AC356" s="459"/>
    </row>
    <row r="357" spans="1:29">
      <c r="A357" s="131" t="s">
        <v>648</v>
      </c>
      <c r="B357" s="131" t="s">
        <v>64</v>
      </c>
      <c r="C357" s="131" t="str">
        <f>C344</f>
        <v>IE</v>
      </c>
      <c r="D357" s="131" t="str">
        <f t="shared" ref="D357:AC357" si="228">D344</f>
        <v>IE-CW</v>
      </c>
      <c r="E357" s="131" t="str">
        <f t="shared" si="228"/>
        <v>IE-D</v>
      </c>
      <c r="F357" s="131" t="str">
        <f t="shared" si="228"/>
        <v>IE-KE</v>
      </c>
      <c r="G357" s="131" t="str">
        <f t="shared" si="228"/>
        <v>IE-KK</v>
      </c>
      <c r="H357" s="131" t="str">
        <f t="shared" si="228"/>
        <v>IE-LS</v>
      </c>
      <c r="I357" s="131" t="str">
        <f t="shared" si="228"/>
        <v>IE-LD</v>
      </c>
      <c r="J357" s="131" t="str">
        <f t="shared" si="228"/>
        <v>IE-LH</v>
      </c>
      <c r="K357" s="131" t="str">
        <f t="shared" si="228"/>
        <v>IE-MH</v>
      </c>
      <c r="L357" s="131" t="str">
        <f t="shared" si="228"/>
        <v>IE-OY</v>
      </c>
      <c r="M357" s="131" t="str">
        <f t="shared" si="228"/>
        <v>IE-WH</v>
      </c>
      <c r="N357" s="131" t="str">
        <f t="shared" si="228"/>
        <v>IE-WX</v>
      </c>
      <c r="O357" s="131" t="str">
        <f t="shared" si="228"/>
        <v>IE-WW</v>
      </c>
      <c r="P357" s="131" t="str">
        <f t="shared" si="228"/>
        <v>IE-CE</v>
      </c>
      <c r="Q357" s="131" t="str">
        <f t="shared" si="228"/>
        <v>IE-CO</v>
      </c>
      <c r="R357" s="131" t="str">
        <f t="shared" si="228"/>
        <v>IE-KY</v>
      </c>
      <c r="S357" s="131" t="str">
        <f t="shared" si="228"/>
        <v>IE-LK</v>
      </c>
      <c r="T357" s="131" t="str">
        <f t="shared" si="228"/>
        <v>IE-TA</v>
      </c>
      <c r="U357" s="131" t="str">
        <f t="shared" si="228"/>
        <v>IE-WD</v>
      </c>
      <c r="V357" s="131" t="str">
        <f t="shared" si="228"/>
        <v>IE-G</v>
      </c>
      <c r="W357" s="131" t="str">
        <f t="shared" si="228"/>
        <v>IE-LM</v>
      </c>
      <c r="X357" s="131" t="str">
        <f t="shared" si="228"/>
        <v>IE-MO</v>
      </c>
      <c r="Y357" s="131" t="str">
        <f t="shared" si="228"/>
        <v>IE-RN</v>
      </c>
      <c r="Z357" s="131" t="str">
        <f t="shared" si="228"/>
        <v>IE-SO</v>
      </c>
      <c r="AA357" s="131" t="str">
        <f t="shared" si="228"/>
        <v>IE-CN</v>
      </c>
      <c r="AB357" s="131" t="str">
        <f t="shared" si="228"/>
        <v>IE-DL</v>
      </c>
      <c r="AC357" s="131" t="str">
        <f t="shared" si="228"/>
        <v>IE-MN</v>
      </c>
    </row>
    <row r="358" spans="1:29">
      <c r="A358" s="459" t="s">
        <v>347</v>
      </c>
      <c r="B358" s="459" t="s">
        <v>653</v>
      </c>
      <c r="C358" s="509">
        <v>1.0462382065888809</v>
      </c>
      <c r="D358" s="509">
        <v>1.0462382065888809</v>
      </c>
      <c r="E358" s="509">
        <v>1.0462382065888809</v>
      </c>
      <c r="F358" s="509">
        <v>1.0462382065888809</v>
      </c>
      <c r="G358" s="509">
        <v>1.0462382065888809</v>
      </c>
      <c r="H358" s="509">
        <v>1.0462382065888809</v>
      </c>
      <c r="I358" s="509">
        <v>1.0462382065888809</v>
      </c>
      <c r="J358" s="509">
        <v>1.0462382065888809</v>
      </c>
      <c r="K358" s="509">
        <v>1.0462382065888809</v>
      </c>
      <c r="L358" s="509">
        <v>1.0462382065888809</v>
      </c>
      <c r="M358" s="509">
        <v>1.0462382065888809</v>
      </c>
      <c r="N358" s="509">
        <v>1.0462382065888809</v>
      </c>
      <c r="O358" s="509">
        <v>1.0462382065888809</v>
      </c>
      <c r="P358" s="509">
        <v>1.0462382065888809</v>
      </c>
      <c r="Q358" s="509">
        <v>1.0462382065888809</v>
      </c>
      <c r="R358" s="509">
        <v>1.0462382065888809</v>
      </c>
      <c r="S358" s="509">
        <v>1.0462382065888809</v>
      </c>
      <c r="T358" s="509">
        <v>1.0462382065888809</v>
      </c>
      <c r="U358" s="509">
        <v>1.0462382065888809</v>
      </c>
      <c r="V358" s="509">
        <v>1.0462382065888809</v>
      </c>
      <c r="W358" s="509">
        <v>1.0462382065888809</v>
      </c>
      <c r="X358" s="509">
        <v>1.0462382065888809</v>
      </c>
      <c r="Y358" s="509">
        <v>1.0462382065888809</v>
      </c>
      <c r="Z358" s="509">
        <v>1.0462382065888809</v>
      </c>
      <c r="AA358" s="509">
        <v>1.0462382065888809</v>
      </c>
      <c r="AB358" s="509">
        <v>1.0462382065888809</v>
      </c>
      <c r="AC358" s="509">
        <v>1.0462382065888809</v>
      </c>
    </row>
    <row r="359" spans="1:29">
      <c r="A359" s="459" t="s">
        <v>348</v>
      </c>
      <c r="B359" s="459" t="s">
        <v>653</v>
      </c>
      <c r="C359" s="509">
        <v>1.0486844669655038</v>
      </c>
      <c r="D359" s="509">
        <v>1.0486844669655038</v>
      </c>
      <c r="E359" s="509">
        <v>1.0486844669655038</v>
      </c>
      <c r="F359" s="509">
        <v>1.0486844669655038</v>
      </c>
      <c r="G359" s="509">
        <v>1.0486844669655038</v>
      </c>
      <c r="H359" s="509">
        <v>1.0486844669655038</v>
      </c>
      <c r="I359" s="509">
        <v>1.0486844669655038</v>
      </c>
      <c r="J359" s="509">
        <v>1.0486844669655038</v>
      </c>
      <c r="K359" s="509">
        <v>1.0486844669655038</v>
      </c>
      <c r="L359" s="509">
        <v>1.0486844669655038</v>
      </c>
      <c r="M359" s="509">
        <v>1.0486844669655038</v>
      </c>
      <c r="N359" s="509">
        <v>1.0486844669655038</v>
      </c>
      <c r="O359" s="509">
        <v>1.0486844669655038</v>
      </c>
      <c r="P359" s="509">
        <v>1.0486844669655038</v>
      </c>
      <c r="Q359" s="509">
        <v>1.0486844669655038</v>
      </c>
      <c r="R359" s="509">
        <v>1.0486844669655038</v>
      </c>
      <c r="S359" s="509">
        <v>1.0486844669655038</v>
      </c>
      <c r="T359" s="509">
        <v>1.0486844669655038</v>
      </c>
      <c r="U359" s="509">
        <v>1.0486844669655038</v>
      </c>
      <c r="V359" s="509">
        <v>1.0486844669655038</v>
      </c>
      <c r="W359" s="509">
        <v>1.0486844669655038</v>
      </c>
      <c r="X359" s="509">
        <v>1.0486844669655038</v>
      </c>
      <c r="Y359" s="509">
        <v>1.0486844669655038</v>
      </c>
      <c r="Z359" s="509">
        <v>1.0486844669655038</v>
      </c>
      <c r="AA359" s="509">
        <v>1.0486844669655038</v>
      </c>
      <c r="AB359" s="509">
        <v>1.0486844669655038</v>
      </c>
      <c r="AC359" s="509">
        <v>1.0486844669655038</v>
      </c>
    </row>
    <row r="360" spans="1:29">
      <c r="A360" s="459" t="s">
        <v>349</v>
      </c>
      <c r="B360" s="459" t="s">
        <v>653</v>
      </c>
      <c r="C360" s="509">
        <v>1.0796552350700317</v>
      </c>
      <c r="D360" s="509">
        <v>1.0796552350700317</v>
      </c>
      <c r="E360" s="509">
        <v>1.0796552350700317</v>
      </c>
      <c r="F360" s="509">
        <v>1.0796552350700317</v>
      </c>
      <c r="G360" s="509">
        <v>1.0796552350700317</v>
      </c>
      <c r="H360" s="509">
        <v>1.0796552350700317</v>
      </c>
      <c r="I360" s="509">
        <v>1.0796552350700317</v>
      </c>
      <c r="J360" s="509">
        <v>1.0796552350700317</v>
      </c>
      <c r="K360" s="509">
        <v>1.0796552350700317</v>
      </c>
      <c r="L360" s="509">
        <v>1.0796552350700317</v>
      </c>
      <c r="M360" s="509">
        <v>1.0796552350700317</v>
      </c>
      <c r="N360" s="509">
        <v>1.0796552350700317</v>
      </c>
      <c r="O360" s="509">
        <v>1.0796552350700317</v>
      </c>
      <c r="P360" s="509">
        <v>1.0796552350700317</v>
      </c>
      <c r="Q360" s="509">
        <v>1.0796552350700317</v>
      </c>
      <c r="R360" s="509">
        <v>1.0796552350700317</v>
      </c>
      <c r="S360" s="509">
        <v>1.0796552350700317</v>
      </c>
      <c r="T360" s="509">
        <v>1.0796552350700317</v>
      </c>
      <c r="U360" s="509">
        <v>1.0796552350700317</v>
      </c>
      <c r="V360" s="509">
        <v>1.0796552350700317</v>
      </c>
      <c r="W360" s="509">
        <v>1.0796552350700317</v>
      </c>
      <c r="X360" s="509">
        <v>1.0796552350700317</v>
      </c>
      <c r="Y360" s="509">
        <v>1.0796552350700317</v>
      </c>
      <c r="Z360" s="509">
        <v>1.0796552350700317</v>
      </c>
      <c r="AA360" s="509">
        <v>1.0796552350700317</v>
      </c>
      <c r="AB360" s="509">
        <v>1.0796552350700317</v>
      </c>
      <c r="AC360" s="509">
        <v>1.0796552350700317</v>
      </c>
    </row>
    <row r="361" spans="1:29">
      <c r="A361" s="459" t="s">
        <v>350</v>
      </c>
      <c r="B361" s="459" t="s">
        <v>653</v>
      </c>
      <c r="C361" s="509">
        <v>1.0860441592549372</v>
      </c>
      <c r="D361" s="509">
        <v>1.0860441592549372</v>
      </c>
      <c r="E361" s="509">
        <v>1.0860441592549372</v>
      </c>
      <c r="F361" s="509">
        <v>1.0860441592549372</v>
      </c>
      <c r="G361" s="509">
        <v>1.0860441592549372</v>
      </c>
      <c r="H361" s="509">
        <v>1.0860441592549372</v>
      </c>
      <c r="I361" s="509">
        <v>1.0860441592549372</v>
      </c>
      <c r="J361" s="509">
        <v>1.0860441592549372</v>
      </c>
      <c r="K361" s="509">
        <v>1.0860441592549372</v>
      </c>
      <c r="L361" s="509">
        <v>1.0860441592549372</v>
      </c>
      <c r="M361" s="509">
        <v>1.0860441592549372</v>
      </c>
      <c r="N361" s="509">
        <v>1.0860441592549372</v>
      </c>
      <c r="O361" s="509">
        <v>1.0860441592549372</v>
      </c>
      <c r="P361" s="509">
        <v>1.0860441592549372</v>
      </c>
      <c r="Q361" s="509">
        <v>1.0860441592549372</v>
      </c>
      <c r="R361" s="509">
        <v>1.0860441592549372</v>
      </c>
      <c r="S361" s="509">
        <v>1.0860441592549372</v>
      </c>
      <c r="T361" s="509">
        <v>1.0860441592549372</v>
      </c>
      <c r="U361" s="509">
        <v>1.0860441592549372</v>
      </c>
      <c r="V361" s="509">
        <v>1.0860441592549372</v>
      </c>
      <c r="W361" s="509">
        <v>1.0860441592549372</v>
      </c>
      <c r="X361" s="509">
        <v>1.0860441592549372</v>
      </c>
      <c r="Y361" s="509">
        <v>1.0860441592549372</v>
      </c>
      <c r="Z361" s="509">
        <v>1.0860441592549372</v>
      </c>
      <c r="AA361" s="509">
        <v>1.0860441592549372</v>
      </c>
      <c r="AB361" s="509">
        <v>1.0860441592549372</v>
      </c>
      <c r="AC361" s="509">
        <v>1.0860441592549372</v>
      </c>
    </row>
    <row r="362" spans="1:29">
      <c r="A362" s="459" t="s">
        <v>351</v>
      </c>
      <c r="B362" s="459" t="s">
        <v>653</v>
      </c>
      <c r="C362" s="509">
        <v>1.2322848620544717</v>
      </c>
      <c r="D362" s="509">
        <v>1.2322848620544717</v>
      </c>
      <c r="E362" s="509">
        <v>1.2322848620544717</v>
      </c>
      <c r="F362" s="509">
        <v>1.2322848620544717</v>
      </c>
      <c r="G362" s="509">
        <v>1.2322848620544717</v>
      </c>
      <c r="H362" s="509">
        <v>1.2322848620544717</v>
      </c>
      <c r="I362" s="509">
        <v>1.2322848620544717</v>
      </c>
      <c r="J362" s="509">
        <v>1.2322848620544717</v>
      </c>
      <c r="K362" s="509">
        <v>1.2322848620544717</v>
      </c>
      <c r="L362" s="509">
        <v>1.2322848620544717</v>
      </c>
      <c r="M362" s="509">
        <v>1.2322848620544717</v>
      </c>
      <c r="N362" s="509">
        <v>1.2322848620544717</v>
      </c>
      <c r="O362" s="509">
        <v>1.2322848620544717</v>
      </c>
      <c r="P362" s="509">
        <v>1.2322848620544717</v>
      </c>
      <c r="Q362" s="509">
        <v>1.2322848620544717</v>
      </c>
      <c r="R362" s="509">
        <v>1.2322848620544717</v>
      </c>
      <c r="S362" s="509">
        <v>1.2322848620544717</v>
      </c>
      <c r="T362" s="509">
        <v>1.2322848620544717</v>
      </c>
      <c r="U362" s="509">
        <v>1.2322848620544717</v>
      </c>
      <c r="V362" s="509">
        <v>1.2322848620544717</v>
      </c>
      <c r="W362" s="509">
        <v>1.2322848620544717</v>
      </c>
      <c r="X362" s="509">
        <v>1.2322848620544717</v>
      </c>
      <c r="Y362" s="509">
        <v>1.2322848620544717</v>
      </c>
      <c r="Z362" s="509">
        <v>1.2322848620544717</v>
      </c>
      <c r="AA362" s="509">
        <v>1.2322848620544717</v>
      </c>
      <c r="AB362" s="509">
        <v>1.2322848620544717</v>
      </c>
      <c r="AC362" s="509">
        <v>1.2322848620544717</v>
      </c>
    </row>
    <row r="363" spans="1:29">
      <c r="A363" s="459" t="s">
        <v>352</v>
      </c>
      <c r="B363" s="459" t="s">
        <v>653</v>
      </c>
      <c r="C363" s="509">
        <v>1.2277213214286919</v>
      </c>
      <c r="D363" s="509">
        <v>1.2277213214286919</v>
      </c>
      <c r="E363" s="509">
        <v>1.2277213214286919</v>
      </c>
      <c r="F363" s="509">
        <v>1.2277213214286919</v>
      </c>
      <c r="G363" s="509">
        <v>1.2277213214286919</v>
      </c>
      <c r="H363" s="509">
        <v>1.2277213214286919</v>
      </c>
      <c r="I363" s="509">
        <v>1.2277213214286919</v>
      </c>
      <c r="J363" s="509">
        <v>1.2277213214286919</v>
      </c>
      <c r="K363" s="509">
        <v>1.2277213214286919</v>
      </c>
      <c r="L363" s="509">
        <v>1.2277213214286919</v>
      </c>
      <c r="M363" s="509">
        <v>1.2277213214286919</v>
      </c>
      <c r="N363" s="509">
        <v>1.2277213214286919</v>
      </c>
      <c r="O363" s="509">
        <v>1.2277213214286919</v>
      </c>
      <c r="P363" s="509">
        <v>1.2277213214286919</v>
      </c>
      <c r="Q363" s="509">
        <v>1.2277213214286919</v>
      </c>
      <c r="R363" s="509">
        <v>1.2277213214286919</v>
      </c>
      <c r="S363" s="509">
        <v>1.2277213214286919</v>
      </c>
      <c r="T363" s="509">
        <v>1.2277213214286919</v>
      </c>
      <c r="U363" s="509">
        <v>1.2277213214286919</v>
      </c>
      <c r="V363" s="509">
        <v>1.2277213214286919</v>
      </c>
      <c r="W363" s="509">
        <v>1.2277213214286919</v>
      </c>
      <c r="X363" s="509">
        <v>1.2277213214286919</v>
      </c>
      <c r="Y363" s="509">
        <v>1.2277213214286919</v>
      </c>
      <c r="Z363" s="509">
        <v>1.2277213214286919</v>
      </c>
      <c r="AA363" s="509">
        <v>1.2277213214286919</v>
      </c>
      <c r="AB363" s="509">
        <v>1.2277213214286919</v>
      </c>
      <c r="AC363" s="509">
        <v>1.2277213214286919</v>
      </c>
    </row>
    <row r="364" spans="1:29">
      <c r="A364" s="458" t="s">
        <v>353</v>
      </c>
      <c r="B364" s="458" t="s">
        <v>653</v>
      </c>
      <c r="C364" s="514">
        <v>1.4313823860112316</v>
      </c>
      <c r="D364" s="514">
        <v>1.4313823860112316</v>
      </c>
      <c r="E364" s="514">
        <v>1.4313823860112316</v>
      </c>
      <c r="F364" s="514">
        <v>1.4313823860112316</v>
      </c>
      <c r="G364" s="514">
        <v>1.4313823860112316</v>
      </c>
      <c r="H364" s="514">
        <v>1.4313823860112316</v>
      </c>
      <c r="I364" s="514">
        <v>1.4313823860112316</v>
      </c>
      <c r="J364" s="514">
        <v>1.4313823860112316</v>
      </c>
      <c r="K364" s="514">
        <v>1.4313823860112316</v>
      </c>
      <c r="L364" s="514">
        <v>1.4313823860112316</v>
      </c>
      <c r="M364" s="514">
        <v>1.4313823860112316</v>
      </c>
      <c r="N364" s="514">
        <v>1.4313823860112316</v>
      </c>
      <c r="O364" s="514">
        <v>1.4313823860112316</v>
      </c>
      <c r="P364" s="514">
        <v>1.4313823860112316</v>
      </c>
      <c r="Q364" s="514">
        <v>1.4313823860112316</v>
      </c>
      <c r="R364" s="514">
        <v>1.4313823860112316</v>
      </c>
      <c r="S364" s="514">
        <v>1.4313823860112316</v>
      </c>
      <c r="T364" s="514">
        <v>1.4313823860112316</v>
      </c>
      <c r="U364" s="514">
        <v>1.4313823860112316</v>
      </c>
      <c r="V364" s="514">
        <v>1.4313823860112316</v>
      </c>
      <c r="W364" s="514">
        <v>1.4313823860112316</v>
      </c>
      <c r="X364" s="514">
        <v>1.4313823860112316</v>
      </c>
      <c r="Y364" s="514">
        <v>1.4313823860112316</v>
      </c>
      <c r="Z364" s="514">
        <v>1.4313823860112316</v>
      </c>
      <c r="AA364" s="514">
        <v>1.4313823860112316</v>
      </c>
      <c r="AB364" s="514">
        <v>1.4313823860112316</v>
      </c>
      <c r="AC364" s="514">
        <v>1.4313823860112316</v>
      </c>
    </row>
    <row r="365" spans="1:29">
      <c r="A365" s="510" t="s">
        <v>657</v>
      </c>
      <c r="C365" s="459"/>
      <c r="D365" s="459"/>
      <c r="E365" s="459"/>
      <c r="F365" s="459"/>
      <c r="G365" s="459"/>
      <c r="H365" s="459"/>
      <c r="I365" s="459"/>
      <c r="J365" s="459"/>
      <c r="K365" s="459"/>
      <c r="L365" s="459"/>
      <c r="M365" s="459"/>
      <c r="N365" s="459"/>
      <c r="O365" s="459"/>
      <c r="P365" s="459"/>
      <c r="Q365" s="459"/>
      <c r="R365" s="459"/>
      <c r="S365" s="459"/>
      <c r="T365" s="459"/>
      <c r="U365" s="459"/>
      <c r="V365" s="459"/>
      <c r="W365" s="459"/>
      <c r="X365" s="459"/>
      <c r="Y365" s="459"/>
      <c r="Z365" s="459"/>
      <c r="AA365" s="459"/>
      <c r="AB365" s="459"/>
      <c r="AC365" s="459"/>
    </row>
    <row r="366" spans="1:29">
      <c r="A366" s="459"/>
      <c r="C366" s="459"/>
      <c r="D366" s="459"/>
      <c r="E366" s="459"/>
      <c r="F366" s="459"/>
      <c r="G366" s="459"/>
      <c r="H366" s="459"/>
      <c r="I366" s="459"/>
      <c r="J366" s="459"/>
      <c r="K366" s="459"/>
      <c r="L366" s="459"/>
      <c r="M366" s="459"/>
      <c r="N366" s="459"/>
      <c r="O366" s="459"/>
      <c r="P366" s="459"/>
      <c r="Q366" s="459"/>
      <c r="R366" s="459"/>
      <c r="S366" s="459"/>
      <c r="T366" s="459"/>
      <c r="U366" s="459"/>
      <c r="V366" s="459"/>
      <c r="W366" s="459"/>
      <c r="X366" s="459"/>
      <c r="Y366" s="459"/>
      <c r="Z366" s="459"/>
      <c r="AA366" s="459"/>
      <c r="AB366" s="459"/>
      <c r="AC366" s="459"/>
    </row>
    <row r="367" spans="1:29">
      <c r="A367" s="459"/>
      <c r="C367" s="459"/>
      <c r="D367" s="459"/>
      <c r="E367" s="459"/>
      <c r="F367" s="459"/>
      <c r="G367" s="459"/>
      <c r="H367" s="459"/>
      <c r="I367" s="459"/>
      <c r="J367" s="459"/>
      <c r="K367" s="459"/>
      <c r="L367" s="459"/>
      <c r="M367" s="459"/>
      <c r="N367" s="459"/>
      <c r="O367" s="459"/>
      <c r="P367" s="459"/>
      <c r="Q367" s="459"/>
      <c r="R367" s="459"/>
      <c r="S367" s="459"/>
      <c r="T367" s="459"/>
      <c r="U367" s="459"/>
      <c r="V367" s="459"/>
      <c r="W367" s="459"/>
      <c r="X367" s="459"/>
      <c r="Y367" s="459"/>
      <c r="Z367" s="459"/>
      <c r="AA367" s="459"/>
      <c r="AB367" s="459"/>
      <c r="AC367" s="459"/>
    </row>
    <row r="368" spans="1:29">
      <c r="A368" s="459"/>
      <c r="C368" s="459"/>
      <c r="D368" s="459"/>
      <c r="E368" s="459"/>
      <c r="F368" s="459"/>
      <c r="G368" s="459"/>
      <c r="H368" s="459"/>
      <c r="I368" s="459"/>
      <c r="J368" s="459"/>
      <c r="K368" s="459"/>
      <c r="L368" s="459"/>
      <c r="M368" s="459"/>
      <c r="N368" s="459"/>
      <c r="O368" s="459"/>
      <c r="P368" s="459"/>
      <c r="Q368" s="459"/>
      <c r="R368" s="459"/>
      <c r="S368" s="459"/>
      <c r="T368" s="459"/>
      <c r="U368" s="459"/>
      <c r="V368" s="459"/>
      <c r="W368" s="459"/>
      <c r="X368" s="459"/>
      <c r="Y368" s="459"/>
      <c r="Z368" s="459"/>
      <c r="AA368" s="459"/>
      <c r="AB368" s="459"/>
      <c r="AC368" s="459"/>
    </row>
    <row r="369" spans="1:29" ht="15.6">
      <c r="A369" s="425" t="s">
        <v>672</v>
      </c>
      <c r="C369" s="459"/>
      <c r="D369" s="459"/>
      <c r="E369" s="459"/>
      <c r="F369" s="459"/>
      <c r="G369" s="459"/>
      <c r="H369" s="459"/>
      <c r="I369" s="459"/>
      <c r="J369" s="459"/>
      <c r="K369" s="459"/>
      <c r="L369" s="459"/>
      <c r="M369" s="459"/>
      <c r="N369" s="459"/>
      <c r="O369" s="459"/>
      <c r="P369" s="459"/>
      <c r="Q369" s="459"/>
      <c r="R369" s="459"/>
      <c r="S369" s="459"/>
      <c r="T369" s="459"/>
      <c r="U369" s="459"/>
      <c r="V369" s="459"/>
      <c r="W369" s="459"/>
      <c r="X369" s="459"/>
      <c r="Y369" s="459"/>
      <c r="Z369" s="459"/>
      <c r="AA369" s="459"/>
      <c r="AB369" s="459"/>
      <c r="AC369" s="459"/>
    </row>
    <row r="370" spans="1:29">
      <c r="A370" s="131" t="s">
        <v>648</v>
      </c>
      <c r="B370" s="131" t="s">
        <v>64</v>
      </c>
      <c r="C370" s="131" t="str">
        <f>C357</f>
        <v>IE</v>
      </c>
      <c r="D370" s="131" t="str">
        <f t="shared" ref="D370:AC370" si="229">D357</f>
        <v>IE-CW</v>
      </c>
      <c r="E370" s="131" t="str">
        <f t="shared" si="229"/>
        <v>IE-D</v>
      </c>
      <c r="F370" s="131" t="str">
        <f t="shared" si="229"/>
        <v>IE-KE</v>
      </c>
      <c r="G370" s="131" t="str">
        <f t="shared" si="229"/>
        <v>IE-KK</v>
      </c>
      <c r="H370" s="131" t="str">
        <f t="shared" si="229"/>
        <v>IE-LS</v>
      </c>
      <c r="I370" s="131" t="str">
        <f t="shared" si="229"/>
        <v>IE-LD</v>
      </c>
      <c r="J370" s="131" t="str">
        <f t="shared" si="229"/>
        <v>IE-LH</v>
      </c>
      <c r="K370" s="131" t="str">
        <f t="shared" si="229"/>
        <v>IE-MH</v>
      </c>
      <c r="L370" s="131" t="str">
        <f t="shared" si="229"/>
        <v>IE-OY</v>
      </c>
      <c r="M370" s="131" t="str">
        <f t="shared" si="229"/>
        <v>IE-WH</v>
      </c>
      <c r="N370" s="131" t="str">
        <f t="shared" si="229"/>
        <v>IE-WX</v>
      </c>
      <c r="O370" s="131" t="str">
        <f t="shared" si="229"/>
        <v>IE-WW</v>
      </c>
      <c r="P370" s="131" t="str">
        <f t="shared" si="229"/>
        <v>IE-CE</v>
      </c>
      <c r="Q370" s="131" t="str">
        <f t="shared" si="229"/>
        <v>IE-CO</v>
      </c>
      <c r="R370" s="131" t="str">
        <f t="shared" si="229"/>
        <v>IE-KY</v>
      </c>
      <c r="S370" s="131" t="str">
        <f t="shared" si="229"/>
        <v>IE-LK</v>
      </c>
      <c r="T370" s="131" t="str">
        <f t="shared" si="229"/>
        <v>IE-TA</v>
      </c>
      <c r="U370" s="131" t="str">
        <f t="shared" si="229"/>
        <v>IE-WD</v>
      </c>
      <c r="V370" s="131" t="str">
        <f t="shared" si="229"/>
        <v>IE-G</v>
      </c>
      <c r="W370" s="131" t="str">
        <f t="shared" si="229"/>
        <v>IE-LM</v>
      </c>
      <c r="X370" s="131" t="str">
        <f t="shared" si="229"/>
        <v>IE-MO</v>
      </c>
      <c r="Y370" s="131" t="str">
        <f t="shared" si="229"/>
        <v>IE-RN</v>
      </c>
      <c r="Z370" s="131" t="str">
        <f t="shared" si="229"/>
        <v>IE-SO</v>
      </c>
      <c r="AA370" s="131" t="str">
        <f t="shared" si="229"/>
        <v>IE-CN</v>
      </c>
      <c r="AB370" s="131" t="str">
        <f t="shared" si="229"/>
        <v>IE-DL</v>
      </c>
      <c r="AC370" s="131" t="str">
        <f t="shared" si="229"/>
        <v>IE-MN</v>
      </c>
    </row>
    <row r="371" spans="1:29">
      <c r="A371" s="459" t="s">
        <v>669</v>
      </c>
      <c r="B371" s="459" t="s">
        <v>653</v>
      </c>
      <c r="C371" s="505">
        <f>SUMPRODUCT(C345:C351,C358:C364)</f>
        <v>1.4001588450512759</v>
      </c>
      <c r="D371" s="505">
        <f>IF(D338&gt;1,SUMPRODUCT(D345:D351,D358:D364),$C$226)</f>
        <v>1.4022879482137258</v>
      </c>
      <c r="E371" s="505">
        <f t="shared" ref="E371:AC371" si="230">IF(E338&gt;1,SUMPRODUCT(E345:E351,E358:E364),$C$226)</f>
        <v>1.4005246489532712</v>
      </c>
      <c r="F371" s="505">
        <f t="shared" si="230"/>
        <v>1.3810496796689202</v>
      </c>
      <c r="G371" s="505">
        <f t="shared" si="230"/>
        <v>1.3934919553912242</v>
      </c>
      <c r="H371" s="505">
        <f t="shared" si="230"/>
        <v>1.4059247529384142</v>
      </c>
      <c r="I371" s="505">
        <f t="shared" si="230"/>
        <v>1.4228965083202925</v>
      </c>
      <c r="J371" s="505">
        <f t="shared" si="230"/>
        <v>1.4059247529384142</v>
      </c>
      <c r="K371" s="505">
        <f t="shared" si="230"/>
        <v>1.4157161502741131</v>
      </c>
      <c r="L371" s="505">
        <f t="shared" si="230"/>
        <v>1.4313823860112316</v>
      </c>
      <c r="M371" s="505">
        <f t="shared" si="230"/>
        <v>1.3718157567132359</v>
      </c>
      <c r="N371" s="505">
        <f t="shared" si="230"/>
        <v>1.3931959364020055</v>
      </c>
      <c r="O371" s="505">
        <f t="shared" si="230"/>
        <v>1.4194023233887292</v>
      </c>
      <c r="P371" s="505">
        <f t="shared" si="230"/>
        <v>1.3843836787998764</v>
      </c>
      <c r="Q371" s="505">
        <f t="shared" si="230"/>
        <v>1.388355400536047</v>
      </c>
      <c r="R371" s="505">
        <f t="shared" si="230"/>
        <v>1.4186535694748228</v>
      </c>
      <c r="S371" s="505">
        <f t="shared" si="230"/>
        <v>1.4313823860112316</v>
      </c>
      <c r="T371" s="505">
        <f t="shared" si="230"/>
        <v>1.3804671198655969</v>
      </c>
      <c r="U371" s="505">
        <f t="shared" si="230"/>
        <v>1.3843836787998764</v>
      </c>
      <c r="V371" s="505">
        <f t="shared" si="230"/>
        <v>1.4065456708182389</v>
      </c>
      <c r="W371" s="505">
        <f t="shared" si="230"/>
        <v>1.4186535694748228</v>
      </c>
      <c r="X371" s="505">
        <f t="shared" si="230"/>
        <v>1.4313823860112316</v>
      </c>
      <c r="Y371" s="505">
        <f t="shared" si="230"/>
        <v>1.3758384593069026</v>
      </c>
      <c r="Z371" s="505">
        <f t="shared" si="230"/>
        <v>1.3623147406599727</v>
      </c>
      <c r="AA371" s="505">
        <f t="shared" si="230"/>
        <v>1.3716122972297371</v>
      </c>
      <c r="AB371" s="505">
        <f t="shared" si="230"/>
        <v>1.3007736681569373</v>
      </c>
      <c r="AC371" s="505">
        <f t="shared" si="230"/>
        <v>1.3992253758139883</v>
      </c>
    </row>
    <row r="372" spans="1:29">
      <c r="A372" s="458"/>
      <c r="B372" s="458" t="s">
        <v>640</v>
      </c>
      <c r="C372" s="508">
        <f>1000/C371</f>
        <v>714.20468008640728</v>
      </c>
      <c r="D372" s="508">
        <f>1000/D371</f>
        <v>713.12029834801649</v>
      </c>
      <c r="E372" s="508">
        <f>1000/E371</f>
        <v>714.01813652289752</v>
      </c>
      <c r="F372" s="508">
        <f>1000/F371</f>
        <v>724.08691354226335</v>
      </c>
      <c r="G372" s="508">
        <f t="shared" ref="G372" si="231">1000/G371</f>
        <v>717.62165266268016</v>
      </c>
      <c r="H372" s="508">
        <f t="shared" ref="H372" si="232">1000/H371</f>
        <v>711.27561977266396</v>
      </c>
      <c r="I372" s="508">
        <f t="shared" ref="I372" si="233">1000/I371</f>
        <v>702.79180119746354</v>
      </c>
      <c r="J372" s="508">
        <f t="shared" ref="J372" si="234">1000/J371</f>
        <v>711.27561977266396</v>
      </c>
      <c r="K372" s="508">
        <f t="shared" ref="K372" si="235">1000/K371</f>
        <v>706.35628463119428</v>
      </c>
      <c r="L372" s="508">
        <f t="shared" ref="L372" si="236">1000/L371</f>
        <v>698.62533574040594</v>
      </c>
      <c r="M372" s="508">
        <f t="shared" ref="M372" si="237">1000/M371</f>
        <v>728.96086453761291</v>
      </c>
      <c r="N372" s="508">
        <f t="shared" ref="N372" si="238">1000/N371</f>
        <v>717.77412915985633</v>
      </c>
      <c r="O372" s="508">
        <f t="shared" ref="O372" si="239">1000/O371</f>
        <v>704.52188468493284</v>
      </c>
      <c r="P372" s="508">
        <f t="shared" ref="P372" si="240">1000/P371</f>
        <v>722.3431013481038</v>
      </c>
      <c r="Q372" s="508">
        <f t="shared" ref="Q372" si="241">1000/Q371</f>
        <v>720.27666663298021</v>
      </c>
      <c r="R372" s="508">
        <f t="shared" ref="R372" si="242">1000/R371</f>
        <v>704.89372565438521</v>
      </c>
      <c r="S372" s="508">
        <f t="shared" ref="S372" si="243">1000/S371</f>
        <v>698.62533574040594</v>
      </c>
      <c r="T372" s="508">
        <f t="shared" ref="T372" si="244">1000/T371</f>
        <v>724.39247962483932</v>
      </c>
      <c r="U372" s="508">
        <f t="shared" ref="U372" si="245">1000/U371</f>
        <v>722.3431013481038</v>
      </c>
      <c r="V372" s="508">
        <f t="shared" ref="V372" si="246">1000/V371</f>
        <v>710.96162801330411</v>
      </c>
      <c r="W372" s="508">
        <f t="shared" ref="W372" si="247">1000/W371</f>
        <v>704.89372565438521</v>
      </c>
      <c r="X372" s="508">
        <f t="shared" ref="X372" si="248">1000/X371</f>
        <v>698.62533574040594</v>
      </c>
      <c r="Y372" s="508">
        <f t="shared" ref="Y372" si="249">1000/Y371</f>
        <v>726.82951492994584</v>
      </c>
      <c r="Z372" s="508">
        <f t="shared" ref="Z372" si="250">1000/Z371</f>
        <v>734.04476231061733</v>
      </c>
      <c r="AA372" s="508">
        <f t="shared" ref="AA372" si="251">1000/AA371</f>
        <v>729.06899567735923</v>
      </c>
      <c r="AB372" s="508">
        <f t="shared" ref="AB372" si="252">1000/AB371</f>
        <v>768.77324970522909</v>
      </c>
      <c r="AC372" s="508">
        <f t="shared" ref="AC372" si="253">1000/AC371</f>
        <v>714.68114950263669</v>
      </c>
    </row>
    <row r="376" spans="1:29">
      <c r="A376" s="511"/>
      <c r="B376" s="511"/>
      <c r="C376" s="511"/>
      <c r="D376" s="511"/>
      <c r="E376" s="511"/>
      <c r="F376" s="511"/>
      <c r="G376" s="511"/>
      <c r="H376" s="511"/>
      <c r="I376" s="511"/>
      <c r="J376" s="511"/>
      <c r="K376" s="511"/>
      <c r="L376" s="511"/>
      <c r="M376" s="511"/>
      <c r="N376" s="511"/>
      <c r="O376" s="511"/>
      <c r="P376" s="511"/>
      <c r="Q376" s="511"/>
      <c r="R376" s="511"/>
      <c r="S376" s="511"/>
      <c r="T376" s="511"/>
      <c r="U376" s="511"/>
      <c r="V376" s="511"/>
      <c r="W376" s="511"/>
      <c r="X376" s="511"/>
      <c r="Y376" s="511"/>
      <c r="Z376" s="511"/>
      <c r="AA376" s="511"/>
      <c r="AB376" s="511"/>
      <c r="AC376" s="511"/>
    </row>
    <row r="377" spans="1:29" ht="15.6">
      <c r="A377" s="401" t="s">
        <v>676</v>
      </c>
      <c r="C377" s="459"/>
      <c r="D377" s="459"/>
      <c r="E377" s="459"/>
      <c r="F377" s="459"/>
      <c r="G377" s="459"/>
      <c r="H377" s="459"/>
      <c r="I377" s="459"/>
      <c r="J377" s="459"/>
      <c r="K377" s="459"/>
      <c r="L377" s="459"/>
      <c r="M377" s="459"/>
      <c r="N377" s="459"/>
      <c r="O377" s="459"/>
      <c r="P377" s="459"/>
      <c r="Q377" s="459"/>
      <c r="R377" s="459"/>
      <c r="S377" s="459"/>
      <c r="T377" s="459"/>
      <c r="U377" s="459"/>
      <c r="V377" s="459"/>
      <c r="W377" s="459"/>
      <c r="X377" s="459"/>
      <c r="Y377" s="459"/>
      <c r="Z377" s="459"/>
      <c r="AA377" s="459"/>
      <c r="AB377" s="459"/>
      <c r="AC377" s="459"/>
    </row>
    <row r="378" spans="1:29">
      <c r="A378" s="131" t="s">
        <v>648</v>
      </c>
      <c r="B378" s="131" t="s">
        <v>64</v>
      </c>
      <c r="C378" s="131" t="str">
        <f t="shared" ref="C378:AC378" si="254">C370</f>
        <v>IE</v>
      </c>
      <c r="D378" s="131" t="str">
        <f t="shared" si="254"/>
        <v>IE-CW</v>
      </c>
      <c r="E378" s="131" t="str">
        <f t="shared" si="254"/>
        <v>IE-D</v>
      </c>
      <c r="F378" s="131" t="str">
        <f t="shared" si="254"/>
        <v>IE-KE</v>
      </c>
      <c r="G378" s="131" t="str">
        <f t="shared" si="254"/>
        <v>IE-KK</v>
      </c>
      <c r="H378" s="131" t="str">
        <f t="shared" si="254"/>
        <v>IE-LS</v>
      </c>
      <c r="I378" s="131" t="str">
        <f t="shared" si="254"/>
        <v>IE-LD</v>
      </c>
      <c r="J378" s="131" t="str">
        <f t="shared" si="254"/>
        <v>IE-LH</v>
      </c>
      <c r="K378" s="131" t="str">
        <f t="shared" si="254"/>
        <v>IE-MH</v>
      </c>
      <c r="L378" s="131" t="str">
        <f t="shared" si="254"/>
        <v>IE-OY</v>
      </c>
      <c r="M378" s="131" t="str">
        <f t="shared" si="254"/>
        <v>IE-WH</v>
      </c>
      <c r="N378" s="131" t="str">
        <f t="shared" si="254"/>
        <v>IE-WX</v>
      </c>
      <c r="O378" s="131" t="str">
        <f t="shared" si="254"/>
        <v>IE-WW</v>
      </c>
      <c r="P378" s="131" t="str">
        <f t="shared" si="254"/>
        <v>IE-CE</v>
      </c>
      <c r="Q378" s="131" t="str">
        <f t="shared" si="254"/>
        <v>IE-CO</v>
      </c>
      <c r="R378" s="131" t="str">
        <f t="shared" si="254"/>
        <v>IE-KY</v>
      </c>
      <c r="S378" s="131" t="str">
        <f t="shared" si="254"/>
        <v>IE-LK</v>
      </c>
      <c r="T378" s="131" t="str">
        <f t="shared" si="254"/>
        <v>IE-TA</v>
      </c>
      <c r="U378" s="131" t="str">
        <f t="shared" si="254"/>
        <v>IE-WD</v>
      </c>
      <c r="V378" s="131" t="str">
        <f t="shared" si="254"/>
        <v>IE-G</v>
      </c>
      <c r="W378" s="131" t="str">
        <f t="shared" si="254"/>
        <v>IE-LM</v>
      </c>
      <c r="X378" s="131" t="str">
        <f t="shared" si="254"/>
        <v>IE-MO</v>
      </c>
      <c r="Y378" s="131" t="str">
        <f t="shared" si="254"/>
        <v>IE-RN</v>
      </c>
      <c r="Z378" s="131" t="str">
        <f t="shared" si="254"/>
        <v>IE-SO</v>
      </c>
      <c r="AA378" s="131" t="str">
        <f t="shared" si="254"/>
        <v>IE-CN</v>
      </c>
      <c r="AB378" s="131" t="str">
        <f t="shared" si="254"/>
        <v>IE-DL</v>
      </c>
      <c r="AC378" s="131" t="str">
        <f t="shared" si="254"/>
        <v>IE-MN</v>
      </c>
    </row>
    <row r="379" spans="1:29">
      <c r="A379" s="459" t="s">
        <v>347</v>
      </c>
      <c r="B379" s="459" t="s">
        <v>539</v>
      </c>
      <c r="C379" s="9">
        <f>SUM(D379:AC379)</f>
        <v>141</v>
      </c>
      <c r="D379" s="512">
        <v>2</v>
      </c>
      <c r="E379" s="512">
        <v>4</v>
      </c>
      <c r="F379" s="512">
        <v>3</v>
      </c>
      <c r="G379" s="512">
        <v>3</v>
      </c>
      <c r="H379" s="512">
        <v>1</v>
      </c>
      <c r="I379" s="512">
        <v>5</v>
      </c>
      <c r="J379" s="512">
        <v>1</v>
      </c>
      <c r="K379" s="512">
        <v>4</v>
      </c>
      <c r="L379" s="512">
        <v>1</v>
      </c>
      <c r="M379" s="512">
        <v>3</v>
      </c>
      <c r="N379" s="512">
        <v>0</v>
      </c>
      <c r="O379" s="512">
        <v>2</v>
      </c>
      <c r="P379" s="512">
        <v>2</v>
      </c>
      <c r="Q379" s="512">
        <v>18</v>
      </c>
      <c r="R379" s="512">
        <v>5</v>
      </c>
      <c r="S379" s="512">
        <v>0</v>
      </c>
      <c r="T379" s="512">
        <v>1</v>
      </c>
      <c r="U379" s="512">
        <v>1</v>
      </c>
      <c r="V379" s="512">
        <v>71</v>
      </c>
      <c r="W379" s="512">
        <v>2</v>
      </c>
      <c r="X379" s="512">
        <v>2</v>
      </c>
      <c r="Y379" s="512">
        <v>1</v>
      </c>
      <c r="Z379" s="512">
        <v>0</v>
      </c>
      <c r="AA379" s="512">
        <v>1</v>
      </c>
      <c r="AB379" s="512">
        <v>2</v>
      </c>
      <c r="AC379" s="512">
        <v>6</v>
      </c>
    </row>
    <row r="380" spans="1:29">
      <c r="A380" s="459" t="s">
        <v>348</v>
      </c>
      <c r="B380" s="459" t="s">
        <v>539</v>
      </c>
      <c r="C380" s="9">
        <f t="shared" ref="C380:C385" si="255">SUM(D380:AC380)</f>
        <v>1</v>
      </c>
      <c r="D380" s="512">
        <v>0</v>
      </c>
      <c r="E380" s="512">
        <v>0</v>
      </c>
      <c r="F380" s="512">
        <v>0</v>
      </c>
      <c r="G380" s="512">
        <v>0</v>
      </c>
      <c r="H380" s="512">
        <v>0</v>
      </c>
      <c r="I380" s="512">
        <v>0</v>
      </c>
      <c r="J380" s="512">
        <v>0</v>
      </c>
      <c r="K380" s="512">
        <v>0</v>
      </c>
      <c r="L380" s="512">
        <v>0</v>
      </c>
      <c r="M380" s="512">
        <v>0</v>
      </c>
      <c r="N380" s="512">
        <v>0</v>
      </c>
      <c r="O380" s="512">
        <v>0</v>
      </c>
      <c r="P380" s="512">
        <v>0</v>
      </c>
      <c r="Q380" s="512">
        <v>0</v>
      </c>
      <c r="R380" s="512">
        <v>0</v>
      </c>
      <c r="S380" s="512">
        <v>0</v>
      </c>
      <c r="T380" s="512">
        <v>0</v>
      </c>
      <c r="U380" s="512">
        <v>0</v>
      </c>
      <c r="V380" s="512">
        <v>1</v>
      </c>
      <c r="W380" s="512">
        <v>0</v>
      </c>
      <c r="X380" s="512">
        <v>0</v>
      </c>
      <c r="Y380" s="512">
        <v>0</v>
      </c>
      <c r="Z380" s="512">
        <v>0</v>
      </c>
      <c r="AA380" s="512">
        <v>0</v>
      </c>
      <c r="AB380" s="512">
        <v>0</v>
      </c>
      <c r="AC380" s="512">
        <v>0</v>
      </c>
    </row>
    <row r="381" spans="1:29">
      <c r="A381" s="459" t="s">
        <v>349</v>
      </c>
      <c r="B381" s="459" t="s">
        <v>539</v>
      </c>
      <c r="C381" s="9">
        <f t="shared" si="255"/>
        <v>168</v>
      </c>
      <c r="D381" s="512">
        <v>2</v>
      </c>
      <c r="E381" s="512">
        <v>6</v>
      </c>
      <c r="F381" s="512">
        <v>0</v>
      </c>
      <c r="G381" s="512">
        <v>15</v>
      </c>
      <c r="H381" s="512">
        <v>2</v>
      </c>
      <c r="I381" s="512">
        <v>6</v>
      </c>
      <c r="J381" s="512">
        <v>4</v>
      </c>
      <c r="K381" s="512">
        <v>3</v>
      </c>
      <c r="L381" s="512">
        <v>1</v>
      </c>
      <c r="M381" s="512">
        <v>3</v>
      </c>
      <c r="N381" s="512">
        <v>1</v>
      </c>
      <c r="O381" s="512">
        <v>6</v>
      </c>
      <c r="P381" s="512">
        <v>1</v>
      </c>
      <c r="Q381" s="512">
        <v>20</v>
      </c>
      <c r="R381" s="512">
        <v>4</v>
      </c>
      <c r="S381" s="512">
        <v>0</v>
      </c>
      <c r="T381" s="512">
        <v>3</v>
      </c>
      <c r="U381" s="512">
        <v>2</v>
      </c>
      <c r="V381" s="512">
        <v>69</v>
      </c>
      <c r="W381" s="512">
        <v>1</v>
      </c>
      <c r="X381" s="512">
        <v>6</v>
      </c>
      <c r="Y381" s="512">
        <v>0</v>
      </c>
      <c r="Z381" s="512">
        <v>1</v>
      </c>
      <c r="AA381" s="512">
        <v>1</v>
      </c>
      <c r="AB381" s="512">
        <v>3</v>
      </c>
      <c r="AC381" s="512">
        <v>8</v>
      </c>
    </row>
    <row r="382" spans="1:29">
      <c r="A382" s="459" t="s">
        <v>350</v>
      </c>
      <c r="B382" s="459" t="s">
        <v>539</v>
      </c>
      <c r="C382" s="9">
        <f t="shared" si="255"/>
        <v>302</v>
      </c>
      <c r="D382" s="512">
        <v>3</v>
      </c>
      <c r="E382" s="512">
        <v>16</v>
      </c>
      <c r="F382" s="512">
        <v>9</v>
      </c>
      <c r="G382" s="512">
        <v>15</v>
      </c>
      <c r="H382" s="512">
        <v>1</v>
      </c>
      <c r="I382" s="512">
        <v>4</v>
      </c>
      <c r="J382" s="512">
        <v>0</v>
      </c>
      <c r="K382" s="512">
        <v>1</v>
      </c>
      <c r="L382" s="512">
        <v>0</v>
      </c>
      <c r="M382" s="512">
        <v>3</v>
      </c>
      <c r="N382" s="512">
        <v>6</v>
      </c>
      <c r="O382" s="512">
        <v>4</v>
      </c>
      <c r="P382" s="512">
        <v>7</v>
      </c>
      <c r="Q382" s="512">
        <v>19</v>
      </c>
      <c r="R382" s="512">
        <v>10</v>
      </c>
      <c r="S382" s="512">
        <v>0</v>
      </c>
      <c r="T382" s="512">
        <v>5</v>
      </c>
      <c r="U382" s="512">
        <v>5</v>
      </c>
      <c r="V382" s="512">
        <v>153</v>
      </c>
      <c r="W382" s="512">
        <v>7</v>
      </c>
      <c r="X382" s="512">
        <v>3</v>
      </c>
      <c r="Y382" s="512">
        <v>4</v>
      </c>
      <c r="Z382" s="512">
        <v>2</v>
      </c>
      <c r="AA382" s="512">
        <v>4</v>
      </c>
      <c r="AB382" s="512">
        <v>10</v>
      </c>
      <c r="AC382" s="512">
        <v>11</v>
      </c>
    </row>
    <row r="383" spans="1:29">
      <c r="A383" s="459" t="s">
        <v>351</v>
      </c>
      <c r="B383" s="459" t="s">
        <v>539</v>
      </c>
      <c r="C383" s="9">
        <f t="shared" si="255"/>
        <v>62</v>
      </c>
      <c r="D383" s="512">
        <v>1</v>
      </c>
      <c r="E383" s="512">
        <v>2</v>
      </c>
      <c r="F383" s="512">
        <v>0</v>
      </c>
      <c r="G383" s="512">
        <v>1</v>
      </c>
      <c r="H383" s="512">
        <v>1</v>
      </c>
      <c r="I383" s="512">
        <v>2</v>
      </c>
      <c r="J383" s="512">
        <v>1</v>
      </c>
      <c r="K383" s="512">
        <v>1</v>
      </c>
      <c r="L383" s="512">
        <v>0</v>
      </c>
      <c r="M383" s="512">
        <v>2</v>
      </c>
      <c r="N383" s="512">
        <v>0</v>
      </c>
      <c r="O383" s="512">
        <v>0</v>
      </c>
      <c r="P383" s="512">
        <v>1</v>
      </c>
      <c r="Q383" s="512">
        <v>11</v>
      </c>
      <c r="R383" s="512">
        <v>4</v>
      </c>
      <c r="S383" s="512">
        <v>0</v>
      </c>
      <c r="T383" s="512">
        <v>1</v>
      </c>
      <c r="U383" s="512">
        <v>1</v>
      </c>
      <c r="V383" s="512">
        <v>20</v>
      </c>
      <c r="W383" s="512">
        <v>0</v>
      </c>
      <c r="X383" s="512">
        <v>4</v>
      </c>
      <c r="Y383" s="512">
        <v>2</v>
      </c>
      <c r="Z383" s="512">
        <v>1</v>
      </c>
      <c r="AA383" s="512">
        <v>1</v>
      </c>
      <c r="AB383" s="512">
        <v>2</v>
      </c>
      <c r="AC383" s="512">
        <v>3</v>
      </c>
    </row>
    <row r="384" spans="1:29">
      <c r="A384" s="459" t="s">
        <v>352</v>
      </c>
      <c r="B384" s="459" t="s">
        <v>539</v>
      </c>
      <c r="C384" s="9">
        <f t="shared" si="255"/>
        <v>1926</v>
      </c>
      <c r="D384" s="512">
        <v>7</v>
      </c>
      <c r="E384" s="512">
        <v>75</v>
      </c>
      <c r="F384" s="512">
        <v>21</v>
      </c>
      <c r="G384" s="512">
        <v>110</v>
      </c>
      <c r="H384" s="512">
        <v>17</v>
      </c>
      <c r="I384" s="512">
        <v>36</v>
      </c>
      <c r="J384" s="512">
        <v>10</v>
      </c>
      <c r="K384" s="512">
        <v>13</v>
      </c>
      <c r="L384" s="512">
        <v>7</v>
      </c>
      <c r="M384" s="512">
        <v>19</v>
      </c>
      <c r="N384" s="512">
        <v>28</v>
      </c>
      <c r="O384" s="512">
        <v>29</v>
      </c>
      <c r="P384" s="512">
        <v>24</v>
      </c>
      <c r="Q384" s="512">
        <v>188</v>
      </c>
      <c r="R384" s="512">
        <v>129</v>
      </c>
      <c r="S384" s="512">
        <v>2</v>
      </c>
      <c r="T384" s="512">
        <v>13</v>
      </c>
      <c r="U384" s="512">
        <v>28</v>
      </c>
      <c r="V384" s="512">
        <v>1001</v>
      </c>
      <c r="W384" s="512">
        <v>7</v>
      </c>
      <c r="X384" s="512">
        <v>31</v>
      </c>
      <c r="Y384" s="512">
        <v>10</v>
      </c>
      <c r="Z384" s="512">
        <v>11</v>
      </c>
      <c r="AA384" s="512">
        <v>17</v>
      </c>
      <c r="AB384" s="512">
        <v>19</v>
      </c>
      <c r="AC384" s="512">
        <v>74</v>
      </c>
    </row>
    <row r="385" spans="1:29">
      <c r="A385" s="459" t="s">
        <v>353</v>
      </c>
      <c r="B385" s="459" t="s">
        <v>539</v>
      </c>
      <c r="C385" s="9">
        <f t="shared" si="255"/>
        <v>159</v>
      </c>
      <c r="D385" s="512">
        <v>0</v>
      </c>
      <c r="E385" s="512">
        <v>6</v>
      </c>
      <c r="F385" s="512">
        <v>0</v>
      </c>
      <c r="G385" s="512">
        <v>6</v>
      </c>
      <c r="H385" s="512">
        <v>2</v>
      </c>
      <c r="I385" s="512">
        <v>1</v>
      </c>
      <c r="J385" s="512">
        <v>2</v>
      </c>
      <c r="K385" s="512">
        <v>1</v>
      </c>
      <c r="L385" s="512">
        <v>1</v>
      </c>
      <c r="M385" s="512">
        <v>2</v>
      </c>
      <c r="N385" s="512">
        <v>0</v>
      </c>
      <c r="O385" s="512">
        <v>1</v>
      </c>
      <c r="P385" s="512">
        <v>2</v>
      </c>
      <c r="Q385" s="512">
        <v>6</v>
      </c>
      <c r="R385" s="512">
        <v>0</v>
      </c>
      <c r="S385" s="512">
        <v>1</v>
      </c>
      <c r="T385" s="512">
        <v>0</v>
      </c>
      <c r="U385" s="512">
        <v>3</v>
      </c>
      <c r="V385" s="512">
        <v>115</v>
      </c>
      <c r="W385" s="512">
        <v>0</v>
      </c>
      <c r="X385" s="512">
        <v>1</v>
      </c>
      <c r="Y385" s="512">
        <v>1</v>
      </c>
      <c r="Z385" s="512">
        <v>1</v>
      </c>
      <c r="AA385" s="512">
        <v>0</v>
      </c>
      <c r="AB385" s="512">
        <v>1</v>
      </c>
      <c r="AC385" s="512">
        <v>6</v>
      </c>
    </row>
    <row r="386" spans="1:29">
      <c r="A386" s="458" t="s">
        <v>16</v>
      </c>
      <c r="B386" s="458" t="s">
        <v>539</v>
      </c>
      <c r="C386" s="504">
        <f>SUM(C379:C385)</f>
        <v>2759</v>
      </c>
      <c r="D386" s="504">
        <f>SUM(D379:D385)</f>
        <v>15</v>
      </c>
      <c r="E386" s="504">
        <f t="shared" ref="E386" si="256">SUM(E379:E385)</f>
        <v>109</v>
      </c>
      <c r="F386" s="504">
        <f t="shared" ref="F386" si="257">SUM(F379:F385)</f>
        <v>33</v>
      </c>
      <c r="G386" s="504">
        <f t="shared" ref="G386" si="258">SUM(G379:G385)</f>
        <v>150</v>
      </c>
      <c r="H386" s="504">
        <f t="shared" ref="H386" si="259">SUM(H379:H385)</f>
        <v>24</v>
      </c>
      <c r="I386" s="504">
        <f t="shared" ref="I386" si="260">SUM(I379:I385)</f>
        <v>54</v>
      </c>
      <c r="J386" s="504">
        <f t="shared" ref="J386" si="261">SUM(J379:J385)</f>
        <v>18</v>
      </c>
      <c r="K386" s="504">
        <f t="shared" ref="K386" si="262">SUM(K379:K385)</f>
        <v>23</v>
      </c>
      <c r="L386" s="504">
        <f t="shared" ref="L386" si="263">SUM(L379:L385)</f>
        <v>10</v>
      </c>
      <c r="M386" s="504">
        <f t="shared" ref="M386" si="264">SUM(M379:M385)</f>
        <v>32</v>
      </c>
      <c r="N386" s="504">
        <f t="shared" ref="N386" si="265">SUM(N379:N385)</f>
        <v>35</v>
      </c>
      <c r="O386" s="504">
        <f t="shared" ref="O386" si="266">SUM(O379:O385)</f>
        <v>42</v>
      </c>
      <c r="P386" s="504">
        <f t="shared" ref="P386" si="267">SUM(P379:P385)</f>
        <v>37</v>
      </c>
      <c r="Q386" s="504">
        <f t="shared" ref="Q386" si="268">SUM(Q379:Q385)</f>
        <v>262</v>
      </c>
      <c r="R386" s="504">
        <f t="shared" ref="R386" si="269">SUM(R379:R385)</f>
        <v>152</v>
      </c>
      <c r="S386" s="504">
        <f t="shared" ref="S386" si="270">SUM(S379:S385)</f>
        <v>3</v>
      </c>
      <c r="T386" s="504">
        <f t="shared" ref="T386" si="271">SUM(T379:T385)</f>
        <v>23</v>
      </c>
      <c r="U386" s="504">
        <f t="shared" ref="U386" si="272">SUM(U379:U385)</f>
        <v>40</v>
      </c>
      <c r="V386" s="504">
        <f t="shared" ref="V386" si="273">SUM(V379:V385)</f>
        <v>1430</v>
      </c>
      <c r="W386" s="504">
        <f t="shared" ref="W386" si="274">SUM(W379:W385)</f>
        <v>17</v>
      </c>
      <c r="X386" s="504">
        <f t="shared" ref="X386" si="275">SUM(X379:X385)</f>
        <v>47</v>
      </c>
      <c r="Y386" s="504">
        <f t="shared" ref="Y386" si="276">SUM(Y379:Y385)</f>
        <v>18</v>
      </c>
      <c r="Z386" s="504">
        <f t="shared" ref="Z386" si="277">SUM(Z379:Z385)</f>
        <v>16</v>
      </c>
      <c r="AA386" s="504">
        <f t="shared" ref="AA386" si="278">SUM(AA379:AA385)</f>
        <v>24</v>
      </c>
      <c r="AB386" s="504">
        <f t="shared" ref="AB386" si="279">SUM(AB379:AB385)</f>
        <v>37</v>
      </c>
      <c r="AC386" s="504">
        <f t="shared" ref="AC386" si="280">SUM(AC379:AC385)</f>
        <v>108</v>
      </c>
    </row>
    <row r="387" spans="1:29">
      <c r="A387" s="459" t="s">
        <v>659</v>
      </c>
      <c r="C387" s="459"/>
      <c r="D387" s="459"/>
      <c r="E387" s="459"/>
      <c r="F387" s="459"/>
      <c r="G387" s="459"/>
      <c r="H387" s="459"/>
      <c r="I387" s="459"/>
      <c r="J387" s="459"/>
      <c r="K387" s="459"/>
      <c r="L387" s="459"/>
      <c r="M387" s="459"/>
      <c r="N387" s="459"/>
      <c r="O387" s="459"/>
      <c r="P387" s="459"/>
      <c r="Q387" s="459"/>
      <c r="R387" s="459"/>
      <c r="S387" s="459"/>
      <c r="T387" s="459"/>
      <c r="U387" s="459"/>
      <c r="V387" s="459"/>
      <c r="W387" s="459"/>
      <c r="X387" s="459"/>
      <c r="Y387" s="459"/>
      <c r="Z387" s="459"/>
      <c r="AA387" s="459"/>
      <c r="AB387" s="459"/>
      <c r="AC387" s="459"/>
    </row>
    <row r="388" spans="1:29">
      <c r="A388" s="459"/>
      <c r="C388" s="459"/>
      <c r="D388" s="459"/>
      <c r="E388" s="459"/>
      <c r="F388" s="459"/>
      <c r="G388" s="459"/>
      <c r="H388" s="459"/>
      <c r="I388" s="459"/>
      <c r="J388" s="459"/>
      <c r="K388" s="459"/>
      <c r="L388" s="459"/>
      <c r="M388" s="459"/>
      <c r="N388" s="459"/>
      <c r="O388" s="459"/>
      <c r="P388" s="459"/>
      <c r="Q388" s="459"/>
      <c r="R388" s="459"/>
      <c r="S388" s="459"/>
      <c r="T388" s="459"/>
      <c r="U388" s="459"/>
      <c r="V388" s="459"/>
      <c r="W388" s="459"/>
      <c r="X388" s="459"/>
      <c r="Y388" s="459"/>
      <c r="Z388" s="459"/>
      <c r="AA388" s="459"/>
      <c r="AB388" s="459"/>
      <c r="AC388" s="459"/>
    </row>
    <row r="389" spans="1:29">
      <c r="A389" s="459"/>
      <c r="C389" s="459"/>
      <c r="D389" s="459"/>
      <c r="E389" s="459"/>
      <c r="F389" s="459"/>
      <c r="G389" s="459"/>
      <c r="H389" s="459"/>
      <c r="I389" s="459"/>
      <c r="J389" s="459"/>
      <c r="K389" s="459"/>
      <c r="L389" s="459"/>
      <c r="M389" s="459"/>
      <c r="N389" s="459"/>
      <c r="O389" s="459"/>
      <c r="P389" s="459"/>
      <c r="Q389" s="459"/>
      <c r="R389" s="459"/>
      <c r="S389" s="459"/>
      <c r="T389" s="459"/>
      <c r="U389" s="459"/>
      <c r="V389" s="459"/>
      <c r="W389" s="459"/>
      <c r="X389" s="459"/>
      <c r="Y389" s="459"/>
      <c r="Z389" s="459"/>
      <c r="AA389" s="459"/>
      <c r="AB389" s="459"/>
      <c r="AC389" s="459"/>
    </row>
    <row r="390" spans="1:29">
      <c r="A390" s="459"/>
      <c r="C390" s="459"/>
      <c r="D390" s="459"/>
      <c r="E390" s="459"/>
      <c r="F390" s="459"/>
      <c r="G390" s="459"/>
      <c r="H390" s="459"/>
      <c r="I390" s="459"/>
      <c r="J390" s="459"/>
      <c r="K390" s="459"/>
      <c r="L390" s="459"/>
      <c r="M390" s="459"/>
      <c r="N390" s="459"/>
      <c r="O390" s="459"/>
      <c r="P390" s="459"/>
      <c r="Q390" s="459"/>
      <c r="R390" s="459"/>
      <c r="S390" s="459"/>
      <c r="T390" s="459"/>
      <c r="U390" s="459"/>
      <c r="V390" s="459"/>
      <c r="W390" s="459"/>
      <c r="X390" s="459"/>
      <c r="Y390" s="459"/>
      <c r="Z390" s="459"/>
      <c r="AA390" s="459"/>
      <c r="AB390" s="459"/>
      <c r="AC390" s="459"/>
    </row>
    <row r="391" spans="1:29" ht="15.6">
      <c r="A391" s="401" t="s">
        <v>677</v>
      </c>
      <c r="C391" s="459"/>
      <c r="D391" s="459"/>
      <c r="E391" s="459"/>
      <c r="F391" s="459"/>
      <c r="G391" s="459"/>
      <c r="H391" s="459"/>
      <c r="I391" s="459"/>
      <c r="J391" s="459"/>
      <c r="K391" s="459"/>
      <c r="L391" s="459"/>
      <c r="M391" s="459"/>
      <c r="N391" s="459"/>
      <c r="O391" s="459"/>
      <c r="P391" s="459"/>
      <c r="Q391" s="459"/>
      <c r="R391" s="459"/>
      <c r="S391" s="459"/>
      <c r="T391" s="459"/>
      <c r="U391" s="459"/>
      <c r="V391" s="459"/>
      <c r="W391" s="459"/>
      <c r="X391" s="459"/>
      <c r="Y391" s="459"/>
      <c r="Z391" s="459"/>
      <c r="AA391" s="459"/>
      <c r="AB391" s="459"/>
      <c r="AC391" s="459"/>
    </row>
    <row r="392" spans="1:29">
      <c r="A392" s="131" t="s">
        <v>648</v>
      </c>
      <c r="B392" s="131" t="s">
        <v>64</v>
      </c>
      <c r="C392" s="131" t="str">
        <f>C378</f>
        <v>IE</v>
      </c>
      <c r="D392" s="131" t="str">
        <f t="shared" ref="D392:AC392" si="281">D378</f>
        <v>IE-CW</v>
      </c>
      <c r="E392" s="131" t="str">
        <f t="shared" si="281"/>
        <v>IE-D</v>
      </c>
      <c r="F392" s="131" t="str">
        <f t="shared" si="281"/>
        <v>IE-KE</v>
      </c>
      <c r="G392" s="131" t="str">
        <f t="shared" si="281"/>
        <v>IE-KK</v>
      </c>
      <c r="H392" s="131" t="str">
        <f t="shared" si="281"/>
        <v>IE-LS</v>
      </c>
      <c r="I392" s="131" t="str">
        <f t="shared" si="281"/>
        <v>IE-LD</v>
      </c>
      <c r="J392" s="131" t="str">
        <f t="shared" si="281"/>
        <v>IE-LH</v>
      </c>
      <c r="K392" s="131" t="str">
        <f t="shared" si="281"/>
        <v>IE-MH</v>
      </c>
      <c r="L392" s="131" t="str">
        <f t="shared" si="281"/>
        <v>IE-OY</v>
      </c>
      <c r="M392" s="131" t="str">
        <f t="shared" si="281"/>
        <v>IE-WH</v>
      </c>
      <c r="N392" s="131" t="str">
        <f t="shared" si="281"/>
        <v>IE-WX</v>
      </c>
      <c r="O392" s="131" t="str">
        <f t="shared" si="281"/>
        <v>IE-WW</v>
      </c>
      <c r="P392" s="131" t="str">
        <f t="shared" si="281"/>
        <v>IE-CE</v>
      </c>
      <c r="Q392" s="131" t="str">
        <f t="shared" si="281"/>
        <v>IE-CO</v>
      </c>
      <c r="R392" s="131" t="str">
        <f t="shared" si="281"/>
        <v>IE-KY</v>
      </c>
      <c r="S392" s="131" t="str">
        <f t="shared" si="281"/>
        <v>IE-LK</v>
      </c>
      <c r="T392" s="131" t="str">
        <f t="shared" si="281"/>
        <v>IE-TA</v>
      </c>
      <c r="U392" s="131" t="str">
        <f t="shared" si="281"/>
        <v>IE-WD</v>
      </c>
      <c r="V392" s="131" t="str">
        <f t="shared" si="281"/>
        <v>IE-G</v>
      </c>
      <c r="W392" s="131" t="str">
        <f t="shared" si="281"/>
        <v>IE-LM</v>
      </c>
      <c r="X392" s="131" t="str">
        <f t="shared" si="281"/>
        <v>IE-MO</v>
      </c>
      <c r="Y392" s="131" t="str">
        <f t="shared" si="281"/>
        <v>IE-RN</v>
      </c>
      <c r="Z392" s="131" t="str">
        <f t="shared" si="281"/>
        <v>IE-SO</v>
      </c>
      <c r="AA392" s="131" t="str">
        <f t="shared" si="281"/>
        <v>IE-CN</v>
      </c>
      <c r="AB392" s="131" t="str">
        <f t="shared" si="281"/>
        <v>IE-DL</v>
      </c>
      <c r="AC392" s="131" t="str">
        <f t="shared" si="281"/>
        <v>IE-MN</v>
      </c>
    </row>
    <row r="393" spans="1:29">
      <c r="A393" s="459" t="s">
        <v>347</v>
      </c>
      <c r="B393" s="507" t="s">
        <v>652</v>
      </c>
      <c r="C393" s="35">
        <f>C379/C$386</f>
        <v>5.1105472997462847E-2</v>
      </c>
      <c r="D393" s="35">
        <f t="shared" ref="D393:AC399" si="282">D379/D$386</f>
        <v>0.13333333333333333</v>
      </c>
      <c r="E393" s="35">
        <f t="shared" si="282"/>
        <v>3.669724770642202E-2</v>
      </c>
      <c r="F393" s="35">
        <f t="shared" si="282"/>
        <v>9.0909090909090912E-2</v>
      </c>
      <c r="G393" s="35">
        <f t="shared" si="282"/>
        <v>0.02</v>
      </c>
      <c r="H393" s="35">
        <f t="shared" si="282"/>
        <v>4.1666666666666664E-2</v>
      </c>
      <c r="I393" s="35">
        <f t="shared" si="282"/>
        <v>9.2592592592592587E-2</v>
      </c>
      <c r="J393" s="35">
        <f t="shared" si="282"/>
        <v>5.5555555555555552E-2</v>
      </c>
      <c r="K393" s="35">
        <f t="shared" si="282"/>
        <v>0.17391304347826086</v>
      </c>
      <c r="L393" s="35">
        <f t="shared" si="282"/>
        <v>0.1</v>
      </c>
      <c r="M393" s="35">
        <f t="shared" si="282"/>
        <v>9.375E-2</v>
      </c>
      <c r="N393" s="35">
        <f t="shared" si="282"/>
        <v>0</v>
      </c>
      <c r="O393" s="35">
        <f t="shared" si="282"/>
        <v>4.7619047619047616E-2</v>
      </c>
      <c r="P393" s="35">
        <f t="shared" si="282"/>
        <v>5.4054054054054057E-2</v>
      </c>
      <c r="Q393" s="35">
        <f t="shared" si="282"/>
        <v>6.8702290076335881E-2</v>
      </c>
      <c r="R393" s="35">
        <f t="shared" si="282"/>
        <v>3.2894736842105261E-2</v>
      </c>
      <c r="S393" s="35">
        <f t="shared" si="282"/>
        <v>0</v>
      </c>
      <c r="T393" s="35">
        <f t="shared" si="282"/>
        <v>4.3478260869565216E-2</v>
      </c>
      <c r="U393" s="35">
        <f t="shared" si="282"/>
        <v>2.5000000000000001E-2</v>
      </c>
      <c r="V393" s="35">
        <f t="shared" si="282"/>
        <v>4.9650349650349652E-2</v>
      </c>
      <c r="W393" s="35">
        <f t="shared" si="282"/>
        <v>0.11764705882352941</v>
      </c>
      <c r="X393" s="35">
        <f t="shared" si="282"/>
        <v>4.2553191489361701E-2</v>
      </c>
      <c r="Y393" s="35">
        <f t="shared" si="282"/>
        <v>5.5555555555555552E-2</v>
      </c>
      <c r="Z393" s="35">
        <f t="shared" si="282"/>
        <v>0</v>
      </c>
      <c r="AA393" s="35">
        <f t="shared" si="282"/>
        <v>4.1666666666666664E-2</v>
      </c>
      <c r="AB393" s="35">
        <f t="shared" si="282"/>
        <v>5.4054054054054057E-2</v>
      </c>
      <c r="AC393" s="35">
        <f t="shared" si="282"/>
        <v>5.5555555555555552E-2</v>
      </c>
    </row>
    <row r="394" spans="1:29">
      <c r="A394" s="459" t="s">
        <v>348</v>
      </c>
      <c r="B394" s="1" t="s">
        <v>652</v>
      </c>
      <c r="C394" s="35">
        <f t="shared" ref="C394:R399" si="283">C380/C$386</f>
        <v>3.6245016310257339E-4</v>
      </c>
      <c r="D394" s="35">
        <f t="shared" si="283"/>
        <v>0</v>
      </c>
      <c r="E394" s="35">
        <f t="shared" si="283"/>
        <v>0</v>
      </c>
      <c r="F394" s="35">
        <f t="shared" si="283"/>
        <v>0</v>
      </c>
      <c r="G394" s="35">
        <f t="shared" si="283"/>
        <v>0</v>
      </c>
      <c r="H394" s="35">
        <f t="shared" si="283"/>
        <v>0</v>
      </c>
      <c r="I394" s="35">
        <f t="shared" si="283"/>
        <v>0</v>
      </c>
      <c r="J394" s="35">
        <f t="shared" si="283"/>
        <v>0</v>
      </c>
      <c r="K394" s="35">
        <f t="shared" si="283"/>
        <v>0</v>
      </c>
      <c r="L394" s="35">
        <f t="shared" si="283"/>
        <v>0</v>
      </c>
      <c r="M394" s="35">
        <f t="shared" si="283"/>
        <v>0</v>
      </c>
      <c r="N394" s="35">
        <f t="shared" si="283"/>
        <v>0</v>
      </c>
      <c r="O394" s="35">
        <f t="shared" si="283"/>
        <v>0</v>
      </c>
      <c r="P394" s="35">
        <f t="shared" si="283"/>
        <v>0</v>
      </c>
      <c r="Q394" s="35">
        <f t="shared" si="283"/>
        <v>0</v>
      </c>
      <c r="R394" s="35">
        <f t="shared" si="283"/>
        <v>0</v>
      </c>
      <c r="S394" s="35">
        <f t="shared" si="282"/>
        <v>0</v>
      </c>
      <c r="T394" s="35">
        <f t="shared" si="282"/>
        <v>0</v>
      </c>
      <c r="U394" s="35">
        <f t="shared" si="282"/>
        <v>0</v>
      </c>
      <c r="V394" s="35">
        <f t="shared" si="282"/>
        <v>6.993006993006993E-4</v>
      </c>
      <c r="W394" s="35">
        <f t="shared" si="282"/>
        <v>0</v>
      </c>
      <c r="X394" s="35">
        <f t="shared" si="282"/>
        <v>0</v>
      </c>
      <c r="Y394" s="35">
        <f t="shared" si="282"/>
        <v>0</v>
      </c>
      <c r="Z394" s="35">
        <f t="shared" si="282"/>
        <v>0</v>
      </c>
      <c r="AA394" s="35">
        <f t="shared" si="282"/>
        <v>0</v>
      </c>
      <c r="AB394" s="35">
        <f t="shared" si="282"/>
        <v>0</v>
      </c>
      <c r="AC394" s="35">
        <f t="shared" si="282"/>
        <v>0</v>
      </c>
    </row>
    <row r="395" spans="1:29">
      <c r="A395" s="459" t="s">
        <v>349</v>
      </c>
      <c r="B395" s="1" t="s">
        <v>652</v>
      </c>
      <c r="C395" s="35">
        <f t="shared" si="283"/>
        <v>6.0891627401232329E-2</v>
      </c>
      <c r="D395" s="35">
        <f t="shared" si="282"/>
        <v>0.13333333333333333</v>
      </c>
      <c r="E395" s="35">
        <f t="shared" si="282"/>
        <v>5.5045871559633031E-2</v>
      </c>
      <c r="F395" s="35">
        <f t="shared" si="282"/>
        <v>0</v>
      </c>
      <c r="G395" s="35">
        <f t="shared" si="282"/>
        <v>0.1</v>
      </c>
      <c r="H395" s="35">
        <f t="shared" si="282"/>
        <v>8.3333333333333329E-2</v>
      </c>
      <c r="I395" s="35">
        <f t="shared" si="282"/>
        <v>0.1111111111111111</v>
      </c>
      <c r="J395" s="35">
        <f t="shared" si="282"/>
        <v>0.22222222222222221</v>
      </c>
      <c r="K395" s="35">
        <f t="shared" si="282"/>
        <v>0.13043478260869565</v>
      </c>
      <c r="L395" s="35">
        <f t="shared" si="282"/>
        <v>0.1</v>
      </c>
      <c r="M395" s="35">
        <f t="shared" si="282"/>
        <v>9.375E-2</v>
      </c>
      <c r="N395" s="35">
        <f t="shared" si="282"/>
        <v>2.8571428571428571E-2</v>
      </c>
      <c r="O395" s="35">
        <f t="shared" si="282"/>
        <v>0.14285714285714285</v>
      </c>
      <c r="P395" s="35">
        <f t="shared" si="282"/>
        <v>2.7027027027027029E-2</v>
      </c>
      <c r="Q395" s="35">
        <f t="shared" si="282"/>
        <v>7.6335877862595422E-2</v>
      </c>
      <c r="R395" s="35">
        <f t="shared" si="282"/>
        <v>2.6315789473684209E-2</v>
      </c>
      <c r="S395" s="35">
        <f t="shared" si="282"/>
        <v>0</v>
      </c>
      <c r="T395" s="35">
        <f t="shared" si="282"/>
        <v>0.13043478260869565</v>
      </c>
      <c r="U395" s="35">
        <f t="shared" si="282"/>
        <v>0.05</v>
      </c>
      <c r="V395" s="35">
        <f t="shared" si="282"/>
        <v>4.8251748251748251E-2</v>
      </c>
      <c r="W395" s="35">
        <f t="shared" si="282"/>
        <v>5.8823529411764705E-2</v>
      </c>
      <c r="X395" s="35">
        <f t="shared" si="282"/>
        <v>0.1276595744680851</v>
      </c>
      <c r="Y395" s="35">
        <f t="shared" si="282"/>
        <v>0</v>
      </c>
      <c r="Z395" s="35">
        <f t="shared" si="282"/>
        <v>6.25E-2</v>
      </c>
      <c r="AA395" s="35">
        <f t="shared" si="282"/>
        <v>4.1666666666666664E-2</v>
      </c>
      <c r="AB395" s="35">
        <f t="shared" si="282"/>
        <v>8.1081081081081086E-2</v>
      </c>
      <c r="AC395" s="35">
        <f t="shared" si="282"/>
        <v>7.407407407407407E-2</v>
      </c>
    </row>
    <row r="396" spans="1:29">
      <c r="A396" s="459" t="s">
        <v>350</v>
      </c>
      <c r="B396" s="1" t="s">
        <v>652</v>
      </c>
      <c r="C396" s="35">
        <f t="shared" si="283"/>
        <v>0.10945994925697716</v>
      </c>
      <c r="D396" s="35">
        <f t="shared" si="282"/>
        <v>0.2</v>
      </c>
      <c r="E396" s="35">
        <f t="shared" si="282"/>
        <v>0.14678899082568808</v>
      </c>
      <c r="F396" s="35">
        <f t="shared" si="282"/>
        <v>0.27272727272727271</v>
      </c>
      <c r="G396" s="35">
        <f t="shared" si="282"/>
        <v>0.1</v>
      </c>
      <c r="H396" s="35">
        <f t="shared" si="282"/>
        <v>4.1666666666666664E-2</v>
      </c>
      <c r="I396" s="35">
        <f t="shared" si="282"/>
        <v>7.407407407407407E-2</v>
      </c>
      <c r="J396" s="35">
        <f t="shared" si="282"/>
        <v>0</v>
      </c>
      <c r="K396" s="35">
        <f t="shared" si="282"/>
        <v>4.3478260869565216E-2</v>
      </c>
      <c r="L396" s="35">
        <f t="shared" si="282"/>
        <v>0</v>
      </c>
      <c r="M396" s="35">
        <f t="shared" si="282"/>
        <v>9.375E-2</v>
      </c>
      <c r="N396" s="35">
        <f t="shared" si="282"/>
        <v>0.17142857142857143</v>
      </c>
      <c r="O396" s="35">
        <f t="shared" si="282"/>
        <v>9.5238095238095233E-2</v>
      </c>
      <c r="P396" s="35">
        <f t="shared" si="282"/>
        <v>0.1891891891891892</v>
      </c>
      <c r="Q396" s="35">
        <f t="shared" si="282"/>
        <v>7.2519083969465645E-2</v>
      </c>
      <c r="R396" s="35">
        <f t="shared" si="282"/>
        <v>6.5789473684210523E-2</v>
      </c>
      <c r="S396" s="35">
        <f t="shared" si="282"/>
        <v>0</v>
      </c>
      <c r="T396" s="35">
        <f t="shared" si="282"/>
        <v>0.21739130434782608</v>
      </c>
      <c r="U396" s="35">
        <f t="shared" si="282"/>
        <v>0.125</v>
      </c>
      <c r="V396" s="35">
        <f t="shared" si="282"/>
        <v>0.106993006993007</v>
      </c>
      <c r="W396" s="35">
        <f t="shared" si="282"/>
        <v>0.41176470588235292</v>
      </c>
      <c r="X396" s="35">
        <f t="shared" si="282"/>
        <v>6.3829787234042548E-2</v>
      </c>
      <c r="Y396" s="35">
        <f t="shared" si="282"/>
        <v>0.22222222222222221</v>
      </c>
      <c r="Z396" s="35">
        <f t="shared" si="282"/>
        <v>0.125</v>
      </c>
      <c r="AA396" s="35">
        <f t="shared" si="282"/>
        <v>0.16666666666666666</v>
      </c>
      <c r="AB396" s="35">
        <f t="shared" si="282"/>
        <v>0.27027027027027029</v>
      </c>
      <c r="AC396" s="35">
        <f t="shared" si="282"/>
        <v>0.10185185185185185</v>
      </c>
    </row>
    <row r="397" spans="1:29">
      <c r="A397" s="459" t="s">
        <v>351</v>
      </c>
      <c r="B397" s="1" t="s">
        <v>652</v>
      </c>
      <c r="C397" s="35">
        <f t="shared" si="283"/>
        <v>2.247191011235955E-2</v>
      </c>
      <c r="D397" s="35">
        <f t="shared" si="282"/>
        <v>6.6666666666666666E-2</v>
      </c>
      <c r="E397" s="35">
        <f t="shared" si="282"/>
        <v>1.834862385321101E-2</v>
      </c>
      <c r="F397" s="35">
        <f t="shared" si="282"/>
        <v>0</v>
      </c>
      <c r="G397" s="35">
        <f t="shared" si="282"/>
        <v>6.6666666666666671E-3</v>
      </c>
      <c r="H397" s="35">
        <f t="shared" si="282"/>
        <v>4.1666666666666664E-2</v>
      </c>
      <c r="I397" s="35">
        <f t="shared" si="282"/>
        <v>3.7037037037037035E-2</v>
      </c>
      <c r="J397" s="35">
        <f t="shared" si="282"/>
        <v>5.5555555555555552E-2</v>
      </c>
      <c r="K397" s="35">
        <f t="shared" si="282"/>
        <v>4.3478260869565216E-2</v>
      </c>
      <c r="L397" s="35">
        <f t="shared" si="282"/>
        <v>0</v>
      </c>
      <c r="M397" s="35">
        <f t="shared" si="282"/>
        <v>6.25E-2</v>
      </c>
      <c r="N397" s="35">
        <f t="shared" si="282"/>
        <v>0</v>
      </c>
      <c r="O397" s="35">
        <f t="shared" si="282"/>
        <v>0</v>
      </c>
      <c r="P397" s="35">
        <f t="shared" si="282"/>
        <v>2.7027027027027029E-2</v>
      </c>
      <c r="Q397" s="35">
        <f t="shared" si="282"/>
        <v>4.1984732824427481E-2</v>
      </c>
      <c r="R397" s="35">
        <f t="shared" si="282"/>
        <v>2.6315789473684209E-2</v>
      </c>
      <c r="S397" s="35">
        <f t="shared" si="282"/>
        <v>0</v>
      </c>
      <c r="T397" s="35">
        <f t="shared" si="282"/>
        <v>4.3478260869565216E-2</v>
      </c>
      <c r="U397" s="35">
        <f t="shared" si="282"/>
        <v>2.5000000000000001E-2</v>
      </c>
      <c r="V397" s="35">
        <f t="shared" si="282"/>
        <v>1.3986013986013986E-2</v>
      </c>
      <c r="W397" s="35">
        <f t="shared" si="282"/>
        <v>0</v>
      </c>
      <c r="X397" s="35">
        <f t="shared" si="282"/>
        <v>8.5106382978723402E-2</v>
      </c>
      <c r="Y397" s="35">
        <f t="shared" si="282"/>
        <v>0.1111111111111111</v>
      </c>
      <c r="Z397" s="35">
        <f t="shared" si="282"/>
        <v>6.25E-2</v>
      </c>
      <c r="AA397" s="35">
        <f t="shared" si="282"/>
        <v>4.1666666666666664E-2</v>
      </c>
      <c r="AB397" s="35">
        <f t="shared" si="282"/>
        <v>5.4054054054054057E-2</v>
      </c>
      <c r="AC397" s="35">
        <f t="shared" si="282"/>
        <v>2.7777777777777776E-2</v>
      </c>
    </row>
    <row r="398" spans="1:29">
      <c r="A398" s="459" t="s">
        <v>352</v>
      </c>
      <c r="B398" s="1" t="s">
        <v>652</v>
      </c>
      <c r="C398" s="35">
        <f t="shared" si="283"/>
        <v>0.6980790141355564</v>
      </c>
      <c r="D398" s="35">
        <f t="shared" si="282"/>
        <v>0.46666666666666667</v>
      </c>
      <c r="E398" s="35">
        <f t="shared" si="282"/>
        <v>0.68807339449541283</v>
      </c>
      <c r="F398" s="35">
        <f t="shared" si="282"/>
        <v>0.63636363636363635</v>
      </c>
      <c r="G398" s="35">
        <f t="shared" si="282"/>
        <v>0.73333333333333328</v>
      </c>
      <c r="H398" s="35">
        <f t="shared" si="282"/>
        <v>0.70833333333333337</v>
      </c>
      <c r="I398" s="35">
        <f t="shared" si="282"/>
        <v>0.66666666666666663</v>
      </c>
      <c r="J398" s="35">
        <f t="shared" si="282"/>
        <v>0.55555555555555558</v>
      </c>
      <c r="K398" s="35">
        <f t="shared" si="282"/>
        <v>0.56521739130434778</v>
      </c>
      <c r="L398" s="35">
        <f t="shared" si="282"/>
        <v>0.7</v>
      </c>
      <c r="M398" s="35">
        <f t="shared" si="282"/>
        <v>0.59375</v>
      </c>
      <c r="N398" s="35">
        <f t="shared" si="282"/>
        <v>0.8</v>
      </c>
      <c r="O398" s="35">
        <f t="shared" si="282"/>
        <v>0.69047619047619047</v>
      </c>
      <c r="P398" s="35">
        <f t="shared" si="282"/>
        <v>0.64864864864864868</v>
      </c>
      <c r="Q398" s="35">
        <f t="shared" si="282"/>
        <v>0.71755725190839692</v>
      </c>
      <c r="R398" s="35">
        <f t="shared" si="282"/>
        <v>0.84868421052631582</v>
      </c>
      <c r="S398" s="35">
        <f t="shared" si="282"/>
        <v>0.66666666666666663</v>
      </c>
      <c r="T398" s="35">
        <f t="shared" si="282"/>
        <v>0.56521739130434778</v>
      </c>
      <c r="U398" s="35">
        <f t="shared" si="282"/>
        <v>0.7</v>
      </c>
      <c r="V398" s="35">
        <f t="shared" si="282"/>
        <v>0.7</v>
      </c>
      <c r="W398" s="35">
        <f t="shared" si="282"/>
        <v>0.41176470588235292</v>
      </c>
      <c r="X398" s="35">
        <f t="shared" si="282"/>
        <v>0.65957446808510634</v>
      </c>
      <c r="Y398" s="35">
        <f t="shared" si="282"/>
        <v>0.55555555555555558</v>
      </c>
      <c r="Z398" s="35">
        <f t="shared" si="282"/>
        <v>0.6875</v>
      </c>
      <c r="AA398" s="35">
        <f t="shared" si="282"/>
        <v>0.70833333333333337</v>
      </c>
      <c r="AB398" s="35">
        <f t="shared" si="282"/>
        <v>0.51351351351351349</v>
      </c>
      <c r="AC398" s="35">
        <f t="shared" si="282"/>
        <v>0.68518518518518523</v>
      </c>
    </row>
    <row r="399" spans="1:29">
      <c r="A399" s="459" t="s">
        <v>353</v>
      </c>
      <c r="B399" s="1" t="s">
        <v>652</v>
      </c>
      <c r="C399" s="35">
        <f t="shared" si="283"/>
        <v>5.7629575933309168E-2</v>
      </c>
      <c r="D399" s="35">
        <f t="shared" si="282"/>
        <v>0</v>
      </c>
      <c r="E399" s="35">
        <f t="shared" si="282"/>
        <v>5.5045871559633031E-2</v>
      </c>
      <c r="F399" s="35">
        <f t="shared" si="282"/>
        <v>0</v>
      </c>
      <c r="G399" s="35">
        <f t="shared" si="282"/>
        <v>0.04</v>
      </c>
      <c r="H399" s="35">
        <f t="shared" si="282"/>
        <v>8.3333333333333329E-2</v>
      </c>
      <c r="I399" s="35">
        <f t="shared" si="282"/>
        <v>1.8518518518518517E-2</v>
      </c>
      <c r="J399" s="35">
        <f t="shared" si="282"/>
        <v>0.1111111111111111</v>
      </c>
      <c r="K399" s="35">
        <f t="shared" si="282"/>
        <v>4.3478260869565216E-2</v>
      </c>
      <c r="L399" s="35">
        <f t="shared" si="282"/>
        <v>0.1</v>
      </c>
      <c r="M399" s="35">
        <f t="shared" si="282"/>
        <v>6.25E-2</v>
      </c>
      <c r="N399" s="35">
        <f t="shared" si="282"/>
        <v>0</v>
      </c>
      <c r="O399" s="35">
        <f t="shared" si="282"/>
        <v>2.3809523809523808E-2</v>
      </c>
      <c r="P399" s="35">
        <f t="shared" si="282"/>
        <v>5.4054054054054057E-2</v>
      </c>
      <c r="Q399" s="35">
        <f t="shared" si="282"/>
        <v>2.2900763358778626E-2</v>
      </c>
      <c r="R399" s="35">
        <f t="shared" si="282"/>
        <v>0</v>
      </c>
      <c r="S399" s="35">
        <f t="shared" si="282"/>
        <v>0.33333333333333331</v>
      </c>
      <c r="T399" s="35">
        <f t="shared" si="282"/>
        <v>0</v>
      </c>
      <c r="U399" s="35">
        <f t="shared" si="282"/>
        <v>7.4999999999999997E-2</v>
      </c>
      <c r="V399" s="35">
        <f t="shared" si="282"/>
        <v>8.0419580419580416E-2</v>
      </c>
      <c r="W399" s="35">
        <f t="shared" si="282"/>
        <v>0</v>
      </c>
      <c r="X399" s="35">
        <f t="shared" si="282"/>
        <v>2.1276595744680851E-2</v>
      </c>
      <c r="Y399" s="35">
        <f t="shared" si="282"/>
        <v>5.5555555555555552E-2</v>
      </c>
      <c r="Z399" s="35">
        <f t="shared" si="282"/>
        <v>6.25E-2</v>
      </c>
      <c r="AA399" s="35">
        <f t="shared" si="282"/>
        <v>0</v>
      </c>
      <c r="AB399" s="35">
        <f t="shared" si="282"/>
        <v>2.7027027027027029E-2</v>
      </c>
      <c r="AC399" s="35">
        <f t="shared" si="282"/>
        <v>5.5555555555555552E-2</v>
      </c>
    </row>
    <row r="400" spans="1:29">
      <c r="A400" s="458" t="s">
        <v>16</v>
      </c>
      <c r="B400" s="458" t="s">
        <v>652</v>
      </c>
      <c r="C400" s="403">
        <f t="shared" ref="C400:AC400" si="284">SUM(C393:C399)</f>
        <v>1</v>
      </c>
      <c r="D400" s="403">
        <f t="shared" si="284"/>
        <v>1</v>
      </c>
      <c r="E400" s="403">
        <f t="shared" si="284"/>
        <v>1</v>
      </c>
      <c r="F400" s="403">
        <f t="shared" si="284"/>
        <v>1</v>
      </c>
      <c r="G400" s="403">
        <f t="shared" si="284"/>
        <v>1</v>
      </c>
      <c r="H400" s="403">
        <f t="shared" si="284"/>
        <v>1</v>
      </c>
      <c r="I400" s="403">
        <f t="shared" si="284"/>
        <v>0.99999999999999989</v>
      </c>
      <c r="J400" s="403">
        <f t="shared" si="284"/>
        <v>1</v>
      </c>
      <c r="K400" s="403">
        <f t="shared" si="284"/>
        <v>0.99999999999999989</v>
      </c>
      <c r="L400" s="403">
        <f t="shared" si="284"/>
        <v>0.99999999999999989</v>
      </c>
      <c r="M400" s="403">
        <f t="shared" si="284"/>
        <v>1</v>
      </c>
      <c r="N400" s="403">
        <f t="shared" si="284"/>
        <v>1</v>
      </c>
      <c r="O400" s="403">
        <f t="shared" si="284"/>
        <v>1</v>
      </c>
      <c r="P400" s="403">
        <f t="shared" si="284"/>
        <v>1</v>
      </c>
      <c r="Q400" s="403">
        <f t="shared" si="284"/>
        <v>1</v>
      </c>
      <c r="R400" s="403">
        <f t="shared" si="284"/>
        <v>1</v>
      </c>
      <c r="S400" s="403">
        <f t="shared" si="284"/>
        <v>1</v>
      </c>
      <c r="T400" s="403">
        <f t="shared" si="284"/>
        <v>0.99999999999999989</v>
      </c>
      <c r="U400" s="403">
        <f t="shared" si="284"/>
        <v>0.99999999999999989</v>
      </c>
      <c r="V400" s="403">
        <f t="shared" si="284"/>
        <v>1</v>
      </c>
      <c r="W400" s="403">
        <f t="shared" si="284"/>
        <v>0.99999999999999989</v>
      </c>
      <c r="X400" s="403">
        <f t="shared" si="284"/>
        <v>1</v>
      </c>
      <c r="Y400" s="403">
        <f t="shared" si="284"/>
        <v>1</v>
      </c>
      <c r="Z400" s="403">
        <f t="shared" si="284"/>
        <v>1</v>
      </c>
      <c r="AA400" s="403">
        <f t="shared" si="284"/>
        <v>1</v>
      </c>
      <c r="AB400" s="403">
        <f t="shared" si="284"/>
        <v>1</v>
      </c>
      <c r="AC400" s="403">
        <f t="shared" si="284"/>
        <v>1</v>
      </c>
    </row>
    <row r="401" spans="1:29">
      <c r="A401" s="459"/>
      <c r="C401" s="459"/>
      <c r="D401" s="459"/>
      <c r="E401" s="459"/>
      <c r="F401" s="459"/>
      <c r="G401" s="459"/>
      <c r="H401" s="459"/>
      <c r="I401" s="459"/>
      <c r="J401" s="459"/>
      <c r="K401" s="459"/>
      <c r="L401" s="459"/>
      <c r="M401" s="459"/>
      <c r="N401" s="459"/>
      <c r="O401" s="459"/>
      <c r="P401" s="459"/>
      <c r="Q401" s="459"/>
      <c r="R401" s="459"/>
      <c r="S401" s="459"/>
      <c r="T401" s="459"/>
      <c r="U401" s="459"/>
      <c r="V401" s="459"/>
      <c r="W401" s="459"/>
      <c r="X401" s="459"/>
      <c r="Y401" s="459"/>
      <c r="Z401" s="459"/>
      <c r="AA401" s="459"/>
      <c r="AB401" s="459"/>
      <c r="AC401" s="459"/>
    </row>
    <row r="402" spans="1:29">
      <c r="A402" s="459"/>
      <c r="C402" s="459"/>
      <c r="D402" s="459"/>
      <c r="E402" s="459"/>
      <c r="F402" s="459"/>
      <c r="G402" s="459"/>
      <c r="H402" s="459"/>
      <c r="I402" s="459"/>
      <c r="J402" s="459"/>
      <c r="K402" s="459"/>
      <c r="L402" s="459"/>
      <c r="M402" s="459"/>
      <c r="N402" s="459"/>
      <c r="O402" s="459"/>
      <c r="P402" s="459"/>
      <c r="Q402" s="459"/>
      <c r="R402" s="459"/>
      <c r="S402" s="459"/>
      <c r="T402" s="459"/>
      <c r="U402" s="459"/>
      <c r="V402" s="459"/>
      <c r="W402" s="459"/>
      <c r="X402" s="459"/>
      <c r="Y402" s="459"/>
      <c r="Z402" s="459"/>
      <c r="AA402" s="459"/>
      <c r="AB402" s="459"/>
      <c r="AC402" s="459"/>
    </row>
    <row r="403" spans="1:29">
      <c r="A403" s="459"/>
      <c r="C403" s="459"/>
      <c r="D403" s="459"/>
      <c r="E403" s="459"/>
      <c r="F403" s="459"/>
      <c r="G403" s="459"/>
      <c r="H403" s="459"/>
      <c r="I403" s="459"/>
      <c r="J403" s="459"/>
      <c r="K403" s="459"/>
      <c r="L403" s="459"/>
      <c r="M403" s="459"/>
      <c r="N403" s="459"/>
      <c r="O403" s="459"/>
      <c r="P403" s="459"/>
      <c r="Q403" s="459"/>
      <c r="R403" s="459"/>
      <c r="S403" s="459"/>
      <c r="T403" s="459"/>
      <c r="U403" s="459"/>
      <c r="V403" s="459"/>
      <c r="W403" s="459"/>
      <c r="X403" s="459"/>
      <c r="Y403" s="459"/>
      <c r="Z403" s="459"/>
      <c r="AA403" s="459"/>
      <c r="AB403" s="459"/>
      <c r="AC403" s="459"/>
    </row>
    <row r="404" spans="1:29" ht="15.6">
      <c r="A404" s="425" t="s">
        <v>678</v>
      </c>
      <c r="C404" s="459"/>
      <c r="D404" s="459"/>
      <c r="E404" s="459"/>
      <c r="F404" s="459"/>
      <c r="G404" s="459"/>
      <c r="H404" s="459"/>
      <c r="I404" s="459"/>
      <c r="J404" s="459"/>
      <c r="K404" s="459"/>
      <c r="L404" s="459"/>
      <c r="M404" s="459"/>
      <c r="N404" s="459"/>
      <c r="O404" s="459"/>
      <c r="P404" s="459"/>
      <c r="Q404" s="459"/>
      <c r="R404" s="459"/>
      <c r="S404" s="459"/>
      <c r="T404" s="459"/>
      <c r="U404" s="459"/>
      <c r="V404" s="459"/>
      <c r="W404" s="459"/>
      <c r="X404" s="459"/>
      <c r="Y404" s="459"/>
      <c r="Z404" s="459"/>
      <c r="AA404" s="459"/>
      <c r="AB404" s="459"/>
      <c r="AC404" s="459"/>
    </row>
    <row r="405" spans="1:29">
      <c r="A405" s="131" t="s">
        <v>648</v>
      </c>
      <c r="B405" s="131" t="s">
        <v>64</v>
      </c>
      <c r="C405" s="131" t="str">
        <f>C392</f>
        <v>IE</v>
      </c>
      <c r="D405" s="131" t="str">
        <f t="shared" ref="D405:AC405" si="285">D392</f>
        <v>IE-CW</v>
      </c>
      <c r="E405" s="131" t="str">
        <f t="shared" si="285"/>
        <v>IE-D</v>
      </c>
      <c r="F405" s="131" t="str">
        <f t="shared" si="285"/>
        <v>IE-KE</v>
      </c>
      <c r="G405" s="131" t="str">
        <f t="shared" si="285"/>
        <v>IE-KK</v>
      </c>
      <c r="H405" s="131" t="str">
        <f t="shared" si="285"/>
        <v>IE-LS</v>
      </c>
      <c r="I405" s="131" t="str">
        <f t="shared" si="285"/>
        <v>IE-LD</v>
      </c>
      <c r="J405" s="131" t="str">
        <f t="shared" si="285"/>
        <v>IE-LH</v>
      </c>
      <c r="K405" s="131" t="str">
        <f t="shared" si="285"/>
        <v>IE-MH</v>
      </c>
      <c r="L405" s="131" t="str">
        <f t="shared" si="285"/>
        <v>IE-OY</v>
      </c>
      <c r="M405" s="131" t="str">
        <f t="shared" si="285"/>
        <v>IE-WH</v>
      </c>
      <c r="N405" s="131" t="str">
        <f t="shared" si="285"/>
        <v>IE-WX</v>
      </c>
      <c r="O405" s="131" t="str">
        <f t="shared" si="285"/>
        <v>IE-WW</v>
      </c>
      <c r="P405" s="131" t="str">
        <f t="shared" si="285"/>
        <v>IE-CE</v>
      </c>
      <c r="Q405" s="131" t="str">
        <f t="shared" si="285"/>
        <v>IE-CO</v>
      </c>
      <c r="R405" s="131" t="str">
        <f t="shared" si="285"/>
        <v>IE-KY</v>
      </c>
      <c r="S405" s="131" t="str">
        <f t="shared" si="285"/>
        <v>IE-LK</v>
      </c>
      <c r="T405" s="131" t="str">
        <f t="shared" si="285"/>
        <v>IE-TA</v>
      </c>
      <c r="U405" s="131" t="str">
        <f t="shared" si="285"/>
        <v>IE-WD</v>
      </c>
      <c r="V405" s="131" t="str">
        <f t="shared" si="285"/>
        <v>IE-G</v>
      </c>
      <c r="W405" s="131" t="str">
        <f t="shared" si="285"/>
        <v>IE-LM</v>
      </c>
      <c r="X405" s="131" t="str">
        <f t="shared" si="285"/>
        <v>IE-MO</v>
      </c>
      <c r="Y405" s="131" t="str">
        <f t="shared" si="285"/>
        <v>IE-RN</v>
      </c>
      <c r="Z405" s="131" t="str">
        <f t="shared" si="285"/>
        <v>IE-SO</v>
      </c>
      <c r="AA405" s="131" t="str">
        <f t="shared" si="285"/>
        <v>IE-CN</v>
      </c>
      <c r="AB405" s="131" t="str">
        <f t="shared" si="285"/>
        <v>IE-DL</v>
      </c>
      <c r="AC405" s="131" t="str">
        <f t="shared" si="285"/>
        <v>IE-MN</v>
      </c>
    </row>
    <row r="406" spans="1:29">
      <c r="A406" s="459" t="s">
        <v>347</v>
      </c>
      <c r="B406" s="459" t="s">
        <v>653</v>
      </c>
      <c r="C406" s="509">
        <v>0.95996773943746105</v>
      </c>
      <c r="D406" s="509">
        <v>0.95996773943746105</v>
      </c>
      <c r="E406" s="509">
        <v>0.95996773943746105</v>
      </c>
      <c r="F406" s="509">
        <v>0.95996773943746105</v>
      </c>
      <c r="G406" s="509">
        <v>0.95996773943746105</v>
      </c>
      <c r="H406" s="509">
        <v>0.95996773943746105</v>
      </c>
      <c r="I406" s="509">
        <v>0.95996773943746105</v>
      </c>
      <c r="J406" s="509">
        <v>0.95996773943746105</v>
      </c>
      <c r="K406" s="509">
        <v>0.95996773943746105</v>
      </c>
      <c r="L406" s="509">
        <v>0.95996773943746105</v>
      </c>
      <c r="M406" s="509">
        <v>0.95996773943746105</v>
      </c>
      <c r="N406" s="509">
        <v>0.95996773943746105</v>
      </c>
      <c r="O406" s="509">
        <v>0.95996773943746105</v>
      </c>
      <c r="P406" s="509">
        <v>0.95996773943746105</v>
      </c>
      <c r="Q406" s="509">
        <v>0.95996773943746105</v>
      </c>
      <c r="R406" s="509">
        <v>0.95996773943746105</v>
      </c>
      <c r="S406" s="509">
        <v>0.95996773943746105</v>
      </c>
      <c r="T406" s="509">
        <v>0.95996773943746105</v>
      </c>
      <c r="U406" s="509">
        <v>0.95996773943746105</v>
      </c>
      <c r="V406" s="509">
        <v>0.95996773943746105</v>
      </c>
      <c r="W406" s="509">
        <v>0.95996773943746105</v>
      </c>
      <c r="X406" s="509">
        <v>0.95996773943746105</v>
      </c>
      <c r="Y406" s="509">
        <v>0.95996773943746105</v>
      </c>
      <c r="Z406" s="509">
        <v>0.95996773943746105</v>
      </c>
      <c r="AA406" s="509">
        <v>0.95996773943746105</v>
      </c>
      <c r="AB406" s="509">
        <v>0.95996773943746105</v>
      </c>
      <c r="AC406" s="509">
        <v>0.95996773943746105</v>
      </c>
    </row>
    <row r="407" spans="1:29">
      <c r="A407" s="459" t="s">
        <v>348</v>
      </c>
      <c r="B407" s="459" t="s">
        <v>653</v>
      </c>
      <c r="C407" s="509">
        <v>0.97113990697512087</v>
      </c>
      <c r="D407" s="509">
        <v>0.97113990697512087</v>
      </c>
      <c r="E407" s="509">
        <v>0.97113990697512087</v>
      </c>
      <c r="F407" s="509">
        <v>0.97113990697512087</v>
      </c>
      <c r="G407" s="509">
        <v>0.97113990697512087</v>
      </c>
      <c r="H407" s="509">
        <v>0.97113990697512087</v>
      </c>
      <c r="I407" s="509">
        <v>0.97113990697512087</v>
      </c>
      <c r="J407" s="509">
        <v>0.97113990697512087</v>
      </c>
      <c r="K407" s="509">
        <v>0.97113990697512087</v>
      </c>
      <c r="L407" s="509">
        <v>0.97113990697512087</v>
      </c>
      <c r="M407" s="509">
        <v>0.97113990697512087</v>
      </c>
      <c r="N407" s="509">
        <v>0.97113990697512087</v>
      </c>
      <c r="O407" s="509">
        <v>0.97113990697512087</v>
      </c>
      <c r="P407" s="509">
        <v>0.97113990697512087</v>
      </c>
      <c r="Q407" s="509">
        <v>0.97113990697512087</v>
      </c>
      <c r="R407" s="509">
        <v>0.97113990697512087</v>
      </c>
      <c r="S407" s="509">
        <v>0.97113990697512087</v>
      </c>
      <c r="T407" s="509">
        <v>0.97113990697512087</v>
      </c>
      <c r="U407" s="509">
        <v>0.97113990697512087</v>
      </c>
      <c r="V407" s="509">
        <v>0.97113990697512087</v>
      </c>
      <c r="W407" s="509">
        <v>0.97113990697512087</v>
      </c>
      <c r="X407" s="509">
        <v>0.97113990697512087</v>
      </c>
      <c r="Y407" s="509">
        <v>0.97113990697512087</v>
      </c>
      <c r="Z407" s="509">
        <v>0.97113990697512087</v>
      </c>
      <c r="AA407" s="509">
        <v>0.97113990697512087</v>
      </c>
      <c r="AB407" s="509">
        <v>0.97113990697512087</v>
      </c>
      <c r="AC407" s="509">
        <v>0.97113990697512087</v>
      </c>
    </row>
    <row r="408" spans="1:29">
      <c r="A408" s="459" t="s">
        <v>349</v>
      </c>
      <c r="B408" s="459" t="s">
        <v>653</v>
      </c>
      <c r="C408" s="509">
        <v>1.0401672361147916</v>
      </c>
      <c r="D408" s="509">
        <v>1.0401672361147916</v>
      </c>
      <c r="E408" s="509">
        <v>1.0401672361147916</v>
      </c>
      <c r="F408" s="509">
        <v>1.0401672361147916</v>
      </c>
      <c r="G408" s="509">
        <v>1.0401672361147916</v>
      </c>
      <c r="H408" s="509">
        <v>1.0401672361147916</v>
      </c>
      <c r="I408" s="509">
        <v>1.0401672361147916</v>
      </c>
      <c r="J408" s="509">
        <v>1.0401672361147916</v>
      </c>
      <c r="K408" s="509">
        <v>1.0401672361147916</v>
      </c>
      <c r="L408" s="509">
        <v>1.0401672361147916</v>
      </c>
      <c r="M408" s="509">
        <v>1.0401672361147916</v>
      </c>
      <c r="N408" s="509">
        <v>1.0401672361147916</v>
      </c>
      <c r="O408" s="509">
        <v>1.0401672361147916</v>
      </c>
      <c r="P408" s="509">
        <v>1.0401672361147916</v>
      </c>
      <c r="Q408" s="509">
        <v>1.0401672361147916</v>
      </c>
      <c r="R408" s="509">
        <v>1.0401672361147916</v>
      </c>
      <c r="S408" s="509">
        <v>1.0401672361147916</v>
      </c>
      <c r="T408" s="509">
        <v>1.0401672361147916</v>
      </c>
      <c r="U408" s="509">
        <v>1.0401672361147916</v>
      </c>
      <c r="V408" s="509">
        <v>1.0401672361147916</v>
      </c>
      <c r="W408" s="509">
        <v>1.0401672361147916</v>
      </c>
      <c r="X408" s="509">
        <v>1.0401672361147916</v>
      </c>
      <c r="Y408" s="509">
        <v>1.0401672361147916</v>
      </c>
      <c r="Z408" s="509">
        <v>1.0401672361147916</v>
      </c>
      <c r="AA408" s="509">
        <v>1.0401672361147916</v>
      </c>
      <c r="AB408" s="509">
        <v>1.0401672361147916</v>
      </c>
      <c r="AC408" s="509">
        <v>1.0401672361147916</v>
      </c>
    </row>
    <row r="409" spans="1:29">
      <c r="A409" s="459" t="s">
        <v>350</v>
      </c>
      <c r="B409" s="459" t="s">
        <v>653</v>
      </c>
      <c r="C409" s="509">
        <v>1.0474275590661064</v>
      </c>
      <c r="D409" s="509">
        <v>1.0474275590661064</v>
      </c>
      <c r="E409" s="509">
        <v>1.0474275590661064</v>
      </c>
      <c r="F409" s="509">
        <v>1.0474275590661064</v>
      </c>
      <c r="G409" s="509">
        <v>1.0474275590661064</v>
      </c>
      <c r="H409" s="509">
        <v>1.0474275590661064</v>
      </c>
      <c r="I409" s="509">
        <v>1.0474275590661064</v>
      </c>
      <c r="J409" s="509">
        <v>1.0474275590661064</v>
      </c>
      <c r="K409" s="509">
        <v>1.0474275590661064</v>
      </c>
      <c r="L409" s="509">
        <v>1.0474275590661064</v>
      </c>
      <c r="M409" s="509">
        <v>1.0474275590661064</v>
      </c>
      <c r="N409" s="509">
        <v>1.0474275590661064</v>
      </c>
      <c r="O409" s="509">
        <v>1.0474275590661064</v>
      </c>
      <c r="P409" s="509">
        <v>1.0474275590661064</v>
      </c>
      <c r="Q409" s="509">
        <v>1.0474275590661064</v>
      </c>
      <c r="R409" s="509">
        <v>1.0474275590661064</v>
      </c>
      <c r="S409" s="509">
        <v>1.0474275590661064</v>
      </c>
      <c r="T409" s="509">
        <v>1.0474275590661064</v>
      </c>
      <c r="U409" s="509">
        <v>1.0474275590661064</v>
      </c>
      <c r="V409" s="509">
        <v>1.0474275590661064</v>
      </c>
      <c r="W409" s="509">
        <v>1.0474275590661064</v>
      </c>
      <c r="X409" s="509">
        <v>1.0474275590661064</v>
      </c>
      <c r="Y409" s="509">
        <v>1.0474275590661064</v>
      </c>
      <c r="Z409" s="509">
        <v>1.0474275590661064</v>
      </c>
      <c r="AA409" s="509">
        <v>1.0474275590661064</v>
      </c>
      <c r="AB409" s="509">
        <v>1.0474275590661064</v>
      </c>
      <c r="AC409" s="509">
        <v>1.0474275590661064</v>
      </c>
    </row>
    <row r="410" spans="1:29">
      <c r="A410" s="459" t="s">
        <v>351</v>
      </c>
      <c r="B410" s="459" t="s">
        <v>653</v>
      </c>
      <c r="C410" s="509">
        <v>1.0808963939222047</v>
      </c>
      <c r="D410" s="509">
        <v>1.0808963939222047</v>
      </c>
      <c r="E410" s="509">
        <v>1.0808963939222047</v>
      </c>
      <c r="F410" s="509">
        <v>1.0808963939222047</v>
      </c>
      <c r="G410" s="509">
        <v>1.0808963939222047</v>
      </c>
      <c r="H410" s="509">
        <v>1.0808963939222047</v>
      </c>
      <c r="I410" s="509">
        <v>1.0808963939222047</v>
      </c>
      <c r="J410" s="509">
        <v>1.0808963939222047</v>
      </c>
      <c r="K410" s="509">
        <v>1.0808963939222047</v>
      </c>
      <c r="L410" s="509">
        <v>1.0808963939222047</v>
      </c>
      <c r="M410" s="509">
        <v>1.0808963939222047</v>
      </c>
      <c r="N410" s="509">
        <v>1.0808963939222047</v>
      </c>
      <c r="O410" s="509">
        <v>1.0808963939222047</v>
      </c>
      <c r="P410" s="509">
        <v>1.0808963939222047</v>
      </c>
      <c r="Q410" s="509">
        <v>1.0808963939222047</v>
      </c>
      <c r="R410" s="509">
        <v>1.0808963939222047</v>
      </c>
      <c r="S410" s="509">
        <v>1.0808963939222047</v>
      </c>
      <c r="T410" s="509">
        <v>1.0808963939222047</v>
      </c>
      <c r="U410" s="509">
        <v>1.0808963939222047</v>
      </c>
      <c r="V410" s="509">
        <v>1.0808963939222047</v>
      </c>
      <c r="W410" s="509">
        <v>1.0808963939222047</v>
      </c>
      <c r="X410" s="509">
        <v>1.0808963939222047</v>
      </c>
      <c r="Y410" s="509">
        <v>1.0808963939222047</v>
      </c>
      <c r="Z410" s="509">
        <v>1.0808963939222047</v>
      </c>
      <c r="AA410" s="509">
        <v>1.0808963939222047</v>
      </c>
      <c r="AB410" s="509">
        <v>1.0808963939222047</v>
      </c>
      <c r="AC410" s="509">
        <v>1.0808963939222047</v>
      </c>
    </row>
    <row r="411" spans="1:29">
      <c r="A411" s="459" t="s">
        <v>352</v>
      </c>
      <c r="B411" s="459" t="s">
        <v>653</v>
      </c>
      <c r="C411" s="509">
        <v>1.0847141785978622</v>
      </c>
      <c r="D411" s="509">
        <v>1.0847141785978622</v>
      </c>
      <c r="E411" s="509">
        <v>1.0847141785978622</v>
      </c>
      <c r="F411" s="509">
        <v>1.0847141785978622</v>
      </c>
      <c r="G411" s="509">
        <v>1.0847141785978622</v>
      </c>
      <c r="H411" s="509">
        <v>1.0847141785978622</v>
      </c>
      <c r="I411" s="509">
        <v>1.0847141785978622</v>
      </c>
      <c r="J411" s="509">
        <v>1.0847141785978622</v>
      </c>
      <c r="K411" s="509">
        <v>1.0847141785978622</v>
      </c>
      <c r="L411" s="509">
        <v>1.0847141785978622</v>
      </c>
      <c r="M411" s="509">
        <v>1.0847141785978622</v>
      </c>
      <c r="N411" s="509">
        <v>1.0847141785978622</v>
      </c>
      <c r="O411" s="509">
        <v>1.0847141785978622</v>
      </c>
      <c r="P411" s="509">
        <v>1.0847141785978622</v>
      </c>
      <c r="Q411" s="509">
        <v>1.0847141785978622</v>
      </c>
      <c r="R411" s="509">
        <v>1.0847141785978622</v>
      </c>
      <c r="S411" s="509">
        <v>1.0847141785978622</v>
      </c>
      <c r="T411" s="509">
        <v>1.0847141785978622</v>
      </c>
      <c r="U411" s="509">
        <v>1.0847141785978622</v>
      </c>
      <c r="V411" s="509">
        <v>1.0847141785978622</v>
      </c>
      <c r="W411" s="509">
        <v>1.0847141785978622</v>
      </c>
      <c r="X411" s="509">
        <v>1.0847141785978622</v>
      </c>
      <c r="Y411" s="509">
        <v>1.0847141785978622</v>
      </c>
      <c r="Z411" s="509">
        <v>1.0847141785978622</v>
      </c>
      <c r="AA411" s="509">
        <v>1.0847141785978622</v>
      </c>
      <c r="AB411" s="509">
        <v>1.0847141785978622</v>
      </c>
      <c r="AC411" s="509">
        <v>1.0847141785978622</v>
      </c>
    </row>
    <row r="412" spans="1:29">
      <c r="A412" s="458" t="s">
        <v>353</v>
      </c>
      <c r="B412" s="458" t="s">
        <v>653</v>
      </c>
      <c r="C412" s="514">
        <v>1.1741282819271783</v>
      </c>
      <c r="D412" s="514">
        <v>1.1741282819271783</v>
      </c>
      <c r="E412" s="514">
        <v>1.1741282819271783</v>
      </c>
      <c r="F412" s="514">
        <v>1.1741282819271783</v>
      </c>
      <c r="G412" s="514">
        <v>1.1741282819271783</v>
      </c>
      <c r="H412" s="514">
        <v>1.1741282819271783</v>
      </c>
      <c r="I412" s="514">
        <v>1.1741282819271783</v>
      </c>
      <c r="J412" s="514">
        <v>1.1741282819271783</v>
      </c>
      <c r="K412" s="514">
        <v>1.1741282819271783</v>
      </c>
      <c r="L412" s="514">
        <v>1.1741282819271783</v>
      </c>
      <c r="M412" s="514">
        <v>1.1741282819271783</v>
      </c>
      <c r="N412" s="514">
        <v>1.1741282819271783</v>
      </c>
      <c r="O412" s="514">
        <v>1.1741282819271783</v>
      </c>
      <c r="P412" s="514">
        <v>1.1741282819271783</v>
      </c>
      <c r="Q412" s="514">
        <v>1.1741282819271783</v>
      </c>
      <c r="R412" s="514">
        <v>1.1741282819271783</v>
      </c>
      <c r="S412" s="514">
        <v>1.1741282819271783</v>
      </c>
      <c r="T412" s="514">
        <v>1.1741282819271783</v>
      </c>
      <c r="U412" s="514">
        <v>1.1741282819271783</v>
      </c>
      <c r="V412" s="514">
        <v>1.1741282819271783</v>
      </c>
      <c r="W412" s="514">
        <v>1.1741282819271783</v>
      </c>
      <c r="X412" s="514">
        <v>1.1741282819271783</v>
      </c>
      <c r="Y412" s="514">
        <v>1.1741282819271783</v>
      </c>
      <c r="Z412" s="514">
        <v>1.1741282819271783</v>
      </c>
      <c r="AA412" s="514">
        <v>1.1741282819271783</v>
      </c>
      <c r="AB412" s="514">
        <v>1.1741282819271783</v>
      </c>
      <c r="AC412" s="514">
        <v>1.1741282819271783</v>
      </c>
    </row>
    <row r="413" spans="1:29">
      <c r="A413" s="510" t="s">
        <v>657</v>
      </c>
      <c r="C413" s="459"/>
      <c r="D413" s="459"/>
      <c r="E413" s="459"/>
      <c r="F413" s="459"/>
      <c r="G413" s="459"/>
      <c r="H413" s="459"/>
      <c r="I413" s="459"/>
      <c r="J413" s="459"/>
      <c r="K413" s="459"/>
      <c r="L413" s="459"/>
      <c r="M413" s="459"/>
      <c r="N413" s="459"/>
      <c r="O413" s="459"/>
      <c r="P413" s="459"/>
      <c r="Q413" s="459"/>
      <c r="R413" s="459"/>
      <c r="S413" s="459"/>
      <c r="T413" s="459"/>
      <c r="U413" s="459"/>
      <c r="V413" s="459"/>
      <c r="W413" s="459"/>
      <c r="X413" s="459"/>
      <c r="Y413" s="459"/>
      <c r="Z413" s="459"/>
      <c r="AA413" s="459"/>
      <c r="AB413" s="459"/>
      <c r="AC413" s="459"/>
    </row>
    <row r="414" spans="1:29">
      <c r="A414" s="459"/>
      <c r="C414" s="459"/>
      <c r="D414" s="459"/>
      <c r="E414" s="459"/>
      <c r="F414" s="459"/>
      <c r="G414" s="459"/>
      <c r="H414" s="459"/>
      <c r="I414" s="459"/>
      <c r="J414" s="459"/>
      <c r="K414" s="459"/>
      <c r="L414" s="459"/>
      <c r="M414" s="459"/>
      <c r="N414" s="459"/>
      <c r="O414" s="459"/>
      <c r="P414" s="459"/>
      <c r="Q414" s="459"/>
      <c r="R414" s="459"/>
      <c r="S414" s="459"/>
      <c r="T414" s="459"/>
      <c r="U414" s="459"/>
      <c r="V414" s="459"/>
      <c r="W414" s="459"/>
      <c r="X414" s="459"/>
      <c r="Y414" s="459"/>
      <c r="Z414" s="459"/>
      <c r="AA414" s="459"/>
      <c r="AB414" s="459"/>
      <c r="AC414" s="459"/>
    </row>
    <row r="415" spans="1:29">
      <c r="A415" s="459"/>
      <c r="C415" s="459"/>
      <c r="D415" s="459"/>
      <c r="E415" s="459"/>
      <c r="F415" s="459"/>
      <c r="G415" s="459"/>
      <c r="H415" s="459"/>
      <c r="I415" s="459"/>
      <c r="J415" s="459"/>
      <c r="K415" s="459"/>
      <c r="L415" s="459"/>
      <c r="M415" s="459"/>
      <c r="N415" s="459"/>
      <c r="O415" s="459"/>
      <c r="P415" s="459"/>
      <c r="Q415" s="459"/>
      <c r="R415" s="459"/>
      <c r="S415" s="459"/>
      <c r="T415" s="459"/>
      <c r="U415" s="459"/>
      <c r="V415" s="459"/>
      <c r="W415" s="459"/>
      <c r="X415" s="459"/>
      <c r="Y415" s="459"/>
      <c r="Z415" s="459"/>
      <c r="AA415" s="459"/>
      <c r="AB415" s="459"/>
      <c r="AC415" s="459"/>
    </row>
    <row r="416" spans="1:29">
      <c r="A416" s="459"/>
      <c r="C416" s="459"/>
      <c r="D416" s="459"/>
      <c r="E416" s="459"/>
      <c r="F416" s="459"/>
      <c r="G416" s="459"/>
      <c r="H416" s="459"/>
      <c r="I416" s="459"/>
      <c r="J416" s="459"/>
      <c r="K416" s="459"/>
      <c r="L416" s="459"/>
      <c r="M416" s="459"/>
      <c r="N416" s="459"/>
      <c r="O416" s="459"/>
      <c r="P416" s="459"/>
      <c r="Q416" s="459"/>
      <c r="R416" s="459"/>
      <c r="S416" s="459"/>
      <c r="T416" s="459"/>
      <c r="U416" s="459"/>
      <c r="V416" s="459"/>
      <c r="W416" s="459"/>
      <c r="X416" s="459"/>
      <c r="Y416" s="459"/>
      <c r="Z416" s="459"/>
      <c r="AA416" s="459"/>
      <c r="AB416" s="459"/>
      <c r="AC416" s="459"/>
    </row>
    <row r="417" spans="1:29" ht="15.6">
      <c r="A417" s="425" t="s">
        <v>678</v>
      </c>
      <c r="C417" s="459"/>
      <c r="D417" s="459"/>
      <c r="E417" s="459"/>
      <c r="F417" s="459"/>
      <c r="G417" s="459"/>
      <c r="H417" s="459"/>
      <c r="I417" s="459"/>
      <c r="J417" s="459"/>
      <c r="K417" s="459"/>
      <c r="L417" s="459"/>
      <c r="M417" s="459"/>
      <c r="N417" s="459"/>
      <c r="O417" s="459"/>
      <c r="P417" s="459"/>
      <c r="Q417" s="459"/>
      <c r="R417" s="459"/>
      <c r="S417" s="459"/>
      <c r="T417" s="459"/>
      <c r="U417" s="459"/>
      <c r="V417" s="459"/>
      <c r="W417" s="459"/>
      <c r="X417" s="459"/>
      <c r="Y417" s="459"/>
      <c r="Z417" s="459"/>
      <c r="AA417" s="459"/>
      <c r="AB417" s="459"/>
      <c r="AC417" s="459"/>
    </row>
    <row r="418" spans="1:29">
      <c r="A418" s="131" t="s">
        <v>648</v>
      </c>
      <c r="B418" s="131" t="s">
        <v>64</v>
      </c>
      <c r="C418" s="131" t="str">
        <f>C405</f>
        <v>IE</v>
      </c>
      <c r="D418" s="131" t="str">
        <f t="shared" ref="D418:AC418" si="286">D405</f>
        <v>IE-CW</v>
      </c>
      <c r="E418" s="131" t="str">
        <f t="shared" si="286"/>
        <v>IE-D</v>
      </c>
      <c r="F418" s="131" t="str">
        <f t="shared" si="286"/>
        <v>IE-KE</v>
      </c>
      <c r="G418" s="131" t="str">
        <f t="shared" si="286"/>
        <v>IE-KK</v>
      </c>
      <c r="H418" s="131" t="str">
        <f t="shared" si="286"/>
        <v>IE-LS</v>
      </c>
      <c r="I418" s="131" t="str">
        <f t="shared" si="286"/>
        <v>IE-LD</v>
      </c>
      <c r="J418" s="131" t="str">
        <f t="shared" si="286"/>
        <v>IE-LH</v>
      </c>
      <c r="K418" s="131" t="str">
        <f t="shared" si="286"/>
        <v>IE-MH</v>
      </c>
      <c r="L418" s="131" t="str">
        <f t="shared" si="286"/>
        <v>IE-OY</v>
      </c>
      <c r="M418" s="131" t="str">
        <f t="shared" si="286"/>
        <v>IE-WH</v>
      </c>
      <c r="N418" s="131" t="str">
        <f t="shared" si="286"/>
        <v>IE-WX</v>
      </c>
      <c r="O418" s="131" t="str">
        <f t="shared" si="286"/>
        <v>IE-WW</v>
      </c>
      <c r="P418" s="131" t="str">
        <f t="shared" si="286"/>
        <v>IE-CE</v>
      </c>
      <c r="Q418" s="131" t="str">
        <f t="shared" si="286"/>
        <v>IE-CO</v>
      </c>
      <c r="R418" s="131" t="str">
        <f t="shared" si="286"/>
        <v>IE-KY</v>
      </c>
      <c r="S418" s="131" t="str">
        <f t="shared" si="286"/>
        <v>IE-LK</v>
      </c>
      <c r="T418" s="131" t="str">
        <f t="shared" si="286"/>
        <v>IE-TA</v>
      </c>
      <c r="U418" s="131" t="str">
        <f t="shared" si="286"/>
        <v>IE-WD</v>
      </c>
      <c r="V418" s="131" t="str">
        <f t="shared" si="286"/>
        <v>IE-G</v>
      </c>
      <c r="W418" s="131" t="str">
        <f t="shared" si="286"/>
        <v>IE-LM</v>
      </c>
      <c r="X418" s="131" t="str">
        <f t="shared" si="286"/>
        <v>IE-MO</v>
      </c>
      <c r="Y418" s="131" t="str">
        <f t="shared" si="286"/>
        <v>IE-RN</v>
      </c>
      <c r="Z418" s="131" t="str">
        <f t="shared" si="286"/>
        <v>IE-SO</v>
      </c>
      <c r="AA418" s="131" t="str">
        <f t="shared" si="286"/>
        <v>IE-CN</v>
      </c>
      <c r="AB418" s="131" t="str">
        <f t="shared" si="286"/>
        <v>IE-DL</v>
      </c>
      <c r="AC418" s="131" t="str">
        <f t="shared" si="286"/>
        <v>IE-MN</v>
      </c>
    </row>
    <row r="419" spans="1:29">
      <c r="A419" s="459" t="s">
        <v>669</v>
      </c>
      <c r="B419" s="459" t="s">
        <v>653</v>
      </c>
      <c r="C419" s="505">
        <f>SUMPRODUCT(C393:C399,C406:C412)</f>
        <v>1.0765709644443593</v>
      </c>
      <c r="D419" s="505">
        <f>IF(D386&gt;1,SUMPRODUCT(D393:D399,D406:D412),$C$226)</f>
        <v>1.0544298848273377</v>
      </c>
      <c r="E419" s="505">
        <f t="shared" ref="E419:AC419" si="287">IF(E386&gt;1,SUMPRODUCT(E393:E399,E406:E412),$C$226)</f>
        <v>1.0770627632453529</v>
      </c>
      <c r="F419" s="505">
        <f t="shared" si="287"/>
        <v>1.0632045151655287</v>
      </c>
      <c r="G419" s="505">
        <f t="shared" si="287"/>
        <v>1.0775870058485064</v>
      </c>
      <c r="H419" s="505">
        <f t="shared" si="287"/>
        <v>1.0815426568613904</v>
      </c>
      <c r="I419" s="505">
        <f t="shared" si="287"/>
        <v>1.0669663675821317</v>
      </c>
      <c r="J419" s="505">
        <f t="shared" si="287"/>
        <v>1.0776073015362118</v>
      </c>
      <c r="K419" s="505">
        <f t="shared" si="287"/>
        <v>1.0593090966426919</v>
      </c>
      <c r="L419" s="505">
        <f t="shared" si="287"/>
        <v>1.0767262507664466</v>
      </c>
      <c r="M419" s="505">
        <f t="shared" si="287"/>
        <v>1.0706970734035384</v>
      </c>
      <c r="N419" s="505">
        <f t="shared" si="287"/>
        <v>1.0770494168929021</v>
      </c>
      <c r="O419" s="505">
        <f t="shared" si="287"/>
        <v>1.0709878236450781</v>
      </c>
      <c r="P419" s="505">
        <f t="shared" si="287"/>
        <v>1.0744429425021005</v>
      </c>
      <c r="Q419" s="505">
        <f t="shared" si="287"/>
        <v>1.0719266536470671</v>
      </c>
      <c r="R419" s="505">
        <f t="shared" si="287"/>
        <v>1.0768848542573723</v>
      </c>
      <c r="S419" s="505">
        <f t="shared" si="287"/>
        <v>1.1145188797076342</v>
      </c>
      <c r="T419" s="505">
        <f t="shared" si="287"/>
        <v>1.0652081721220339</v>
      </c>
      <c r="U419" s="505">
        <f t="shared" si="287"/>
        <v>1.0813179561860364</v>
      </c>
      <c r="V419" s="505">
        <f t="shared" si="287"/>
        <v>1.0794394253934261</v>
      </c>
      <c r="W419" s="505">
        <f t="shared" si="287"/>
        <v>1.0520644046257348</v>
      </c>
      <c r="X419" s="505">
        <f t="shared" si="287"/>
        <v>1.0729164886576958</v>
      </c>
      <c r="Y419" s="505">
        <f t="shared" si="287"/>
        <v>1.0740411573028943</v>
      </c>
      <c r="Z419" s="505">
        <f t="shared" si="287"/>
        <v>1.0826189371670545</v>
      </c>
      <c r="AA419" s="505">
        <f t="shared" si="287"/>
        <v>1.0712867767459393</v>
      </c>
      <c r="AB419" s="505">
        <f t="shared" si="287"/>
        <v>1.0664919794867926</v>
      </c>
      <c r="AC419" s="505">
        <f t="shared" si="287"/>
        <v>1.0755477367114978</v>
      </c>
    </row>
    <row r="420" spans="1:29">
      <c r="A420" s="458"/>
      <c r="B420" s="458" t="s">
        <v>640</v>
      </c>
      <c r="C420" s="508">
        <f>1000/C419</f>
        <v>928.87513506006621</v>
      </c>
      <c r="D420" s="508">
        <f>1000/D419</f>
        <v>948.37979688308008</v>
      </c>
      <c r="E420" s="508">
        <f>1000/E419</f>
        <v>928.45100037331986</v>
      </c>
      <c r="F420" s="508">
        <f>1000/F419</f>
        <v>940.55281532011884</v>
      </c>
      <c r="G420" s="508">
        <f t="shared" ref="G420" si="288">1000/G419</f>
        <v>927.99931195586998</v>
      </c>
      <c r="H420" s="508">
        <f t="shared" ref="H420" si="289">1000/H419</f>
        <v>924.60523277183984</v>
      </c>
      <c r="I420" s="508">
        <f t="shared" ref="I420" si="290">1000/I419</f>
        <v>937.23666498140403</v>
      </c>
      <c r="J420" s="508">
        <f t="shared" ref="J420" si="291">1000/J419</f>
        <v>927.98183398945366</v>
      </c>
      <c r="K420" s="508">
        <f t="shared" ref="K420" si="292">1000/K419</f>
        <v>944.01152899501903</v>
      </c>
      <c r="L420" s="508">
        <f t="shared" ref="L420" si="293">1000/L419</f>
        <v>928.7411719442797</v>
      </c>
      <c r="M420" s="508">
        <f t="shared" ref="M420" si="294">1000/M419</f>
        <v>933.97098473538733</v>
      </c>
      <c r="N420" s="508">
        <f t="shared" ref="N420" si="295">1000/N419</f>
        <v>928.46250535544027</v>
      </c>
      <c r="O420" s="508">
        <f t="shared" ref="O420" si="296">1000/O419</f>
        <v>933.71743162917301</v>
      </c>
      <c r="P420" s="508">
        <f t="shared" ref="P420" si="297">1000/P419</f>
        <v>930.71484807863123</v>
      </c>
      <c r="Q420" s="508">
        <f t="shared" ref="Q420" si="298">1000/Q419</f>
        <v>932.89964998785354</v>
      </c>
      <c r="R420" s="508">
        <f t="shared" ref="R420" si="299">1000/R419</f>
        <v>928.60438703969635</v>
      </c>
      <c r="S420" s="508">
        <f t="shared" ref="S420" si="300">1000/S419</f>
        <v>897.24814734616666</v>
      </c>
      <c r="T420" s="508">
        <f t="shared" ref="T420" si="301">1000/T419</f>
        <v>938.78363513478246</v>
      </c>
      <c r="U420" s="508">
        <f t="shared" ref="U420" si="302">1000/U419</f>
        <v>924.79736813688316</v>
      </c>
      <c r="V420" s="508">
        <f t="shared" ref="V420" si="303">1000/V419</f>
        <v>926.40677788429616</v>
      </c>
      <c r="W420" s="508">
        <f t="shared" ref="W420" si="304">1000/W419</f>
        <v>950.51215078010705</v>
      </c>
      <c r="X420" s="508">
        <f t="shared" ref="X420" si="305">1000/X419</f>
        <v>932.03898958723232</v>
      </c>
      <c r="Y420" s="508">
        <f t="shared" ref="Y420" si="306">1000/Y419</f>
        <v>931.06301672011841</v>
      </c>
      <c r="Z420" s="508">
        <f t="shared" ref="Z420" si="307">1000/Z419</f>
        <v>923.68604101527376</v>
      </c>
      <c r="AA420" s="508">
        <f t="shared" ref="AA420" si="308">1000/AA419</f>
        <v>933.45686860573903</v>
      </c>
      <c r="AB420" s="508">
        <f t="shared" ref="AB420" si="309">1000/AB419</f>
        <v>937.65355880239315</v>
      </c>
      <c r="AC420" s="508">
        <f t="shared" ref="AC420" si="310">1000/AC419</f>
        <v>929.75882507782865</v>
      </c>
    </row>
    <row r="424" spans="1:29">
      <c r="A424" s="511"/>
      <c r="B424" s="511"/>
      <c r="C424" s="511"/>
      <c r="D424" s="511"/>
      <c r="E424" s="511"/>
      <c r="F424" s="511"/>
      <c r="G424" s="511"/>
      <c r="H424" s="511"/>
      <c r="I424" s="511"/>
      <c r="J424" s="511"/>
      <c r="K424" s="511"/>
      <c r="L424" s="511"/>
      <c r="M424" s="511"/>
      <c r="N424" s="511"/>
      <c r="O424" s="511"/>
      <c r="P424" s="511"/>
      <c r="Q424" s="511"/>
      <c r="R424" s="511"/>
      <c r="S424" s="511"/>
      <c r="T424" s="511"/>
      <c r="U424" s="511"/>
      <c r="V424" s="511"/>
      <c r="W424" s="511"/>
      <c r="X424" s="511"/>
      <c r="Y424" s="511"/>
      <c r="Z424" s="511"/>
      <c r="AA424" s="511"/>
      <c r="AB424" s="511"/>
      <c r="AC424" s="511"/>
    </row>
    <row r="425" spans="1:29" ht="15.6">
      <c r="A425" s="401" t="s">
        <v>679</v>
      </c>
      <c r="C425" s="459"/>
      <c r="D425" s="459"/>
      <c r="E425" s="459"/>
      <c r="F425" s="459"/>
      <c r="G425" s="459"/>
      <c r="H425" s="459"/>
      <c r="I425" s="459"/>
      <c r="J425" s="459"/>
      <c r="K425" s="459"/>
      <c r="L425" s="459"/>
      <c r="M425" s="459"/>
      <c r="N425" s="459"/>
      <c r="O425" s="459"/>
      <c r="P425" s="459"/>
      <c r="Q425" s="459"/>
      <c r="R425" s="459"/>
      <c r="S425" s="459"/>
      <c r="T425" s="459"/>
      <c r="U425" s="459"/>
      <c r="V425" s="459"/>
      <c r="W425" s="459"/>
      <c r="X425" s="459"/>
      <c r="Y425" s="459"/>
      <c r="Z425" s="459"/>
      <c r="AA425" s="459"/>
      <c r="AB425" s="459"/>
      <c r="AC425" s="459"/>
    </row>
    <row r="426" spans="1:29">
      <c r="A426" s="131" t="s">
        <v>648</v>
      </c>
      <c r="B426" s="131" t="s">
        <v>64</v>
      </c>
      <c r="C426" s="131" t="str">
        <f t="shared" ref="C426:AC426" si="311">C418</f>
        <v>IE</v>
      </c>
      <c r="D426" s="131" t="str">
        <f t="shared" si="311"/>
        <v>IE-CW</v>
      </c>
      <c r="E426" s="131" t="str">
        <f t="shared" si="311"/>
        <v>IE-D</v>
      </c>
      <c r="F426" s="131" t="str">
        <f t="shared" si="311"/>
        <v>IE-KE</v>
      </c>
      <c r="G426" s="131" t="str">
        <f t="shared" si="311"/>
        <v>IE-KK</v>
      </c>
      <c r="H426" s="131" t="str">
        <f t="shared" si="311"/>
        <v>IE-LS</v>
      </c>
      <c r="I426" s="131" t="str">
        <f t="shared" si="311"/>
        <v>IE-LD</v>
      </c>
      <c r="J426" s="131" t="str">
        <f t="shared" si="311"/>
        <v>IE-LH</v>
      </c>
      <c r="K426" s="131" t="str">
        <f t="shared" si="311"/>
        <v>IE-MH</v>
      </c>
      <c r="L426" s="131" t="str">
        <f t="shared" si="311"/>
        <v>IE-OY</v>
      </c>
      <c r="M426" s="131" t="str">
        <f t="shared" si="311"/>
        <v>IE-WH</v>
      </c>
      <c r="N426" s="131" t="str">
        <f t="shared" si="311"/>
        <v>IE-WX</v>
      </c>
      <c r="O426" s="131" t="str">
        <f t="shared" si="311"/>
        <v>IE-WW</v>
      </c>
      <c r="P426" s="131" t="str">
        <f t="shared" si="311"/>
        <v>IE-CE</v>
      </c>
      <c r="Q426" s="131" t="str">
        <f t="shared" si="311"/>
        <v>IE-CO</v>
      </c>
      <c r="R426" s="131" t="str">
        <f t="shared" si="311"/>
        <v>IE-KY</v>
      </c>
      <c r="S426" s="131" t="str">
        <f t="shared" si="311"/>
        <v>IE-LK</v>
      </c>
      <c r="T426" s="131" t="str">
        <f t="shared" si="311"/>
        <v>IE-TA</v>
      </c>
      <c r="U426" s="131" t="str">
        <f t="shared" si="311"/>
        <v>IE-WD</v>
      </c>
      <c r="V426" s="131" t="str">
        <f t="shared" si="311"/>
        <v>IE-G</v>
      </c>
      <c r="W426" s="131" t="str">
        <f t="shared" si="311"/>
        <v>IE-LM</v>
      </c>
      <c r="X426" s="131" t="str">
        <f t="shared" si="311"/>
        <v>IE-MO</v>
      </c>
      <c r="Y426" s="131" t="str">
        <f t="shared" si="311"/>
        <v>IE-RN</v>
      </c>
      <c r="Z426" s="131" t="str">
        <f t="shared" si="311"/>
        <v>IE-SO</v>
      </c>
      <c r="AA426" s="131" t="str">
        <f t="shared" si="311"/>
        <v>IE-CN</v>
      </c>
      <c r="AB426" s="131" t="str">
        <f t="shared" si="311"/>
        <v>IE-DL</v>
      </c>
      <c r="AC426" s="131" t="str">
        <f t="shared" si="311"/>
        <v>IE-MN</v>
      </c>
    </row>
    <row r="427" spans="1:29">
      <c r="A427" s="459" t="s">
        <v>347</v>
      </c>
      <c r="B427" s="459" t="s">
        <v>539</v>
      </c>
      <c r="C427" s="9">
        <f>SUM(D427:AC427)</f>
        <v>0</v>
      </c>
      <c r="D427" s="512">
        <v>0</v>
      </c>
      <c r="E427" s="512">
        <v>0</v>
      </c>
      <c r="F427" s="512">
        <v>0</v>
      </c>
      <c r="G427" s="512">
        <v>0</v>
      </c>
      <c r="H427" s="512">
        <v>0</v>
      </c>
      <c r="I427" s="512">
        <v>0</v>
      </c>
      <c r="J427" s="512">
        <v>0</v>
      </c>
      <c r="K427" s="512">
        <v>0</v>
      </c>
      <c r="L427" s="512">
        <v>0</v>
      </c>
      <c r="M427" s="512">
        <v>0</v>
      </c>
      <c r="N427" s="512">
        <v>0</v>
      </c>
      <c r="O427" s="512">
        <v>0</v>
      </c>
      <c r="P427" s="512">
        <v>0</v>
      </c>
      <c r="Q427" s="512">
        <v>0</v>
      </c>
      <c r="R427" s="512">
        <v>0</v>
      </c>
      <c r="S427" s="512">
        <v>0</v>
      </c>
      <c r="T427" s="512">
        <v>0</v>
      </c>
      <c r="U427" s="512">
        <v>0</v>
      </c>
      <c r="V427" s="512">
        <v>0</v>
      </c>
      <c r="W427" s="512">
        <v>0</v>
      </c>
      <c r="X427" s="512">
        <v>0</v>
      </c>
      <c r="Y427" s="512">
        <v>0</v>
      </c>
      <c r="Z427" s="512">
        <v>0</v>
      </c>
      <c r="AA427" s="512">
        <v>0</v>
      </c>
      <c r="AB427" s="512">
        <v>0</v>
      </c>
      <c r="AC427" s="512">
        <v>0</v>
      </c>
    </row>
    <row r="428" spans="1:29">
      <c r="A428" s="459" t="s">
        <v>348</v>
      </c>
      <c r="B428" s="459" t="s">
        <v>539</v>
      </c>
      <c r="C428" s="9">
        <f t="shared" ref="C428:C433" si="312">SUM(D428:AC428)</f>
        <v>0</v>
      </c>
      <c r="D428" s="512">
        <v>0</v>
      </c>
      <c r="E428" s="512">
        <v>0</v>
      </c>
      <c r="F428" s="512">
        <v>0</v>
      </c>
      <c r="G428" s="512">
        <v>0</v>
      </c>
      <c r="H428" s="512">
        <v>0</v>
      </c>
      <c r="I428" s="512">
        <v>0</v>
      </c>
      <c r="J428" s="512">
        <v>0</v>
      </c>
      <c r="K428" s="512">
        <v>0</v>
      </c>
      <c r="L428" s="512">
        <v>0</v>
      </c>
      <c r="M428" s="512">
        <v>0</v>
      </c>
      <c r="N428" s="512">
        <v>0</v>
      </c>
      <c r="O428" s="512">
        <v>0</v>
      </c>
      <c r="P428" s="512">
        <v>0</v>
      </c>
      <c r="Q428" s="512">
        <v>0</v>
      </c>
      <c r="R428" s="512">
        <v>0</v>
      </c>
      <c r="S428" s="512">
        <v>0</v>
      </c>
      <c r="T428" s="512">
        <v>0</v>
      </c>
      <c r="U428" s="512">
        <v>0</v>
      </c>
      <c r="V428" s="512">
        <v>0</v>
      </c>
      <c r="W428" s="512">
        <v>0</v>
      </c>
      <c r="X428" s="512">
        <v>0</v>
      </c>
      <c r="Y428" s="512">
        <v>0</v>
      </c>
      <c r="Z428" s="512">
        <v>0</v>
      </c>
      <c r="AA428" s="512">
        <v>0</v>
      </c>
      <c r="AB428" s="512">
        <v>0</v>
      </c>
      <c r="AC428" s="512">
        <v>0</v>
      </c>
    </row>
    <row r="429" spans="1:29">
      <c r="A429" s="459" t="s">
        <v>349</v>
      </c>
      <c r="B429" s="459" t="s">
        <v>539</v>
      </c>
      <c r="C429" s="9">
        <f t="shared" si="312"/>
        <v>0</v>
      </c>
      <c r="D429" s="512">
        <v>0</v>
      </c>
      <c r="E429" s="512">
        <v>0</v>
      </c>
      <c r="F429" s="512">
        <v>0</v>
      </c>
      <c r="G429" s="512">
        <v>0</v>
      </c>
      <c r="H429" s="512">
        <v>0</v>
      </c>
      <c r="I429" s="512">
        <v>0</v>
      </c>
      <c r="J429" s="512">
        <v>0</v>
      </c>
      <c r="K429" s="512">
        <v>0</v>
      </c>
      <c r="L429" s="512">
        <v>0</v>
      </c>
      <c r="M429" s="512">
        <v>0</v>
      </c>
      <c r="N429" s="512">
        <v>0</v>
      </c>
      <c r="O429" s="512">
        <v>0</v>
      </c>
      <c r="P429" s="512">
        <v>0</v>
      </c>
      <c r="Q429" s="512">
        <v>0</v>
      </c>
      <c r="R429" s="512">
        <v>0</v>
      </c>
      <c r="S429" s="512">
        <v>0</v>
      </c>
      <c r="T429" s="512">
        <v>0</v>
      </c>
      <c r="U429" s="512">
        <v>0</v>
      </c>
      <c r="V429" s="512">
        <v>0</v>
      </c>
      <c r="W429" s="512">
        <v>0</v>
      </c>
      <c r="X429" s="512">
        <v>0</v>
      </c>
      <c r="Y429" s="512">
        <v>0</v>
      </c>
      <c r="Z429" s="512">
        <v>0</v>
      </c>
      <c r="AA429" s="512">
        <v>0</v>
      </c>
      <c r="AB429" s="512">
        <v>0</v>
      </c>
      <c r="AC429" s="512">
        <v>0</v>
      </c>
    </row>
    <row r="430" spans="1:29">
      <c r="A430" s="459" t="s">
        <v>350</v>
      </c>
      <c r="B430" s="459" t="s">
        <v>539</v>
      </c>
      <c r="C430" s="9">
        <f t="shared" si="312"/>
        <v>0</v>
      </c>
      <c r="D430" s="512">
        <v>0</v>
      </c>
      <c r="E430" s="512">
        <v>0</v>
      </c>
      <c r="F430" s="512">
        <v>0</v>
      </c>
      <c r="G430" s="512">
        <v>0</v>
      </c>
      <c r="H430" s="512">
        <v>0</v>
      </c>
      <c r="I430" s="512">
        <v>0</v>
      </c>
      <c r="J430" s="512">
        <v>0</v>
      </c>
      <c r="K430" s="512">
        <v>0</v>
      </c>
      <c r="L430" s="512">
        <v>0</v>
      </c>
      <c r="M430" s="512">
        <v>0</v>
      </c>
      <c r="N430" s="512">
        <v>0</v>
      </c>
      <c r="O430" s="512">
        <v>0</v>
      </c>
      <c r="P430" s="512">
        <v>0</v>
      </c>
      <c r="Q430" s="512">
        <v>0</v>
      </c>
      <c r="R430" s="512">
        <v>0</v>
      </c>
      <c r="S430" s="512">
        <v>0</v>
      </c>
      <c r="T430" s="512">
        <v>0</v>
      </c>
      <c r="U430" s="512">
        <v>0</v>
      </c>
      <c r="V430" s="512">
        <v>0</v>
      </c>
      <c r="W430" s="512">
        <v>0</v>
      </c>
      <c r="X430" s="512">
        <v>0</v>
      </c>
      <c r="Y430" s="512">
        <v>0</v>
      </c>
      <c r="Z430" s="512">
        <v>0</v>
      </c>
      <c r="AA430" s="512">
        <v>0</v>
      </c>
      <c r="AB430" s="512">
        <v>0</v>
      </c>
      <c r="AC430" s="512">
        <v>0</v>
      </c>
    </row>
    <row r="431" spans="1:29">
      <c r="A431" s="459" t="s">
        <v>351</v>
      </c>
      <c r="B431" s="459" t="s">
        <v>539</v>
      </c>
      <c r="C431" s="9">
        <f t="shared" si="312"/>
        <v>0</v>
      </c>
      <c r="D431" s="512">
        <v>0</v>
      </c>
      <c r="E431" s="512">
        <v>0</v>
      </c>
      <c r="F431" s="512">
        <v>0</v>
      </c>
      <c r="G431" s="512">
        <v>0</v>
      </c>
      <c r="H431" s="512">
        <v>0</v>
      </c>
      <c r="I431" s="512">
        <v>0</v>
      </c>
      <c r="J431" s="512">
        <v>0</v>
      </c>
      <c r="K431" s="512">
        <v>0</v>
      </c>
      <c r="L431" s="512">
        <v>0</v>
      </c>
      <c r="M431" s="512">
        <v>0</v>
      </c>
      <c r="N431" s="512">
        <v>0</v>
      </c>
      <c r="O431" s="512">
        <v>0</v>
      </c>
      <c r="P431" s="512">
        <v>0</v>
      </c>
      <c r="Q431" s="512">
        <v>0</v>
      </c>
      <c r="R431" s="512">
        <v>0</v>
      </c>
      <c r="S431" s="512">
        <v>0</v>
      </c>
      <c r="T431" s="512">
        <v>0</v>
      </c>
      <c r="U431" s="512">
        <v>0</v>
      </c>
      <c r="V431" s="512">
        <v>0</v>
      </c>
      <c r="W431" s="512">
        <v>0</v>
      </c>
      <c r="X431" s="512">
        <v>0</v>
      </c>
      <c r="Y431" s="512">
        <v>0</v>
      </c>
      <c r="Z431" s="512">
        <v>0</v>
      </c>
      <c r="AA431" s="512">
        <v>0</v>
      </c>
      <c r="AB431" s="512">
        <v>0</v>
      </c>
      <c r="AC431" s="512">
        <v>0</v>
      </c>
    </row>
    <row r="432" spans="1:29">
      <c r="A432" s="459" t="s">
        <v>352</v>
      </c>
      <c r="B432" s="459" t="s">
        <v>539</v>
      </c>
      <c r="C432" s="9">
        <f t="shared" si="312"/>
        <v>2</v>
      </c>
      <c r="D432" s="512">
        <v>0</v>
      </c>
      <c r="E432" s="512">
        <v>2</v>
      </c>
      <c r="F432" s="512">
        <v>0</v>
      </c>
      <c r="G432" s="512">
        <v>0</v>
      </c>
      <c r="H432" s="512">
        <v>0</v>
      </c>
      <c r="I432" s="512">
        <v>0</v>
      </c>
      <c r="J432" s="512">
        <v>0</v>
      </c>
      <c r="K432" s="512">
        <v>0</v>
      </c>
      <c r="L432" s="512">
        <v>0</v>
      </c>
      <c r="M432" s="512">
        <v>0</v>
      </c>
      <c r="N432" s="512">
        <v>0</v>
      </c>
      <c r="O432" s="512">
        <v>0</v>
      </c>
      <c r="P432" s="512">
        <v>0</v>
      </c>
      <c r="Q432" s="512">
        <v>0</v>
      </c>
      <c r="R432" s="512">
        <v>0</v>
      </c>
      <c r="S432" s="512">
        <v>0</v>
      </c>
      <c r="T432" s="512">
        <v>0</v>
      </c>
      <c r="U432" s="512">
        <v>0</v>
      </c>
      <c r="V432" s="512">
        <v>0</v>
      </c>
      <c r="W432" s="512">
        <v>0</v>
      </c>
      <c r="X432" s="512">
        <v>0</v>
      </c>
      <c r="Y432" s="512">
        <v>0</v>
      </c>
      <c r="Z432" s="512">
        <v>0</v>
      </c>
      <c r="AA432" s="512">
        <v>0</v>
      </c>
      <c r="AB432" s="512">
        <v>0</v>
      </c>
      <c r="AC432" s="512">
        <v>0</v>
      </c>
    </row>
    <row r="433" spans="1:29">
      <c r="A433" s="459" t="s">
        <v>353</v>
      </c>
      <c r="B433" s="459" t="s">
        <v>539</v>
      </c>
      <c r="C433" s="9">
        <f t="shared" si="312"/>
        <v>23</v>
      </c>
      <c r="D433" s="512">
        <v>0</v>
      </c>
      <c r="E433" s="512">
        <v>9</v>
      </c>
      <c r="F433" s="512">
        <v>2</v>
      </c>
      <c r="G433" s="512">
        <v>0</v>
      </c>
      <c r="H433" s="512">
        <v>0</v>
      </c>
      <c r="I433" s="512">
        <v>1</v>
      </c>
      <c r="J433" s="512">
        <v>0</v>
      </c>
      <c r="K433" s="512">
        <v>1</v>
      </c>
      <c r="L433" s="512">
        <v>0</v>
      </c>
      <c r="M433" s="512">
        <v>0</v>
      </c>
      <c r="N433" s="512">
        <v>1</v>
      </c>
      <c r="O433" s="512">
        <v>1</v>
      </c>
      <c r="P433" s="512">
        <v>2</v>
      </c>
      <c r="Q433" s="512">
        <v>2</v>
      </c>
      <c r="R433" s="512">
        <v>0</v>
      </c>
      <c r="S433" s="512">
        <v>0</v>
      </c>
      <c r="T433" s="512">
        <v>1</v>
      </c>
      <c r="U433" s="512">
        <v>0</v>
      </c>
      <c r="V433" s="512">
        <v>0</v>
      </c>
      <c r="W433" s="512">
        <v>0</v>
      </c>
      <c r="X433" s="512">
        <v>0</v>
      </c>
      <c r="Y433" s="512">
        <v>0</v>
      </c>
      <c r="Z433" s="512">
        <v>1</v>
      </c>
      <c r="AA433" s="512">
        <v>0</v>
      </c>
      <c r="AB433" s="512">
        <v>1</v>
      </c>
      <c r="AC433" s="512">
        <v>1</v>
      </c>
    </row>
    <row r="434" spans="1:29">
      <c r="A434" s="458" t="s">
        <v>16</v>
      </c>
      <c r="B434" s="458" t="s">
        <v>539</v>
      </c>
      <c r="C434" s="504">
        <f>SUM(C427:C433)</f>
        <v>25</v>
      </c>
      <c r="D434" s="504">
        <f>SUM(D427:D433)</f>
        <v>0</v>
      </c>
      <c r="E434" s="504">
        <f t="shared" ref="E434" si="313">SUM(E427:E433)</f>
        <v>11</v>
      </c>
      <c r="F434" s="504">
        <f t="shared" ref="F434" si="314">SUM(F427:F433)</f>
        <v>2</v>
      </c>
      <c r="G434" s="504">
        <f t="shared" ref="G434" si="315">SUM(G427:G433)</f>
        <v>0</v>
      </c>
      <c r="H434" s="504">
        <f t="shared" ref="H434" si="316">SUM(H427:H433)</f>
        <v>0</v>
      </c>
      <c r="I434" s="504">
        <f t="shared" ref="I434" si="317">SUM(I427:I433)</f>
        <v>1</v>
      </c>
      <c r="J434" s="504">
        <f t="shared" ref="J434" si="318">SUM(J427:J433)</f>
        <v>0</v>
      </c>
      <c r="K434" s="504">
        <f t="shared" ref="K434" si="319">SUM(K427:K433)</f>
        <v>1</v>
      </c>
      <c r="L434" s="504">
        <f t="shared" ref="L434" si="320">SUM(L427:L433)</f>
        <v>0</v>
      </c>
      <c r="M434" s="504">
        <f t="shared" ref="M434" si="321">SUM(M427:M433)</f>
        <v>0</v>
      </c>
      <c r="N434" s="504">
        <f t="shared" ref="N434" si="322">SUM(N427:N433)</f>
        <v>1</v>
      </c>
      <c r="O434" s="504">
        <f t="shared" ref="O434" si="323">SUM(O427:O433)</f>
        <v>1</v>
      </c>
      <c r="P434" s="504">
        <f t="shared" ref="P434" si="324">SUM(P427:P433)</f>
        <v>2</v>
      </c>
      <c r="Q434" s="504">
        <f t="shared" ref="Q434" si="325">SUM(Q427:Q433)</f>
        <v>2</v>
      </c>
      <c r="R434" s="504">
        <f t="shared" ref="R434" si="326">SUM(R427:R433)</f>
        <v>0</v>
      </c>
      <c r="S434" s="504">
        <f t="shared" ref="S434" si="327">SUM(S427:S433)</f>
        <v>0</v>
      </c>
      <c r="T434" s="504">
        <f t="shared" ref="T434" si="328">SUM(T427:T433)</f>
        <v>1</v>
      </c>
      <c r="U434" s="504">
        <f t="shared" ref="U434" si="329">SUM(U427:U433)</f>
        <v>0</v>
      </c>
      <c r="V434" s="504">
        <f t="shared" ref="V434" si="330">SUM(V427:V433)</f>
        <v>0</v>
      </c>
      <c r="W434" s="504">
        <f t="shared" ref="W434" si="331">SUM(W427:W433)</f>
        <v>0</v>
      </c>
      <c r="X434" s="504">
        <f t="shared" ref="X434" si="332">SUM(X427:X433)</f>
        <v>0</v>
      </c>
      <c r="Y434" s="504">
        <f t="shared" ref="Y434" si="333">SUM(Y427:Y433)</f>
        <v>0</v>
      </c>
      <c r="Z434" s="504">
        <f t="shared" ref="Z434" si="334">SUM(Z427:Z433)</f>
        <v>1</v>
      </c>
      <c r="AA434" s="504">
        <f t="shared" ref="AA434" si="335">SUM(AA427:AA433)</f>
        <v>0</v>
      </c>
      <c r="AB434" s="504">
        <f t="shared" ref="AB434" si="336">SUM(AB427:AB433)</f>
        <v>1</v>
      </c>
      <c r="AC434" s="504">
        <f t="shared" ref="AC434" si="337">SUM(AC427:AC433)</f>
        <v>1</v>
      </c>
    </row>
    <row r="435" spans="1:29">
      <c r="A435" s="459" t="s">
        <v>659</v>
      </c>
      <c r="C435" s="459"/>
      <c r="D435" s="459"/>
      <c r="E435" s="459"/>
      <c r="F435" s="459"/>
      <c r="G435" s="459"/>
      <c r="H435" s="459"/>
      <c r="I435" s="459"/>
      <c r="J435" s="459"/>
      <c r="K435" s="459"/>
      <c r="L435" s="459"/>
      <c r="M435" s="459"/>
      <c r="N435" s="459"/>
      <c r="O435" s="459"/>
      <c r="P435" s="459"/>
      <c r="Q435" s="459"/>
      <c r="R435" s="459"/>
      <c r="S435" s="459"/>
      <c r="T435" s="459"/>
      <c r="U435" s="459"/>
      <c r="V435" s="459"/>
      <c r="W435" s="459"/>
      <c r="X435" s="459"/>
      <c r="Y435" s="459"/>
      <c r="Z435" s="459"/>
      <c r="AA435" s="459"/>
      <c r="AB435" s="459"/>
      <c r="AC435" s="459"/>
    </row>
    <row r="436" spans="1:29">
      <c r="A436" s="459"/>
      <c r="C436" s="459"/>
      <c r="D436" s="459"/>
      <c r="E436" s="459"/>
      <c r="F436" s="459"/>
      <c r="G436" s="459"/>
      <c r="H436" s="459"/>
      <c r="I436" s="459"/>
      <c r="J436" s="459"/>
      <c r="K436" s="459"/>
      <c r="L436" s="459"/>
      <c r="M436" s="459"/>
      <c r="N436" s="459"/>
      <c r="O436" s="459"/>
      <c r="P436" s="459"/>
      <c r="Q436" s="459"/>
      <c r="R436" s="459"/>
      <c r="S436" s="459"/>
      <c r="T436" s="459"/>
      <c r="U436" s="459"/>
      <c r="V436" s="459"/>
      <c r="W436" s="459"/>
      <c r="X436" s="459"/>
      <c r="Y436" s="459"/>
      <c r="Z436" s="459"/>
      <c r="AA436" s="459"/>
      <c r="AB436" s="459"/>
      <c r="AC436" s="459"/>
    </row>
    <row r="437" spans="1:29">
      <c r="A437" s="459"/>
      <c r="C437" s="459"/>
      <c r="D437" s="459"/>
      <c r="E437" s="459"/>
      <c r="F437" s="459"/>
      <c r="G437" s="459"/>
      <c r="H437" s="459"/>
      <c r="I437" s="459"/>
      <c r="J437" s="459"/>
      <c r="K437" s="459"/>
      <c r="L437" s="459"/>
      <c r="M437" s="459"/>
      <c r="N437" s="459"/>
      <c r="O437" s="459"/>
      <c r="P437" s="459"/>
      <c r="Q437" s="459"/>
      <c r="R437" s="459"/>
      <c r="S437" s="459"/>
      <c r="T437" s="459"/>
      <c r="U437" s="459"/>
      <c r="V437" s="459"/>
      <c r="W437" s="459"/>
      <c r="X437" s="459"/>
      <c r="Y437" s="459"/>
      <c r="Z437" s="459"/>
      <c r="AA437" s="459"/>
      <c r="AB437" s="459"/>
      <c r="AC437" s="459"/>
    </row>
    <row r="438" spans="1:29">
      <c r="A438" s="459"/>
      <c r="C438" s="459"/>
      <c r="D438" s="459"/>
      <c r="E438" s="459"/>
      <c r="F438" s="459"/>
      <c r="G438" s="459"/>
      <c r="H438" s="459"/>
      <c r="I438" s="459"/>
      <c r="J438" s="459"/>
      <c r="K438" s="459"/>
      <c r="L438" s="459"/>
      <c r="M438" s="459"/>
      <c r="N438" s="459"/>
      <c r="O438" s="459"/>
      <c r="P438" s="459"/>
      <c r="Q438" s="459"/>
      <c r="R438" s="459"/>
      <c r="S438" s="459"/>
      <c r="T438" s="459"/>
      <c r="U438" s="459"/>
      <c r="V438" s="459"/>
      <c r="W438" s="459"/>
      <c r="X438" s="459"/>
      <c r="Y438" s="459"/>
      <c r="Z438" s="459"/>
      <c r="AA438" s="459"/>
      <c r="AB438" s="459"/>
      <c r="AC438" s="459"/>
    </row>
    <row r="439" spans="1:29" ht="15.6">
      <c r="A439" s="401" t="s">
        <v>680</v>
      </c>
      <c r="C439" s="459"/>
      <c r="D439" s="459"/>
      <c r="E439" s="459"/>
      <c r="F439" s="459"/>
      <c r="G439" s="459"/>
      <c r="H439" s="459"/>
      <c r="I439" s="459"/>
      <c r="J439" s="459"/>
      <c r="K439" s="459"/>
      <c r="L439" s="459"/>
      <c r="M439" s="459"/>
      <c r="N439" s="459"/>
      <c r="O439" s="459"/>
      <c r="P439" s="459"/>
      <c r="Q439" s="459"/>
      <c r="R439" s="459"/>
      <c r="S439" s="459"/>
      <c r="T439" s="459"/>
      <c r="U439" s="459"/>
      <c r="V439" s="459"/>
      <c r="W439" s="459"/>
      <c r="X439" s="459"/>
      <c r="Y439" s="459"/>
      <c r="Z439" s="459"/>
      <c r="AA439" s="459"/>
      <c r="AB439" s="459"/>
      <c r="AC439" s="459"/>
    </row>
    <row r="440" spans="1:29">
      <c r="A440" s="131" t="s">
        <v>648</v>
      </c>
      <c r="B440" s="131" t="s">
        <v>64</v>
      </c>
      <c r="C440" s="131" t="str">
        <f>C426</f>
        <v>IE</v>
      </c>
      <c r="D440" s="131" t="str">
        <f t="shared" ref="D440:AC440" si="338">D426</f>
        <v>IE-CW</v>
      </c>
      <c r="E440" s="131" t="str">
        <f t="shared" si="338"/>
        <v>IE-D</v>
      </c>
      <c r="F440" s="131" t="str">
        <f t="shared" si="338"/>
        <v>IE-KE</v>
      </c>
      <c r="G440" s="131" t="str">
        <f t="shared" si="338"/>
        <v>IE-KK</v>
      </c>
      <c r="H440" s="131" t="str">
        <f t="shared" si="338"/>
        <v>IE-LS</v>
      </c>
      <c r="I440" s="131" t="str">
        <f t="shared" si="338"/>
        <v>IE-LD</v>
      </c>
      <c r="J440" s="131" t="str">
        <f t="shared" si="338"/>
        <v>IE-LH</v>
      </c>
      <c r="K440" s="131" t="str">
        <f t="shared" si="338"/>
        <v>IE-MH</v>
      </c>
      <c r="L440" s="131" t="str">
        <f t="shared" si="338"/>
        <v>IE-OY</v>
      </c>
      <c r="M440" s="131" t="str">
        <f t="shared" si="338"/>
        <v>IE-WH</v>
      </c>
      <c r="N440" s="131" t="str">
        <f t="shared" si="338"/>
        <v>IE-WX</v>
      </c>
      <c r="O440" s="131" t="str">
        <f t="shared" si="338"/>
        <v>IE-WW</v>
      </c>
      <c r="P440" s="131" t="str">
        <f t="shared" si="338"/>
        <v>IE-CE</v>
      </c>
      <c r="Q440" s="131" t="str">
        <f t="shared" si="338"/>
        <v>IE-CO</v>
      </c>
      <c r="R440" s="131" t="str">
        <f t="shared" si="338"/>
        <v>IE-KY</v>
      </c>
      <c r="S440" s="131" t="str">
        <f t="shared" si="338"/>
        <v>IE-LK</v>
      </c>
      <c r="T440" s="131" t="str">
        <f t="shared" si="338"/>
        <v>IE-TA</v>
      </c>
      <c r="U440" s="131" t="str">
        <f t="shared" si="338"/>
        <v>IE-WD</v>
      </c>
      <c r="V440" s="131" t="str">
        <f t="shared" si="338"/>
        <v>IE-G</v>
      </c>
      <c r="W440" s="131" t="str">
        <f t="shared" si="338"/>
        <v>IE-LM</v>
      </c>
      <c r="X440" s="131" t="str">
        <f t="shared" si="338"/>
        <v>IE-MO</v>
      </c>
      <c r="Y440" s="131" t="str">
        <f t="shared" si="338"/>
        <v>IE-RN</v>
      </c>
      <c r="Z440" s="131" t="str">
        <f t="shared" si="338"/>
        <v>IE-SO</v>
      </c>
      <c r="AA440" s="131" t="str">
        <f t="shared" si="338"/>
        <v>IE-CN</v>
      </c>
      <c r="AB440" s="131" t="str">
        <f t="shared" si="338"/>
        <v>IE-DL</v>
      </c>
      <c r="AC440" s="131" t="str">
        <f t="shared" si="338"/>
        <v>IE-MN</v>
      </c>
    </row>
    <row r="441" spans="1:29">
      <c r="A441" s="459" t="s">
        <v>347</v>
      </c>
      <c r="B441" s="507" t="s">
        <v>652</v>
      </c>
      <c r="C441" s="35">
        <f>C427/C$434</f>
        <v>0</v>
      </c>
      <c r="D441" s="35" t="e">
        <f t="shared" ref="D441:AC447" si="339">D427/D$434</f>
        <v>#DIV/0!</v>
      </c>
      <c r="E441" s="35">
        <f t="shared" si="339"/>
        <v>0</v>
      </c>
      <c r="F441" s="35">
        <f t="shared" si="339"/>
        <v>0</v>
      </c>
      <c r="G441" s="35" t="e">
        <f t="shared" si="339"/>
        <v>#DIV/0!</v>
      </c>
      <c r="H441" s="35" t="e">
        <f t="shared" si="339"/>
        <v>#DIV/0!</v>
      </c>
      <c r="I441" s="35">
        <f t="shared" si="339"/>
        <v>0</v>
      </c>
      <c r="J441" s="35" t="e">
        <f t="shared" si="339"/>
        <v>#DIV/0!</v>
      </c>
      <c r="K441" s="35">
        <f t="shared" si="339"/>
        <v>0</v>
      </c>
      <c r="L441" s="35" t="e">
        <f t="shared" si="339"/>
        <v>#DIV/0!</v>
      </c>
      <c r="M441" s="35" t="e">
        <f t="shared" si="339"/>
        <v>#DIV/0!</v>
      </c>
      <c r="N441" s="35">
        <f t="shared" si="339"/>
        <v>0</v>
      </c>
      <c r="O441" s="35">
        <f t="shared" si="339"/>
        <v>0</v>
      </c>
      <c r="P441" s="35">
        <f t="shared" si="339"/>
        <v>0</v>
      </c>
      <c r="Q441" s="35">
        <f t="shared" si="339"/>
        <v>0</v>
      </c>
      <c r="R441" s="35" t="e">
        <f t="shared" si="339"/>
        <v>#DIV/0!</v>
      </c>
      <c r="S441" s="35" t="e">
        <f t="shared" si="339"/>
        <v>#DIV/0!</v>
      </c>
      <c r="T441" s="35">
        <f t="shared" si="339"/>
        <v>0</v>
      </c>
      <c r="U441" s="35" t="e">
        <f t="shared" si="339"/>
        <v>#DIV/0!</v>
      </c>
      <c r="V441" s="35" t="e">
        <f t="shared" si="339"/>
        <v>#DIV/0!</v>
      </c>
      <c r="W441" s="35" t="e">
        <f t="shared" si="339"/>
        <v>#DIV/0!</v>
      </c>
      <c r="X441" s="35" t="e">
        <f t="shared" si="339"/>
        <v>#DIV/0!</v>
      </c>
      <c r="Y441" s="35" t="e">
        <f t="shared" si="339"/>
        <v>#DIV/0!</v>
      </c>
      <c r="Z441" s="35">
        <f t="shared" si="339"/>
        <v>0</v>
      </c>
      <c r="AA441" s="35" t="e">
        <f t="shared" si="339"/>
        <v>#DIV/0!</v>
      </c>
      <c r="AB441" s="35">
        <f t="shared" si="339"/>
        <v>0</v>
      </c>
      <c r="AC441" s="35">
        <f t="shared" si="339"/>
        <v>0</v>
      </c>
    </row>
    <row r="442" spans="1:29">
      <c r="A442" s="459" t="s">
        <v>348</v>
      </c>
      <c r="B442" s="1" t="s">
        <v>652</v>
      </c>
      <c r="C442" s="35">
        <f t="shared" ref="C442:R447" si="340">C428/C$434</f>
        <v>0</v>
      </c>
      <c r="D442" s="35" t="e">
        <f t="shared" si="340"/>
        <v>#DIV/0!</v>
      </c>
      <c r="E442" s="35">
        <f t="shared" si="340"/>
        <v>0</v>
      </c>
      <c r="F442" s="35">
        <f t="shared" si="340"/>
        <v>0</v>
      </c>
      <c r="G442" s="35" t="e">
        <f t="shared" si="340"/>
        <v>#DIV/0!</v>
      </c>
      <c r="H442" s="35" t="e">
        <f t="shared" si="340"/>
        <v>#DIV/0!</v>
      </c>
      <c r="I442" s="35">
        <f t="shared" si="340"/>
        <v>0</v>
      </c>
      <c r="J442" s="35" t="e">
        <f t="shared" si="340"/>
        <v>#DIV/0!</v>
      </c>
      <c r="K442" s="35">
        <f t="shared" si="340"/>
        <v>0</v>
      </c>
      <c r="L442" s="35" t="e">
        <f t="shared" si="340"/>
        <v>#DIV/0!</v>
      </c>
      <c r="M442" s="35" t="e">
        <f t="shared" si="340"/>
        <v>#DIV/0!</v>
      </c>
      <c r="N442" s="35">
        <f t="shared" si="340"/>
        <v>0</v>
      </c>
      <c r="O442" s="35">
        <f t="shared" si="340"/>
        <v>0</v>
      </c>
      <c r="P442" s="35">
        <f t="shared" si="340"/>
        <v>0</v>
      </c>
      <c r="Q442" s="35">
        <f t="shared" si="340"/>
        <v>0</v>
      </c>
      <c r="R442" s="35" t="e">
        <f t="shared" si="340"/>
        <v>#DIV/0!</v>
      </c>
      <c r="S442" s="35" t="e">
        <f t="shared" si="339"/>
        <v>#DIV/0!</v>
      </c>
      <c r="T442" s="35">
        <f t="shared" si="339"/>
        <v>0</v>
      </c>
      <c r="U442" s="35" t="e">
        <f t="shared" si="339"/>
        <v>#DIV/0!</v>
      </c>
      <c r="V442" s="35" t="e">
        <f t="shared" si="339"/>
        <v>#DIV/0!</v>
      </c>
      <c r="W442" s="35" t="e">
        <f t="shared" si="339"/>
        <v>#DIV/0!</v>
      </c>
      <c r="X442" s="35" t="e">
        <f t="shared" si="339"/>
        <v>#DIV/0!</v>
      </c>
      <c r="Y442" s="35" t="e">
        <f t="shared" si="339"/>
        <v>#DIV/0!</v>
      </c>
      <c r="Z442" s="35">
        <f t="shared" si="339"/>
        <v>0</v>
      </c>
      <c r="AA442" s="35" t="e">
        <f t="shared" si="339"/>
        <v>#DIV/0!</v>
      </c>
      <c r="AB442" s="35">
        <f t="shared" si="339"/>
        <v>0</v>
      </c>
      <c r="AC442" s="35">
        <f t="shared" si="339"/>
        <v>0</v>
      </c>
    </row>
    <row r="443" spans="1:29">
      <c r="A443" s="459" t="s">
        <v>349</v>
      </c>
      <c r="B443" s="1" t="s">
        <v>652</v>
      </c>
      <c r="C443" s="35">
        <f t="shared" si="340"/>
        <v>0</v>
      </c>
      <c r="D443" s="35" t="e">
        <f t="shared" si="339"/>
        <v>#DIV/0!</v>
      </c>
      <c r="E443" s="35">
        <f t="shared" si="339"/>
        <v>0</v>
      </c>
      <c r="F443" s="35">
        <f t="shared" si="339"/>
        <v>0</v>
      </c>
      <c r="G443" s="35" t="e">
        <f t="shared" si="339"/>
        <v>#DIV/0!</v>
      </c>
      <c r="H443" s="35" t="e">
        <f t="shared" si="339"/>
        <v>#DIV/0!</v>
      </c>
      <c r="I443" s="35">
        <f t="shared" si="339"/>
        <v>0</v>
      </c>
      <c r="J443" s="35" t="e">
        <f t="shared" si="339"/>
        <v>#DIV/0!</v>
      </c>
      <c r="K443" s="35">
        <f t="shared" si="339"/>
        <v>0</v>
      </c>
      <c r="L443" s="35" t="e">
        <f t="shared" si="339"/>
        <v>#DIV/0!</v>
      </c>
      <c r="M443" s="35" t="e">
        <f t="shared" si="339"/>
        <v>#DIV/0!</v>
      </c>
      <c r="N443" s="35">
        <f t="shared" si="339"/>
        <v>0</v>
      </c>
      <c r="O443" s="35">
        <f t="shared" si="339"/>
        <v>0</v>
      </c>
      <c r="P443" s="35">
        <f t="shared" si="339"/>
        <v>0</v>
      </c>
      <c r="Q443" s="35">
        <f t="shared" si="339"/>
        <v>0</v>
      </c>
      <c r="R443" s="35" t="e">
        <f t="shared" si="339"/>
        <v>#DIV/0!</v>
      </c>
      <c r="S443" s="35" t="e">
        <f t="shared" si="339"/>
        <v>#DIV/0!</v>
      </c>
      <c r="T443" s="35">
        <f t="shared" si="339"/>
        <v>0</v>
      </c>
      <c r="U443" s="35" t="e">
        <f t="shared" si="339"/>
        <v>#DIV/0!</v>
      </c>
      <c r="V443" s="35" t="e">
        <f t="shared" si="339"/>
        <v>#DIV/0!</v>
      </c>
      <c r="W443" s="35" t="e">
        <f t="shared" si="339"/>
        <v>#DIV/0!</v>
      </c>
      <c r="X443" s="35" t="e">
        <f t="shared" si="339"/>
        <v>#DIV/0!</v>
      </c>
      <c r="Y443" s="35" t="e">
        <f t="shared" si="339"/>
        <v>#DIV/0!</v>
      </c>
      <c r="Z443" s="35">
        <f t="shared" si="339"/>
        <v>0</v>
      </c>
      <c r="AA443" s="35" t="e">
        <f t="shared" si="339"/>
        <v>#DIV/0!</v>
      </c>
      <c r="AB443" s="35">
        <f t="shared" si="339"/>
        <v>0</v>
      </c>
      <c r="AC443" s="35">
        <f t="shared" si="339"/>
        <v>0</v>
      </c>
    </row>
    <row r="444" spans="1:29">
      <c r="A444" s="459" t="s">
        <v>350</v>
      </c>
      <c r="B444" s="1" t="s">
        <v>652</v>
      </c>
      <c r="C444" s="35">
        <f t="shared" si="340"/>
        <v>0</v>
      </c>
      <c r="D444" s="35" t="e">
        <f t="shared" si="339"/>
        <v>#DIV/0!</v>
      </c>
      <c r="E444" s="35">
        <f t="shared" si="339"/>
        <v>0</v>
      </c>
      <c r="F444" s="35">
        <f t="shared" si="339"/>
        <v>0</v>
      </c>
      <c r="G444" s="35" t="e">
        <f t="shared" si="339"/>
        <v>#DIV/0!</v>
      </c>
      <c r="H444" s="35" t="e">
        <f t="shared" si="339"/>
        <v>#DIV/0!</v>
      </c>
      <c r="I444" s="35">
        <f t="shared" si="339"/>
        <v>0</v>
      </c>
      <c r="J444" s="35" t="e">
        <f t="shared" si="339"/>
        <v>#DIV/0!</v>
      </c>
      <c r="K444" s="35">
        <f t="shared" si="339"/>
        <v>0</v>
      </c>
      <c r="L444" s="35" t="e">
        <f t="shared" si="339"/>
        <v>#DIV/0!</v>
      </c>
      <c r="M444" s="35" t="e">
        <f t="shared" si="339"/>
        <v>#DIV/0!</v>
      </c>
      <c r="N444" s="35">
        <f t="shared" si="339"/>
        <v>0</v>
      </c>
      <c r="O444" s="35">
        <f t="shared" si="339"/>
        <v>0</v>
      </c>
      <c r="P444" s="35">
        <f t="shared" si="339"/>
        <v>0</v>
      </c>
      <c r="Q444" s="35">
        <f t="shared" si="339"/>
        <v>0</v>
      </c>
      <c r="R444" s="35" t="e">
        <f t="shared" si="339"/>
        <v>#DIV/0!</v>
      </c>
      <c r="S444" s="35" t="e">
        <f t="shared" si="339"/>
        <v>#DIV/0!</v>
      </c>
      <c r="T444" s="35">
        <f t="shared" si="339"/>
        <v>0</v>
      </c>
      <c r="U444" s="35" t="e">
        <f t="shared" si="339"/>
        <v>#DIV/0!</v>
      </c>
      <c r="V444" s="35" t="e">
        <f t="shared" si="339"/>
        <v>#DIV/0!</v>
      </c>
      <c r="W444" s="35" t="e">
        <f t="shared" si="339"/>
        <v>#DIV/0!</v>
      </c>
      <c r="X444" s="35" t="e">
        <f t="shared" si="339"/>
        <v>#DIV/0!</v>
      </c>
      <c r="Y444" s="35" t="e">
        <f t="shared" si="339"/>
        <v>#DIV/0!</v>
      </c>
      <c r="Z444" s="35">
        <f t="shared" si="339"/>
        <v>0</v>
      </c>
      <c r="AA444" s="35" t="e">
        <f t="shared" si="339"/>
        <v>#DIV/0!</v>
      </c>
      <c r="AB444" s="35">
        <f t="shared" si="339"/>
        <v>0</v>
      </c>
      <c r="AC444" s="35">
        <f t="shared" si="339"/>
        <v>0</v>
      </c>
    </row>
    <row r="445" spans="1:29">
      <c r="A445" s="459" t="s">
        <v>351</v>
      </c>
      <c r="B445" s="1" t="s">
        <v>652</v>
      </c>
      <c r="C445" s="35">
        <f t="shared" si="340"/>
        <v>0</v>
      </c>
      <c r="D445" s="35" t="e">
        <f t="shared" si="339"/>
        <v>#DIV/0!</v>
      </c>
      <c r="E445" s="35">
        <f t="shared" si="339"/>
        <v>0</v>
      </c>
      <c r="F445" s="35">
        <f t="shared" si="339"/>
        <v>0</v>
      </c>
      <c r="G445" s="35" t="e">
        <f t="shared" si="339"/>
        <v>#DIV/0!</v>
      </c>
      <c r="H445" s="35" t="e">
        <f t="shared" si="339"/>
        <v>#DIV/0!</v>
      </c>
      <c r="I445" s="35">
        <f t="shared" si="339"/>
        <v>0</v>
      </c>
      <c r="J445" s="35" t="e">
        <f t="shared" si="339"/>
        <v>#DIV/0!</v>
      </c>
      <c r="K445" s="35">
        <f t="shared" si="339"/>
        <v>0</v>
      </c>
      <c r="L445" s="35" t="e">
        <f t="shared" si="339"/>
        <v>#DIV/0!</v>
      </c>
      <c r="M445" s="35" t="e">
        <f t="shared" si="339"/>
        <v>#DIV/0!</v>
      </c>
      <c r="N445" s="35">
        <f t="shared" si="339"/>
        <v>0</v>
      </c>
      <c r="O445" s="35">
        <f t="shared" si="339"/>
        <v>0</v>
      </c>
      <c r="P445" s="35">
        <f t="shared" si="339"/>
        <v>0</v>
      </c>
      <c r="Q445" s="35">
        <f t="shared" si="339"/>
        <v>0</v>
      </c>
      <c r="R445" s="35" t="e">
        <f t="shared" si="339"/>
        <v>#DIV/0!</v>
      </c>
      <c r="S445" s="35" t="e">
        <f t="shared" si="339"/>
        <v>#DIV/0!</v>
      </c>
      <c r="T445" s="35">
        <f t="shared" si="339"/>
        <v>0</v>
      </c>
      <c r="U445" s="35" t="e">
        <f t="shared" si="339"/>
        <v>#DIV/0!</v>
      </c>
      <c r="V445" s="35" t="e">
        <f t="shared" si="339"/>
        <v>#DIV/0!</v>
      </c>
      <c r="W445" s="35" t="e">
        <f t="shared" si="339"/>
        <v>#DIV/0!</v>
      </c>
      <c r="X445" s="35" t="e">
        <f t="shared" si="339"/>
        <v>#DIV/0!</v>
      </c>
      <c r="Y445" s="35" t="e">
        <f t="shared" si="339"/>
        <v>#DIV/0!</v>
      </c>
      <c r="Z445" s="35">
        <f t="shared" si="339"/>
        <v>0</v>
      </c>
      <c r="AA445" s="35" t="e">
        <f t="shared" si="339"/>
        <v>#DIV/0!</v>
      </c>
      <c r="AB445" s="35">
        <f t="shared" si="339"/>
        <v>0</v>
      </c>
      <c r="AC445" s="35">
        <f t="shared" si="339"/>
        <v>0</v>
      </c>
    </row>
    <row r="446" spans="1:29">
      <c r="A446" s="459" t="s">
        <v>352</v>
      </c>
      <c r="B446" s="1" t="s">
        <v>652</v>
      </c>
      <c r="C446" s="35">
        <f t="shared" si="340"/>
        <v>0.08</v>
      </c>
      <c r="D446" s="35" t="e">
        <f t="shared" si="339"/>
        <v>#DIV/0!</v>
      </c>
      <c r="E446" s="35">
        <f t="shared" si="339"/>
        <v>0.18181818181818182</v>
      </c>
      <c r="F446" s="35">
        <f t="shared" si="339"/>
        <v>0</v>
      </c>
      <c r="G446" s="35" t="e">
        <f t="shared" si="339"/>
        <v>#DIV/0!</v>
      </c>
      <c r="H446" s="35" t="e">
        <f t="shared" si="339"/>
        <v>#DIV/0!</v>
      </c>
      <c r="I446" s="35">
        <f t="shared" si="339"/>
        <v>0</v>
      </c>
      <c r="J446" s="35" t="e">
        <f t="shared" si="339"/>
        <v>#DIV/0!</v>
      </c>
      <c r="K446" s="35">
        <f t="shared" si="339"/>
        <v>0</v>
      </c>
      <c r="L446" s="35" t="e">
        <f t="shared" si="339"/>
        <v>#DIV/0!</v>
      </c>
      <c r="M446" s="35" t="e">
        <f t="shared" si="339"/>
        <v>#DIV/0!</v>
      </c>
      <c r="N446" s="35">
        <f t="shared" si="339"/>
        <v>0</v>
      </c>
      <c r="O446" s="35">
        <f t="shared" si="339"/>
        <v>0</v>
      </c>
      <c r="P446" s="35">
        <f t="shared" si="339"/>
        <v>0</v>
      </c>
      <c r="Q446" s="35">
        <f t="shared" si="339"/>
        <v>0</v>
      </c>
      <c r="R446" s="35" t="e">
        <f t="shared" si="339"/>
        <v>#DIV/0!</v>
      </c>
      <c r="S446" s="35" t="e">
        <f t="shared" si="339"/>
        <v>#DIV/0!</v>
      </c>
      <c r="T446" s="35">
        <f t="shared" si="339"/>
        <v>0</v>
      </c>
      <c r="U446" s="35" t="e">
        <f t="shared" si="339"/>
        <v>#DIV/0!</v>
      </c>
      <c r="V446" s="35" t="e">
        <f t="shared" si="339"/>
        <v>#DIV/0!</v>
      </c>
      <c r="W446" s="35" t="e">
        <f t="shared" si="339"/>
        <v>#DIV/0!</v>
      </c>
      <c r="X446" s="35" t="e">
        <f t="shared" si="339"/>
        <v>#DIV/0!</v>
      </c>
      <c r="Y446" s="35" t="e">
        <f t="shared" si="339"/>
        <v>#DIV/0!</v>
      </c>
      <c r="Z446" s="35">
        <f t="shared" si="339"/>
        <v>0</v>
      </c>
      <c r="AA446" s="35" t="e">
        <f t="shared" si="339"/>
        <v>#DIV/0!</v>
      </c>
      <c r="AB446" s="35">
        <f t="shared" si="339"/>
        <v>0</v>
      </c>
      <c r="AC446" s="35">
        <f t="shared" si="339"/>
        <v>0</v>
      </c>
    </row>
    <row r="447" spans="1:29">
      <c r="A447" s="459" t="s">
        <v>353</v>
      </c>
      <c r="B447" s="1" t="s">
        <v>652</v>
      </c>
      <c r="C447" s="35">
        <f t="shared" si="340"/>
        <v>0.92</v>
      </c>
      <c r="D447" s="35" t="e">
        <f t="shared" si="339"/>
        <v>#DIV/0!</v>
      </c>
      <c r="E447" s="35">
        <f t="shared" si="339"/>
        <v>0.81818181818181823</v>
      </c>
      <c r="F447" s="35">
        <f t="shared" si="339"/>
        <v>1</v>
      </c>
      <c r="G447" s="35" t="e">
        <f t="shared" si="339"/>
        <v>#DIV/0!</v>
      </c>
      <c r="H447" s="35" t="e">
        <f t="shared" si="339"/>
        <v>#DIV/0!</v>
      </c>
      <c r="I447" s="35">
        <f t="shared" si="339"/>
        <v>1</v>
      </c>
      <c r="J447" s="35" t="e">
        <f t="shared" si="339"/>
        <v>#DIV/0!</v>
      </c>
      <c r="K447" s="35">
        <f t="shared" si="339"/>
        <v>1</v>
      </c>
      <c r="L447" s="35" t="e">
        <f t="shared" si="339"/>
        <v>#DIV/0!</v>
      </c>
      <c r="M447" s="35" t="e">
        <f t="shared" si="339"/>
        <v>#DIV/0!</v>
      </c>
      <c r="N447" s="35">
        <f t="shared" si="339"/>
        <v>1</v>
      </c>
      <c r="O447" s="35">
        <f t="shared" si="339"/>
        <v>1</v>
      </c>
      <c r="P447" s="35">
        <f t="shared" si="339"/>
        <v>1</v>
      </c>
      <c r="Q447" s="35">
        <f t="shared" si="339"/>
        <v>1</v>
      </c>
      <c r="R447" s="35" t="e">
        <f t="shared" si="339"/>
        <v>#DIV/0!</v>
      </c>
      <c r="S447" s="35" t="e">
        <f t="shared" si="339"/>
        <v>#DIV/0!</v>
      </c>
      <c r="T447" s="35">
        <f t="shared" si="339"/>
        <v>1</v>
      </c>
      <c r="U447" s="35" t="e">
        <f t="shared" si="339"/>
        <v>#DIV/0!</v>
      </c>
      <c r="V447" s="35" t="e">
        <f t="shared" si="339"/>
        <v>#DIV/0!</v>
      </c>
      <c r="W447" s="35" t="e">
        <f t="shared" si="339"/>
        <v>#DIV/0!</v>
      </c>
      <c r="X447" s="35" t="e">
        <f t="shared" si="339"/>
        <v>#DIV/0!</v>
      </c>
      <c r="Y447" s="35" t="e">
        <f t="shared" si="339"/>
        <v>#DIV/0!</v>
      </c>
      <c r="Z447" s="35">
        <f t="shared" si="339"/>
        <v>1</v>
      </c>
      <c r="AA447" s="35" t="e">
        <f t="shared" si="339"/>
        <v>#DIV/0!</v>
      </c>
      <c r="AB447" s="35">
        <f t="shared" si="339"/>
        <v>1</v>
      </c>
      <c r="AC447" s="35">
        <f t="shared" si="339"/>
        <v>1</v>
      </c>
    </row>
    <row r="448" spans="1:29">
      <c r="A448" s="458" t="s">
        <v>16</v>
      </c>
      <c r="B448" s="458" t="s">
        <v>652</v>
      </c>
      <c r="C448" s="403">
        <f t="shared" ref="C448:AC448" si="341">SUM(C441:C447)</f>
        <v>1</v>
      </c>
      <c r="D448" s="403" t="e">
        <f t="shared" si="341"/>
        <v>#DIV/0!</v>
      </c>
      <c r="E448" s="403">
        <f t="shared" si="341"/>
        <v>1</v>
      </c>
      <c r="F448" s="403">
        <f t="shared" si="341"/>
        <v>1</v>
      </c>
      <c r="G448" s="403" t="e">
        <f t="shared" si="341"/>
        <v>#DIV/0!</v>
      </c>
      <c r="H448" s="403" t="e">
        <f t="shared" si="341"/>
        <v>#DIV/0!</v>
      </c>
      <c r="I448" s="403">
        <f t="shared" si="341"/>
        <v>1</v>
      </c>
      <c r="J448" s="403" t="e">
        <f t="shared" si="341"/>
        <v>#DIV/0!</v>
      </c>
      <c r="K448" s="403">
        <f t="shared" si="341"/>
        <v>1</v>
      </c>
      <c r="L448" s="403" t="e">
        <f t="shared" si="341"/>
        <v>#DIV/0!</v>
      </c>
      <c r="M448" s="403" t="e">
        <f t="shared" si="341"/>
        <v>#DIV/0!</v>
      </c>
      <c r="N448" s="403">
        <f t="shared" si="341"/>
        <v>1</v>
      </c>
      <c r="O448" s="403">
        <f t="shared" si="341"/>
        <v>1</v>
      </c>
      <c r="P448" s="403">
        <f t="shared" si="341"/>
        <v>1</v>
      </c>
      <c r="Q448" s="403">
        <f t="shared" si="341"/>
        <v>1</v>
      </c>
      <c r="R448" s="403" t="e">
        <f t="shared" si="341"/>
        <v>#DIV/0!</v>
      </c>
      <c r="S448" s="403" t="e">
        <f t="shared" si="341"/>
        <v>#DIV/0!</v>
      </c>
      <c r="T448" s="403">
        <f t="shared" si="341"/>
        <v>1</v>
      </c>
      <c r="U448" s="403" t="e">
        <f t="shared" si="341"/>
        <v>#DIV/0!</v>
      </c>
      <c r="V448" s="403" t="e">
        <f t="shared" si="341"/>
        <v>#DIV/0!</v>
      </c>
      <c r="W448" s="403" t="e">
        <f t="shared" si="341"/>
        <v>#DIV/0!</v>
      </c>
      <c r="X448" s="403" t="e">
        <f t="shared" si="341"/>
        <v>#DIV/0!</v>
      </c>
      <c r="Y448" s="403" t="e">
        <f t="shared" si="341"/>
        <v>#DIV/0!</v>
      </c>
      <c r="Z448" s="403">
        <f t="shared" si="341"/>
        <v>1</v>
      </c>
      <c r="AA448" s="403" t="e">
        <f t="shared" si="341"/>
        <v>#DIV/0!</v>
      </c>
      <c r="AB448" s="403">
        <f t="shared" si="341"/>
        <v>1</v>
      </c>
      <c r="AC448" s="403">
        <f t="shared" si="341"/>
        <v>1</v>
      </c>
    </row>
    <row r="449" spans="1:29">
      <c r="A449" s="459"/>
      <c r="C449" s="459"/>
      <c r="D449" s="459"/>
      <c r="E449" s="459"/>
      <c r="F449" s="459"/>
      <c r="G449" s="459"/>
      <c r="H449" s="459"/>
      <c r="I449" s="459"/>
      <c r="J449" s="459"/>
      <c r="K449" s="459"/>
      <c r="L449" s="459"/>
      <c r="M449" s="459"/>
      <c r="N449" s="459"/>
      <c r="O449" s="459"/>
      <c r="P449" s="459"/>
      <c r="Q449" s="459"/>
      <c r="R449" s="459"/>
      <c r="S449" s="459"/>
      <c r="T449" s="459"/>
      <c r="U449" s="459"/>
      <c r="V449" s="459"/>
      <c r="W449" s="459"/>
      <c r="X449" s="459"/>
      <c r="Y449" s="459"/>
      <c r="Z449" s="459"/>
      <c r="AA449" s="459"/>
      <c r="AB449" s="459"/>
      <c r="AC449" s="459"/>
    </row>
    <row r="450" spans="1:29">
      <c r="A450" s="459"/>
      <c r="C450" s="459"/>
      <c r="D450" s="459"/>
      <c r="E450" s="459"/>
      <c r="F450" s="459"/>
      <c r="G450" s="459"/>
      <c r="H450" s="459"/>
      <c r="I450" s="459"/>
      <c r="J450" s="459"/>
      <c r="K450" s="459"/>
      <c r="L450" s="459"/>
      <c r="M450" s="459"/>
      <c r="N450" s="459"/>
      <c r="O450" s="459"/>
      <c r="P450" s="459"/>
      <c r="Q450" s="459"/>
      <c r="R450" s="459"/>
      <c r="S450" s="459"/>
      <c r="T450" s="459"/>
      <c r="U450" s="459"/>
      <c r="V450" s="459"/>
      <c r="W450" s="459"/>
      <c r="X450" s="459"/>
      <c r="Y450" s="459"/>
      <c r="Z450" s="459"/>
      <c r="AA450" s="459"/>
      <c r="AB450" s="459"/>
      <c r="AC450" s="459"/>
    </row>
    <row r="451" spans="1:29">
      <c r="A451" s="459"/>
      <c r="C451" s="459"/>
      <c r="D451" s="459"/>
      <c r="E451" s="459"/>
      <c r="F451" s="459"/>
      <c r="G451" s="459"/>
      <c r="H451" s="459"/>
      <c r="I451" s="459"/>
      <c r="J451" s="459"/>
      <c r="K451" s="459"/>
      <c r="L451" s="459"/>
      <c r="M451" s="459"/>
      <c r="N451" s="459"/>
      <c r="O451" s="459"/>
      <c r="P451" s="459"/>
      <c r="Q451" s="459"/>
      <c r="R451" s="459"/>
      <c r="S451" s="459"/>
      <c r="T451" s="459"/>
      <c r="U451" s="459"/>
      <c r="V451" s="459"/>
      <c r="W451" s="459"/>
      <c r="X451" s="459"/>
      <c r="Y451" s="459"/>
      <c r="Z451" s="459"/>
      <c r="AA451" s="459"/>
      <c r="AB451" s="459"/>
      <c r="AC451" s="459"/>
    </row>
    <row r="452" spans="1:29" ht="15.6">
      <c r="A452" s="425" t="s">
        <v>681</v>
      </c>
      <c r="C452" s="459"/>
      <c r="D452" s="459"/>
      <c r="E452" s="459"/>
      <c r="F452" s="459"/>
      <c r="G452" s="459"/>
      <c r="H452" s="459"/>
      <c r="I452" s="459"/>
      <c r="J452" s="459"/>
      <c r="K452" s="459"/>
      <c r="L452" s="459"/>
      <c r="M452" s="459"/>
      <c r="N452" s="459"/>
      <c r="O452" s="459"/>
      <c r="P452" s="459"/>
      <c r="Q452" s="459"/>
      <c r="R452" s="459"/>
      <c r="S452" s="459"/>
      <c r="T452" s="459"/>
      <c r="U452" s="459"/>
      <c r="V452" s="459"/>
      <c r="W452" s="459"/>
      <c r="X452" s="459"/>
      <c r="Y452" s="459"/>
      <c r="Z452" s="459"/>
      <c r="AA452" s="459"/>
      <c r="AB452" s="459"/>
      <c r="AC452" s="459"/>
    </row>
    <row r="453" spans="1:29">
      <c r="A453" s="131" t="s">
        <v>648</v>
      </c>
      <c r="B453" s="131" t="s">
        <v>64</v>
      </c>
      <c r="C453" s="131" t="str">
        <f>C440</f>
        <v>IE</v>
      </c>
      <c r="D453" s="131" t="str">
        <f t="shared" ref="D453:AC453" si="342">D440</f>
        <v>IE-CW</v>
      </c>
      <c r="E453" s="131" t="str">
        <f t="shared" si="342"/>
        <v>IE-D</v>
      </c>
      <c r="F453" s="131" t="str">
        <f t="shared" si="342"/>
        <v>IE-KE</v>
      </c>
      <c r="G453" s="131" t="str">
        <f t="shared" si="342"/>
        <v>IE-KK</v>
      </c>
      <c r="H453" s="131" t="str">
        <f t="shared" si="342"/>
        <v>IE-LS</v>
      </c>
      <c r="I453" s="131" t="str">
        <f t="shared" si="342"/>
        <v>IE-LD</v>
      </c>
      <c r="J453" s="131" t="str">
        <f t="shared" si="342"/>
        <v>IE-LH</v>
      </c>
      <c r="K453" s="131" t="str">
        <f t="shared" si="342"/>
        <v>IE-MH</v>
      </c>
      <c r="L453" s="131" t="str">
        <f t="shared" si="342"/>
        <v>IE-OY</v>
      </c>
      <c r="M453" s="131" t="str">
        <f t="shared" si="342"/>
        <v>IE-WH</v>
      </c>
      <c r="N453" s="131" t="str">
        <f t="shared" si="342"/>
        <v>IE-WX</v>
      </c>
      <c r="O453" s="131" t="str">
        <f t="shared" si="342"/>
        <v>IE-WW</v>
      </c>
      <c r="P453" s="131" t="str">
        <f t="shared" si="342"/>
        <v>IE-CE</v>
      </c>
      <c r="Q453" s="131" t="str">
        <f t="shared" si="342"/>
        <v>IE-CO</v>
      </c>
      <c r="R453" s="131" t="str">
        <f t="shared" si="342"/>
        <v>IE-KY</v>
      </c>
      <c r="S453" s="131" t="str">
        <f t="shared" si="342"/>
        <v>IE-LK</v>
      </c>
      <c r="T453" s="131" t="str">
        <f t="shared" si="342"/>
        <v>IE-TA</v>
      </c>
      <c r="U453" s="131" t="str">
        <f t="shared" si="342"/>
        <v>IE-WD</v>
      </c>
      <c r="V453" s="131" t="str">
        <f t="shared" si="342"/>
        <v>IE-G</v>
      </c>
      <c r="W453" s="131" t="str">
        <f t="shared" si="342"/>
        <v>IE-LM</v>
      </c>
      <c r="X453" s="131" t="str">
        <f t="shared" si="342"/>
        <v>IE-MO</v>
      </c>
      <c r="Y453" s="131" t="str">
        <f t="shared" si="342"/>
        <v>IE-RN</v>
      </c>
      <c r="Z453" s="131" t="str">
        <f t="shared" si="342"/>
        <v>IE-SO</v>
      </c>
      <c r="AA453" s="131" t="str">
        <f t="shared" si="342"/>
        <v>IE-CN</v>
      </c>
      <c r="AB453" s="131" t="str">
        <f t="shared" si="342"/>
        <v>IE-DL</v>
      </c>
      <c r="AC453" s="131" t="str">
        <f t="shared" si="342"/>
        <v>IE-MN</v>
      </c>
    </row>
    <row r="454" spans="1:29">
      <c r="A454" s="459" t="s">
        <v>347</v>
      </c>
      <c r="B454" s="459" t="s">
        <v>653</v>
      </c>
      <c r="C454" s="509">
        <v>0.89420463139996986</v>
      </c>
      <c r="D454" s="509">
        <v>0.89420463139996986</v>
      </c>
      <c r="E454" s="509">
        <v>0.89420463139996986</v>
      </c>
      <c r="F454" s="509">
        <v>0.89420463139996986</v>
      </c>
      <c r="G454" s="509">
        <v>0.89420463139996986</v>
      </c>
      <c r="H454" s="509">
        <v>0.89420463139996986</v>
      </c>
      <c r="I454" s="509">
        <v>0.89420463139996986</v>
      </c>
      <c r="J454" s="509">
        <v>0.89420463139996986</v>
      </c>
      <c r="K454" s="509">
        <v>0.89420463139996986</v>
      </c>
      <c r="L454" s="509">
        <v>0.89420463139996986</v>
      </c>
      <c r="M454" s="509">
        <v>0.89420463139996986</v>
      </c>
      <c r="N454" s="509">
        <v>0.89420463139996986</v>
      </c>
      <c r="O454" s="509">
        <v>0.89420463139996986</v>
      </c>
      <c r="P454" s="509">
        <v>0.89420463139996986</v>
      </c>
      <c r="Q454" s="509">
        <v>0.89420463139996986</v>
      </c>
      <c r="R454" s="509">
        <v>0.89420463139996986</v>
      </c>
      <c r="S454" s="509">
        <v>0.89420463139996986</v>
      </c>
      <c r="T454" s="509">
        <v>0.89420463139996986</v>
      </c>
      <c r="U454" s="509">
        <v>0.89420463139996986</v>
      </c>
      <c r="V454" s="509">
        <v>0.89420463139996986</v>
      </c>
      <c r="W454" s="509">
        <v>0.89420463139996986</v>
      </c>
      <c r="X454" s="509">
        <v>0.89420463139996986</v>
      </c>
      <c r="Y454" s="509">
        <v>0.89420463139996986</v>
      </c>
      <c r="Z454" s="509">
        <v>0.89420463139996986</v>
      </c>
      <c r="AA454" s="509">
        <v>0.89420463139996986</v>
      </c>
      <c r="AB454" s="509">
        <v>0.89420463139996986</v>
      </c>
      <c r="AC454" s="509">
        <v>0.89420463139996986</v>
      </c>
    </row>
    <row r="455" spans="1:29">
      <c r="A455" s="459" t="s">
        <v>348</v>
      </c>
      <c r="B455" s="459" t="s">
        <v>653</v>
      </c>
      <c r="C455" s="509">
        <v>0.89549213686135043</v>
      </c>
      <c r="D455" s="509">
        <v>0.89549213686135043</v>
      </c>
      <c r="E455" s="509">
        <v>0.89549213686135043</v>
      </c>
      <c r="F455" s="509">
        <v>0.89549213686135043</v>
      </c>
      <c r="G455" s="509">
        <v>0.89549213686135043</v>
      </c>
      <c r="H455" s="509">
        <v>0.89549213686135043</v>
      </c>
      <c r="I455" s="509">
        <v>0.89549213686135043</v>
      </c>
      <c r="J455" s="509">
        <v>0.89549213686135043</v>
      </c>
      <c r="K455" s="509">
        <v>0.89549213686135043</v>
      </c>
      <c r="L455" s="509">
        <v>0.89549213686135043</v>
      </c>
      <c r="M455" s="509">
        <v>0.89549213686135043</v>
      </c>
      <c r="N455" s="509">
        <v>0.89549213686135043</v>
      </c>
      <c r="O455" s="509">
        <v>0.89549213686135043</v>
      </c>
      <c r="P455" s="509">
        <v>0.89549213686135043</v>
      </c>
      <c r="Q455" s="509">
        <v>0.89549213686135043</v>
      </c>
      <c r="R455" s="509">
        <v>0.89549213686135043</v>
      </c>
      <c r="S455" s="509">
        <v>0.89549213686135043</v>
      </c>
      <c r="T455" s="509">
        <v>0.89549213686135043</v>
      </c>
      <c r="U455" s="509">
        <v>0.89549213686135043</v>
      </c>
      <c r="V455" s="509">
        <v>0.89549213686135043</v>
      </c>
      <c r="W455" s="509">
        <v>0.89549213686135043</v>
      </c>
      <c r="X455" s="509">
        <v>0.89549213686135043</v>
      </c>
      <c r="Y455" s="509">
        <v>0.89549213686135043</v>
      </c>
      <c r="Z455" s="509">
        <v>0.89549213686135043</v>
      </c>
      <c r="AA455" s="509">
        <v>0.89549213686135043</v>
      </c>
      <c r="AB455" s="509">
        <v>0.89549213686135043</v>
      </c>
      <c r="AC455" s="509">
        <v>0.89549213686135043</v>
      </c>
    </row>
    <row r="456" spans="1:29">
      <c r="A456" s="459" t="s">
        <v>349</v>
      </c>
      <c r="B456" s="459" t="s">
        <v>653</v>
      </c>
      <c r="C456" s="509">
        <v>0.88898830526723482</v>
      </c>
      <c r="D456" s="509">
        <v>0.88898830526723482</v>
      </c>
      <c r="E456" s="509">
        <v>0.88898830526723482</v>
      </c>
      <c r="F456" s="509">
        <v>0.88898830526723482</v>
      </c>
      <c r="G456" s="509">
        <v>0.88898830526723482</v>
      </c>
      <c r="H456" s="509">
        <v>0.88898830526723482</v>
      </c>
      <c r="I456" s="509">
        <v>0.88898830526723482</v>
      </c>
      <c r="J456" s="509">
        <v>0.88898830526723482</v>
      </c>
      <c r="K456" s="509">
        <v>0.88898830526723482</v>
      </c>
      <c r="L456" s="509">
        <v>0.88898830526723482</v>
      </c>
      <c r="M456" s="509">
        <v>0.88898830526723482</v>
      </c>
      <c r="N456" s="509">
        <v>0.88898830526723482</v>
      </c>
      <c r="O456" s="509">
        <v>0.88898830526723482</v>
      </c>
      <c r="P456" s="509">
        <v>0.88898830526723482</v>
      </c>
      <c r="Q456" s="509">
        <v>0.88898830526723482</v>
      </c>
      <c r="R456" s="509">
        <v>0.88898830526723482</v>
      </c>
      <c r="S456" s="509">
        <v>0.88898830526723482</v>
      </c>
      <c r="T456" s="509">
        <v>0.88898830526723482</v>
      </c>
      <c r="U456" s="509">
        <v>0.88898830526723482</v>
      </c>
      <c r="V456" s="509">
        <v>0.88898830526723482</v>
      </c>
      <c r="W456" s="509">
        <v>0.88898830526723482</v>
      </c>
      <c r="X456" s="509">
        <v>0.88898830526723482</v>
      </c>
      <c r="Y456" s="509">
        <v>0.88898830526723482</v>
      </c>
      <c r="Z456" s="509">
        <v>0.88898830526723482</v>
      </c>
      <c r="AA456" s="509">
        <v>0.88898830526723482</v>
      </c>
      <c r="AB456" s="509">
        <v>0.88898830526723482</v>
      </c>
      <c r="AC456" s="509">
        <v>0.88898830526723482</v>
      </c>
    </row>
    <row r="457" spans="1:29">
      <c r="A457" s="459" t="s">
        <v>350</v>
      </c>
      <c r="B457" s="459" t="s">
        <v>653</v>
      </c>
      <c r="C457" s="509">
        <v>0.91515513280315741</v>
      </c>
      <c r="D457" s="509">
        <v>0.91515513280315741</v>
      </c>
      <c r="E457" s="509">
        <v>0.91515513280315741</v>
      </c>
      <c r="F457" s="509">
        <v>0.91515513280315741</v>
      </c>
      <c r="G457" s="509">
        <v>0.91515513280315741</v>
      </c>
      <c r="H457" s="509">
        <v>0.91515513280315741</v>
      </c>
      <c r="I457" s="509">
        <v>0.91515513280315741</v>
      </c>
      <c r="J457" s="509">
        <v>0.91515513280315741</v>
      </c>
      <c r="K457" s="509">
        <v>0.91515513280315741</v>
      </c>
      <c r="L457" s="509">
        <v>0.91515513280315741</v>
      </c>
      <c r="M457" s="509">
        <v>0.91515513280315741</v>
      </c>
      <c r="N457" s="509">
        <v>0.91515513280315741</v>
      </c>
      <c r="O457" s="509">
        <v>0.91515513280315741</v>
      </c>
      <c r="P457" s="509">
        <v>0.91515513280315741</v>
      </c>
      <c r="Q457" s="509">
        <v>0.91515513280315741</v>
      </c>
      <c r="R457" s="509">
        <v>0.91515513280315741</v>
      </c>
      <c r="S457" s="509">
        <v>0.91515513280315741</v>
      </c>
      <c r="T457" s="509">
        <v>0.91515513280315741</v>
      </c>
      <c r="U457" s="509">
        <v>0.91515513280315741</v>
      </c>
      <c r="V457" s="509">
        <v>0.91515513280315741</v>
      </c>
      <c r="W457" s="509">
        <v>0.91515513280315741</v>
      </c>
      <c r="X457" s="509">
        <v>0.91515513280315741</v>
      </c>
      <c r="Y457" s="509">
        <v>0.91515513280315741</v>
      </c>
      <c r="Z457" s="509">
        <v>0.91515513280315741</v>
      </c>
      <c r="AA457" s="509">
        <v>0.91515513280315741</v>
      </c>
      <c r="AB457" s="509">
        <v>0.91515513280315741</v>
      </c>
      <c r="AC457" s="509">
        <v>0.91515513280315741</v>
      </c>
    </row>
    <row r="458" spans="1:29">
      <c r="A458" s="459" t="s">
        <v>351</v>
      </c>
      <c r="B458" s="459" t="s">
        <v>653</v>
      </c>
      <c r="C458" s="509">
        <v>0.99212392375028091</v>
      </c>
      <c r="D458" s="509">
        <v>0.99212392375028091</v>
      </c>
      <c r="E458" s="509">
        <v>0.99212392375028091</v>
      </c>
      <c r="F458" s="509">
        <v>0.99212392375028091</v>
      </c>
      <c r="G458" s="509">
        <v>0.99212392375028091</v>
      </c>
      <c r="H458" s="509">
        <v>0.99212392375028091</v>
      </c>
      <c r="I458" s="509">
        <v>0.99212392375028091</v>
      </c>
      <c r="J458" s="509">
        <v>0.99212392375028091</v>
      </c>
      <c r="K458" s="509">
        <v>0.99212392375028091</v>
      </c>
      <c r="L458" s="509">
        <v>0.99212392375028091</v>
      </c>
      <c r="M458" s="509">
        <v>0.99212392375028091</v>
      </c>
      <c r="N458" s="509">
        <v>0.99212392375028091</v>
      </c>
      <c r="O458" s="509">
        <v>0.99212392375028091</v>
      </c>
      <c r="P458" s="509">
        <v>0.99212392375028091</v>
      </c>
      <c r="Q458" s="509">
        <v>0.99212392375028091</v>
      </c>
      <c r="R458" s="509">
        <v>0.99212392375028091</v>
      </c>
      <c r="S458" s="509">
        <v>0.99212392375028091</v>
      </c>
      <c r="T458" s="509">
        <v>0.99212392375028091</v>
      </c>
      <c r="U458" s="509">
        <v>0.99212392375028091</v>
      </c>
      <c r="V458" s="509">
        <v>0.99212392375028091</v>
      </c>
      <c r="W458" s="509">
        <v>0.99212392375028091</v>
      </c>
      <c r="X458" s="509">
        <v>0.99212392375028091</v>
      </c>
      <c r="Y458" s="509">
        <v>0.99212392375028091</v>
      </c>
      <c r="Z458" s="509">
        <v>0.99212392375028091</v>
      </c>
      <c r="AA458" s="509">
        <v>0.99212392375028091</v>
      </c>
      <c r="AB458" s="509">
        <v>0.99212392375028091</v>
      </c>
      <c r="AC458" s="509">
        <v>0.99212392375028091</v>
      </c>
    </row>
    <row r="459" spans="1:29">
      <c r="A459" s="459" t="s">
        <v>352</v>
      </c>
      <c r="B459" s="459" t="s">
        <v>653</v>
      </c>
      <c r="C459" s="509">
        <v>1.0153132420731179</v>
      </c>
      <c r="D459" s="509">
        <v>1.0153132420731179</v>
      </c>
      <c r="E459" s="509">
        <v>1.0153132420731179</v>
      </c>
      <c r="F459" s="509">
        <v>1.0153132420731179</v>
      </c>
      <c r="G459" s="509">
        <v>1.0153132420731179</v>
      </c>
      <c r="H459" s="509">
        <v>1.0153132420731179</v>
      </c>
      <c r="I459" s="509">
        <v>1.0153132420731179</v>
      </c>
      <c r="J459" s="509">
        <v>1.0153132420731179</v>
      </c>
      <c r="K459" s="509">
        <v>1.0153132420731179</v>
      </c>
      <c r="L459" s="509">
        <v>1.0153132420731179</v>
      </c>
      <c r="M459" s="509">
        <v>1.0153132420731179</v>
      </c>
      <c r="N459" s="509">
        <v>1.0153132420731179</v>
      </c>
      <c r="O459" s="509">
        <v>1.0153132420731179</v>
      </c>
      <c r="P459" s="509">
        <v>1.0153132420731179</v>
      </c>
      <c r="Q459" s="509">
        <v>1.0153132420731179</v>
      </c>
      <c r="R459" s="509">
        <v>1.0153132420731179</v>
      </c>
      <c r="S459" s="509">
        <v>1.0153132420731179</v>
      </c>
      <c r="T459" s="509">
        <v>1.0153132420731179</v>
      </c>
      <c r="U459" s="509">
        <v>1.0153132420731179</v>
      </c>
      <c r="V459" s="509">
        <v>1.0153132420731179</v>
      </c>
      <c r="W459" s="509">
        <v>1.0153132420731179</v>
      </c>
      <c r="X459" s="509">
        <v>1.0153132420731179</v>
      </c>
      <c r="Y459" s="509">
        <v>1.0153132420731179</v>
      </c>
      <c r="Z459" s="509">
        <v>1.0153132420731179</v>
      </c>
      <c r="AA459" s="509">
        <v>1.0153132420731179</v>
      </c>
      <c r="AB459" s="509">
        <v>1.0153132420731179</v>
      </c>
      <c r="AC459" s="509">
        <v>1.0153132420731179</v>
      </c>
    </row>
    <row r="460" spans="1:29">
      <c r="A460" s="458" t="s">
        <v>353</v>
      </c>
      <c r="B460" s="458" t="s">
        <v>653</v>
      </c>
      <c r="C460" s="514">
        <v>1.0969120942538386</v>
      </c>
      <c r="D460" s="514">
        <v>1.0969120942538386</v>
      </c>
      <c r="E460" s="514">
        <v>1.0969120942538386</v>
      </c>
      <c r="F460" s="514">
        <v>1.0969120942538386</v>
      </c>
      <c r="G460" s="514">
        <v>1.0969120942538386</v>
      </c>
      <c r="H460" s="514">
        <v>1.0969120942538386</v>
      </c>
      <c r="I460" s="514">
        <v>1.0969120942538386</v>
      </c>
      <c r="J460" s="514">
        <v>1.0969120942538386</v>
      </c>
      <c r="K460" s="514">
        <v>1.0969120942538386</v>
      </c>
      <c r="L460" s="514">
        <v>1.0969120942538386</v>
      </c>
      <c r="M460" s="514">
        <v>1.0969120942538386</v>
      </c>
      <c r="N460" s="514">
        <v>1.0969120942538386</v>
      </c>
      <c r="O460" s="514">
        <v>1.0969120942538386</v>
      </c>
      <c r="P460" s="514">
        <v>1.0969120942538386</v>
      </c>
      <c r="Q460" s="514">
        <v>1.0969120942538386</v>
      </c>
      <c r="R460" s="514">
        <v>1.0969120942538386</v>
      </c>
      <c r="S460" s="514">
        <v>1.0969120942538386</v>
      </c>
      <c r="T460" s="514">
        <v>1.0969120942538386</v>
      </c>
      <c r="U460" s="514">
        <v>1.0969120942538386</v>
      </c>
      <c r="V460" s="514">
        <v>1.0969120942538386</v>
      </c>
      <c r="W460" s="514">
        <v>1.0969120942538386</v>
      </c>
      <c r="X460" s="514">
        <v>1.0969120942538386</v>
      </c>
      <c r="Y460" s="514">
        <v>1.0969120942538386</v>
      </c>
      <c r="Z460" s="514">
        <v>1.0969120942538386</v>
      </c>
      <c r="AA460" s="514">
        <v>1.0969120942538386</v>
      </c>
      <c r="AB460" s="514">
        <v>1.0969120942538386</v>
      </c>
      <c r="AC460" s="514">
        <v>1.0969120942538386</v>
      </c>
    </row>
    <row r="461" spans="1:29">
      <c r="A461" s="510" t="s">
        <v>657</v>
      </c>
      <c r="C461" s="459"/>
      <c r="D461" s="459"/>
      <c r="E461" s="459"/>
      <c r="F461" s="459"/>
      <c r="G461" s="459"/>
      <c r="H461" s="459"/>
      <c r="I461" s="459"/>
      <c r="J461" s="459"/>
      <c r="K461" s="459"/>
      <c r="L461" s="459"/>
      <c r="M461" s="459"/>
      <c r="N461" s="459"/>
      <c r="O461" s="459"/>
      <c r="P461" s="459"/>
      <c r="Q461" s="459"/>
      <c r="R461" s="459"/>
      <c r="S461" s="459"/>
      <c r="T461" s="459"/>
      <c r="U461" s="459"/>
      <c r="V461" s="459"/>
      <c r="W461" s="459"/>
      <c r="X461" s="459"/>
      <c r="Y461" s="459"/>
      <c r="Z461" s="459"/>
      <c r="AA461" s="459"/>
      <c r="AB461" s="459"/>
      <c r="AC461" s="459"/>
    </row>
    <row r="462" spans="1:29">
      <c r="A462" s="459"/>
      <c r="C462" s="459"/>
      <c r="D462" s="459"/>
      <c r="E462" s="459"/>
      <c r="F462" s="459"/>
      <c r="G462" s="459"/>
      <c r="H462" s="459"/>
      <c r="I462" s="459"/>
      <c r="J462" s="459"/>
      <c r="K462" s="459"/>
      <c r="L462" s="459"/>
      <c r="M462" s="459"/>
      <c r="N462" s="459"/>
      <c r="O462" s="459"/>
      <c r="P462" s="459"/>
      <c r="Q462" s="459"/>
      <c r="R462" s="459"/>
      <c r="S462" s="459"/>
      <c r="T462" s="459"/>
      <c r="U462" s="459"/>
      <c r="V462" s="459"/>
      <c r="W462" s="459"/>
      <c r="X462" s="459"/>
      <c r="Y462" s="459"/>
      <c r="Z462" s="459"/>
      <c r="AA462" s="459"/>
      <c r="AB462" s="459"/>
      <c r="AC462" s="459"/>
    </row>
    <row r="463" spans="1:29">
      <c r="A463" s="459"/>
      <c r="C463" s="459"/>
      <c r="D463" s="459"/>
      <c r="E463" s="459"/>
      <c r="F463" s="459"/>
      <c r="G463" s="459"/>
      <c r="H463" s="459"/>
      <c r="I463" s="459"/>
      <c r="J463" s="459"/>
      <c r="K463" s="459"/>
      <c r="L463" s="459"/>
      <c r="M463" s="459"/>
      <c r="N463" s="459"/>
      <c r="O463" s="459"/>
      <c r="P463" s="459"/>
      <c r="Q463" s="459"/>
      <c r="R463" s="459"/>
      <c r="S463" s="459"/>
      <c r="T463" s="459"/>
      <c r="U463" s="459"/>
      <c r="V463" s="459"/>
      <c r="W463" s="459"/>
      <c r="X463" s="459"/>
      <c r="Y463" s="459"/>
      <c r="Z463" s="459"/>
      <c r="AA463" s="459"/>
      <c r="AB463" s="459"/>
      <c r="AC463" s="459"/>
    </row>
    <row r="464" spans="1:29">
      <c r="A464" s="459"/>
      <c r="C464" s="459"/>
      <c r="D464" s="459"/>
      <c r="E464" s="459"/>
      <c r="F464" s="459"/>
      <c r="G464" s="459"/>
      <c r="H464" s="459"/>
      <c r="I464" s="459"/>
      <c r="J464" s="459"/>
      <c r="K464" s="459"/>
      <c r="L464" s="459"/>
      <c r="M464" s="459"/>
      <c r="N464" s="459"/>
      <c r="O464" s="459"/>
      <c r="P464" s="459"/>
      <c r="Q464" s="459"/>
      <c r="R464" s="459"/>
      <c r="S464" s="459"/>
      <c r="T464" s="459"/>
      <c r="U464" s="459"/>
      <c r="V464" s="459"/>
      <c r="W464" s="459"/>
      <c r="X464" s="459"/>
      <c r="Y464" s="459"/>
      <c r="Z464" s="459"/>
      <c r="AA464" s="459"/>
      <c r="AB464" s="459"/>
      <c r="AC464" s="459"/>
    </row>
    <row r="465" spans="1:29" ht="15.6">
      <c r="A465" s="425" t="s">
        <v>681</v>
      </c>
      <c r="C465" s="459"/>
      <c r="D465" s="459"/>
      <c r="E465" s="459"/>
      <c r="F465" s="459"/>
      <c r="G465" s="459"/>
      <c r="H465" s="459"/>
      <c r="I465" s="459"/>
      <c r="J465" s="459"/>
      <c r="K465" s="459"/>
      <c r="L465" s="459"/>
      <c r="M465" s="459"/>
      <c r="N465" s="459"/>
      <c r="O465" s="459"/>
      <c r="P465" s="459"/>
      <c r="Q465" s="459"/>
      <c r="R465" s="459"/>
      <c r="S465" s="459"/>
      <c r="T465" s="459"/>
      <c r="U465" s="459"/>
      <c r="V465" s="459"/>
      <c r="W465" s="459"/>
      <c r="X465" s="459"/>
      <c r="Y465" s="459"/>
      <c r="Z465" s="459"/>
      <c r="AA465" s="459"/>
      <c r="AB465" s="459"/>
      <c r="AC465" s="459"/>
    </row>
    <row r="466" spans="1:29">
      <c r="A466" s="131" t="s">
        <v>648</v>
      </c>
      <c r="B466" s="131" t="s">
        <v>64</v>
      </c>
      <c r="C466" s="131" t="str">
        <f>C453</f>
        <v>IE</v>
      </c>
      <c r="D466" s="131" t="str">
        <f t="shared" ref="D466:AC466" si="343">D453</f>
        <v>IE-CW</v>
      </c>
      <c r="E466" s="131" t="str">
        <f t="shared" si="343"/>
        <v>IE-D</v>
      </c>
      <c r="F466" s="131" t="str">
        <f t="shared" si="343"/>
        <v>IE-KE</v>
      </c>
      <c r="G466" s="131" t="str">
        <f t="shared" si="343"/>
        <v>IE-KK</v>
      </c>
      <c r="H466" s="131" t="str">
        <f t="shared" si="343"/>
        <v>IE-LS</v>
      </c>
      <c r="I466" s="131" t="str">
        <f t="shared" si="343"/>
        <v>IE-LD</v>
      </c>
      <c r="J466" s="131" t="str">
        <f t="shared" si="343"/>
        <v>IE-LH</v>
      </c>
      <c r="K466" s="131" t="str">
        <f t="shared" si="343"/>
        <v>IE-MH</v>
      </c>
      <c r="L466" s="131" t="str">
        <f t="shared" si="343"/>
        <v>IE-OY</v>
      </c>
      <c r="M466" s="131" t="str">
        <f t="shared" si="343"/>
        <v>IE-WH</v>
      </c>
      <c r="N466" s="131" t="str">
        <f t="shared" si="343"/>
        <v>IE-WX</v>
      </c>
      <c r="O466" s="131" t="str">
        <f t="shared" si="343"/>
        <v>IE-WW</v>
      </c>
      <c r="P466" s="131" t="str">
        <f t="shared" si="343"/>
        <v>IE-CE</v>
      </c>
      <c r="Q466" s="131" t="str">
        <f t="shared" si="343"/>
        <v>IE-CO</v>
      </c>
      <c r="R466" s="131" t="str">
        <f t="shared" si="343"/>
        <v>IE-KY</v>
      </c>
      <c r="S466" s="131" t="str">
        <f t="shared" si="343"/>
        <v>IE-LK</v>
      </c>
      <c r="T466" s="131" t="str">
        <f t="shared" si="343"/>
        <v>IE-TA</v>
      </c>
      <c r="U466" s="131" t="str">
        <f t="shared" si="343"/>
        <v>IE-WD</v>
      </c>
      <c r="V466" s="131" t="str">
        <f t="shared" si="343"/>
        <v>IE-G</v>
      </c>
      <c r="W466" s="131" t="str">
        <f t="shared" si="343"/>
        <v>IE-LM</v>
      </c>
      <c r="X466" s="131" t="str">
        <f t="shared" si="343"/>
        <v>IE-MO</v>
      </c>
      <c r="Y466" s="131" t="str">
        <f t="shared" si="343"/>
        <v>IE-RN</v>
      </c>
      <c r="Z466" s="131" t="str">
        <f t="shared" si="343"/>
        <v>IE-SO</v>
      </c>
      <c r="AA466" s="131" t="str">
        <f t="shared" si="343"/>
        <v>IE-CN</v>
      </c>
      <c r="AB466" s="131" t="str">
        <f t="shared" si="343"/>
        <v>IE-DL</v>
      </c>
      <c r="AC466" s="131" t="str">
        <f t="shared" si="343"/>
        <v>IE-MN</v>
      </c>
    </row>
    <row r="467" spans="1:29">
      <c r="A467" s="459" t="s">
        <v>669</v>
      </c>
      <c r="B467" s="459" t="s">
        <v>653</v>
      </c>
      <c r="C467" s="505">
        <f>SUMPRODUCT(C441:C447,C454:C460)</f>
        <v>1.090384186079381</v>
      </c>
      <c r="D467" s="505">
        <f>IF(D434&gt;1,SUMPRODUCT(D441:D447,D454:D460),$C$226)</f>
        <v>1.9907750239914981</v>
      </c>
      <c r="E467" s="505">
        <f t="shared" ref="E467:AC467" si="344">IF(E434&gt;1,SUMPRODUCT(E441:E447,E454:E460),$C$226)</f>
        <v>1.0820759393118895</v>
      </c>
      <c r="F467" s="505">
        <f t="shared" si="344"/>
        <v>1.0969120942538386</v>
      </c>
      <c r="G467" s="505">
        <f t="shared" si="344"/>
        <v>1.9907750239914981</v>
      </c>
      <c r="H467" s="505">
        <f t="shared" si="344"/>
        <v>1.9907750239914981</v>
      </c>
      <c r="I467" s="505">
        <f t="shared" si="344"/>
        <v>1.9907750239914981</v>
      </c>
      <c r="J467" s="505">
        <f t="shared" si="344"/>
        <v>1.9907750239914981</v>
      </c>
      <c r="K467" s="505">
        <f t="shared" si="344"/>
        <v>1.9907750239914981</v>
      </c>
      <c r="L467" s="505">
        <f t="shared" si="344"/>
        <v>1.9907750239914981</v>
      </c>
      <c r="M467" s="505">
        <f t="shared" si="344"/>
        <v>1.9907750239914981</v>
      </c>
      <c r="N467" s="505">
        <f t="shared" si="344"/>
        <v>1.9907750239914981</v>
      </c>
      <c r="O467" s="505">
        <f t="shared" si="344"/>
        <v>1.9907750239914981</v>
      </c>
      <c r="P467" s="505">
        <f t="shared" si="344"/>
        <v>1.0969120942538386</v>
      </c>
      <c r="Q467" s="505">
        <f t="shared" si="344"/>
        <v>1.0969120942538386</v>
      </c>
      <c r="R467" s="505">
        <f t="shared" si="344"/>
        <v>1.9907750239914981</v>
      </c>
      <c r="S467" s="505">
        <f t="shared" si="344"/>
        <v>1.9907750239914981</v>
      </c>
      <c r="T467" s="505">
        <f t="shared" si="344"/>
        <v>1.9907750239914981</v>
      </c>
      <c r="U467" s="505">
        <f t="shared" si="344"/>
        <v>1.9907750239914981</v>
      </c>
      <c r="V467" s="505">
        <f t="shared" si="344"/>
        <v>1.9907750239914981</v>
      </c>
      <c r="W467" s="505">
        <f t="shared" si="344"/>
        <v>1.9907750239914981</v>
      </c>
      <c r="X467" s="505">
        <f t="shared" si="344"/>
        <v>1.9907750239914981</v>
      </c>
      <c r="Y467" s="505">
        <f t="shared" si="344"/>
        <v>1.9907750239914981</v>
      </c>
      <c r="Z467" s="505">
        <f t="shared" si="344"/>
        <v>1.9907750239914981</v>
      </c>
      <c r="AA467" s="505">
        <f t="shared" si="344"/>
        <v>1.9907750239914981</v>
      </c>
      <c r="AB467" s="505">
        <f t="shared" si="344"/>
        <v>1.9907750239914981</v>
      </c>
      <c r="AC467" s="505">
        <f t="shared" si="344"/>
        <v>1.9907750239914981</v>
      </c>
    </row>
    <row r="468" spans="1:29">
      <c r="A468" s="458"/>
      <c r="B468" s="458" t="s">
        <v>640</v>
      </c>
      <c r="C468" s="508">
        <f>1000/C467</f>
        <v>917.10794485715246</v>
      </c>
      <c r="D468" s="508">
        <f>1000/D467</f>
        <v>502.31693081772892</v>
      </c>
      <c r="E468" s="508">
        <f>1000/E467</f>
        <v>924.1495570411787</v>
      </c>
      <c r="F468" s="508">
        <f>1000/F467</f>
        <v>911.65008138618259</v>
      </c>
      <c r="G468" s="508">
        <f t="shared" ref="G468" si="345">1000/G467</f>
        <v>502.31693081772892</v>
      </c>
      <c r="H468" s="508">
        <f t="shared" ref="H468" si="346">1000/H467</f>
        <v>502.31693081772892</v>
      </c>
      <c r="I468" s="508">
        <f t="shared" ref="I468" si="347">1000/I467</f>
        <v>502.31693081772892</v>
      </c>
      <c r="J468" s="508">
        <f t="shared" ref="J468" si="348">1000/J467</f>
        <v>502.31693081772892</v>
      </c>
      <c r="K468" s="508">
        <f t="shared" ref="K468" si="349">1000/K467</f>
        <v>502.31693081772892</v>
      </c>
      <c r="L468" s="508">
        <f t="shared" ref="L468" si="350">1000/L467</f>
        <v>502.31693081772892</v>
      </c>
      <c r="M468" s="508">
        <f t="shared" ref="M468" si="351">1000/M467</f>
        <v>502.31693081772892</v>
      </c>
      <c r="N468" s="508">
        <f t="shared" ref="N468" si="352">1000/N467</f>
        <v>502.31693081772892</v>
      </c>
      <c r="O468" s="508">
        <f t="shared" ref="O468" si="353">1000/O467</f>
        <v>502.31693081772892</v>
      </c>
      <c r="P468" s="508">
        <f t="shared" ref="P468" si="354">1000/P467</f>
        <v>911.65008138618259</v>
      </c>
      <c r="Q468" s="508">
        <f t="shared" ref="Q468" si="355">1000/Q467</f>
        <v>911.65008138618259</v>
      </c>
      <c r="R468" s="508">
        <f t="shared" ref="R468" si="356">1000/R467</f>
        <v>502.31693081772892</v>
      </c>
      <c r="S468" s="508">
        <f t="shared" ref="S468" si="357">1000/S467</f>
        <v>502.31693081772892</v>
      </c>
      <c r="T468" s="508">
        <f t="shared" ref="T468" si="358">1000/T467</f>
        <v>502.31693081772892</v>
      </c>
      <c r="U468" s="508">
        <f t="shared" ref="U468" si="359">1000/U467</f>
        <v>502.31693081772892</v>
      </c>
      <c r="V468" s="508">
        <f t="shared" ref="V468" si="360">1000/V467</f>
        <v>502.31693081772892</v>
      </c>
      <c r="W468" s="508">
        <f t="shared" ref="W468" si="361">1000/W467</f>
        <v>502.31693081772892</v>
      </c>
      <c r="X468" s="508">
        <f t="shared" ref="X468" si="362">1000/X467</f>
        <v>502.31693081772892</v>
      </c>
      <c r="Y468" s="508">
        <f t="shared" ref="Y468" si="363">1000/Y467</f>
        <v>502.31693081772892</v>
      </c>
      <c r="Z468" s="508">
        <f t="shared" ref="Z468" si="364">1000/Z467</f>
        <v>502.31693081772892</v>
      </c>
      <c r="AA468" s="508">
        <f t="shared" ref="AA468" si="365">1000/AA467</f>
        <v>502.31693081772892</v>
      </c>
      <c r="AB468" s="508">
        <f t="shared" ref="AB468" si="366">1000/AB467</f>
        <v>502.31693081772892</v>
      </c>
      <c r="AC468" s="508">
        <f t="shared" ref="AC468" si="367">1000/AC467</f>
        <v>502.31693081772892</v>
      </c>
    </row>
    <row r="472" spans="1:29">
      <c r="A472" s="511"/>
      <c r="B472" s="511"/>
      <c r="C472" s="511"/>
      <c r="D472" s="511"/>
      <c r="E472" s="511"/>
      <c r="F472" s="511"/>
      <c r="G472" s="511"/>
      <c r="H472" s="511"/>
      <c r="I472" s="511"/>
      <c r="J472" s="511"/>
      <c r="K472" s="511"/>
      <c r="L472" s="511"/>
      <c r="M472" s="511"/>
      <c r="N472" s="511"/>
      <c r="O472" s="511"/>
      <c r="P472" s="511"/>
      <c r="Q472" s="511"/>
      <c r="R472" s="511"/>
      <c r="S472" s="511"/>
      <c r="T472" s="511"/>
      <c r="U472" s="511"/>
      <c r="V472" s="511"/>
      <c r="W472" s="511"/>
      <c r="X472" s="511"/>
      <c r="Y472" s="511"/>
      <c r="Z472" s="511"/>
      <c r="AA472" s="511"/>
      <c r="AB472" s="511"/>
      <c r="AC472" s="511"/>
    </row>
    <row r="473" spans="1:29" ht="15.6">
      <c r="A473" s="401" t="s">
        <v>682</v>
      </c>
      <c r="C473" s="459"/>
      <c r="D473" s="459"/>
      <c r="E473" s="459"/>
      <c r="F473" s="459"/>
      <c r="G473" s="459"/>
      <c r="H473" s="459"/>
      <c r="I473" s="459"/>
      <c r="J473" s="459"/>
      <c r="K473" s="459"/>
      <c r="L473" s="459"/>
      <c r="M473" s="459"/>
      <c r="N473" s="459"/>
      <c r="O473" s="459"/>
      <c r="P473" s="459"/>
      <c r="Q473" s="459"/>
      <c r="R473" s="459"/>
      <c r="S473" s="459"/>
      <c r="T473" s="459"/>
      <c r="U473" s="459"/>
      <c r="V473" s="459"/>
      <c r="W473" s="459"/>
      <c r="X473" s="459"/>
      <c r="Y473" s="459"/>
      <c r="Z473" s="459"/>
      <c r="AA473" s="459"/>
      <c r="AB473" s="459"/>
      <c r="AC473" s="459"/>
    </row>
    <row r="474" spans="1:29">
      <c r="A474" s="131" t="s">
        <v>685</v>
      </c>
      <c r="B474" s="131" t="s">
        <v>64</v>
      </c>
      <c r="C474" s="131" t="str">
        <f t="shared" ref="C474:AC474" si="368">C466</f>
        <v>IE</v>
      </c>
      <c r="D474" s="131" t="str">
        <f t="shared" si="368"/>
        <v>IE-CW</v>
      </c>
      <c r="E474" s="131" t="str">
        <f t="shared" si="368"/>
        <v>IE-D</v>
      </c>
      <c r="F474" s="131" t="str">
        <f t="shared" si="368"/>
        <v>IE-KE</v>
      </c>
      <c r="G474" s="131" t="str">
        <f t="shared" si="368"/>
        <v>IE-KK</v>
      </c>
      <c r="H474" s="131" t="str">
        <f t="shared" si="368"/>
        <v>IE-LS</v>
      </c>
      <c r="I474" s="131" t="str">
        <f t="shared" si="368"/>
        <v>IE-LD</v>
      </c>
      <c r="J474" s="131" t="str">
        <f t="shared" si="368"/>
        <v>IE-LH</v>
      </c>
      <c r="K474" s="131" t="str">
        <f t="shared" si="368"/>
        <v>IE-MH</v>
      </c>
      <c r="L474" s="131" t="str">
        <f t="shared" si="368"/>
        <v>IE-OY</v>
      </c>
      <c r="M474" s="131" t="str">
        <f t="shared" si="368"/>
        <v>IE-WH</v>
      </c>
      <c r="N474" s="131" t="str">
        <f t="shared" si="368"/>
        <v>IE-WX</v>
      </c>
      <c r="O474" s="131" t="str">
        <f t="shared" si="368"/>
        <v>IE-WW</v>
      </c>
      <c r="P474" s="131" t="str">
        <f t="shared" si="368"/>
        <v>IE-CE</v>
      </c>
      <c r="Q474" s="131" t="str">
        <f t="shared" si="368"/>
        <v>IE-CO</v>
      </c>
      <c r="R474" s="131" t="str">
        <f t="shared" si="368"/>
        <v>IE-KY</v>
      </c>
      <c r="S474" s="131" t="str">
        <f t="shared" si="368"/>
        <v>IE-LK</v>
      </c>
      <c r="T474" s="131" t="str">
        <f t="shared" si="368"/>
        <v>IE-TA</v>
      </c>
      <c r="U474" s="131" t="str">
        <f t="shared" si="368"/>
        <v>IE-WD</v>
      </c>
      <c r="V474" s="131" t="str">
        <f t="shared" si="368"/>
        <v>IE-G</v>
      </c>
      <c r="W474" s="131" t="str">
        <f t="shared" si="368"/>
        <v>IE-LM</v>
      </c>
      <c r="X474" s="131" t="str">
        <f t="shared" si="368"/>
        <v>IE-MO</v>
      </c>
      <c r="Y474" s="131" t="str">
        <f t="shared" si="368"/>
        <v>IE-RN</v>
      </c>
      <c r="Z474" s="131" t="str">
        <f t="shared" si="368"/>
        <v>IE-SO</v>
      </c>
      <c r="AA474" s="131" t="str">
        <f t="shared" si="368"/>
        <v>IE-CN</v>
      </c>
      <c r="AB474" s="131" t="str">
        <f t="shared" si="368"/>
        <v>IE-DL</v>
      </c>
      <c r="AC474" s="131" t="str">
        <f t="shared" si="368"/>
        <v>IE-MN</v>
      </c>
    </row>
    <row r="475" spans="1:29">
      <c r="A475" s="459" t="s">
        <v>692</v>
      </c>
      <c r="B475" s="459" t="s">
        <v>539</v>
      </c>
      <c r="C475" s="9">
        <f>SUM(D475:AC475)</f>
        <v>0</v>
      </c>
      <c r="D475" s="512">
        <v>0</v>
      </c>
      <c r="E475" s="512">
        <v>0</v>
      </c>
      <c r="F475" s="512">
        <v>0</v>
      </c>
      <c r="G475" s="512">
        <v>0</v>
      </c>
      <c r="H475" s="512">
        <v>0</v>
      </c>
      <c r="I475" s="512">
        <v>0</v>
      </c>
      <c r="J475" s="512">
        <v>0</v>
      </c>
      <c r="K475" s="512">
        <v>0</v>
      </c>
      <c r="L475" s="512">
        <v>0</v>
      </c>
      <c r="M475" s="512">
        <v>0</v>
      </c>
      <c r="N475" s="512">
        <v>0</v>
      </c>
      <c r="O475" s="512">
        <v>0</v>
      </c>
      <c r="P475" s="512">
        <v>0</v>
      </c>
      <c r="Q475" s="512">
        <v>0</v>
      </c>
      <c r="R475" s="512">
        <v>0</v>
      </c>
      <c r="S475" s="512">
        <v>0</v>
      </c>
      <c r="T475" s="512">
        <v>0</v>
      </c>
      <c r="U475" s="512">
        <v>0</v>
      </c>
      <c r="V475" s="512">
        <v>0</v>
      </c>
      <c r="W475" s="512">
        <v>0</v>
      </c>
      <c r="X475" s="512">
        <v>0</v>
      </c>
      <c r="Y475" s="512">
        <v>0</v>
      </c>
      <c r="Z475" s="512">
        <v>0</v>
      </c>
      <c r="AA475" s="512">
        <v>0</v>
      </c>
      <c r="AB475" s="512">
        <v>0</v>
      </c>
      <c r="AC475" s="512">
        <v>0</v>
      </c>
    </row>
    <row r="476" spans="1:29">
      <c r="A476" s="459" t="s">
        <v>694</v>
      </c>
      <c r="B476" s="459" t="s">
        <v>539</v>
      </c>
      <c r="C476" s="9">
        <f t="shared" ref="C476:C481" si="369">SUM(D476:AC476)</f>
        <v>2428</v>
      </c>
      <c r="D476" s="512">
        <v>35</v>
      </c>
      <c r="E476" s="512">
        <v>892</v>
      </c>
      <c r="F476" s="512">
        <v>150</v>
      </c>
      <c r="G476" s="512">
        <v>24</v>
      </c>
      <c r="H476" s="512">
        <v>23</v>
      </c>
      <c r="I476" s="512">
        <v>14</v>
      </c>
      <c r="J476" s="512">
        <v>53</v>
      </c>
      <c r="K476" s="512">
        <v>125</v>
      </c>
      <c r="L476" s="512">
        <v>23</v>
      </c>
      <c r="M476" s="512">
        <v>47</v>
      </c>
      <c r="N476" s="512">
        <v>70</v>
      </c>
      <c r="O476" s="512">
        <v>134</v>
      </c>
      <c r="P476" s="512">
        <v>60</v>
      </c>
      <c r="Q476" s="512">
        <v>270</v>
      </c>
      <c r="R476" s="512">
        <v>56</v>
      </c>
      <c r="S476" s="512">
        <v>60</v>
      </c>
      <c r="T476" s="512">
        <v>50</v>
      </c>
      <c r="U476" s="512">
        <v>57</v>
      </c>
      <c r="V476" s="512">
        <v>119</v>
      </c>
      <c r="W476" s="512">
        <v>13</v>
      </c>
      <c r="X476" s="512">
        <v>24</v>
      </c>
      <c r="Y476" s="512">
        <v>24</v>
      </c>
      <c r="Z476" s="512">
        <v>23</v>
      </c>
      <c r="AA476" s="512">
        <v>23</v>
      </c>
      <c r="AB476" s="512">
        <v>34</v>
      </c>
      <c r="AC476" s="512">
        <v>25</v>
      </c>
    </row>
    <row r="477" spans="1:29">
      <c r="A477" s="459" t="s">
        <v>695</v>
      </c>
      <c r="B477" s="459" t="s">
        <v>539</v>
      </c>
      <c r="C477" s="9">
        <f t="shared" si="369"/>
        <v>986</v>
      </c>
      <c r="D477" s="512">
        <v>11</v>
      </c>
      <c r="E477" s="512">
        <v>362</v>
      </c>
      <c r="F477" s="512">
        <v>62</v>
      </c>
      <c r="G477" s="512">
        <v>12</v>
      </c>
      <c r="H477" s="512">
        <v>11</v>
      </c>
      <c r="I477" s="512">
        <v>10</v>
      </c>
      <c r="J477" s="512">
        <v>22</v>
      </c>
      <c r="K477" s="512">
        <v>52</v>
      </c>
      <c r="L477" s="512">
        <v>6</v>
      </c>
      <c r="M477" s="512">
        <v>17</v>
      </c>
      <c r="N477" s="512">
        <v>28</v>
      </c>
      <c r="O477" s="512">
        <v>56</v>
      </c>
      <c r="P477" s="512">
        <v>24</v>
      </c>
      <c r="Q477" s="512">
        <v>110</v>
      </c>
      <c r="R477" s="512">
        <v>22</v>
      </c>
      <c r="S477" s="512">
        <v>26</v>
      </c>
      <c r="T477" s="512">
        <v>21</v>
      </c>
      <c r="U477" s="512">
        <v>24</v>
      </c>
      <c r="V477" s="512">
        <v>48</v>
      </c>
      <c r="W477" s="512">
        <v>4</v>
      </c>
      <c r="X477" s="512">
        <v>11</v>
      </c>
      <c r="Y477" s="512">
        <v>6</v>
      </c>
      <c r="Z477" s="512">
        <v>6</v>
      </c>
      <c r="AA477" s="512">
        <v>12</v>
      </c>
      <c r="AB477" s="512">
        <v>17</v>
      </c>
      <c r="AC477" s="512">
        <v>6</v>
      </c>
    </row>
    <row r="478" spans="1:29">
      <c r="A478" s="459" t="s">
        <v>696</v>
      </c>
      <c r="B478" s="459" t="s">
        <v>539</v>
      </c>
      <c r="C478" s="9">
        <f t="shared" si="369"/>
        <v>795</v>
      </c>
      <c r="D478" s="512">
        <v>0</v>
      </c>
      <c r="E478" s="512">
        <v>299</v>
      </c>
      <c r="F478" s="512">
        <v>57</v>
      </c>
      <c r="G478" s="512">
        <v>13</v>
      </c>
      <c r="H478" s="512">
        <v>15</v>
      </c>
      <c r="I478" s="512">
        <v>0</v>
      </c>
      <c r="J478" s="512">
        <v>20</v>
      </c>
      <c r="K478" s="512">
        <v>45</v>
      </c>
      <c r="L478" s="512">
        <v>0</v>
      </c>
      <c r="M478" s="512">
        <v>25</v>
      </c>
      <c r="N478" s="512">
        <v>31</v>
      </c>
      <c r="O478" s="512">
        <v>48</v>
      </c>
      <c r="P478" s="512">
        <v>16</v>
      </c>
      <c r="Q478" s="512">
        <v>95</v>
      </c>
      <c r="R478" s="512">
        <v>15</v>
      </c>
      <c r="S478" s="512">
        <v>26</v>
      </c>
      <c r="T478" s="512">
        <v>16</v>
      </c>
      <c r="U478" s="512">
        <v>14</v>
      </c>
      <c r="V478" s="512">
        <v>44</v>
      </c>
      <c r="W478" s="512">
        <v>0</v>
      </c>
      <c r="X478" s="512">
        <v>16</v>
      </c>
      <c r="Y478" s="512">
        <v>0</v>
      </c>
      <c r="Z478" s="512">
        <v>0</v>
      </c>
      <c r="AA478" s="512">
        <v>0</v>
      </c>
      <c r="AB478" s="512">
        <v>0</v>
      </c>
      <c r="AC478" s="512">
        <v>0</v>
      </c>
    </row>
    <row r="479" spans="1:29">
      <c r="A479" s="459" t="s">
        <v>697</v>
      </c>
      <c r="B479" s="459" t="s">
        <v>539</v>
      </c>
      <c r="C479" s="9">
        <f t="shared" si="369"/>
        <v>241</v>
      </c>
      <c r="D479" s="512">
        <v>0</v>
      </c>
      <c r="E479" s="512">
        <v>93</v>
      </c>
      <c r="F479" s="512">
        <v>17</v>
      </c>
      <c r="G479" s="512">
        <v>4</v>
      </c>
      <c r="H479" s="512">
        <v>5</v>
      </c>
      <c r="I479" s="512">
        <v>0</v>
      </c>
      <c r="J479" s="512">
        <v>6</v>
      </c>
      <c r="K479" s="512">
        <v>13</v>
      </c>
      <c r="L479" s="512">
        <v>0</v>
      </c>
      <c r="M479" s="512">
        <v>7</v>
      </c>
      <c r="N479" s="512">
        <v>9</v>
      </c>
      <c r="O479" s="512">
        <v>14</v>
      </c>
      <c r="P479" s="512">
        <v>5</v>
      </c>
      <c r="Q479" s="512">
        <v>29</v>
      </c>
      <c r="R479" s="512">
        <v>4</v>
      </c>
      <c r="S479" s="512">
        <v>8</v>
      </c>
      <c r="T479" s="512">
        <v>5</v>
      </c>
      <c r="U479" s="512">
        <v>4</v>
      </c>
      <c r="V479" s="512">
        <v>13</v>
      </c>
      <c r="W479" s="512">
        <v>0</v>
      </c>
      <c r="X479" s="512">
        <v>5</v>
      </c>
      <c r="Y479" s="512">
        <v>0</v>
      </c>
      <c r="Z479" s="512">
        <v>0</v>
      </c>
      <c r="AA479" s="512">
        <v>0</v>
      </c>
      <c r="AB479" s="512">
        <v>0</v>
      </c>
      <c r="AC479" s="512">
        <v>0</v>
      </c>
    </row>
    <row r="480" spans="1:29">
      <c r="A480" s="459" t="s">
        <v>698</v>
      </c>
      <c r="B480" s="459" t="s">
        <v>539</v>
      </c>
      <c r="C480" s="9">
        <f t="shared" si="369"/>
        <v>0</v>
      </c>
      <c r="D480" s="512">
        <v>0</v>
      </c>
      <c r="E480" s="512">
        <v>0</v>
      </c>
      <c r="F480" s="512">
        <v>0</v>
      </c>
      <c r="G480" s="512">
        <v>0</v>
      </c>
      <c r="H480" s="512">
        <v>0</v>
      </c>
      <c r="I480" s="512">
        <v>0</v>
      </c>
      <c r="J480" s="512">
        <v>0</v>
      </c>
      <c r="K480" s="512">
        <v>0</v>
      </c>
      <c r="L480" s="512">
        <v>0</v>
      </c>
      <c r="M480" s="512">
        <v>0</v>
      </c>
      <c r="N480" s="512">
        <v>0</v>
      </c>
      <c r="O480" s="512">
        <v>0</v>
      </c>
      <c r="P480" s="512">
        <v>0</v>
      </c>
      <c r="Q480" s="512">
        <v>0</v>
      </c>
      <c r="R480" s="512">
        <v>0</v>
      </c>
      <c r="S480" s="512">
        <v>0</v>
      </c>
      <c r="T480" s="512">
        <v>0</v>
      </c>
      <c r="U480" s="512">
        <v>0</v>
      </c>
      <c r="V480" s="512">
        <v>0</v>
      </c>
      <c r="W480" s="512">
        <v>0</v>
      </c>
      <c r="X480" s="512">
        <v>0</v>
      </c>
      <c r="Y480" s="512">
        <v>0</v>
      </c>
      <c r="Z480" s="512">
        <v>0</v>
      </c>
      <c r="AA480" s="512">
        <v>0</v>
      </c>
      <c r="AB480" s="512">
        <v>0</v>
      </c>
      <c r="AC480" s="512">
        <v>0</v>
      </c>
    </row>
    <row r="481" spans="1:29">
      <c r="A481" s="459" t="s">
        <v>699</v>
      </c>
      <c r="B481" s="459" t="s">
        <v>539</v>
      </c>
      <c r="C481" s="9">
        <f t="shared" si="369"/>
        <v>80</v>
      </c>
      <c r="D481" s="512">
        <v>0</v>
      </c>
      <c r="E481" s="512">
        <v>30</v>
      </c>
      <c r="F481" s="512">
        <v>6</v>
      </c>
      <c r="G481" s="512">
        <v>1</v>
      </c>
      <c r="H481" s="512">
        <v>2</v>
      </c>
      <c r="I481" s="512">
        <v>0</v>
      </c>
      <c r="J481" s="512">
        <v>2</v>
      </c>
      <c r="K481" s="512">
        <v>4</v>
      </c>
      <c r="L481" s="512">
        <v>0</v>
      </c>
      <c r="M481" s="512">
        <v>2</v>
      </c>
      <c r="N481" s="512">
        <v>3</v>
      </c>
      <c r="O481" s="512">
        <v>5</v>
      </c>
      <c r="P481" s="512">
        <v>2</v>
      </c>
      <c r="Q481" s="512">
        <v>10</v>
      </c>
      <c r="R481" s="512">
        <v>1</v>
      </c>
      <c r="S481" s="512">
        <v>3</v>
      </c>
      <c r="T481" s="512">
        <v>2</v>
      </c>
      <c r="U481" s="512">
        <v>1</v>
      </c>
      <c r="V481" s="512">
        <v>4</v>
      </c>
      <c r="W481" s="512">
        <v>0</v>
      </c>
      <c r="X481" s="512">
        <v>2</v>
      </c>
      <c r="Y481" s="512">
        <v>0</v>
      </c>
      <c r="Z481" s="512">
        <v>0</v>
      </c>
      <c r="AA481" s="512">
        <v>0</v>
      </c>
      <c r="AB481" s="512">
        <v>0</v>
      </c>
      <c r="AC481" s="512">
        <v>0</v>
      </c>
    </row>
    <row r="482" spans="1:29">
      <c r="A482" s="458" t="s">
        <v>16</v>
      </c>
      <c r="B482" s="458" t="s">
        <v>539</v>
      </c>
      <c r="C482" s="504">
        <f>SUM(C475:C481)</f>
        <v>4530</v>
      </c>
      <c r="D482" s="504">
        <f>SUM(D475:D481)</f>
        <v>46</v>
      </c>
      <c r="E482" s="504">
        <f t="shared" ref="E482" si="370">SUM(E475:E481)</f>
        <v>1676</v>
      </c>
      <c r="F482" s="504">
        <f t="shared" ref="F482" si="371">SUM(F475:F481)</f>
        <v>292</v>
      </c>
      <c r="G482" s="504">
        <f t="shared" ref="G482" si="372">SUM(G475:G481)</f>
        <v>54</v>
      </c>
      <c r="H482" s="504">
        <f t="shared" ref="H482" si="373">SUM(H475:H481)</f>
        <v>56</v>
      </c>
      <c r="I482" s="504">
        <f t="shared" ref="I482" si="374">SUM(I475:I481)</f>
        <v>24</v>
      </c>
      <c r="J482" s="504">
        <f t="shared" ref="J482" si="375">SUM(J475:J481)</f>
        <v>103</v>
      </c>
      <c r="K482" s="504">
        <f t="shared" ref="K482" si="376">SUM(K475:K481)</f>
        <v>239</v>
      </c>
      <c r="L482" s="504">
        <f t="shared" ref="L482" si="377">SUM(L475:L481)</f>
        <v>29</v>
      </c>
      <c r="M482" s="504">
        <f t="shared" ref="M482" si="378">SUM(M475:M481)</f>
        <v>98</v>
      </c>
      <c r="N482" s="504">
        <f t="shared" ref="N482" si="379">SUM(N475:N481)</f>
        <v>141</v>
      </c>
      <c r="O482" s="504">
        <f t="shared" ref="O482" si="380">SUM(O475:O481)</f>
        <v>257</v>
      </c>
      <c r="P482" s="504">
        <f t="shared" ref="P482" si="381">SUM(P475:P481)</f>
        <v>107</v>
      </c>
      <c r="Q482" s="504">
        <f t="shared" ref="Q482" si="382">SUM(Q475:Q481)</f>
        <v>514</v>
      </c>
      <c r="R482" s="504">
        <f t="shared" ref="R482" si="383">SUM(R475:R481)</f>
        <v>98</v>
      </c>
      <c r="S482" s="504">
        <f t="shared" ref="S482" si="384">SUM(S475:S481)</f>
        <v>123</v>
      </c>
      <c r="T482" s="504">
        <f t="shared" ref="T482" si="385">SUM(T475:T481)</f>
        <v>94</v>
      </c>
      <c r="U482" s="504">
        <f t="shared" ref="U482" si="386">SUM(U475:U481)</f>
        <v>100</v>
      </c>
      <c r="V482" s="504">
        <f t="shared" ref="V482" si="387">SUM(V475:V481)</f>
        <v>228</v>
      </c>
      <c r="W482" s="504">
        <f t="shared" ref="W482" si="388">SUM(W475:W481)</f>
        <v>17</v>
      </c>
      <c r="X482" s="504">
        <f t="shared" ref="X482" si="389">SUM(X475:X481)</f>
        <v>58</v>
      </c>
      <c r="Y482" s="504">
        <f t="shared" ref="Y482" si="390">SUM(Y475:Y481)</f>
        <v>30</v>
      </c>
      <c r="Z482" s="504">
        <f t="shared" ref="Z482" si="391">SUM(Z475:Z481)</f>
        <v>29</v>
      </c>
      <c r="AA482" s="504">
        <f t="shared" ref="AA482" si="392">SUM(AA475:AA481)</f>
        <v>35</v>
      </c>
      <c r="AB482" s="504">
        <f t="shared" ref="AB482" si="393">SUM(AB475:AB481)</f>
        <v>51</v>
      </c>
      <c r="AC482" s="504">
        <f t="shared" ref="AC482" si="394">SUM(AC475:AC481)</f>
        <v>31</v>
      </c>
    </row>
    <row r="483" spans="1:29">
      <c r="A483" s="459" t="s">
        <v>659</v>
      </c>
      <c r="C483" s="459"/>
      <c r="D483" s="459"/>
      <c r="E483" s="459"/>
      <c r="F483" s="459"/>
      <c r="G483" s="459"/>
      <c r="H483" s="459"/>
      <c r="I483" s="459"/>
      <c r="J483" s="459"/>
      <c r="K483" s="459"/>
      <c r="L483" s="459"/>
      <c r="M483" s="459"/>
      <c r="N483" s="459"/>
      <c r="O483" s="459"/>
      <c r="P483" s="459"/>
      <c r="Q483" s="459"/>
      <c r="R483" s="459"/>
      <c r="S483" s="459"/>
      <c r="T483" s="459"/>
      <c r="U483" s="459"/>
      <c r="V483" s="459"/>
      <c r="W483" s="459"/>
      <c r="X483" s="459"/>
      <c r="Y483" s="459"/>
      <c r="Z483" s="459"/>
      <c r="AA483" s="459"/>
      <c r="AB483" s="459"/>
      <c r="AC483" s="459"/>
    </row>
    <row r="484" spans="1:29">
      <c r="A484" s="459"/>
      <c r="C484" s="459"/>
      <c r="D484" s="459"/>
      <c r="E484" s="459"/>
      <c r="F484" s="459"/>
      <c r="G484" s="459"/>
      <c r="H484" s="459"/>
      <c r="I484" s="459"/>
      <c r="J484" s="459"/>
      <c r="K484" s="459"/>
      <c r="L484" s="459"/>
      <c r="M484" s="459"/>
      <c r="N484" s="459"/>
      <c r="O484" s="459"/>
      <c r="P484" s="459"/>
      <c r="Q484" s="459"/>
      <c r="R484" s="459"/>
      <c r="S484" s="459"/>
      <c r="T484" s="459"/>
      <c r="U484" s="459"/>
      <c r="V484" s="459"/>
      <c r="W484" s="459"/>
      <c r="X484" s="459"/>
      <c r="Y484" s="459"/>
      <c r="Z484" s="459"/>
      <c r="AA484" s="459"/>
      <c r="AB484" s="459"/>
      <c r="AC484" s="459"/>
    </row>
    <row r="485" spans="1:29">
      <c r="A485" s="459"/>
      <c r="C485" s="459"/>
      <c r="D485" s="459"/>
      <c r="E485" s="459"/>
      <c r="F485" s="459"/>
      <c r="G485" s="459"/>
      <c r="H485" s="459"/>
      <c r="I485" s="459"/>
      <c r="J485" s="459"/>
      <c r="K485" s="459"/>
      <c r="L485" s="459"/>
      <c r="M485" s="459"/>
      <c r="N485" s="459"/>
      <c r="O485" s="459"/>
      <c r="P485" s="459"/>
      <c r="Q485" s="459"/>
      <c r="R485" s="459"/>
      <c r="S485" s="459"/>
      <c r="T485" s="459"/>
      <c r="U485" s="459"/>
      <c r="V485" s="459"/>
      <c r="W485" s="459"/>
      <c r="X485" s="459"/>
      <c r="Y485" s="459"/>
      <c r="Z485" s="459"/>
      <c r="AA485" s="459"/>
      <c r="AB485" s="459"/>
      <c r="AC485" s="459"/>
    </row>
    <row r="486" spans="1:29">
      <c r="A486" s="459"/>
      <c r="C486" s="459"/>
      <c r="D486" s="459"/>
      <c r="E486" s="459"/>
      <c r="F486" s="459"/>
      <c r="G486" s="459"/>
      <c r="H486" s="459"/>
      <c r="I486" s="459"/>
      <c r="J486" s="459"/>
      <c r="K486" s="459"/>
      <c r="L486" s="459"/>
      <c r="M486" s="459"/>
      <c r="N486" s="459"/>
      <c r="O486" s="459"/>
      <c r="P486" s="459"/>
      <c r="Q486" s="459"/>
      <c r="R486" s="459"/>
      <c r="S486" s="459"/>
      <c r="T486" s="459"/>
      <c r="U486" s="459"/>
      <c r="V486" s="459"/>
      <c r="W486" s="459"/>
      <c r="X486" s="459"/>
      <c r="Y486" s="459"/>
      <c r="Z486" s="459"/>
      <c r="AA486" s="459"/>
      <c r="AB486" s="459"/>
      <c r="AC486" s="459"/>
    </row>
    <row r="487" spans="1:29" ht="15.6">
      <c r="A487" s="401" t="s">
        <v>683</v>
      </c>
      <c r="C487" s="459"/>
      <c r="D487" s="459"/>
      <c r="E487" s="459"/>
      <c r="F487" s="459"/>
      <c r="G487" s="459"/>
      <c r="H487" s="459"/>
      <c r="I487" s="459"/>
      <c r="J487" s="459"/>
      <c r="K487" s="459"/>
      <c r="L487" s="459"/>
      <c r="M487" s="459"/>
      <c r="N487" s="459"/>
      <c r="O487" s="459"/>
      <c r="P487" s="459"/>
      <c r="Q487" s="459"/>
      <c r="R487" s="459"/>
      <c r="S487" s="459"/>
      <c r="T487" s="459"/>
      <c r="U487" s="459"/>
      <c r="V487" s="459"/>
      <c r="W487" s="459"/>
      <c r="X487" s="459"/>
      <c r="Y487" s="459"/>
      <c r="Z487" s="459"/>
      <c r="AA487" s="459"/>
      <c r="AB487" s="459"/>
      <c r="AC487" s="459"/>
    </row>
    <row r="488" spans="1:29">
      <c r="A488" s="131" t="s">
        <v>685</v>
      </c>
      <c r="B488" s="131" t="s">
        <v>64</v>
      </c>
      <c r="C488" s="131" t="str">
        <f>C474</f>
        <v>IE</v>
      </c>
      <c r="D488" s="131" t="str">
        <f t="shared" ref="D488:AC488" si="395">D474</f>
        <v>IE-CW</v>
      </c>
      <c r="E488" s="131" t="str">
        <f t="shared" si="395"/>
        <v>IE-D</v>
      </c>
      <c r="F488" s="131" t="str">
        <f t="shared" si="395"/>
        <v>IE-KE</v>
      </c>
      <c r="G488" s="131" t="str">
        <f t="shared" si="395"/>
        <v>IE-KK</v>
      </c>
      <c r="H488" s="131" t="str">
        <f t="shared" si="395"/>
        <v>IE-LS</v>
      </c>
      <c r="I488" s="131" t="str">
        <f t="shared" si="395"/>
        <v>IE-LD</v>
      </c>
      <c r="J488" s="131" t="str">
        <f t="shared" si="395"/>
        <v>IE-LH</v>
      </c>
      <c r="K488" s="131" t="str">
        <f t="shared" si="395"/>
        <v>IE-MH</v>
      </c>
      <c r="L488" s="131" t="str">
        <f t="shared" si="395"/>
        <v>IE-OY</v>
      </c>
      <c r="M488" s="131" t="str">
        <f t="shared" si="395"/>
        <v>IE-WH</v>
      </c>
      <c r="N488" s="131" t="str">
        <f t="shared" si="395"/>
        <v>IE-WX</v>
      </c>
      <c r="O488" s="131" t="str">
        <f t="shared" si="395"/>
        <v>IE-WW</v>
      </c>
      <c r="P488" s="131" t="str">
        <f t="shared" si="395"/>
        <v>IE-CE</v>
      </c>
      <c r="Q488" s="131" t="str">
        <f t="shared" si="395"/>
        <v>IE-CO</v>
      </c>
      <c r="R488" s="131" t="str">
        <f t="shared" si="395"/>
        <v>IE-KY</v>
      </c>
      <c r="S488" s="131" t="str">
        <f t="shared" si="395"/>
        <v>IE-LK</v>
      </c>
      <c r="T488" s="131" t="str">
        <f t="shared" si="395"/>
        <v>IE-TA</v>
      </c>
      <c r="U488" s="131" t="str">
        <f t="shared" si="395"/>
        <v>IE-WD</v>
      </c>
      <c r="V488" s="131" t="str">
        <f t="shared" si="395"/>
        <v>IE-G</v>
      </c>
      <c r="W488" s="131" t="str">
        <f t="shared" si="395"/>
        <v>IE-LM</v>
      </c>
      <c r="X488" s="131" t="str">
        <f t="shared" si="395"/>
        <v>IE-MO</v>
      </c>
      <c r="Y488" s="131" t="str">
        <f t="shared" si="395"/>
        <v>IE-RN</v>
      </c>
      <c r="Z488" s="131" t="str">
        <f t="shared" si="395"/>
        <v>IE-SO</v>
      </c>
      <c r="AA488" s="131" t="str">
        <f t="shared" si="395"/>
        <v>IE-CN</v>
      </c>
      <c r="AB488" s="131" t="str">
        <f t="shared" si="395"/>
        <v>IE-DL</v>
      </c>
      <c r="AC488" s="131" t="str">
        <f t="shared" si="395"/>
        <v>IE-MN</v>
      </c>
    </row>
    <row r="489" spans="1:29">
      <c r="A489" s="459" t="s">
        <v>692</v>
      </c>
      <c r="B489" s="507" t="s">
        <v>652</v>
      </c>
      <c r="C489" s="35">
        <f>C475/C$482</f>
        <v>0</v>
      </c>
      <c r="D489" s="35">
        <f t="shared" ref="D489:AC495" si="396">D475/D$482</f>
        <v>0</v>
      </c>
      <c r="E489" s="35">
        <f t="shared" si="396"/>
        <v>0</v>
      </c>
      <c r="F489" s="35">
        <f t="shared" si="396"/>
        <v>0</v>
      </c>
      <c r="G489" s="35">
        <f t="shared" si="396"/>
        <v>0</v>
      </c>
      <c r="H489" s="35">
        <f t="shared" si="396"/>
        <v>0</v>
      </c>
      <c r="I489" s="35">
        <f t="shared" si="396"/>
        <v>0</v>
      </c>
      <c r="J489" s="35">
        <f t="shared" si="396"/>
        <v>0</v>
      </c>
      <c r="K489" s="35">
        <f t="shared" si="396"/>
        <v>0</v>
      </c>
      <c r="L489" s="35">
        <f t="shared" si="396"/>
        <v>0</v>
      </c>
      <c r="M489" s="35">
        <f t="shared" si="396"/>
        <v>0</v>
      </c>
      <c r="N489" s="35">
        <f t="shared" si="396"/>
        <v>0</v>
      </c>
      <c r="O489" s="35">
        <f t="shared" si="396"/>
        <v>0</v>
      </c>
      <c r="P489" s="35">
        <f t="shared" si="396"/>
        <v>0</v>
      </c>
      <c r="Q489" s="35">
        <f t="shared" si="396"/>
        <v>0</v>
      </c>
      <c r="R489" s="35">
        <f t="shared" si="396"/>
        <v>0</v>
      </c>
      <c r="S489" s="35">
        <f t="shared" si="396"/>
        <v>0</v>
      </c>
      <c r="T489" s="35">
        <f t="shared" si="396"/>
        <v>0</v>
      </c>
      <c r="U489" s="35">
        <f t="shared" si="396"/>
        <v>0</v>
      </c>
      <c r="V489" s="35">
        <f t="shared" si="396"/>
        <v>0</v>
      </c>
      <c r="W489" s="35">
        <f t="shared" si="396"/>
        <v>0</v>
      </c>
      <c r="X489" s="35">
        <f t="shared" si="396"/>
        <v>0</v>
      </c>
      <c r="Y489" s="35">
        <f t="shared" si="396"/>
        <v>0</v>
      </c>
      <c r="Z489" s="35">
        <f t="shared" si="396"/>
        <v>0</v>
      </c>
      <c r="AA489" s="35">
        <f t="shared" si="396"/>
        <v>0</v>
      </c>
      <c r="AB489" s="35">
        <f t="shared" si="396"/>
        <v>0</v>
      </c>
      <c r="AC489" s="35">
        <f t="shared" si="396"/>
        <v>0</v>
      </c>
    </row>
    <row r="490" spans="1:29">
      <c r="A490" s="459" t="s">
        <v>686</v>
      </c>
      <c r="B490" s="1" t="s">
        <v>652</v>
      </c>
      <c r="C490" s="35">
        <f t="shared" ref="C490:R495" si="397">C476/C$482</f>
        <v>0.53598233995584987</v>
      </c>
      <c r="D490" s="35">
        <f t="shared" si="397"/>
        <v>0.76086956521739135</v>
      </c>
      <c r="E490" s="35">
        <f t="shared" si="397"/>
        <v>0.53221957040572787</v>
      </c>
      <c r="F490" s="35">
        <f t="shared" si="397"/>
        <v>0.51369863013698636</v>
      </c>
      <c r="G490" s="35">
        <f t="shared" si="397"/>
        <v>0.44444444444444442</v>
      </c>
      <c r="H490" s="35">
        <f t="shared" si="397"/>
        <v>0.4107142857142857</v>
      </c>
      <c r="I490" s="35">
        <f t="shared" si="397"/>
        <v>0.58333333333333337</v>
      </c>
      <c r="J490" s="35">
        <f t="shared" si="397"/>
        <v>0.5145631067961165</v>
      </c>
      <c r="K490" s="35">
        <f t="shared" si="397"/>
        <v>0.52301255230125521</v>
      </c>
      <c r="L490" s="35">
        <f t="shared" si="397"/>
        <v>0.7931034482758621</v>
      </c>
      <c r="M490" s="35">
        <f t="shared" si="397"/>
        <v>0.47959183673469385</v>
      </c>
      <c r="N490" s="35">
        <f t="shared" si="397"/>
        <v>0.49645390070921985</v>
      </c>
      <c r="O490" s="35">
        <f t="shared" si="397"/>
        <v>0.52140077821011677</v>
      </c>
      <c r="P490" s="35">
        <f t="shared" si="397"/>
        <v>0.56074766355140182</v>
      </c>
      <c r="Q490" s="35">
        <f t="shared" si="397"/>
        <v>0.52529182879377434</v>
      </c>
      <c r="R490" s="35">
        <f t="shared" si="397"/>
        <v>0.5714285714285714</v>
      </c>
      <c r="S490" s="35">
        <f t="shared" si="396"/>
        <v>0.48780487804878048</v>
      </c>
      <c r="T490" s="35">
        <f t="shared" si="396"/>
        <v>0.53191489361702127</v>
      </c>
      <c r="U490" s="35">
        <f t="shared" si="396"/>
        <v>0.56999999999999995</v>
      </c>
      <c r="V490" s="35">
        <f t="shared" si="396"/>
        <v>0.52192982456140347</v>
      </c>
      <c r="W490" s="35">
        <f t="shared" si="396"/>
        <v>0.76470588235294112</v>
      </c>
      <c r="X490" s="35">
        <f t="shared" si="396"/>
        <v>0.41379310344827586</v>
      </c>
      <c r="Y490" s="35">
        <f t="shared" si="396"/>
        <v>0.8</v>
      </c>
      <c r="Z490" s="35">
        <f t="shared" si="396"/>
        <v>0.7931034482758621</v>
      </c>
      <c r="AA490" s="35">
        <f t="shared" si="396"/>
        <v>0.65714285714285714</v>
      </c>
      <c r="AB490" s="35">
        <f t="shared" si="396"/>
        <v>0.66666666666666663</v>
      </c>
      <c r="AC490" s="35">
        <f t="shared" si="396"/>
        <v>0.80645161290322576</v>
      </c>
    </row>
    <row r="491" spans="1:29">
      <c r="A491" s="459" t="s">
        <v>687</v>
      </c>
      <c r="B491" s="1" t="s">
        <v>652</v>
      </c>
      <c r="C491" s="35">
        <f t="shared" si="397"/>
        <v>0.21766004415011037</v>
      </c>
      <c r="D491" s="35">
        <f t="shared" si="396"/>
        <v>0.2391304347826087</v>
      </c>
      <c r="E491" s="35">
        <f t="shared" si="396"/>
        <v>0.21599045346062051</v>
      </c>
      <c r="F491" s="35">
        <f t="shared" si="396"/>
        <v>0.21232876712328766</v>
      </c>
      <c r="G491" s="35">
        <f t="shared" si="396"/>
        <v>0.22222222222222221</v>
      </c>
      <c r="H491" s="35">
        <f t="shared" si="396"/>
        <v>0.19642857142857142</v>
      </c>
      <c r="I491" s="35">
        <f t="shared" si="396"/>
        <v>0.41666666666666669</v>
      </c>
      <c r="J491" s="35">
        <f t="shared" si="396"/>
        <v>0.21359223300970873</v>
      </c>
      <c r="K491" s="35">
        <f t="shared" si="396"/>
        <v>0.21757322175732219</v>
      </c>
      <c r="L491" s="35">
        <f t="shared" si="396"/>
        <v>0.20689655172413793</v>
      </c>
      <c r="M491" s="35">
        <f t="shared" si="396"/>
        <v>0.17346938775510204</v>
      </c>
      <c r="N491" s="35">
        <f t="shared" si="396"/>
        <v>0.19858156028368795</v>
      </c>
      <c r="O491" s="35">
        <f t="shared" si="396"/>
        <v>0.21789883268482491</v>
      </c>
      <c r="P491" s="35">
        <f t="shared" si="396"/>
        <v>0.22429906542056074</v>
      </c>
      <c r="Q491" s="35">
        <f t="shared" si="396"/>
        <v>0.2140077821011673</v>
      </c>
      <c r="R491" s="35">
        <f t="shared" si="396"/>
        <v>0.22448979591836735</v>
      </c>
      <c r="S491" s="35">
        <f t="shared" si="396"/>
        <v>0.21138211382113822</v>
      </c>
      <c r="T491" s="35">
        <f t="shared" si="396"/>
        <v>0.22340425531914893</v>
      </c>
      <c r="U491" s="35">
        <f t="shared" si="396"/>
        <v>0.24</v>
      </c>
      <c r="V491" s="35">
        <f t="shared" si="396"/>
        <v>0.21052631578947367</v>
      </c>
      <c r="W491" s="35">
        <f t="shared" si="396"/>
        <v>0.23529411764705882</v>
      </c>
      <c r="X491" s="35">
        <f t="shared" si="396"/>
        <v>0.18965517241379309</v>
      </c>
      <c r="Y491" s="35">
        <f t="shared" si="396"/>
        <v>0.2</v>
      </c>
      <c r="Z491" s="35">
        <f t="shared" si="396"/>
        <v>0.20689655172413793</v>
      </c>
      <c r="AA491" s="35">
        <f t="shared" si="396"/>
        <v>0.34285714285714286</v>
      </c>
      <c r="AB491" s="35">
        <f t="shared" si="396"/>
        <v>0.33333333333333331</v>
      </c>
      <c r="AC491" s="35">
        <f t="shared" si="396"/>
        <v>0.19354838709677419</v>
      </c>
    </row>
    <row r="492" spans="1:29">
      <c r="A492" s="459" t="s">
        <v>688</v>
      </c>
      <c r="B492" s="1" t="s">
        <v>652</v>
      </c>
      <c r="C492" s="35">
        <f t="shared" si="397"/>
        <v>0.17549668874172186</v>
      </c>
      <c r="D492" s="35">
        <f t="shared" si="396"/>
        <v>0</v>
      </c>
      <c r="E492" s="35">
        <f t="shared" si="396"/>
        <v>0.17840095465393796</v>
      </c>
      <c r="F492" s="35">
        <f t="shared" si="396"/>
        <v>0.1952054794520548</v>
      </c>
      <c r="G492" s="35">
        <f t="shared" si="396"/>
        <v>0.24074074074074073</v>
      </c>
      <c r="H492" s="35">
        <f t="shared" si="396"/>
        <v>0.26785714285714285</v>
      </c>
      <c r="I492" s="35">
        <f t="shared" si="396"/>
        <v>0</v>
      </c>
      <c r="J492" s="35">
        <f t="shared" si="396"/>
        <v>0.1941747572815534</v>
      </c>
      <c r="K492" s="35">
        <f t="shared" si="396"/>
        <v>0.18828451882845187</v>
      </c>
      <c r="L492" s="35">
        <f t="shared" si="396"/>
        <v>0</v>
      </c>
      <c r="M492" s="35">
        <f t="shared" si="396"/>
        <v>0.25510204081632654</v>
      </c>
      <c r="N492" s="35">
        <f t="shared" si="396"/>
        <v>0.21985815602836881</v>
      </c>
      <c r="O492" s="35">
        <f t="shared" si="396"/>
        <v>0.1867704280155642</v>
      </c>
      <c r="P492" s="35">
        <f t="shared" si="396"/>
        <v>0.14953271028037382</v>
      </c>
      <c r="Q492" s="35">
        <f t="shared" si="396"/>
        <v>0.18482490272373542</v>
      </c>
      <c r="R492" s="35">
        <f t="shared" si="396"/>
        <v>0.15306122448979592</v>
      </c>
      <c r="S492" s="35">
        <f t="shared" si="396"/>
        <v>0.21138211382113822</v>
      </c>
      <c r="T492" s="35">
        <f t="shared" si="396"/>
        <v>0.1702127659574468</v>
      </c>
      <c r="U492" s="35">
        <f t="shared" si="396"/>
        <v>0.14000000000000001</v>
      </c>
      <c r="V492" s="35">
        <f t="shared" si="396"/>
        <v>0.19298245614035087</v>
      </c>
      <c r="W492" s="35">
        <f t="shared" si="396"/>
        <v>0</v>
      </c>
      <c r="X492" s="35">
        <f t="shared" si="396"/>
        <v>0.27586206896551724</v>
      </c>
      <c r="Y492" s="35">
        <f t="shared" si="396"/>
        <v>0</v>
      </c>
      <c r="Z492" s="35">
        <f t="shared" si="396"/>
        <v>0</v>
      </c>
      <c r="AA492" s="35">
        <f t="shared" si="396"/>
        <v>0</v>
      </c>
      <c r="AB492" s="35">
        <f t="shared" si="396"/>
        <v>0</v>
      </c>
      <c r="AC492" s="35">
        <f t="shared" si="396"/>
        <v>0</v>
      </c>
    </row>
    <row r="493" spans="1:29">
      <c r="A493" s="459" t="s">
        <v>689</v>
      </c>
      <c r="B493" s="1" t="s">
        <v>652</v>
      </c>
      <c r="C493" s="35">
        <f t="shared" si="397"/>
        <v>5.3200883002207502E-2</v>
      </c>
      <c r="D493" s="35">
        <f t="shared" si="396"/>
        <v>0</v>
      </c>
      <c r="E493" s="35">
        <f t="shared" si="396"/>
        <v>5.5489260143198091E-2</v>
      </c>
      <c r="F493" s="35">
        <f t="shared" si="396"/>
        <v>5.8219178082191778E-2</v>
      </c>
      <c r="G493" s="35">
        <f t="shared" si="396"/>
        <v>7.407407407407407E-2</v>
      </c>
      <c r="H493" s="35">
        <f t="shared" si="396"/>
        <v>8.9285714285714288E-2</v>
      </c>
      <c r="I493" s="35">
        <f t="shared" si="396"/>
        <v>0</v>
      </c>
      <c r="J493" s="35">
        <f t="shared" si="396"/>
        <v>5.8252427184466021E-2</v>
      </c>
      <c r="K493" s="35">
        <f t="shared" si="396"/>
        <v>5.4393305439330547E-2</v>
      </c>
      <c r="L493" s="35">
        <f t="shared" si="396"/>
        <v>0</v>
      </c>
      <c r="M493" s="35">
        <f t="shared" si="396"/>
        <v>7.1428571428571425E-2</v>
      </c>
      <c r="N493" s="35">
        <f t="shared" si="396"/>
        <v>6.3829787234042548E-2</v>
      </c>
      <c r="O493" s="35">
        <f t="shared" si="396"/>
        <v>5.4474708171206226E-2</v>
      </c>
      <c r="P493" s="35">
        <f t="shared" si="396"/>
        <v>4.6728971962616821E-2</v>
      </c>
      <c r="Q493" s="35">
        <f t="shared" si="396"/>
        <v>5.642023346303502E-2</v>
      </c>
      <c r="R493" s="35">
        <f t="shared" si="396"/>
        <v>4.0816326530612242E-2</v>
      </c>
      <c r="S493" s="35">
        <f t="shared" si="396"/>
        <v>6.5040650406504072E-2</v>
      </c>
      <c r="T493" s="35">
        <f t="shared" si="396"/>
        <v>5.3191489361702128E-2</v>
      </c>
      <c r="U493" s="35">
        <f t="shared" si="396"/>
        <v>0.04</v>
      </c>
      <c r="V493" s="35">
        <f t="shared" si="396"/>
        <v>5.701754385964912E-2</v>
      </c>
      <c r="W493" s="35">
        <f t="shared" si="396"/>
        <v>0</v>
      </c>
      <c r="X493" s="35">
        <f t="shared" si="396"/>
        <v>8.6206896551724144E-2</v>
      </c>
      <c r="Y493" s="35">
        <f t="shared" si="396"/>
        <v>0</v>
      </c>
      <c r="Z493" s="35">
        <f t="shared" si="396"/>
        <v>0</v>
      </c>
      <c r="AA493" s="35">
        <f t="shared" si="396"/>
        <v>0</v>
      </c>
      <c r="AB493" s="35">
        <f t="shared" si="396"/>
        <v>0</v>
      </c>
      <c r="AC493" s="35">
        <f t="shared" si="396"/>
        <v>0</v>
      </c>
    </row>
    <row r="494" spans="1:29">
      <c r="A494" s="459" t="s">
        <v>690</v>
      </c>
      <c r="B494" s="1" t="s">
        <v>652</v>
      </c>
      <c r="C494" s="35">
        <f t="shared" si="397"/>
        <v>0</v>
      </c>
      <c r="D494" s="35">
        <f t="shared" si="396"/>
        <v>0</v>
      </c>
      <c r="E494" s="35">
        <f t="shared" si="396"/>
        <v>0</v>
      </c>
      <c r="F494" s="35">
        <f t="shared" si="396"/>
        <v>0</v>
      </c>
      <c r="G494" s="35">
        <f t="shared" si="396"/>
        <v>0</v>
      </c>
      <c r="H494" s="35">
        <f t="shared" si="396"/>
        <v>0</v>
      </c>
      <c r="I494" s="35">
        <f t="shared" si="396"/>
        <v>0</v>
      </c>
      <c r="J494" s="35">
        <f t="shared" si="396"/>
        <v>0</v>
      </c>
      <c r="K494" s="35">
        <f t="shared" si="396"/>
        <v>0</v>
      </c>
      <c r="L494" s="35">
        <f t="shared" si="396"/>
        <v>0</v>
      </c>
      <c r="M494" s="35">
        <f t="shared" si="396"/>
        <v>0</v>
      </c>
      <c r="N494" s="35">
        <f t="shared" si="396"/>
        <v>0</v>
      </c>
      <c r="O494" s="35">
        <f t="shared" si="396"/>
        <v>0</v>
      </c>
      <c r="P494" s="35">
        <f t="shared" si="396"/>
        <v>0</v>
      </c>
      <c r="Q494" s="35">
        <f t="shared" si="396"/>
        <v>0</v>
      </c>
      <c r="R494" s="35">
        <f t="shared" si="396"/>
        <v>0</v>
      </c>
      <c r="S494" s="35">
        <f t="shared" si="396"/>
        <v>0</v>
      </c>
      <c r="T494" s="35">
        <f t="shared" si="396"/>
        <v>0</v>
      </c>
      <c r="U494" s="35">
        <f t="shared" si="396"/>
        <v>0</v>
      </c>
      <c r="V494" s="35">
        <f t="shared" si="396"/>
        <v>0</v>
      </c>
      <c r="W494" s="35">
        <f t="shared" si="396"/>
        <v>0</v>
      </c>
      <c r="X494" s="35">
        <f t="shared" si="396"/>
        <v>0</v>
      </c>
      <c r="Y494" s="35">
        <f t="shared" si="396"/>
        <v>0</v>
      </c>
      <c r="Z494" s="35">
        <f t="shared" si="396"/>
        <v>0</v>
      </c>
      <c r="AA494" s="35">
        <f t="shared" si="396"/>
        <v>0</v>
      </c>
      <c r="AB494" s="35">
        <f t="shared" si="396"/>
        <v>0</v>
      </c>
      <c r="AC494" s="35">
        <f t="shared" si="396"/>
        <v>0</v>
      </c>
    </row>
    <row r="495" spans="1:29">
      <c r="A495" s="459" t="s">
        <v>693</v>
      </c>
      <c r="B495" s="1" t="s">
        <v>652</v>
      </c>
      <c r="C495" s="35">
        <f t="shared" si="397"/>
        <v>1.7660044150110375E-2</v>
      </c>
      <c r="D495" s="35">
        <f t="shared" si="396"/>
        <v>0</v>
      </c>
      <c r="E495" s="35">
        <f t="shared" si="396"/>
        <v>1.7899761336515514E-2</v>
      </c>
      <c r="F495" s="35">
        <f t="shared" si="396"/>
        <v>2.0547945205479451E-2</v>
      </c>
      <c r="G495" s="35">
        <f t="shared" si="396"/>
        <v>1.8518518518518517E-2</v>
      </c>
      <c r="H495" s="35">
        <f t="shared" si="396"/>
        <v>3.5714285714285712E-2</v>
      </c>
      <c r="I495" s="35">
        <f t="shared" si="396"/>
        <v>0</v>
      </c>
      <c r="J495" s="35">
        <f t="shared" si="396"/>
        <v>1.9417475728155338E-2</v>
      </c>
      <c r="K495" s="35">
        <f t="shared" si="396"/>
        <v>1.6736401673640166E-2</v>
      </c>
      <c r="L495" s="35">
        <f t="shared" si="396"/>
        <v>0</v>
      </c>
      <c r="M495" s="35">
        <f t="shared" si="396"/>
        <v>2.0408163265306121E-2</v>
      </c>
      <c r="N495" s="35">
        <f t="shared" si="396"/>
        <v>2.1276595744680851E-2</v>
      </c>
      <c r="O495" s="35">
        <f t="shared" si="396"/>
        <v>1.9455252918287938E-2</v>
      </c>
      <c r="P495" s="35">
        <f t="shared" si="396"/>
        <v>1.8691588785046728E-2</v>
      </c>
      <c r="Q495" s="35">
        <f t="shared" si="396"/>
        <v>1.9455252918287938E-2</v>
      </c>
      <c r="R495" s="35">
        <f t="shared" si="396"/>
        <v>1.020408163265306E-2</v>
      </c>
      <c r="S495" s="35">
        <f t="shared" si="396"/>
        <v>2.4390243902439025E-2</v>
      </c>
      <c r="T495" s="35">
        <f t="shared" si="396"/>
        <v>2.1276595744680851E-2</v>
      </c>
      <c r="U495" s="35">
        <f t="shared" si="396"/>
        <v>0.01</v>
      </c>
      <c r="V495" s="35">
        <f t="shared" si="396"/>
        <v>1.7543859649122806E-2</v>
      </c>
      <c r="W495" s="35">
        <f t="shared" si="396"/>
        <v>0</v>
      </c>
      <c r="X495" s="35">
        <f t="shared" si="396"/>
        <v>3.4482758620689655E-2</v>
      </c>
      <c r="Y495" s="35">
        <f t="shared" si="396"/>
        <v>0</v>
      </c>
      <c r="Z495" s="35">
        <f t="shared" si="396"/>
        <v>0</v>
      </c>
      <c r="AA495" s="35">
        <f t="shared" si="396"/>
        <v>0</v>
      </c>
      <c r="AB495" s="35">
        <f t="shared" si="396"/>
        <v>0</v>
      </c>
      <c r="AC495" s="35">
        <f t="shared" si="396"/>
        <v>0</v>
      </c>
    </row>
    <row r="496" spans="1:29">
      <c r="A496" s="458" t="s">
        <v>16</v>
      </c>
      <c r="B496" s="458" t="s">
        <v>652</v>
      </c>
      <c r="C496" s="403">
        <f t="shared" ref="C496:AC496" si="398">SUM(C489:C495)</f>
        <v>1</v>
      </c>
      <c r="D496" s="403">
        <f t="shared" si="398"/>
        <v>1</v>
      </c>
      <c r="E496" s="403">
        <f t="shared" si="398"/>
        <v>0.99999999999999989</v>
      </c>
      <c r="F496" s="403">
        <f t="shared" si="398"/>
        <v>1</v>
      </c>
      <c r="G496" s="403">
        <f t="shared" si="398"/>
        <v>0.99999999999999989</v>
      </c>
      <c r="H496" s="403">
        <f t="shared" si="398"/>
        <v>1</v>
      </c>
      <c r="I496" s="403">
        <f t="shared" si="398"/>
        <v>1</v>
      </c>
      <c r="J496" s="403">
        <f t="shared" si="398"/>
        <v>1</v>
      </c>
      <c r="K496" s="403">
        <f t="shared" si="398"/>
        <v>1</v>
      </c>
      <c r="L496" s="403">
        <f t="shared" si="398"/>
        <v>1</v>
      </c>
      <c r="M496" s="403">
        <f t="shared" si="398"/>
        <v>1</v>
      </c>
      <c r="N496" s="403">
        <f t="shared" si="398"/>
        <v>1</v>
      </c>
      <c r="O496" s="403">
        <f t="shared" si="398"/>
        <v>1</v>
      </c>
      <c r="P496" s="403">
        <f t="shared" si="398"/>
        <v>1</v>
      </c>
      <c r="Q496" s="403">
        <f t="shared" si="398"/>
        <v>1</v>
      </c>
      <c r="R496" s="403">
        <f t="shared" si="398"/>
        <v>1</v>
      </c>
      <c r="S496" s="403">
        <f t="shared" si="398"/>
        <v>1</v>
      </c>
      <c r="T496" s="403">
        <f t="shared" si="398"/>
        <v>1</v>
      </c>
      <c r="U496" s="403">
        <f t="shared" si="398"/>
        <v>1</v>
      </c>
      <c r="V496" s="403">
        <f t="shared" si="398"/>
        <v>0.99999999999999978</v>
      </c>
      <c r="W496" s="403">
        <f t="shared" si="398"/>
        <v>1</v>
      </c>
      <c r="X496" s="403">
        <f t="shared" si="398"/>
        <v>0.99999999999999989</v>
      </c>
      <c r="Y496" s="403">
        <f t="shared" si="398"/>
        <v>1</v>
      </c>
      <c r="Z496" s="403">
        <f t="shared" si="398"/>
        <v>1</v>
      </c>
      <c r="AA496" s="403">
        <f t="shared" si="398"/>
        <v>1</v>
      </c>
      <c r="AB496" s="403">
        <f t="shared" si="398"/>
        <v>1</v>
      </c>
      <c r="AC496" s="403">
        <f t="shared" si="398"/>
        <v>1</v>
      </c>
    </row>
    <row r="497" spans="1:29">
      <c r="A497" s="459"/>
      <c r="C497" s="459"/>
      <c r="D497" s="459"/>
      <c r="E497" s="459"/>
      <c r="F497" s="459"/>
      <c r="G497" s="459"/>
      <c r="H497" s="459"/>
      <c r="I497" s="459"/>
      <c r="J497" s="459"/>
      <c r="K497" s="459"/>
      <c r="L497" s="459"/>
      <c r="M497" s="459"/>
      <c r="N497" s="459"/>
      <c r="O497" s="459"/>
      <c r="P497" s="459"/>
      <c r="Q497" s="459"/>
      <c r="R497" s="459"/>
      <c r="S497" s="459"/>
      <c r="T497" s="459"/>
      <c r="U497" s="459"/>
      <c r="V497" s="459"/>
      <c r="W497" s="459"/>
      <c r="X497" s="459"/>
      <c r="Y497" s="459"/>
      <c r="Z497" s="459"/>
      <c r="AA497" s="459"/>
      <c r="AB497" s="459"/>
      <c r="AC497" s="459"/>
    </row>
    <row r="498" spans="1:29">
      <c r="A498" s="459"/>
      <c r="C498" s="459"/>
      <c r="D498" s="459"/>
      <c r="E498" s="459"/>
      <c r="F498" s="459"/>
      <c r="G498" s="459"/>
      <c r="H498" s="459"/>
      <c r="I498" s="459"/>
      <c r="J498" s="459"/>
      <c r="K498" s="459"/>
      <c r="L498" s="459"/>
      <c r="M498" s="459"/>
      <c r="N498" s="459"/>
      <c r="O498" s="459"/>
      <c r="P498" s="459"/>
      <c r="Q498" s="459"/>
      <c r="R498" s="459"/>
      <c r="S498" s="459"/>
      <c r="T498" s="459"/>
      <c r="U498" s="459"/>
      <c r="V498" s="459"/>
      <c r="W498" s="459"/>
      <c r="X498" s="459"/>
      <c r="Y498" s="459"/>
      <c r="Z498" s="459"/>
      <c r="AA498" s="459"/>
      <c r="AB498" s="459"/>
      <c r="AC498" s="459"/>
    </row>
    <row r="499" spans="1:29">
      <c r="A499" s="459"/>
      <c r="C499" s="459"/>
      <c r="D499" s="459"/>
      <c r="E499" s="459"/>
      <c r="F499" s="459"/>
      <c r="G499" s="459"/>
      <c r="H499" s="459"/>
      <c r="I499" s="459"/>
      <c r="J499" s="459"/>
      <c r="K499" s="459"/>
      <c r="L499" s="459"/>
      <c r="M499" s="459"/>
      <c r="N499" s="459"/>
      <c r="O499" s="459"/>
      <c r="P499" s="459"/>
      <c r="Q499" s="459"/>
      <c r="R499" s="459"/>
      <c r="S499" s="459"/>
      <c r="T499" s="459"/>
      <c r="U499" s="459"/>
      <c r="V499" s="459"/>
      <c r="W499" s="459"/>
      <c r="X499" s="459"/>
      <c r="Y499" s="459"/>
      <c r="Z499" s="459"/>
      <c r="AA499" s="459"/>
      <c r="AB499" s="459"/>
      <c r="AC499" s="459"/>
    </row>
    <row r="500" spans="1:29" ht="15.6">
      <c r="A500" s="425" t="s">
        <v>684</v>
      </c>
      <c r="C500" s="459"/>
      <c r="D500" s="459"/>
      <c r="E500" s="459"/>
      <c r="F500" s="459"/>
      <c r="G500" s="459"/>
      <c r="H500" s="459"/>
      <c r="I500" s="459"/>
      <c r="J500" s="459"/>
      <c r="K500" s="459"/>
      <c r="L500" s="459"/>
      <c r="M500" s="459"/>
      <c r="N500" s="459"/>
      <c r="O500" s="459"/>
      <c r="P500" s="459"/>
      <c r="Q500" s="459"/>
      <c r="R500" s="459"/>
      <c r="S500" s="459"/>
      <c r="T500" s="459"/>
      <c r="U500" s="459"/>
      <c r="V500" s="459"/>
      <c r="W500" s="459"/>
      <c r="X500" s="459"/>
      <c r="Y500" s="459"/>
      <c r="Z500" s="459"/>
      <c r="AA500" s="459"/>
      <c r="AB500" s="459"/>
      <c r="AC500" s="459"/>
    </row>
    <row r="501" spans="1:29">
      <c r="A501" s="131" t="s">
        <v>685</v>
      </c>
      <c r="B501" s="131" t="s">
        <v>64</v>
      </c>
      <c r="C501" s="131" t="str">
        <f>C488</f>
        <v>IE</v>
      </c>
      <c r="D501" s="131" t="str">
        <f t="shared" ref="D501:AC501" si="399">D488</f>
        <v>IE-CW</v>
      </c>
      <c r="E501" s="131" t="str">
        <f t="shared" si="399"/>
        <v>IE-D</v>
      </c>
      <c r="F501" s="131" t="str">
        <f t="shared" si="399"/>
        <v>IE-KE</v>
      </c>
      <c r="G501" s="131" t="str">
        <f t="shared" si="399"/>
        <v>IE-KK</v>
      </c>
      <c r="H501" s="131" t="str">
        <f t="shared" si="399"/>
        <v>IE-LS</v>
      </c>
      <c r="I501" s="131" t="str">
        <f t="shared" si="399"/>
        <v>IE-LD</v>
      </c>
      <c r="J501" s="131" t="str">
        <f t="shared" si="399"/>
        <v>IE-LH</v>
      </c>
      <c r="K501" s="131" t="str">
        <f t="shared" si="399"/>
        <v>IE-MH</v>
      </c>
      <c r="L501" s="131" t="str">
        <f t="shared" si="399"/>
        <v>IE-OY</v>
      </c>
      <c r="M501" s="131" t="str">
        <f t="shared" si="399"/>
        <v>IE-WH</v>
      </c>
      <c r="N501" s="131" t="str">
        <f t="shared" si="399"/>
        <v>IE-WX</v>
      </c>
      <c r="O501" s="131" t="str">
        <f t="shared" si="399"/>
        <v>IE-WW</v>
      </c>
      <c r="P501" s="131" t="str">
        <f t="shared" si="399"/>
        <v>IE-CE</v>
      </c>
      <c r="Q501" s="131" t="str">
        <f t="shared" si="399"/>
        <v>IE-CO</v>
      </c>
      <c r="R501" s="131" t="str">
        <f t="shared" si="399"/>
        <v>IE-KY</v>
      </c>
      <c r="S501" s="131" t="str">
        <f t="shared" si="399"/>
        <v>IE-LK</v>
      </c>
      <c r="T501" s="131" t="str">
        <f t="shared" si="399"/>
        <v>IE-TA</v>
      </c>
      <c r="U501" s="131" t="str">
        <f t="shared" si="399"/>
        <v>IE-WD</v>
      </c>
      <c r="V501" s="131" t="str">
        <f t="shared" si="399"/>
        <v>IE-G</v>
      </c>
      <c r="W501" s="131" t="str">
        <f t="shared" si="399"/>
        <v>IE-LM</v>
      </c>
      <c r="X501" s="131" t="str">
        <f t="shared" si="399"/>
        <v>IE-MO</v>
      </c>
      <c r="Y501" s="131" t="str">
        <f t="shared" si="399"/>
        <v>IE-RN</v>
      </c>
      <c r="Z501" s="131" t="str">
        <f t="shared" si="399"/>
        <v>IE-SO</v>
      </c>
      <c r="AA501" s="131" t="str">
        <f t="shared" si="399"/>
        <v>IE-CN</v>
      </c>
      <c r="AB501" s="131" t="str">
        <f t="shared" si="399"/>
        <v>IE-DL</v>
      </c>
      <c r="AC501" s="131" t="str">
        <f t="shared" si="399"/>
        <v>IE-MN</v>
      </c>
    </row>
    <row r="502" spans="1:29">
      <c r="A502" s="507" t="s">
        <v>692</v>
      </c>
      <c r="B502" s="459" t="s">
        <v>653</v>
      </c>
      <c r="C502" s="509">
        <v>0.273642</v>
      </c>
      <c r="D502" s="509">
        <v>0.273642</v>
      </c>
      <c r="E502" s="509">
        <v>0.273642</v>
      </c>
      <c r="F502" s="509">
        <v>0.273642</v>
      </c>
      <c r="G502" s="509">
        <v>0.273642</v>
      </c>
      <c r="H502" s="509">
        <v>0.273642</v>
      </c>
      <c r="I502" s="509">
        <v>0.273642</v>
      </c>
      <c r="J502" s="509">
        <v>0.273642</v>
      </c>
      <c r="K502" s="509">
        <v>0.273642</v>
      </c>
      <c r="L502" s="509">
        <v>0.273642</v>
      </c>
      <c r="M502" s="509">
        <v>0.273642</v>
      </c>
      <c r="N502" s="509">
        <v>0.273642</v>
      </c>
      <c r="O502" s="509">
        <v>0.273642</v>
      </c>
      <c r="P502" s="509">
        <v>0.273642</v>
      </c>
      <c r="Q502" s="509">
        <v>0.273642</v>
      </c>
      <c r="R502" s="509">
        <v>0.273642</v>
      </c>
      <c r="S502" s="509">
        <v>0.273642</v>
      </c>
      <c r="T502" s="509">
        <v>0.273642</v>
      </c>
      <c r="U502" s="509">
        <v>0.273642</v>
      </c>
      <c r="V502" s="509">
        <v>0.273642</v>
      </c>
      <c r="W502" s="509">
        <v>0.273642</v>
      </c>
      <c r="X502" s="509">
        <v>0.273642</v>
      </c>
      <c r="Y502" s="509">
        <v>0.273642</v>
      </c>
      <c r="Z502" s="509">
        <v>0.273642</v>
      </c>
      <c r="AA502" s="509">
        <v>0.273642</v>
      </c>
      <c r="AB502" s="509">
        <v>0.273642</v>
      </c>
      <c r="AC502" s="509">
        <v>0.273642</v>
      </c>
    </row>
    <row r="503" spans="1:29">
      <c r="A503" s="1" t="s">
        <v>686</v>
      </c>
      <c r="B503" s="459" t="s">
        <v>653</v>
      </c>
      <c r="C503" s="509">
        <v>0.54281375999999992</v>
      </c>
      <c r="D503" s="509">
        <v>0.54281375999999992</v>
      </c>
      <c r="E503" s="509">
        <v>0.54281375999999992</v>
      </c>
      <c r="F503" s="509">
        <v>0.54281375999999992</v>
      </c>
      <c r="G503" s="509">
        <v>0.54281375999999992</v>
      </c>
      <c r="H503" s="509">
        <v>0.54281375999999992</v>
      </c>
      <c r="I503" s="509">
        <v>0.54281375999999992</v>
      </c>
      <c r="J503" s="509">
        <v>0.54281375999999992</v>
      </c>
      <c r="K503" s="509">
        <v>0.54281375999999992</v>
      </c>
      <c r="L503" s="509">
        <v>0.54281375999999992</v>
      </c>
      <c r="M503" s="509">
        <v>0.54281375999999992</v>
      </c>
      <c r="N503" s="509">
        <v>0.54281375999999992</v>
      </c>
      <c r="O503" s="509">
        <v>0.54281375999999992</v>
      </c>
      <c r="P503" s="509">
        <v>0.54281375999999992</v>
      </c>
      <c r="Q503" s="509">
        <v>0.54281375999999992</v>
      </c>
      <c r="R503" s="509">
        <v>0.54281375999999992</v>
      </c>
      <c r="S503" s="509">
        <v>0.54281375999999992</v>
      </c>
      <c r="T503" s="509">
        <v>0.54281375999999992</v>
      </c>
      <c r="U503" s="509">
        <v>0.54281375999999992</v>
      </c>
      <c r="V503" s="509">
        <v>0.54281375999999992</v>
      </c>
      <c r="W503" s="509">
        <v>0.54281375999999992</v>
      </c>
      <c r="X503" s="509">
        <v>0.54281375999999992</v>
      </c>
      <c r="Y503" s="509">
        <v>0.54281375999999992</v>
      </c>
      <c r="Z503" s="509">
        <v>0.54281375999999992</v>
      </c>
      <c r="AA503" s="509">
        <v>0.54281375999999992</v>
      </c>
      <c r="AB503" s="509">
        <v>0.54281375999999992</v>
      </c>
      <c r="AC503" s="509">
        <v>0.54281375999999992</v>
      </c>
    </row>
    <row r="504" spans="1:29">
      <c r="A504" s="1" t="s">
        <v>687</v>
      </c>
      <c r="B504" s="459" t="s">
        <v>653</v>
      </c>
      <c r="C504" s="509">
        <v>0.61380411428571424</v>
      </c>
      <c r="D504" s="509">
        <v>0.61380411428571424</v>
      </c>
      <c r="E504" s="509">
        <v>0.61380411428571424</v>
      </c>
      <c r="F504" s="509">
        <v>0.61380411428571424</v>
      </c>
      <c r="G504" s="509">
        <v>0.61380411428571424</v>
      </c>
      <c r="H504" s="509">
        <v>0.61380411428571424</v>
      </c>
      <c r="I504" s="509">
        <v>0.61380411428571424</v>
      </c>
      <c r="J504" s="509">
        <v>0.61380411428571424</v>
      </c>
      <c r="K504" s="509">
        <v>0.61380411428571424</v>
      </c>
      <c r="L504" s="509">
        <v>0.61380411428571424</v>
      </c>
      <c r="M504" s="509">
        <v>0.61380411428571424</v>
      </c>
      <c r="N504" s="509">
        <v>0.61380411428571424</v>
      </c>
      <c r="O504" s="509">
        <v>0.61380411428571424</v>
      </c>
      <c r="P504" s="509">
        <v>0.61380411428571424</v>
      </c>
      <c r="Q504" s="509">
        <v>0.61380411428571424</v>
      </c>
      <c r="R504" s="509">
        <v>0.61380411428571424</v>
      </c>
      <c r="S504" s="509">
        <v>0.61380411428571424</v>
      </c>
      <c r="T504" s="509">
        <v>0.61380411428571424</v>
      </c>
      <c r="U504" s="509">
        <v>0.61380411428571424</v>
      </c>
      <c r="V504" s="509">
        <v>0.61380411428571424</v>
      </c>
      <c r="W504" s="509">
        <v>0.61380411428571424</v>
      </c>
      <c r="X504" s="509">
        <v>0.61380411428571424</v>
      </c>
      <c r="Y504" s="509">
        <v>0.61380411428571424</v>
      </c>
      <c r="Z504" s="509">
        <v>0.61380411428571424</v>
      </c>
      <c r="AA504" s="509">
        <v>0.61380411428571424</v>
      </c>
      <c r="AB504" s="509">
        <v>0.61380411428571424</v>
      </c>
      <c r="AC504" s="509">
        <v>0.61380411428571424</v>
      </c>
    </row>
    <row r="505" spans="1:29">
      <c r="A505" s="1" t="s">
        <v>688</v>
      </c>
      <c r="B505" s="459" t="s">
        <v>653</v>
      </c>
      <c r="C505" s="509">
        <v>0.65324320000000002</v>
      </c>
      <c r="D505" s="509">
        <v>0.65324320000000002</v>
      </c>
      <c r="E505" s="509">
        <v>0.65324320000000002</v>
      </c>
      <c r="F505" s="509">
        <v>0.65324320000000002</v>
      </c>
      <c r="G505" s="509">
        <v>0.65324320000000002</v>
      </c>
      <c r="H505" s="509">
        <v>0.65324320000000002</v>
      </c>
      <c r="I505" s="509">
        <v>0.65324320000000002</v>
      </c>
      <c r="J505" s="509">
        <v>0.65324320000000002</v>
      </c>
      <c r="K505" s="509">
        <v>0.65324320000000002</v>
      </c>
      <c r="L505" s="509">
        <v>0.65324320000000002</v>
      </c>
      <c r="M505" s="509">
        <v>0.65324320000000002</v>
      </c>
      <c r="N505" s="509">
        <v>0.65324320000000002</v>
      </c>
      <c r="O505" s="509">
        <v>0.65324320000000002</v>
      </c>
      <c r="P505" s="509">
        <v>0.65324320000000002</v>
      </c>
      <c r="Q505" s="509">
        <v>0.65324320000000002</v>
      </c>
      <c r="R505" s="509">
        <v>0.65324320000000002</v>
      </c>
      <c r="S505" s="509">
        <v>0.65324320000000002</v>
      </c>
      <c r="T505" s="509">
        <v>0.65324320000000002</v>
      </c>
      <c r="U505" s="509">
        <v>0.65324320000000002</v>
      </c>
      <c r="V505" s="509">
        <v>0.65324320000000002</v>
      </c>
      <c r="W505" s="509">
        <v>0.65324320000000002</v>
      </c>
      <c r="X505" s="509">
        <v>0.65324320000000002</v>
      </c>
      <c r="Y505" s="509">
        <v>0.65324320000000002</v>
      </c>
      <c r="Z505" s="509">
        <v>0.65324320000000002</v>
      </c>
      <c r="AA505" s="509">
        <v>0.65324320000000002</v>
      </c>
      <c r="AB505" s="509">
        <v>0.65324320000000002</v>
      </c>
      <c r="AC505" s="509">
        <v>0.65324320000000002</v>
      </c>
    </row>
    <row r="506" spans="1:29">
      <c r="A506" s="1" t="s">
        <v>689</v>
      </c>
      <c r="B506" s="459" t="s">
        <v>653</v>
      </c>
      <c r="C506" s="509">
        <v>0.67834080000000008</v>
      </c>
      <c r="D506" s="509">
        <v>0.67834080000000008</v>
      </c>
      <c r="E506" s="509">
        <v>0.67834080000000008</v>
      </c>
      <c r="F506" s="509">
        <v>0.67834080000000008</v>
      </c>
      <c r="G506" s="509">
        <v>0.67834080000000008</v>
      </c>
      <c r="H506" s="509">
        <v>0.67834080000000008</v>
      </c>
      <c r="I506" s="509">
        <v>0.67834080000000008</v>
      </c>
      <c r="J506" s="509">
        <v>0.67834080000000008</v>
      </c>
      <c r="K506" s="509">
        <v>0.67834080000000008</v>
      </c>
      <c r="L506" s="509">
        <v>0.67834080000000008</v>
      </c>
      <c r="M506" s="509">
        <v>0.67834080000000008</v>
      </c>
      <c r="N506" s="509">
        <v>0.67834080000000008</v>
      </c>
      <c r="O506" s="509">
        <v>0.67834080000000008</v>
      </c>
      <c r="P506" s="509">
        <v>0.67834080000000008</v>
      </c>
      <c r="Q506" s="509">
        <v>0.67834080000000008</v>
      </c>
      <c r="R506" s="509">
        <v>0.67834080000000008</v>
      </c>
      <c r="S506" s="509">
        <v>0.67834080000000008</v>
      </c>
      <c r="T506" s="509">
        <v>0.67834080000000008</v>
      </c>
      <c r="U506" s="509">
        <v>0.67834080000000008</v>
      </c>
      <c r="V506" s="509">
        <v>0.67834080000000008</v>
      </c>
      <c r="W506" s="509">
        <v>0.67834080000000008</v>
      </c>
      <c r="X506" s="509">
        <v>0.67834080000000008</v>
      </c>
      <c r="Y506" s="509">
        <v>0.67834080000000008</v>
      </c>
      <c r="Z506" s="509">
        <v>0.67834080000000008</v>
      </c>
      <c r="AA506" s="509">
        <v>0.67834080000000008</v>
      </c>
      <c r="AB506" s="509">
        <v>0.67834080000000008</v>
      </c>
      <c r="AC506" s="509">
        <v>0.67834080000000008</v>
      </c>
    </row>
    <row r="507" spans="1:29">
      <c r="A507" s="1" t="s">
        <v>690</v>
      </c>
      <c r="B507" s="1" t="s">
        <v>653</v>
      </c>
      <c r="C507" s="509">
        <v>0.69571606153846166</v>
      </c>
      <c r="D507" s="509">
        <v>0.69571606153846166</v>
      </c>
      <c r="E507" s="509">
        <v>0.69571606153846166</v>
      </c>
      <c r="F507" s="509">
        <v>0.69571606153846166</v>
      </c>
      <c r="G507" s="509">
        <v>0.69571606153846166</v>
      </c>
      <c r="H507" s="509">
        <v>0.69571606153846166</v>
      </c>
      <c r="I507" s="509">
        <v>0.69571606153846166</v>
      </c>
      <c r="J507" s="509">
        <v>0.69571606153846166</v>
      </c>
      <c r="K507" s="509">
        <v>0.69571606153846166</v>
      </c>
      <c r="L507" s="509">
        <v>0.69571606153846166</v>
      </c>
      <c r="M507" s="509">
        <v>0.69571606153846166</v>
      </c>
      <c r="N507" s="509">
        <v>0.69571606153846166</v>
      </c>
      <c r="O507" s="509">
        <v>0.69571606153846166</v>
      </c>
      <c r="P507" s="509">
        <v>0.69571606153846166</v>
      </c>
      <c r="Q507" s="509">
        <v>0.69571606153846166</v>
      </c>
      <c r="R507" s="509">
        <v>0.69571606153846166</v>
      </c>
      <c r="S507" s="509">
        <v>0.69571606153846166</v>
      </c>
      <c r="T507" s="509">
        <v>0.69571606153846166</v>
      </c>
      <c r="U507" s="509">
        <v>0.69571606153846166</v>
      </c>
      <c r="V507" s="509">
        <v>0.69571606153846166</v>
      </c>
      <c r="W507" s="509">
        <v>0.69571606153846166</v>
      </c>
      <c r="X507" s="509">
        <v>0.69571606153846166</v>
      </c>
      <c r="Y507" s="509">
        <v>0.69571606153846166</v>
      </c>
      <c r="Z507" s="509">
        <v>0.69571606153846166</v>
      </c>
      <c r="AA507" s="509">
        <v>0.69571606153846166</v>
      </c>
      <c r="AB507" s="509">
        <v>0.69571606153846166</v>
      </c>
      <c r="AC507" s="509">
        <v>0.69571606153846166</v>
      </c>
    </row>
    <row r="508" spans="1:29">
      <c r="A508" s="458" t="s">
        <v>693</v>
      </c>
      <c r="B508" s="458" t="s">
        <v>653</v>
      </c>
      <c r="C508" s="514">
        <v>0.71104610999999995</v>
      </c>
      <c r="D508" s="514">
        <v>0.71104610999999995</v>
      </c>
      <c r="E508" s="514">
        <v>0.71104610999999995</v>
      </c>
      <c r="F508" s="514">
        <v>0.71104610999999995</v>
      </c>
      <c r="G508" s="514">
        <v>0.71104610999999995</v>
      </c>
      <c r="H508" s="514">
        <v>0.71104610999999995</v>
      </c>
      <c r="I508" s="514">
        <v>0.71104610999999995</v>
      </c>
      <c r="J508" s="514">
        <v>0.71104610999999995</v>
      </c>
      <c r="K508" s="514">
        <v>0.71104610999999995</v>
      </c>
      <c r="L508" s="514">
        <v>0.71104610999999995</v>
      </c>
      <c r="M508" s="514">
        <v>0.71104610999999995</v>
      </c>
      <c r="N508" s="514">
        <v>0.71104610999999995</v>
      </c>
      <c r="O508" s="514">
        <v>0.71104610999999995</v>
      </c>
      <c r="P508" s="514">
        <v>0.71104610999999995</v>
      </c>
      <c r="Q508" s="514">
        <v>0.71104610999999995</v>
      </c>
      <c r="R508" s="514">
        <v>0.71104610999999995</v>
      </c>
      <c r="S508" s="514">
        <v>0.71104610999999995</v>
      </c>
      <c r="T508" s="514">
        <v>0.71104610999999995</v>
      </c>
      <c r="U508" s="514">
        <v>0.71104610999999995</v>
      </c>
      <c r="V508" s="514">
        <v>0.71104610999999995</v>
      </c>
      <c r="W508" s="514">
        <v>0.71104610999999995</v>
      </c>
      <c r="X508" s="514">
        <v>0.71104610999999995</v>
      </c>
      <c r="Y508" s="514">
        <v>0.71104610999999995</v>
      </c>
      <c r="Z508" s="514">
        <v>0.71104610999999995</v>
      </c>
      <c r="AA508" s="514">
        <v>0.71104610999999995</v>
      </c>
      <c r="AB508" s="514">
        <v>0.71104610999999995</v>
      </c>
      <c r="AC508" s="514">
        <v>0.71104610999999995</v>
      </c>
    </row>
    <row r="509" spans="1:29">
      <c r="A509" s="510" t="s">
        <v>657</v>
      </c>
      <c r="C509" s="459"/>
      <c r="D509" s="459"/>
      <c r="E509" s="459"/>
      <c r="F509" s="459"/>
      <c r="G509" s="459"/>
      <c r="H509" s="459"/>
      <c r="I509" s="459"/>
      <c r="J509" s="459"/>
      <c r="K509" s="459"/>
      <c r="L509" s="459"/>
      <c r="M509" s="459"/>
      <c r="N509" s="459"/>
      <c r="O509" s="459"/>
      <c r="P509" s="459"/>
      <c r="Q509" s="459"/>
      <c r="R509" s="459"/>
      <c r="S509" s="459"/>
      <c r="T509" s="459"/>
      <c r="U509" s="459"/>
      <c r="V509" s="459"/>
      <c r="W509" s="459"/>
      <c r="X509" s="459"/>
      <c r="Y509" s="459"/>
      <c r="Z509" s="459"/>
      <c r="AA509" s="459"/>
      <c r="AB509" s="459"/>
      <c r="AC509" s="459"/>
    </row>
    <row r="510" spans="1:29">
      <c r="A510" s="459"/>
      <c r="C510" s="459"/>
      <c r="D510" s="459"/>
      <c r="E510" s="459"/>
      <c r="F510" s="459"/>
      <c r="G510" s="459"/>
      <c r="H510" s="459"/>
      <c r="I510" s="459"/>
      <c r="J510" s="459"/>
      <c r="K510" s="459"/>
      <c r="L510" s="459"/>
      <c r="M510" s="459"/>
      <c r="N510" s="459"/>
      <c r="O510" s="459"/>
      <c r="P510" s="459"/>
      <c r="Q510" s="459"/>
      <c r="R510" s="459"/>
      <c r="S510" s="459"/>
      <c r="T510" s="459"/>
      <c r="U510" s="459"/>
      <c r="V510" s="459"/>
      <c r="W510" s="459"/>
      <c r="X510" s="459"/>
      <c r="Y510" s="459"/>
      <c r="Z510" s="459"/>
      <c r="AA510" s="459"/>
      <c r="AB510" s="459"/>
      <c r="AC510" s="459"/>
    </row>
    <row r="511" spans="1:29">
      <c r="A511" s="459"/>
      <c r="C511" s="459"/>
      <c r="D511" s="459"/>
      <c r="E511" s="459"/>
      <c r="F511" s="459"/>
      <c r="G511" s="459"/>
      <c r="H511" s="459"/>
      <c r="I511" s="459"/>
      <c r="J511" s="459"/>
      <c r="K511" s="459"/>
      <c r="L511" s="459"/>
      <c r="M511" s="459"/>
      <c r="N511" s="459"/>
      <c r="O511" s="459"/>
      <c r="P511" s="459"/>
      <c r="Q511" s="459"/>
      <c r="R511" s="459"/>
      <c r="S511" s="459"/>
      <c r="T511" s="459"/>
      <c r="U511" s="459"/>
      <c r="V511" s="459"/>
      <c r="W511" s="459"/>
      <c r="X511" s="459"/>
      <c r="Y511" s="459"/>
      <c r="Z511" s="459"/>
      <c r="AA511" s="459"/>
      <c r="AB511" s="459"/>
      <c r="AC511" s="459"/>
    </row>
    <row r="512" spans="1:29">
      <c r="A512" s="459"/>
      <c r="C512" s="459"/>
      <c r="D512" s="459"/>
      <c r="E512" s="459"/>
      <c r="F512" s="459"/>
      <c r="G512" s="459"/>
      <c r="H512" s="459"/>
      <c r="I512" s="459"/>
      <c r="J512" s="459"/>
      <c r="K512" s="459"/>
      <c r="L512" s="459"/>
      <c r="M512" s="459"/>
      <c r="N512" s="459"/>
      <c r="O512" s="459"/>
      <c r="P512" s="459"/>
      <c r="Q512" s="459"/>
      <c r="R512" s="459"/>
      <c r="S512" s="459"/>
      <c r="T512" s="459"/>
      <c r="U512" s="459"/>
      <c r="V512" s="459"/>
      <c r="W512" s="459"/>
      <c r="X512" s="459"/>
      <c r="Y512" s="459"/>
      <c r="Z512" s="459"/>
      <c r="AA512" s="459"/>
      <c r="AB512" s="459"/>
      <c r="AC512" s="459"/>
    </row>
    <row r="513" spans="1:29" ht="15.6">
      <c r="A513" s="425" t="s">
        <v>684</v>
      </c>
      <c r="C513" s="459"/>
      <c r="D513" s="459"/>
      <c r="E513" s="459"/>
      <c r="F513" s="459"/>
      <c r="G513" s="459"/>
      <c r="H513" s="459"/>
      <c r="I513" s="459"/>
      <c r="J513" s="459"/>
      <c r="K513" s="459"/>
      <c r="L513" s="459"/>
      <c r="M513" s="459"/>
      <c r="N513" s="459"/>
      <c r="O513" s="459"/>
      <c r="P513" s="459"/>
      <c r="Q513" s="459"/>
      <c r="R513" s="459"/>
      <c r="S513" s="459"/>
      <c r="T513" s="459"/>
      <c r="U513" s="459"/>
      <c r="V513" s="459"/>
      <c r="W513" s="459"/>
      <c r="X513" s="459"/>
      <c r="Y513" s="459"/>
      <c r="Z513" s="459"/>
      <c r="AA513" s="459"/>
      <c r="AB513" s="459"/>
      <c r="AC513" s="459"/>
    </row>
    <row r="514" spans="1:29">
      <c r="A514" s="131" t="s">
        <v>685</v>
      </c>
      <c r="B514" s="131" t="s">
        <v>64</v>
      </c>
      <c r="C514" s="131" t="str">
        <f>C501</f>
        <v>IE</v>
      </c>
      <c r="D514" s="131" t="str">
        <f t="shared" ref="D514:AC514" si="400">D501</f>
        <v>IE-CW</v>
      </c>
      <c r="E514" s="131" t="str">
        <f t="shared" si="400"/>
        <v>IE-D</v>
      </c>
      <c r="F514" s="131" t="str">
        <f t="shared" si="400"/>
        <v>IE-KE</v>
      </c>
      <c r="G514" s="131" t="str">
        <f t="shared" si="400"/>
        <v>IE-KK</v>
      </c>
      <c r="H514" s="131" t="str">
        <f t="shared" si="400"/>
        <v>IE-LS</v>
      </c>
      <c r="I514" s="131" t="str">
        <f t="shared" si="400"/>
        <v>IE-LD</v>
      </c>
      <c r="J514" s="131" t="str">
        <f t="shared" si="400"/>
        <v>IE-LH</v>
      </c>
      <c r="K514" s="131" t="str">
        <f t="shared" si="400"/>
        <v>IE-MH</v>
      </c>
      <c r="L514" s="131" t="str">
        <f t="shared" si="400"/>
        <v>IE-OY</v>
      </c>
      <c r="M514" s="131" t="str">
        <f t="shared" si="400"/>
        <v>IE-WH</v>
      </c>
      <c r="N514" s="131" t="str">
        <f t="shared" si="400"/>
        <v>IE-WX</v>
      </c>
      <c r="O514" s="131" t="str">
        <f t="shared" si="400"/>
        <v>IE-WW</v>
      </c>
      <c r="P514" s="131" t="str">
        <f t="shared" si="400"/>
        <v>IE-CE</v>
      </c>
      <c r="Q514" s="131" t="str">
        <f t="shared" si="400"/>
        <v>IE-CO</v>
      </c>
      <c r="R514" s="131" t="str">
        <f t="shared" si="400"/>
        <v>IE-KY</v>
      </c>
      <c r="S514" s="131" t="str">
        <f t="shared" si="400"/>
        <v>IE-LK</v>
      </c>
      <c r="T514" s="131" t="str">
        <f t="shared" si="400"/>
        <v>IE-TA</v>
      </c>
      <c r="U514" s="131" t="str">
        <f t="shared" si="400"/>
        <v>IE-WD</v>
      </c>
      <c r="V514" s="131" t="str">
        <f t="shared" si="400"/>
        <v>IE-G</v>
      </c>
      <c r="W514" s="131" t="str">
        <f t="shared" si="400"/>
        <v>IE-LM</v>
      </c>
      <c r="X514" s="131" t="str">
        <f t="shared" si="400"/>
        <v>IE-MO</v>
      </c>
      <c r="Y514" s="131" t="str">
        <f t="shared" si="400"/>
        <v>IE-RN</v>
      </c>
      <c r="Z514" s="131" t="str">
        <f t="shared" si="400"/>
        <v>IE-SO</v>
      </c>
      <c r="AA514" s="131" t="str">
        <f t="shared" si="400"/>
        <v>IE-CN</v>
      </c>
      <c r="AB514" s="131" t="str">
        <f t="shared" si="400"/>
        <v>IE-DL</v>
      </c>
      <c r="AC514" s="131" t="str">
        <f t="shared" si="400"/>
        <v>IE-MN</v>
      </c>
    </row>
    <row r="515" spans="1:29">
      <c r="A515" s="459" t="s">
        <v>691</v>
      </c>
      <c r="B515" s="459" t="s">
        <v>653</v>
      </c>
      <c r="C515" s="505">
        <f>SUMPRODUCT(C489:C495,C502:C508)</f>
        <v>0.58782667363481544</v>
      </c>
      <c r="D515" s="505">
        <f>IF(D482&gt;1,SUMPRODUCT(D489:D495,D502:D508),$C$226)</f>
        <v>0.55978971428571422</v>
      </c>
      <c r="E515" s="505">
        <f t="shared" ref="E515:AC515" si="401">IF(E482&gt;1,SUMPRODUCT(E489:E495,E502:E508),$C$226)</f>
        <v>0.58837933042447998</v>
      </c>
      <c r="F515" s="505">
        <f t="shared" si="401"/>
        <v>0.59079058817025443</v>
      </c>
      <c r="G515" s="505">
        <f t="shared" si="401"/>
        <v>0.59832871335978832</v>
      </c>
      <c r="H515" s="505">
        <f t="shared" si="401"/>
        <v>0.6044465349489796</v>
      </c>
      <c r="I515" s="505">
        <f t="shared" si="401"/>
        <v>0.57239307428571429</v>
      </c>
      <c r="J515" s="505">
        <f t="shared" si="401"/>
        <v>0.59058078460471564</v>
      </c>
      <c r="K515" s="505">
        <f t="shared" si="401"/>
        <v>0.58923888193664076</v>
      </c>
      <c r="L515" s="505">
        <f t="shared" si="401"/>
        <v>0.55750141950738907</v>
      </c>
      <c r="M515" s="505">
        <f t="shared" si="401"/>
        <v>0.59641300492711358</v>
      </c>
      <c r="N515" s="505">
        <f t="shared" si="401"/>
        <v>0.59342002219858159</v>
      </c>
      <c r="O515" s="505">
        <f t="shared" si="401"/>
        <v>0.58956322797665373</v>
      </c>
      <c r="P515" s="505">
        <f t="shared" si="401"/>
        <v>0.58472721273698258</v>
      </c>
      <c r="Q515" s="505">
        <f t="shared" si="401"/>
        <v>0.58933582893274039</v>
      </c>
      <c r="R515" s="505">
        <f t="shared" si="401"/>
        <v>0.58290120800291534</v>
      </c>
      <c r="S515" s="505">
        <f t="shared" si="401"/>
        <v>0.59408065448315917</v>
      </c>
      <c r="T515" s="505">
        <f t="shared" si="401"/>
        <v>0.58825810446808502</v>
      </c>
      <c r="U515" s="505">
        <f t="shared" si="401"/>
        <v>0.58241497172857126</v>
      </c>
      <c r="V515" s="505">
        <f t="shared" si="401"/>
        <v>0.58974890598997487</v>
      </c>
      <c r="W515" s="505">
        <f t="shared" si="401"/>
        <v>0.55951737277310909</v>
      </c>
      <c r="X515" s="505">
        <f t="shared" si="401"/>
        <v>0.60422522270935952</v>
      </c>
      <c r="Y515" s="505">
        <f t="shared" si="401"/>
        <v>0.55701183085714279</v>
      </c>
      <c r="Z515" s="505">
        <f t="shared" si="401"/>
        <v>0.55750141950738907</v>
      </c>
      <c r="AA515" s="505">
        <f t="shared" si="401"/>
        <v>0.56715331004081626</v>
      </c>
      <c r="AB515" s="505">
        <f t="shared" si="401"/>
        <v>0.56647721142857133</v>
      </c>
      <c r="AC515" s="505">
        <f t="shared" si="401"/>
        <v>0.55655382857142843</v>
      </c>
    </row>
    <row r="516" spans="1:29">
      <c r="A516" s="458"/>
      <c r="B516" s="458" t="s">
        <v>640</v>
      </c>
      <c r="C516" s="508">
        <f>1000/C515</f>
        <v>1701.1817340926677</v>
      </c>
      <c r="D516" s="508">
        <f>1000/D515</f>
        <v>1786.3850915445803</v>
      </c>
      <c r="E516" s="508">
        <f>1000/E515</f>
        <v>1699.5838369756475</v>
      </c>
      <c r="F516" s="508">
        <f>1000/F515</f>
        <v>1692.647141006619</v>
      </c>
      <c r="G516" s="508">
        <f t="shared" ref="G516" si="402">1000/G515</f>
        <v>1671.322097154107</v>
      </c>
      <c r="H516" s="508">
        <f t="shared" ref="H516" si="403">1000/H515</f>
        <v>1654.4060428510993</v>
      </c>
      <c r="I516" s="508">
        <f t="shared" ref="I516" si="404">1000/I515</f>
        <v>1747.0511872420777</v>
      </c>
      <c r="J516" s="508">
        <f t="shared" ref="J516" si="405">1000/J515</f>
        <v>1693.2484531634645</v>
      </c>
      <c r="K516" s="508">
        <f t="shared" ref="K516" si="406">1000/K515</f>
        <v>1697.1045710923186</v>
      </c>
      <c r="L516" s="508">
        <f t="shared" ref="L516" si="407">1000/L515</f>
        <v>1793.717405928051</v>
      </c>
      <c r="M516" s="508">
        <f t="shared" ref="M516" si="408">1000/M515</f>
        <v>1676.6904674089189</v>
      </c>
      <c r="N516" s="508">
        <f t="shared" ref="N516" si="409">1000/N515</f>
        <v>1685.1470503052235</v>
      </c>
      <c r="O516" s="508">
        <f t="shared" ref="O516" si="410">1000/O515</f>
        <v>1696.1709152586418</v>
      </c>
      <c r="P516" s="508">
        <f t="shared" ref="P516" si="411">1000/P515</f>
        <v>1710.1991804335814</v>
      </c>
      <c r="Q516" s="508">
        <f t="shared" ref="Q516" si="412">1000/Q515</f>
        <v>1696.8253937843101</v>
      </c>
      <c r="R516" s="508">
        <f t="shared" ref="R516" si="413">1000/R515</f>
        <v>1715.5565750603121</v>
      </c>
      <c r="S516" s="508">
        <f t="shared" ref="S516" si="414">1000/S515</f>
        <v>1683.2731253805669</v>
      </c>
      <c r="T516" s="508">
        <f t="shared" ref="T516" si="415">1000/T515</f>
        <v>1699.9340806434284</v>
      </c>
      <c r="U516" s="508">
        <f t="shared" ref="U516" si="416">1000/U515</f>
        <v>1716.9888284843751</v>
      </c>
      <c r="V516" s="508">
        <f t="shared" ref="V516" si="417">1000/V515</f>
        <v>1695.6368885862739</v>
      </c>
      <c r="W516" s="508">
        <f t="shared" ref="W516" si="418">1000/W515</f>
        <v>1787.2546030943561</v>
      </c>
      <c r="X516" s="508">
        <f t="shared" ref="X516" si="419">1000/X515</f>
        <v>1655.0120094556421</v>
      </c>
      <c r="Y516" s="508">
        <f t="shared" ref="Y516" si="420">1000/Y515</f>
        <v>1795.2940038296433</v>
      </c>
      <c r="Z516" s="508">
        <f t="shared" ref="Z516" si="421">1000/Z515</f>
        <v>1793.717405928051</v>
      </c>
      <c r="AA516" s="508">
        <f t="shared" ref="AA516" si="422">1000/AA515</f>
        <v>1763.191684322592</v>
      </c>
      <c r="AB516" s="508">
        <f t="shared" ref="AB516" si="423">1000/AB515</f>
        <v>1765.2960786862875</v>
      </c>
      <c r="AC516" s="508">
        <f t="shared" ref="AC516" si="424">1000/AC515</f>
        <v>1796.7713968778482</v>
      </c>
    </row>
    <row r="520" spans="1:29">
      <c r="A520" s="511"/>
      <c r="B520" s="511"/>
      <c r="C520" s="511"/>
      <c r="D520" s="511"/>
      <c r="E520" s="511"/>
      <c r="F520" s="511"/>
      <c r="G520" s="511"/>
      <c r="H520" s="511"/>
      <c r="I520" s="511"/>
      <c r="J520" s="511"/>
      <c r="K520" s="511"/>
      <c r="L520" s="511"/>
      <c r="M520" s="511"/>
      <c r="N520" s="511"/>
      <c r="O520" s="511"/>
      <c r="P520" s="511"/>
      <c r="Q520" s="511"/>
      <c r="R520" s="511"/>
      <c r="S520" s="511"/>
      <c r="T520" s="511"/>
      <c r="U520" s="511"/>
      <c r="V520" s="511"/>
      <c r="W520" s="511"/>
      <c r="X520" s="511"/>
      <c r="Y520" s="511"/>
      <c r="Z520" s="511"/>
      <c r="AA520" s="511"/>
      <c r="AB520" s="511"/>
      <c r="AC520" s="511"/>
    </row>
    <row r="521" spans="1:29" ht="15.6">
      <c r="A521" s="425" t="s">
        <v>700</v>
      </c>
      <c r="C521" s="459"/>
      <c r="D521" s="459"/>
      <c r="E521" s="459"/>
      <c r="F521" s="459"/>
      <c r="G521" s="459"/>
      <c r="H521" s="459"/>
      <c r="I521" s="459"/>
      <c r="J521" s="459"/>
      <c r="K521" s="459"/>
      <c r="L521" s="459"/>
      <c r="M521" s="459"/>
      <c r="N521" s="459"/>
      <c r="O521" s="459"/>
      <c r="P521" s="459"/>
      <c r="Q521" s="459"/>
      <c r="R521" s="459"/>
      <c r="S521" s="459"/>
      <c r="T521" s="459"/>
      <c r="U521" s="459"/>
      <c r="V521" s="459"/>
      <c r="W521" s="459"/>
      <c r="X521" s="459"/>
      <c r="Y521" s="459"/>
      <c r="Z521" s="459"/>
      <c r="AA521" s="459"/>
      <c r="AB521" s="459"/>
      <c r="AC521" s="459"/>
    </row>
    <row r="522" spans="1:29">
      <c r="A522" s="131" t="s">
        <v>648</v>
      </c>
      <c r="B522" s="131" t="s">
        <v>64</v>
      </c>
      <c r="C522" s="131" t="str">
        <f>C514</f>
        <v>IE</v>
      </c>
      <c r="D522" s="131" t="str">
        <f t="shared" ref="D522:AC522" si="425">D514</f>
        <v>IE-CW</v>
      </c>
      <c r="E522" s="131" t="str">
        <f t="shared" si="425"/>
        <v>IE-D</v>
      </c>
      <c r="F522" s="131" t="str">
        <f t="shared" si="425"/>
        <v>IE-KE</v>
      </c>
      <c r="G522" s="131" t="str">
        <f t="shared" si="425"/>
        <v>IE-KK</v>
      </c>
      <c r="H522" s="131" t="str">
        <f t="shared" si="425"/>
        <v>IE-LS</v>
      </c>
      <c r="I522" s="131" t="str">
        <f t="shared" si="425"/>
        <v>IE-LD</v>
      </c>
      <c r="J522" s="131" t="str">
        <f t="shared" si="425"/>
        <v>IE-LH</v>
      </c>
      <c r="K522" s="131" t="str">
        <f t="shared" si="425"/>
        <v>IE-MH</v>
      </c>
      <c r="L522" s="131" t="str">
        <f t="shared" si="425"/>
        <v>IE-OY</v>
      </c>
      <c r="M522" s="131" t="str">
        <f t="shared" si="425"/>
        <v>IE-WH</v>
      </c>
      <c r="N522" s="131" t="str">
        <f t="shared" si="425"/>
        <v>IE-WX</v>
      </c>
      <c r="O522" s="131" t="str">
        <f t="shared" si="425"/>
        <v>IE-WW</v>
      </c>
      <c r="P522" s="131" t="str">
        <f t="shared" si="425"/>
        <v>IE-CE</v>
      </c>
      <c r="Q522" s="131" t="str">
        <f t="shared" si="425"/>
        <v>IE-CO</v>
      </c>
      <c r="R522" s="131" t="str">
        <f t="shared" si="425"/>
        <v>IE-KY</v>
      </c>
      <c r="S522" s="131" t="str">
        <f t="shared" si="425"/>
        <v>IE-LK</v>
      </c>
      <c r="T522" s="131" t="str">
        <f t="shared" si="425"/>
        <v>IE-TA</v>
      </c>
      <c r="U522" s="131" t="str">
        <f t="shared" si="425"/>
        <v>IE-WD</v>
      </c>
      <c r="V522" s="131" t="str">
        <f t="shared" si="425"/>
        <v>IE-G</v>
      </c>
      <c r="W522" s="131" t="str">
        <f t="shared" si="425"/>
        <v>IE-LM</v>
      </c>
      <c r="X522" s="131" t="str">
        <f t="shared" si="425"/>
        <v>IE-MO</v>
      </c>
      <c r="Y522" s="131" t="str">
        <f t="shared" si="425"/>
        <v>IE-RN</v>
      </c>
      <c r="Z522" s="131" t="str">
        <f t="shared" si="425"/>
        <v>IE-SO</v>
      </c>
      <c r="AA522" s="131" t="str">
        <f t="shared" si="425"/>
        <v>IE-CN</v>
      </c>
      <c r="AB522" s="131" t="str">
        <f t="shared" si="425"/>
        <v>IE-DL</v>
      </c>
      <c r="AC522" s="131" t="str">
        <f t="shared" si="425"/>
        <v>IE-MN</v>
      </c>
    </row>
    <row r="523" spans="1:29">
      <c r="A523" s="459" t="s">
        <v>347</v>
      </c>
      <c r="B523" s="459" t="s">
        <v>539</v>
      </c>
      <c r="C523" s="36">
        <f>SUM(D523:AC523)</f>
        <v>5</v>
      </c>
      <c r="D523" s="459">
        <v>0</v>
      </c>
      <c r="E523" s="459">
        <v>4</v>
      </c>
      <c r="F523" s="459">
        <v>0</v>
      </c>
      <c r="G523" s="459">
        <v>0</v>
      </c>
      <c r="H523" s="459">
        <v>0</v>
      </c>
      <c r="I523" s="459">
        <v>0</v>
      </c>
      <c r="J523" s="459">
        <v>0</v>
      </c>
      <c r="K523" s="459">
        <v>0</v>
      </c>
      <c r="L523" s="459">
        <v>0</v>
      </c>
      <c r="M523" s="459">
        <v>0</v>
      </c>
      <c r="N523" s="459">
        <v>0</v>
      </c>
      <c r="O523" s="459">
        <v>0</v>
      </c>
      <c r="P523" s="459">
        <v>0</v>
      </c>
      <c r="Q523" s="459">
        <v>1</v>
      </c>
      <c r="R523" s="459">
        <v>0</v>
      </c>
      <c r="S523" s="459">
        <v>0</v>
      </c>
      <c r="T523" s="459">
        <v>0</v>
      </c>
      <c r="U523" s="459">
        <v>0</v>
      </c>
      <c r="V523" s="459">
        <v>0</v>
      </c>
      <c r="W523" s="459">
        <v>0</v>
      </c>
      <c r="X523" s="459">
        <v>0</v>
      </c>
      <c r="Y523" s="459">
        <v>0</v>
      </c>
      <c r="Z523" s="459">
        <v>0</v>
      </c>
      <c r="AA523" s="459">
        <v>0</v>
      </c>
      <c r="AB523" s="459">
        <v>0</v>
      </c>
      <c r="AC523" s="459">
        <v>0</v>
      </c>
    </row>
    <row r="524" spans="1:29">
      <c r="A524" s="459" t="s">
        <v>348</v>
      </c>
      <c r="B524" s="459" t="s">
        <v>539</v>
      </c>
      <c r="C524" s="36">
        <f t="shared" ref="C524:C529" si="426">SUM(D524:AC524)</f>
        <v>49</v>
      </c>
      <c r="D524" s="459">
        <v>0</v>
      </c>
      <c r="E524" s="459">
        <v>35</v>
      </c>
      <c r="F524" s="459">
        <v>5</v>
      </c>
      <c r="G524" s="459">
        <v>0</v>
      </c>
      <c r="H524" s="459">
        <v>0</v>
      </c>
      <c r="I524" s="459">
        <v>0</v>
      </c>
      <c r="J524" s="459">
        <v>2</v>
      </c>
      <c r="K524" s="459">
        <v>0</v>
      </c>
      <c r="L524" s="459">
        <v>0</v>
      </c>
      <c r="M524" s="459">
        <v>0</v>
      </c>
      <c r="N524" s="459">
        <v>0</v>
      </c>
      <c r="O524" s="459">
        <v>0</v>
      </c>
      <c r="P524" s="459">
        <v>0</v>
      </c>
      <c r="Q524" s="459">
        <v>2</v>
      </c>
      <c r="R524" s="459">
        <v>1</v>
      </c>
      <c r="S524" s="459">
        <v>1</v>
      </c>
      <c r="T524" s="459">
        <v>0</v>
      </c>
      <c r="U524" s="459">
        <v>1</v>
      </c>
      <c r="V524" s="459">
        <v>0</v>
      </c>
      <c r="W524" s="459">
        <v>0</v>
      </c>
      <c r="X524" s="459">
        <v>0</v>
      </c>
      <c r="Y524" s="459">
        <v>0</v>
      </c>
      <c r="Z524" s="459">
        <v>0</v>
      </c>
      <c r="AA524" s="459">
        <v>1</v>
      </c>
      <c r="AB524" s="459">
        <v>1</v>
      </c>
      <c r="AC524" s="459">
        <v>0</v>
      </c>
    </row>
    <row r="525" spans="1:29">
      <c r="A525" s="459" t="s">
        <v>349</v>
      </c>
      <c r="B525" s="459" t="s">
        <v>539</v>
      </c>
      <c r="C525" s="36">
        <f t="shared" si="426"/>
        <v>150</v>
      </c>
      <c r="D525" s="459">
        <v>0</v>
      </c>
      <c r="E525" s="459">
        <v>104</v>
      </c>
      <c r="F525" s="459">
        <v>3</v>
      </c>
      <c r="G525" s="459">
        <v>1</v>
      </c>
      <c r="H525" s="459">
        <v>2</v>
      </c>
      <c r="I525" s="459">
        <v>0</v>
      </c>
      <c r="J525" s="459">
        <v>2</v>
      </c>
      <c r="K525" s="459">
        <v>3</v>
      </c>
      <c r="L525" s="459">
        <v>1</v>
      </c>
      <c r="M525" s="459">
        <v>1</v>
      </c>
      <c r="N525" s="459">
        <v>1</v>
      </c>
      <c r="O525" s="459">
        <v>0</v>
      </c>
      <c r="P525" s="459">
        <v>2</v>
      </c>
      <c r="Q525" s="459">
        <v>12</v>
      </c>
      <c r="R525" s="459">
        <v>3</v>
      </c>
      <c r="S525" s="459">
        <v>8</v>
      </c>
      <c r="T525" s="459">
        <v>1</v>
      </c>
      <c r="U525" s="459">
        <v>1</v>
      </c>
      <c r="V525" s="459">
        <v>2</v>
      </c>
      <c r="W525" s="459">
        <v>0</v>
      </c>
      <c r="X525" s="459">
        <v>1</v>
      </c>
      <c r="Y525" s="459">
        <v>0</v>
      </c>
      <c r="Z525" s="459">
        <v>2</v>
      </c>
      <c r="AA525" s="459">
        <v>0</v>
      </c>
      <c r="AB525" s="459">
        <v>0</v>
      </c>
      <c r="AC525" s="459">
        <v>0</v>
      </c>
    </row>
    <row r="526" spans="1:29">
      <c r="A526" s="459" t="s">
        <v>350</v>
      </c>
      <c r="B526" s="459" t="s">
        <v>539</v>
      </c>
      <c r="C526" s="36">
        <f t="shared" si="426"/>
        <v>1287</v>
      </c>
      <c r="D526" s="459">
        <v>2</v>
      </c>
      <c r="E526" s="459">
        <v>810</v>
      </c>
      <c r="F526" s="459">
        <v>32</v>
      </c>
      <c r="G526" s="459">
        <v>6</v>
      </c>
      <c r="H526" s="459">
        <v>5</v>
      </c>
      <c r="I526" s="459">
        <v>0</v>
      </c>
      <c r="J526" s="459">
        <v>21</v>
      </c>
      <c r="K526" s="459">
        <v>48</v>
      </c>
      <c r="L526" s="459">
        <v>3</v>
      </c>
      <c r="M526" s="459">
        <v>9</v>
      </c>
      <c r="N526" s="459">
        <v>9</v>
      </c>
      <c r="O526" s="459">
        <v>15</v>
      </c>
      <c r="P526" s="459">
        <v>26</v>
      </c>
      <c r="Q526" s="459">
        <v>95</v>
      </c>
      <c r="R526" s="459">
        <v>10</v>
      </c>
      <c r="S526" s="459">
        <v>84</v>
      </c>
      <c r="T526" s="459">
        <v>6</v>
      </c>
      <c r="U526" s="459">
        <v>25</v>
      </c>
      <c r="V526" s="459">
        <v>51</v>
      </c>
      <c r="W526" s="459">
        <v>0</v>
      </c>
      <c r="X526" s="459">
        <v>12</v>
      </c>
      <c r="Y526" s="459">
        <v>1</v>
      </c>
      <c r="Z526" s="459">
        <v>6</v>
      </c>
      <c r="AA526" s="459">
        <v>3</v>
      </c>
      <c r="AB526" s="459">
        <v>7</v>
      </c>
      <c r="AC526" s="459">
        <v>1</v>
      </c>
    </row>
    <row r="527" spans="1:29">
      <c r="A527" s="459" t="s">
        <v>351</v>
      </c>
      <c r="B527" s="459" t="s">
        <v>539</v>
      </c>
      <c r="C527" s="36">
        <f t="shared" si="426"/>
        <v>577</v>
      </c>
      <c r="D527" s="459">
        <v>0</v>
      </c>
      <c r="E527" s="459">
        <v>413</v>
      </c>
      <c r="F527" s="459">
        <v>21</v>
      </c>
      <c r="G527" s="459">
        <v>1</v>
      </c>
      <c r="H527" s="459">
        <v>2</v>
      </c>
      <c r="I527" s="459">
        <v>1</v>
      </c>
      <c r="J527" s="459">
        <v>11</v>
      </c>
      <c r="K527" s="459">
        <v>16</v>
      </c>
      <c r="L527" s="459">
        <v>4</v>
      </c>
      <c r="M527" s="459">
        <v>2</v>
      </c>
      <c r="N527" s="459">
        <v>2</v>
      </c>
      <c r="O527" s="459">
        <v>5</v>
      </c>
      <c r="P527" s="459">
        <v>10</v>
      </c>
      <c r="Q527" s="459">
        <v>27</v>
      </c>
      <c r="R527" s="459">
        <v>4</v>
      </c>
      <c r="S527" s="459">
        <v>13</v>
      </c>
      <c r="T527" s="459">
        <v>1</v>
      </c>
      <c r="U527" s="459">
        <v>3</v>
      </c>
      <c r="V527" s="459">
        <v>33</v>
      </c>
      <c r="W527" s="459">
        <v>0</v>
      </c>
      <c r="X527" s="459">
        <v>2</v>
      </c>
      <c r="Y527" s="459">
        <v>0</v>
      </c>
      <c r="Z527" s="459">
        <v>1</v>
      </c>
      <c r="AA527" s="459">
        <v>2</v>
      </c>
      <c r="AB527" s="459">
        <v>3</v>
      </c>
      <c r="AC527" s="459">
        <v>0</v>
      </c>
    </row>
    <row r="528" spans="1:29">
      <c r="A528" s="459" t="s">
        <v>352</v>
      </c>
      <c r="B528" s="459" t="s">
        <v>539</v>
      </c>
      <c r="C528" s="36">
        <f t="shared" si="426"/>
        <v>161</v>
      </c>
      <c r="D528" s="459">
        <v>3</v>
      </c>
      <c r="E528" s="459">
        <v>103</v>
      </c>
      <c r="F528" s="459">
        <v>2</v>
      </c>
      <c r="G528" s="459">
        <v>0</v>
      </c>
      <c r="H528" s="459">
        <v>0</v>
      </c>
      <c r="I528" s="459">
        <v>0</v>
      </c>
      <c r="J528" s="459">
        <v>1</v>
      </c>
      <c r="K528" s="459">
        <v>10</v>
      </c>
      <c r="L528" s="459">
        <v>0</v>
      </c>
      <c r="M528" s="459">
        <v>0</v>
      </c>
      <c r="N528" s="459">
        <v>1</v>
      </c>
      <c r="O528" s="459">
        <v>4</v>
      </c>
      <c r="P528" s="459">
        <v>1</v>
      </c>
      <c r="Q528" s="459">
        <v>6</v>
      </c>
      <c r="R528" s="459">
        <v>2</v>
      </c>
      <c r="S528" s="459">
        <v>5</v>
      </c>
      <c r="T528" s="459">
        <v>1</v>
      </c>
      <c r="U528" s="459">
        <v>7</v>
      </c>
      <c r="V528" s="459">
        <v>8</v>
      </c>
      <c r="W528" s="459">
        <v>0</v>
      </c>
      <c r="X528" s="459">
        <v>1</v>
      </c>
      <c r="Y528" s="459">
        <v>0</v>
      </c>
      <c r="Z528" s="459">
        <v>1</v>
      </c>
      <c r="AA528" s="459">
        <v>0</v>
      </c>
      <c r="AB528" s="459">
        <v>5</v>
      </c>
      <c r="AC528" s="459">
        <v>0</v>
      </c>
    </row>
    <row r="529" spans="1:29">
      <c r="A529" s="459" t="s">
        <v>353</v>
      </c>
      <c r="B529" s="459" t="s">
        <v>539</v>
      </c>
      <c r="C529" s="36">
        <f t="shared" si="426"/>
        <v>271</v>
      </c>
      <c r="D529" s="459">
        <v>5</v>
      </c>
      <c r="E529" s="459">
        <v>110</v>
      </c>
      <c r="F529" s="459">
        <v>8</v>
      </c>
      <c r="G529" s="459">
        <v>2</v>
      </c>
      <c r="H529" s="459">
        <v>3</v>
      </c>
      <c r="I529" s="459">
        <v>3</v>
      </c>
      <c r="J529" s="459">
        <v>11</v>
      </c>
      <c r="K529" s="459">
        <v>18</v>
      </c>
      <c r="L529" s="459">
        <v>6</v>
      </c>
      <c r="M529" s="459">
        <v>2</v>
      </c>
      <c r="N529" s="459">
        <v>4</v>
      </c>
      <c r="O529" s="459">
        <v>7</v>
      </c>
      <c r="P529" s="459">
        <v>5</v>
      </c>
      <c r="Q529" s="459">
        <v>21</v>
      </c>
      <c r="R529" s="459">
        <v>8</v>
      </c>
      <c r="S529" s="459">
        <v>14</v>
      </c>
      <c r="T529" s="459">
        <v>3</v>
      </c>
      <c r="U529" s="459">
        <v>7</v>
      </c>
      <c r="V529" s="459">
        <v>21</v>
      </c>
      <c r="W529" s="459">
        <v>0</v>
      </c>
      <c r="X529" s="459">
        <v>4</v>
      </c>
      <c r="Y529" s="459">
        <v>2</v>
      </c>
      <c r="Z529" s="459">
        <v>2</v>
      </c>
      <c r="AA529" s="459">
        <v>1</v>
      </c>
      <c r="AB529" s="459">
        <v>1</v>
      </c>
      <c r="AC529" s="459">
        <v>3</v>
      </c>
    </row>
    <row r="530" spans="1:29">
      <c r="A530" s="458" t="s">
        <v>16</v>
      </c>
      <c r="B530" s="458" t="s">
        <v>539</v>
      </c>
      <c r="C530" s="504">
        <f>SUM(D530:AC530)</f>
        <v>2500</v>
      </c>
      <c r="D530" s="504">
        <f t="shared" ref="D530:AC530" si="427">SUM(D523:D529)</f>
        <v>10</v>
      </c>
      <c r="E530" s="504">
        <f t="shared" si="427"/>
        <v>1579</v>
      </c>
      <c r="F530" s="504">
        <f t="shared" si="427"/>
        <v>71</v>
      </c>
      <c r="G530" s="504">
        <f t="shared" si="427"/>
        <v>10</v>
      </c>
      <c r="H530" s="504">
        <f t="shared" si="427"/>
        <v>12</v>
      </c>
      <c r="I530" s="504">
        <f t="shared" si="427"/>
        <v>4</v>
      </c>
      <c r="J530" s="504">
        <f t="shared" si="427"/>
        <v>48</v>
      </c>
      <c r="K530" s="504">
        <f t="shared" si="427"/>
        <v>95</v>
      </c>
      <c r="L530" s="504">
        <f t="shared" si="427"/>
        <v>14</v>
      </c>
      <c r="M530" s="504">
        <f t="shared" si="427"/>
        <v>14</v>
      </c>
      <c r="N530" s="504">
        <f t="shared" si="427"/>
        <v>17</v>
      </c>
      <c r="O530" s="504">
        <f t="shared" si="427"/>
        <v>31</v>
      </c>
      <c r="P530" s="504">
        <f t="shared" si="427"/>
        <v>44</v>
      </c>
      <c r="Q530" s="504">
        <f t="shared" si="427"/>
        <v>164</v>
      </c>
      <c r="R530" s="504">
        <f t="shared" si="427"/>
        <v>28</v>
      </c>
      <c r="S530" s="504">
        <f t="shared" si="427"/>
        <v>125</v>
      </c>
      <c r="T530" s="504">
        <f t="shared" si="427"/>
        <v>12</v>
      </c>
      <c r="U530" s="504">
        <f t="shared" si="427"/>
        <v>44</v>
      </c>
      <c r="V530" s="504">
        <f t="shared" si="427"/>
        <v>115</v>
      </c>
      <c r="W530" s="504">
        <f t="shared" si="427"/>
        <v>0</v>
      </c>
      <c r="X530" s="504">
        <f t="shared" si="427"/>
        <v>20</v>
      </c>
      <c r="Y530" s="504">
        <f t="shared" si="427"/>
        <v>3</v>
      </c>
      <c r="Z530" s="504">
        <f t="shared" si="427"/>
        <v>12</v>
      </c>
      <c r="AA530" s="504">
        <f t="shared" si="427"/>
        <v>7</v>
      </c>
      <c r="AB530" s="504">
        <f t="shared" si="427"/>
        <v>17</v>
      </c>
      <c r="AC530" s="504">
        <f t="shared" si="427"/>
        <v>4</v>
      </c>
    </row>
    <row r="531" spans="1:29">
      <c r="A531" s="459" t="s">
        <v>659</v>
      </c>
      <c r="C531" s="459"/>
      <c r="D531" s="459"/>
      <c r="E531" s="459"/>
      <c r="F531" s="459"/>
      <c r="G531" s="459"/>
      <c r="H531" s="459"/>
      <c r="I531" s="459"/>
      <c r="J531" s="459"/>
      <c r="K531" s="459"/>
      <c r="L531" s="459"/>
      <c r="M531" s="459"/>
      <c r="N531" s="459"/>
      <c r="O531" s="459"/>
      <c r="P531" s="459"/>
      <c r="Q531" s="459"/>
      <c r="R531" s="459"/>
      <c r="S531" s="459"/>
      <c r="T531" s="459"/>
      <c r="U531" s="459"/>
      <c r="V531" s="459"/>
      <c r="W531" s="459"/>
      <c r="X531" s="459"/>
      <c r="Y531" s="459"/>
      <c r="Z531" s="459"/>
      <c r="AA531" s="459"/>
      <c r="AB531" s="459"/>
      <c r="AC531" s="459"/>
    </row>
    <row r="532" spans="1:29">
      <c r="A532" s="459"/>
      <c r="C532" s="459"/>
      <c r="D532" s="459"/>
      <c r="E532" s="459"/>
      <c r="F532" s="459"/>
      <c r="G532" s="459"/>
      <c r="H532" s="459"/>
      <c r="I532" s="459"/>
      <c r="J532" s="459"/>
      <c r="K532" s="459"/>
      <c r="L532" s="459"/>
      <c r="M532" s="459"/>
      <c r="N532" s="459"/>
      <c r="O532" s="459"/>
      <c r="P532" s="459"/>
      <c r="Q532" s="459"/>
      <c r="R532" s="459"/>
      <c r="S532" s="459"/>
      <c r="T532" s="459"/>
      <c r="U532" s="459"/>
      <c r="V532" s="459"/>
      <c r="W532" s="459"/>
      <c r="X532" s="459"/>
      <c r="Y532" s="459"/>
      <c r="Z532" s="459"/>
      <c r="AA532" s="459"/>
      <c r="AB532" s="459"/>
      <c r="AC532" s="459"/>
    </row>
    <row r="533" spans="1:29">
      <c r="A533" s="459"/>
      <c r="C533" s="459"/>
      <c r="D533" s="459"/>
      <c r="E533" s="459"/>
      <c r="F533" s="459"/>
      <c r="G533" s="459"/>
      <c r="H533" s="459"/>
      <c r="I533" s="459"/>
      <c r="J533" s="459"/>
      <c r="K533" s="459"/>
      <c r="L533" s="459"/>
      <c r="M533" s="459"/>
      <c r="N533" s="459"/>
      <c r="O533" s="459"/>
      <c r="P533" s="459"/>
      <c r="Q533" s="459"/>
      <c r="R533" s="459"/>
      <c r="S533" s="459"/>
      <c r="T533" s="459"/>
      <c r="U533" s="459"/>
      <c r="V533" s="459"/>
      <c r="W533" s="459"/>
      <c r="X533" s="459"/>
      <c r="Y533" s="459"/>
      <c r="Z533" s="459"/>
      <c r="AA533" s="459"/>
      <c r="AB533" s="459"/>
      <c r="AC533" s="459"/>
    </row>
    <row r="534" spans="1:29">
      <c r="A534" s="459"/>
      <c r="C534" s="459"/>
      <c r="D534" s="459"/>
      <c r="E534" s="459"/>
      <c r="F534" s="459"/>
      <c r="G534" s="459"/>
      <c r="H534" s="459"/>
      <c r="I534" s="459"/>
      <c r="J534" s="459"/>
      <c r="K534" s="459"/>
      <c r="L534" s="459"/>
      <c r="M534" s="459"/>
      <c r="N534" s="459"/>
      <c r="O534" s="459"/>
      <c r="P534" s="459"/>
      <c r="Q534" s="459"/>
      <c r="R534" s="459"/>
      <c r="S534" s="459"/>
      <c r="T534" s="459"/>
      <c r="U534" s="459"/>
      <c r="V534" s="459"/>
      <c r="W534" s="459"/>
      <c r="X534" s="459"/>
      <c r="Y534" s="459"/>
      <c r="Z534" s="459"/>
      <c r="AA534" s="459"/>
      <c r="AB534" s="459"/>
      <c r="AC534" s="459"/>
    </row>
    <row r="535" spans="1:29" ht="15.6">
      <c r="A535" s="425" t="s">
        <v>701</v>
      </c>
      <c r="C535" s="459"/>
      <c r="D535" s="459"/>
      <c r="E535" s="459"/>
      <c r="F535" s="459"/>
      <c r="G535" s="459"/>
      <c r="H535" s="459"/>
      <c r="I535" s="459"/>
      <c r="J535" s="459"/>
      <c r="K535" s="459"/>
      <c r="L535" s="459"/>
      <c r="M535" s="459"/>
      <c r="N535" s="459"/>
      <c r="O535" s="459"/>
      <c r="P535" s="459"/>
      <c r="Q535" s="459"/>
      <c r="R535" s="459"/>
      <c r="S535" s="459"/>
      <c r="T535" s="459"/>
      <c r="U535" s="459"/>
      <c r="V535" s="459"/>
      <c r="W535" s="459"/>
      <c r="X535" s="459"/>
      <c r="Y535" s="459"/>
      <c r="Z535" s="459"/>
      <c r="AA535" s="459"/>
      <c r="AB535" s="459"/>
      <c r="AC535" s="459"/>
    </row>
    <row r="536" spans="1:29">
      <c r="A536" s="131" t="s">
        <v>648</v>
      </c>
      <c r="B536" s="131" t="s">
        <v>64</v>
      </c>
      <c r="C536" s="131" t="str">
        <f>C522</f>
        <v>IE</v>
      </c>
      <c r="D536" s="131" t="str">
        <f t="shared" ref="D536:AC536" si="428">D522</f>
        <v>IE-CW</v>
      </c>
      <c r="E536" s="131" t="str">
        <f t="shared" si="428"/>
        <v>IE-D</v>
      </c>
      <c r="F536" s="131" t="str">
        <f t="shared" si="428"/>
        <v>IE-KE</v>
      </c>
      <c r="G536" s="131" t="str">
        <f t="shared" si="428"/>
        <v>IE-KK</v>
      </c>
      <c r="H536" s="131" t="str">
        <f t="shared" si="428"/>
        <v>IE-LS</v>
      </c>
      <c r="I536" s="131" t="str">
        <f t="shared" si="428"/>
        <v>IE-LD</v>
      </c>
      <c r="J536" s="131" t="str">
        <f t="shared" si="428"/>
        <v>IE-LH</v>
      </c>
      <c r="K536" s="131" t="str">
        <f t="shared" si="428"/>
        <v>IE-MH</v>
      </c>
      <c r="L536" s="131" t="str">
        <f t="shared" si="428"/>
        <v>IE-OY</v>
      </c>
      <c r="M536" s="131" t="str">
        <f t="shared" si="428"/>
        <v>IE-WH</v>
      </c>
      <c r="N536" s="131" t="str">
        <f t="shared" si="428"/>
        <v>IE-WX</v>
      </c>
      <c r="O536" s="131" t="str">
        <f t="shared" si="428"/>
        <v>IE-WW</v>
      </c>
      <c r="P536" s="131" t="str">
        <f t="shared" si="428"/>
        <v>IE-CE</v>
      </c>
      <c r="Q536" s="131" t="str">
        <f t="shared" si="428"/>
        <v>IE-CO</v>
      </c>
      <c r="R536" s="131" t="str">
        <f t="shared" si="428"/>
        <v>IE-KY</v>
      </c>
      <c r="S536" s="131" t="str">
        <f t="shared" si="428"/>
        <v>IE-LK</v>
      </c>
      <c r="T536" s="131" t="str">
        <f t="shared" si="428"/>
        <v>IE-TA</v>
      </c>
      <c r="U536" s="131" t="str">
        <f t="shared" si="428"/>
        <v>IE-WD</v>
      </c>
      <c r="V536" s="131" t="str">
        <f t="shared" si="428"/>
        <v>IE-G</v>
      </c>
      <c r="W536" s="131" t="str">
        <f t="shared" si="428"/>
        <v>IE-LM</v>
      </c>
      <c r="X536" s="131" t="str">
        <f t="shared" si="428"/>
        <v>IE-MO</v>
      </c>
      <c r="Y536" s="131" t="str">
        <f t="shared" si="428"/>
        <v>IE-RN</v>
      </c>
      <c r="Z536" s="131" t="str">
        <f t="shared" si="428"/>
        <v>IE-SO</v>
      </c>
      <c r="AA536" s="131" t="str">
        <f t="shared" si="428"/>
        <v>IE-CN</v>
      </c>
      <c r="AB536" s="131" t="str">
        <f t="shared" si="428"/>
        <v>IE-DL</v>
      </c>
      <c r="AC536" s="131" t="str">
        <f t="shared" si="428"/>
        <v>IE-MN</v>
      </c>
    </row>
    <row r="537" spans="1:29">
      <c r="A537" s="459" t="s">
        <v>347</v>
      </c>
      <c r="B537" s="507" t="s">
        <v>652</v>
      </c>
      <c r="C537" s="35">
        <f>C523/C$530</f>
        <v>2E-3</v>
      </c>
      <c r="D537" s="35">
        <f>D523/D$530</f>
        <v>0</v>
      </c>
      <c r="E537" s="35">
        <f t="shared" ref="E537:AC543" si="429">E523/E$530</f>
        <v>2.5332488917036099E-3</v>
      </c>
      <c r="F537" s="35">
        <f t="shared" si="429"/>
        <v>0</v>
      </c>
      <c r="G537" s="35">
        <f t="shared" si="429"/>
        <v>0</v>
      </c>
      <c r="H537" s="35">
        <f t="shared" si="429"/>
        <v>0</v>
      </c>
      <c r="I537" s="35">
        <f t="shared" si="429"/>
        <v>0</v>
      </c>
      <c r="J537" s="35">
        <f t="shared" si="429"/>
        <v>0</v>
      </c>
      <c r="K537" s="35">
        <f t="shared" si="429"/>
        <v>0</v>
      </c>
      <c r="L537" s="35">
        <f t="shared" si="429"/>
        <v>0</v>
      </c>
      <c r="M537" s="35">
        <f t="shared" si="429"/>
        <v>0</v>
      </c>
      <c r="N537" s="35">
        <f t="shared" si="429"/>
        <v>0</v>
      </c>
      <c r="O537" s="35">
        <f t="shared" si="429"/>
        <v>0</v>
      </c>
      <c r="P537" s="35">
        <f t="shared" si="429"/>
        <v>0</v>
      </c>
      <c r="Q537" s="35">
        <f t="shared" si="429"/>
        <v>6.0975609756097563E-3</v>
      </c>
      <c r="R537" s="35">
        <f t="shared" si="429"/>
        <v>0</v>
      </c>
      <c r="S537" s="35">
        <f t="shared" si="429"/>
        <v>0</v>
      </c>
      <c r="T537" s="35">
        <f t="shared" si="429"/>
        <v>0</v>
      </c>
      <c r="U537" s="35">
        <f t="shared" si="429"/>
        <v>0</v>
      </c>
      <c r="V537" s="35">
        <f t="shared" si="429"/>
        <v>0</v>
      </c>
      <c r="W537" s="515" t="e">
        <f>W523/W$530</f>
        <v>#DIV/0!</v>
      </c>
      <c r="X537" s="35">
        <f t="shared" si="429"/>
        <v>0</v>
      </c>
      <c r="Y537" s="35">
        <f t="shared" si="429"/>
        <v>0</v>
      </c>
      <c r="Z537" s="35">
        <f t="shared" si="429"/>
        <v>0</v>
      </c>
      <c r="AA537" s="35">
        <f t="shared" si="429"/>
        <v>0</v>
      </c>
      <c r="AB537" s="35">
        <f t="shared" si="429"/>
        <v>0</v>
      </c>
      <c r="AC537" s="35">
        <f t="shared" si="429"/>
        <v>0</v>
      </c>
    </row>
    <row r="538" spans="1:29">
      <c r="A538" s="459" t="s">
        <v>348</v>
      </c>
      <c r="B538" s="1" t="s">
        <v>652</v>
      </c>
      <c r="C538" s="35">
        <f t="shared" ref="C538:C543" si="430">C524/C$530</f>
        <v>1.9599999999999999E-2</v>
      </c>
      <c r="D538" s="35">
        <f t="shared" ref="D538:S543" si="431">D524/D$530</f>
        <v>0</v>
      </c>
      <c r="E538" s="35">
        <f t="shared" si="431"/>
        <v>2.2165927802406588E-2</v>
      </c>
      <c r="F538" s="35">
        <f t="shared" si="431"/>
        <v>7.0422535211267609E-2</v>
      </c>
      <c r="G538" s="35">
        <f t="shared" si="431"/>
        <v>0</v>
      </c>
      <c r="H538" s="35">
        <f t="shared" si="431"/>
        <v>0</v>
      </c>
      <c r="I538" s="35">
        <f t="shared" si="431"/>
        <v>0</v>
      </c>
      <c r="J538" s="35">
        <f t="shared" si="431"/>
        <v>4.1666666666666664E-2</v>
      </c>
      <c r="K538" s="35">
        <f t="shared" si="431"/>
        <v>0</v>
      </c>
      <c r="L538" s="35">
        <f t="shared" si="431"/>
        <v>0</v>
      </c>
      <c r="M538" s="35">
        <f t="shared" si="431"/>
        <v>0</v>
      </c>
      <c r="N538" s="35">
        <f t="shared" si="431"/>
        <v>0</v>
      </c>
      <c r="O538" s="35">
        <f t="shared" si="431"/>
        <v>0</v>
      </c>
      <c r="P538" s="35">
        <f t="shared" si="431"/>
        <v>0</v>
      </c>
      <c r="Q538" s="35">
        <f t="shared" si="431"/>
        <v>1.2195121951219513E-2</v>
      </c>
      <c r="R538" s="35">
        <f t="shared" si="431"/>
        <v>3.5714285714285712E-2</v>
      </c>
      <c r="S538" s="35">
        <f t="shared" si="431"/>
        <v>8.0000000000000002E-3</v>
      </c>
      <c r="T538" s="35">
        <f t="shared" si="429"/>
        <v>0</v>
      </c>
      <c r="U538" s="35">
        <f t="shared" si="429"/>
        <v>2.2727272727272728E-2</v>
      </c>
      <c r="V538" s="35">
        <f t="shared" si="429"/>
        <v>0</v>
      </c>
      <c r="W538" s="35" t="e">
        <f t="shared" si="429"/>
        <v>#DIV/0!</v>
      </c>
      <c r="X538" s="35">
        <f t="shared" si="429"/>
        <v>0</v>
      </c>
      <c r="Y538" s="35">
        <f t="shared" si="429"/>
        <v>0</v>
      </c>
      <c r="Z538" s="35">
        <f t="shared" si="429"/>
        <v>0</v>
      </c>
      <c r="AA538" s="35">
        <f t="shared" si="429"/>
        <v>0.14285714285714285</v>
      </c>
      <c r="AB538" s="35">
        <f t="shared" si="429"/>
        <v>5.8823529411764705E-2</v>
      </c>
      <c r="AC538" s="35">
        <f t="shared" si="429"/>
        <v>0</v>
      </c>
    </row>
    <row r="539" spans="1:29">
      <c r="A539" s="459" t="s">
        <v>349</v>
      </c>
      <c r="B539" s="1" t="s">
        <v>652</v>
      </c>
      <c r="C539" s="35">
        <f t="shared" si="430"/>
        <v>0.06</v>
      </c>
      <c r="D539" s="35">
        <f t="shared" si="431"/>
        <v>0</v>
      </c>
      <c r="E539" s="35">
        <f t="shared" si="429"/>
        <v>6.5864471184293852E-2</v>
      </c>
      <c r="F539" s="35">
        <f t="shared" si="429"/>
        <v>4.2253521126760563E-2</v>
      </c>
      <c r="G539" s="35">
        <f t="shared" si="429"/>
        <v>0.1</v>
      </c>
      <c r="H539" s="35">
        <f t="shared" si="429"/>
        <v>0.16666666666666666</v>
      </c>
      <c r="I539" s="35">
        <f t="shared" si="429"/>
        <v>0</v>
      </c>
      <c r="J539" s="35">
        <f t="shared" si="429"/>
        <v>4.1666666666666664E-2</v>
      </c>
      <c r="K539" s="35">
        <f t="shared" si="429"/>
        <v>3.1578947368421054E-2</v>
      </c>
      <c r="L539" s="35">
        <f t="shared" si="429"/>
        <v>7.1428571428571425E-2</v>
      </c>
      <c r="M539" s="35">
        <f t="shared" si="429"/>
        <v>7.1428571428571425E-2</v>
      </c>
      <c r="N539" s="35">
        <f t="shared" si="429"/>
        <v>5.8823529411764705E-2</v>
      </c>
      <c r="O539" s="35">
        <f t="shared" si="429"/>
        <v>0</v>
      </c>
      <c r="P539" s="35">
        <f t="shared" si="429"/>
        <v>4.5454545454545456E-2</v>
      </c>
      <c r="Q539" s="35">
        <f t="shared" si="429"/>
        <v>7.3170731707317069E-2</v>
      </c>
      <c r="R539" s="35">
        <f t="shared" si="429"/>
        <v>0.10714285714285714</v>
      </c>
      <c r="S539" s="35">
        <f t="shared" si="429"/>
        <v>6.4000000000000001E-2</v>
      </c>
      <c r="T539" s="35">
        <f t="shared" si="429"/>
        <v>8.3333333333333329E-2</v>
      </c>
      <c r="U539" s="35">
        <f t="shared" si="429"/>
        <v>2.2727272727272728E-2</v>
      </c>
      <c r="V539" s="35">
        <f t="shared" si="429"/>
        <v>1.7391304347826087E-2</v>
      </c>
      <c r="W539" s="35" t="e">
        <f t="shared" si="429"/>
        <v>#DIV/0!</v>
      </c>
      <c r="X539" s="35">
        <f t="shared" si="429"/>
        <v>0.05</v>
      </c>
      <c r="Y539" s="35">
        <f t="shared" si="429"/>
        <v>0</v>
      </c>
      <c r="Z539" s="35">
        <f t="shared" si="429"/>
        <v>0.16666666666666666</v>
      </c>
      <c r="AA539" s="35">
        <f t="shared" si="429"/>
        <v>0</v>
      </c>
      <c r="AB539" s="35">
        <f t="shared" si="429"/>
        <v>0</v>
      </c>
      <c r="AC539" s="35">
        <f t="shared" si="429"/>
        <v>0</v>
      </c>
    </row>
    <row r="540" spans="1:29">
      <c r="A540" s="459" t="s">
        <v>350</v>
      </c>
      <c r="B540" s="1" t="s">
        <v>652</v>
      </c>
      <c r="C540" s="35">
        <f t="shared" si="430"/>
        <v>0.51480000000000004</v>
      </c>
      <c r="D540" s="35">
        <f t="shared" si="431"/>
        <v>0.2</v>
      </c>
      <c r="E540" s="35">
        <f t="shared" si="429"/>
        <v>0.51298290056998097</v>
      </c>
      <c r="F540" s="35">
        <f t="shared" si="429"/>
        <v>0.45070422535211269</v>
      </c>
      <c r="G540" s="35">
        <f t="shared" si="429"/>
        <v>0.6</v>
      </c>
      <c r="H540" s="35">
        <f t="shared" si="429"/>
        <v>0.41666666666666669</v>
      </c>
      <c r="I540" s="35">
        <f t="shared" si="429"/>
        <v>0</v>
      </c>
      <c r="J540" s="35">
        <f t="shared" si="429"/>
        <v>0.4375</v>
      </c>
      <c r="K540" s="35">
        <f t="shared" si="429"/>
        <v>0.50526315789473686</v>
      </c>
      <c r="L540" s="35">
        <f t="shared" si="429"/>
        <v>0.21428571428571427</v>
      </c>
      <c r="M540" s="35">
        <f t="shared" si="429"/>
        <v>0.6428571428571429</v>
      </c>
      <c r="N540" s="35">
        <f t="shared" si="429"/>
        <v>0.52941176470588236</v>
      </c>
      <c r="O540" s="35">
        <f t="shared" si="429"/>
        <v>0.4838709677419355</v>
      </c>
      <c r="P540" s="35">
        <f t="shared" si="429"/>
        <v>0.59090909090909094</v>
      </c>
      <c r="Q540" s="35">
        <f t="shared" si="429"/>
        <v>0.57926829268292679</v>
      </c>
      <c r="R540" s="35">
        <f t="shared" si="429"/>
        <v>0.35714285714285715</v>
      </c>
      <c r="S540" s="35">
        <f t="shared" si="429"/>
        <v>0.67200000000000004</v>
      </c>
      <c r="T540" s="35">
        <f t="shared" si="429"/>
        <v>0.5</v>
      </c>
      <c r="U540" s="35">
        <f t="shared" si="429"/>
        <v>0.56818181818181823</v>
      </c>
      <c r="V540" s="35">
        <f t="shared" si="429"/>
        <v>0.44347826086956521</v>
      </c>
      <c r="W540" s="35" t="e">
        <f t="shared" si="429"/>
        <v>#DIV/0!</v>
      </c>
      <c r="X540" s="35">
        <f t="shared" si="429"/>
        <v>0.6</v>
      </c>
      <c r="Y540" s="35">
        <f t="shared" si="429"/>
        <v>0.33333333333333331</v>
      </c>
      <c r="Z540" s="35">
        <f t="shared" si="429"/>
        <v>0.5</v>
      </c>
      <c r="AA540" s="35">
        <f t="shared" si="429"/>
        <v>0.42857142857142855</v>
      </c>
      <c r="AB540" s="35">
        <f t="shared" si="429"/>
        <v>0.41176470588235292</v>
      </c>
      <c r="AC540" s="35">
        <f t="shared" si="429"/>
        <v>0.25</v>
      </c>
    </row>
    <row r="541" spans="1:29">
      <c r="A541" s="459" t="s">
        <v>351</v>
      </c>
      <c r="B541" s="1" t="s">
        <v>652</v>
      </c>
      <c r="C541" s="35">
        <f t="shared" si="430"/>
        <v>0.23080000000000001</v>
      </c>
      <c r="D541" s="35">
        <f t="shared" si="431"/>
        <v>0</v>
      </c>
      <c r="E541" s="35">
        <f t="shared" si="429"/>
        <v>0.26155794806839772</v>
      </c>
      <c r="F541" s="35">
        <f t="shared" si="429"/>
        <v>0.29577464788732394</v>
      </c>
      <c r="G541" s="35">
        <f t="shared" si="429"/>
        <v>0.1</v>
      </c>
      <c r="H541" s="35">
        <f t="shared" si="429"/>
        <v>0.16666666666666666</v>
      </c>
      <c r="I541" s="35">
        <f t="shared" si="429"/>
        <v>0.25</v>
      </c>
      <c r="J541" s="35">
        <f t="shared" si="429"/>
        <v>0.22916666666666666</v>
      </c>
      <c r="K541" s="35">
        <f t="shared" si="429"/>
        <v>0.16842105263157894</v>
      </c>
      <c r="L541" s="35">
        <f t="shared" si="429"/>
        <v>0.2857142857142857</v>
      </c>
      <c r="M541" s="35">
        <f t="shared" si="429"/>
        <v>0.14285714285714285</v>
      </c>
      <c r="N541" s="35">
        <f t="shared" si="429"/>
        <v>0.11764705882352941</v>
      </c>
      <c r="O541" s="35">
        <f t="shared" si="429"/>
        <v>0.16129032258064516</v>
      </c>
      <c r="P541" s="35">
        <f t="shared" si="429"/>
        <v>0.22727272727272727</v>
      </c>
      <c r="Q541" s="35">
        <f t="shared" si="429"/>
        <v>0.16463414634146342</v>
      </c>
      <c r="R541" s="35">
        <f t="shared" si="429"/>
        <v>0.14285714285714285</v>
      </c>
      <c r="S541" s="35">
        <f t="shared" si="429"/>
        <v>0.104</v>
      </c>
      <c r="T541" s="35">
        <f t="shared" si="429"/>
        <v>8.3333333333333329E-2</v>
      </c>
      <c r="U541" s="35">
        <f t="shared" si="429"/>
        <v>6.8181818181818177E-2</v>
      </c>
      <c r="V541" s="35">
        <f t="shared" si="429"/>
        <v>0.28695652173913044</v>
      </c>
      <c r="W541" s="35" t="e">
        <f t="shared" si="429"/>
        <v>#DIV/0!</v>
      </c>
      <c r="X541" s="35">
        <f t="shared" si="429"/>
        <v>0.1</v>
      </c>
      <c r="Y541" s="35">
        <f t="shared" si="429"/>
        <v>0</v>
      </c>
      <c r="Z541" s="35">
        <f t="shared" si="429"/>
        <v>8.3333333333333329E-2</v>
      </c>
      <c r="AA541" s="35">
        <f t="shared" si="429"/>
        <v>0.2857142857142857</v>
      </c>
      <c r="AB541" s="35">
        <f t="shared" si="429"/>
        <v>0.17647058823529413</v>
      </c>
      <c r="AC541" s="35">
        <f t="shared" si="429"/>
        <v>0</v>
      </c>
    </row>
    <row r="542" spans="1:29">
      <c r="A542" s="459" t="s">
        <v>352</v>
      </c>
      <c r="B542" s="1" t="s">
        <v>652</v>
      </c>
      <c r="C542" s="35">
        <f t="shared" si="430"/>
        <v>6.4399999999999999E-2</v>
      </c>
      <c r="D542" s="35">
        <f t="shared" si="431"/>
        <v>0.3</v>
      </c>
      <c r="E542" s="35">
        <f t="shared" si="429"/>
        <v>6.5231158961367955E-2</v>
      </c>
      <c r="F542" s="35">
        <f t="shared" si="429"/>
        <v>2.8169014084507043E-2</v>
      </c>
      <c r="G542" s="35">
        <f t="shared" si="429"/>
        <v>0</v>
      </c>
      <c r="H542" s="35">
        <f t="shared" si="429"/>
        <v>0</v>
      </c>
      <c r="I542" s="35">
        <f t="shared" si="429"/>
        <v>0</v>
      </c>
      <c r="J542" s="35">
        <f t="shared" si="429"/>
        <v>2.0833333333333332E-2</v>
      </c>
      <c r="K542" s="35">
        <f t="shared" si="429"/>
        <v>0.10526315789473684</v>
      </c>
      <c r="L542" s="35">
        <f t="shared" si="429"/>
        <v>0</v>
      </c>
      <c r="M542" s="35">
        <f t="shared" si="429"/>
        <v>0</v>
      </c>
      <c r="N542" s="35">
        <f t="shared" si="429"/>
        <v>5.8823529411764705E-2</v>
      </c>
      <c r="O542" s="35">
        <f t="shared" si="429"/>
        <v>0.12903225806451613</v>
      </c>
      <c r="P542" s="35">
        <f t="shared" si="429"/>
        <v>2.2727272727272728E-2</v>
      </c>
      <c r="Q542" s="35">
        <f t="shared" si="429"/>
        <v>3.6585365853658534E-2</v>
      </c>
      <c r="R542" s="35">
        <f t="shared" si="429"/>
        <v>7.1428571428571425E-2</v>
      </c>
      <c r="S542" s="35">
        <f t="shared" si="429"/>
        <v>0.04</v>
      </c>
      <c r="T542" s="35">
        <f t="shared" si="429"/>
        <v>8.3333333333333329E-2</v>
      </c>
      <c r="U542" s="35">
        <f t="shared" si="429"/>
        <v>0.15909090909090909</v>
      </c>
      <c r="V542" s="35">
        <f t="shared" si="429"/>
        <v>6.9565217391304349E-2</v>
      </c>
      <c r="W542" s="35" t="e">
        <f t="shared" si="429"/>
        <v>#DIV/0!</v>
      </c>
      <c r="X542" s="35">
        <f t="shared" si="429"/>
        <v>0.05</v>
      </c>
      <c r="Y542" s="35">
        <f t="shared" si="429"/>
        <v>0</v>
      </c>
      <c r="Z542" s="35">
        <f t="shared" si="429"/>
        <v>8.3333333333333329E-2</v>
      </c>
      <c r="AA542" s="35">
        <f t="shared" si="429"/>
        <v>0</v>
      </c>
      <c r="AB542" s="35">
        <f t="shared" si="429"/>
        <v>0.29411764705882354</v>
      </c>
      <c r="AC542" s="35">
        <f t="shared" si="429"/>
        <v>0</v>
      </c>
    </row>
    <row r="543" spans="1:29">
      <c r="A543" s="459" t="s">
        <v>353</v>
      </c>
      <c r="B543" s="1" t="s">
        <v>652</v>
      </c>
      <c r="C543" s="35">
        <f t="shared" si="430"/>
        <v>0.1084</v>
      </c>
      <c r="D543" s="35">
        <f t="shared" si="431"/>
        <v>0.5</v>
      </c>
      <c r="E543" s="35">
        <f t="shared" si="429"/>
        <v>6.9664344521849275E-2</v>
      </c>
      <c r="F543" s="35">
        <f t="shared" si="429"/>
        <v>0.11267605633802817</v>
      </c>
      <c r="G543" s="35">
        <f t="shared" si="429"/>
        <v>0.2</v>
      </c>
      <c r="H543" s="35">
        <f t="shared" si="429"/>
        <v>0.25</v>
      </c>
      <c r="I543" s="35">
        <f t="shared" si="429"/>
        <v>0.75</v>
      </c>
      <c r="J543" s="35">
        <f t="shared" si="429"/>
        <v>0.22916666666666666</v>
      </c>
      <c r="K543" s="35">
        <f t="shared" si="429"/>
        <v>0.18947368421052632</v>
      </c>
      <c r="L543" s="35">
        <f t="shared" si="429"/>
        <v>0.42857142857142855</v>
      </c>
      <c r="M543" s="35">
        <f t="shared" si="429"/>
        <v>0.14285714285714285</v>
      </c>
      <c r="N543" s="35">
        <f t="shared" si="429"/>
        <v>0.23529411764705882</v>
      </c>
      <c r="O543" s="35">
        <f t="shared" si="429"/>
        <v>0.22580645161290322</v>
      </c>
      <c r="P543" s="35">
        <f t="shared" si="429"/>
        <v>0.11363636363636363</v>
      </c>
      <c r="Q543" s="35">
        <f t="shared" si="429"/>
        <v>0.12804878048780488</v>
      </c>
      <c r="R543" s="35">
        <f t="shared" si="429"/>
        <v>0.2857142857142857</v>
      </c>
      <c r="S543" s="35">
        <f t="shared" si="429"/>
        <v>0.112</v>
      </c>
      <c r="T543" s="35">
        <f t="shared" si="429"/>
        <v>0.25</v>
      </c>
      <c r="U543" s="35">
        <f t="shared" si="429"/>
        <v>0.15909090909090909</v>
      </c>
      <c r="V543" s="35">
        <f t="shared" si="429"/>
        <v>0.18260869565217391</v>
      </c>
      <c r="W543" s="35" t="e">
        <f t="shared" si="429"/>
        <v>#DIV/0!</v>
      </c>
      <c r="X543" s="35">
        <f t="shared" si="429"/>
        <v>0.2</v>
      </c>
      <c r="Y543" s="35">
        <f t="shared" si="429"/>
        <v>0.66666666666666663</v>
      </c>
      <c r="Z543" s="35">
        <f t="shared" si="429"/>
        <v>0.16666666666666666</v>
      </c>
      <c r="AA543" s="35">
        <f t="shared" si="429"/>
        <v>0.14285714285714285</v>
      </c>
      <c r="AB543" s="35">
        <f t="shared" si="429"/>
        <v>5.8823529411764705E-2</v>
      </c>
      <c r="AC543" s="35">
        <f t="shared" si="429"/>
        <v>0.75</v>
      </c>
    </row>
    <row r="544" spans="1:29">
      <c r="A544" s="458" t="s">
        <v>16</v>
      </c>
      <c r="B544" s="458" t="s">
        <v>652</v>
      </c>
      <c r="C544" s="403">
        <f t="shared" ref="C544:AC544" si="432">SUM(C537:C543)</f>
        <v>1</v>
      </c>
      <c r="D544" s="403">
        <f t="shared" si="432"/>
        <v>1</v>
      </c>
      <c r="E544" s="403">
        <f t="shared" si="432"/>
        <v>1</v>
      </c>
      <c r="F544" s="403">
        <f t="shared" si="432"/>
        <v>0.99999999999999989</v>
      </c>
      <c r="G544" s="403">
        <f t="shared" si="432"/>
        <v>1</v>
      </c>
      <c r="H544" s="403">
        <f t="shared" si="432"/>
        <v>1</v>
      </c>
      <c r="I544" s="403">
        <f t="shared" si="432"/>
        <v>1</v>
      </c>
      <c r="J544" s="403">
        <f t="shared" si="432"/>
        <v>1</v>
      </c>
      <c r="K544" s="403">
        <f t="shared" si="432"/>
        <v>1</v>
      </c>
      <c r="L544" s="403">
        <f t="shared" si="432"/>
        <v>1</v>
      </c>
      <c r="M544" s="403">
        <f t="shared" si="432"/>
        <v>1</v>
      </c>
      <c r="N544" s="403">
        <f t="shared" si="432"/>
        <v>1</v>
      </c>
      <c r="O544" s="403">
        <f t="shared" si="432"/>
        <v>1</v>
      </c>
      <c r="P544" s="403">
        <f t="shared" si="432"/>
        <v>1</v>
      </c>
      <c r="Q544" s="403">
        <f t="shared" si="432"/>
        <v>1</v>
      </c>
      <c r="R544" s="403">
        <f t="shared" si="432"/>
        <v>0.99999999999999989</v>
      </c>
      <c r="S544" s="403">
        <f t="shared" si="432"/>
        <v>1</v>
      </c>
      <c r="T544" s="403">
        <f t="shared" si="432"/>
        <v>1</v>
      </c>
      <c r="U544" s="403">
        <f t="shared" si="432"/>
        <v>1</v>
      </c>
      <c r="V544" s="403">
        <f t="shared" si="432"/>
        <v>1</v>
      </c>
      <c r="W544" s="403" t="e">
        <f t="shared" si="432"/>
        <v>#DIV/0!</v>
      </c>
      <c r="X544" s="403">
        <f t="shared" si="432"/>
        <v>1</v>
      </c>
      <c r="Y544" s="403">
        <f t="shared" si="432"/>
        <v>1</v>
      </c>
      <c r="Z544" s="403">
        <f t="shared" si="432"/>
        <v>1</v>
      </c>
      <c r="AA544" s="403">
        <f t="shared" si="432"/>
        <v>1</v>
      </c>
      <c r="AB544" s="403">
        <f t="shared" si="432"/>
        <v>1</v>
      </c>
      <c r="AC544" s="403">
        <f t="shared" si="432"/>
        <v>1</v>
      </c>
    </row>
    <row r="545" spans="1:29">
      <c r="A545" s="459"/>
      <c r="C545" s="459"/>
      <c r="D545" s="459"/>
      <c r="E545" s="459"/>
      <c r="F545" s="459"/>
      <c r="G545" s="459"/>
      <c r="H545" s="459"/>
      <c r="I545" s="459"/>
      <c r="J545" s="459"/>
      <c r="K545" s="459"/>
      <c r="L545" s="459"/>
      <c r="M545" s="459"/>
      <c r="N545" s="459"/>
      <c r="O545" s="459"/>
      <c r="P545" s="459"/>
      <c r="Q545" s="459"/>
      <c r="R545" s="459"/>
      <c r="S545" s="459"/>
      <c r="T545" s="459"/>
      <c r="U545" s="459"/>
      <c r="V545" s="459"/>
      <c r="W545" s="459"/>
      <c r="X545" s="459"/>
      <c r="Y545" s="459"/>
      <c r="Z545" s="459"/>
      <c r="AA545" s="459"/>
      <c r="AB545" s="459"/>
      <c r="AC545" s="459"/>
    </row>
    <row r="546" spans="1:29">
      <c r="A546" s="459"/>
      <c r="C546" s="459"/>
      <c r="D546" s="459"/>
      <c r="E546" s="459"/>
      <c r="F546" s="459"/>
      <c r="G546" s="459"/>
      <c r="H546" s="459"/>
      <c r="I546" s="459"/>
      <c r="J546" s="459"/>
      <c r="K546" s="459"/>
      <c r="L546" s="459"/>
      <c r="M546" s="459"/>
      <c r="N546" s="459"/>
      <c r="O546" s="459"/>
      <c r="P546" s="459"/>
      <c r="Q546" s="459"/>
      <c r="R546" s="459"/>
      <c r="S546" s="459"/>
      <c r="T546" s="459"/>
      <c r="U546" s="459"/>
      <c r="V546" s="459"/>
      <c r="W546" s="459"/>
      <c r="X546" s="459"/>
      <c r="Y546" s="459"/>
      <c r="Z546" s="459"/>
      <c r="AA546" s="459"/>
      <c r="AB546" s="459"/>
      <c r="AC546" s="459"/>
    </row>
    <row r="547" spans="1:29">
      <c r="A547" s="459"/>
      <c r="C547" s="459"/>
      <c r="D547" s="459"/>
      <c r="E547" s="459"/>
      <c r="F547" s="459"/>
      <c r="G547" s="459"/>
      <c r="H547" s="459"/>
      <c r="I547" s="459"/>
      <c r="J547" s="459"/>
      <c r="K547" s="459"/>
      <c r="L547" s="459"/>
      <c r="M547" s="459"/>
      <c r="N547" s="459"/>
      <c r="O547" s="459"/>
      <c r="P547" s="459"/>
      <c r="Q547" s="459"/>
      <c r="R547" s="459"/>
      <c r="S547" s="459"/>
      <c r="T547" s="459"/>
      <c r="U547" s="459"/>
      <c r="V547" s="459"/>
      <c r="W547" s="459"/>
      <c r="X547" s="459"/>
      <c r="Y547" s="459"/>
      <c r="Z547" s="459"/>
      <c r="AA547" s="459"/>
      <c r="AB547" s="459"/>
      <c r="AC547" s="459"/>
    </row>
    <row r="548" spans="1:29" ht="15.6">
      <c r="A548" s="425" t="s">
        <v>702</v>
      </c>
      <c r="C548" s="459"/>
      <c r="D548" s="459"/>
      <c r="E548" s="459"/>
      <c r="F548" s="459"/>
      <c r="G548" s="459"/>
      <c r="H548" s="459"/>
      <c r="I548" s="459"/>
      <c r="J548" s="459"/>
      <c r="K548" s="459"/>
      <c r="L548" s="459"/>
      <c r="M548" s="459"/>
      <c r="N548" s="459"/>
      <c r="O548" s="459"/>
      <c r="P548" s="459"/>
      <c r="Q548" s="459"/>
      <c r="R548" s="459"/>
      <c r="S548" s="459"/>
      <c r="T548" s="459"/>
      <c r="U548" s="459"/>
      <c r="V548" s="459"/>
      <c r="W548" s="459"/>
      <c r="X548" s="459"/>
      <c r="Y548" s="459"/>
      <c r="Z548" s="459"/>
      <c r="AA548" s="459"/>
      <c r="AB548" s="459"/>
      <c r="AC548" s="459"/>
    </row>
    <row r="549" spans="1:29">
      <c r="A549" s="131" t="s">
        <v>648</v>
      </c>
      <c r="B549" s="131" t="s">
        <v>64</v>
      </c>
      <c r="C549" s="131" t="str">
        <f>C536</f>
        <v>IE</v>
      </c>
      <c r="D549" s="131" t="str">
        <f t="shared" ref="D549:AC549" si="433">D536</f>
        <v>IE-CW</v>
      </c>
      <c r="E549" s="131" t="str">
        <f t="shared" si="433"/>
        <v>IE-D</v>
      </c>
      <c r="F549" s="131" t="str">
        <f t="shared" si="433"/>
        <v>IE-KE</v>
      </c>
      <c r="G549" s="131" t="str">
        <f t="shared" si="433"/>
        <v>IE-KK</v>
      </c>
      <c r="H549" s="131" t="str">
        <f t="shared" si="433"/>
        <v>IE-LS</v>
      </c>
      <c r="I549" s="131" t="str">
        <f t="shared" si="433"/>
        <v>IE-LD</v>
      </c>
      <c r="J549" s="131" t="str">
        <f t="shared" si="433"/>
        <v>IE-LH</v>
      </c>
      <c r="K549" s="131" t="str">
        <f t="shared" si="433"/>
        <v>IE-MH</v>
      </c>
      <c r="L549" s="131" t="str">
        <f t="shared" si="433"/>
        <v>IE-OY</v>
      </c>
      <c r="M549" s="131" t="str">
        <f t="shared" si="433"/>
        <v>IE-WH</v>
      </c>
      <c r="N549" s="131" t="str">
        <f t="shared" si="433"/>
        <v>IE-WX</v>
      </c>
      <c r="O549" s="131" t="str">
        <f t="shared" si="433"/>
        <v>IE-WW</v>
      </c>
      <c r="P549" s="131" t="str">
        <f t="shared" si="433"/>
        <v>IE-CE</v>
      </c>
      <c r="Q549" s="131" t="str">
        <f t="shared" si="433"/>
        <v>IE-CO</v>
      </c>
      <c r="R549" s="131" t="str">
        <f t="shared" si="433"/>
        <v>IE-KY</v>
      </c>
      <c r="S549" s="131" t="str">
        <f t="shared" si="433"/>
        <v>IE-LK</v>
      </c>
      <c r="T549" s="131" t="str">
        <f t="shared" si="433"/>
        <v>IE-TA</v>
      </c>
      <c r="U549" s="131" t="str">
        <f t="shared" si="433"/>
        <v>IE-WD</v>
      </c>
      <c r="V549" s="131" t="str">
        <f t="shared" si="433"/>
        <v>IE-G</v>
      </c>
      <c r="W549" s="131" t="str">
        <f t="shared" si="433"/>
        <v>IE-LM</v>
      </c>
      <c r="X549" s="131" t="str">
        <f t="shared" si="433"/>
        <v>IE-MO</v>
      </c>
      <c r="Y549" s="131" t="str">
        <f t="shared" si="433"/>
        <v>IE-RN</v>
      </c>
      <c r="Z549" s="131" t="str">
        <f t="shared" si="433"/>
        <v>IE-SO</v>
      </c>
      <c r="AA549" s="131" t="str">
        <f t="shared" si="433"/>
        <v>IE-CN</v>
      </c>
      <c r="AB549" s="131" t="str">
        <f t="shared" si="433"/>
        <v>IE-DL</v>
      </c>
      <c r="AC549" s="131" t="str">
        <f t="shared" si="433"/>
        <v>IE-MN</v>
      </c>
    </row>
    <row r="550" spans="1:29">
      <c r="A550" s="459" t="s">
        <v>347</v>
      </c>
      <c r="B550" s="459" t="s">
        <v>653</v>
      </c>
      <c r="C550" s="505">
        <v>1.5410369892896236</v>
      </c>
      <c r="D550" s="505">
        <v>1.5410369892896236</v>
      </c>
      <c r="E550" s="505">
        <v>1.5410369892896236</v>
      </c>
      <c r="F550" s="505">
        <v>1.5410369892896236</v>
      </c>
      <c r="G550" s="505">
        <v>1.5410369892896236</v>
      </c>
      <c r="H550" s="505">
        <v>1.5410369892896236</v>
      </c>
      <c r="I550" s="505">
        <v>1.5410369892896236</v>
      </c>
      <c r="J550" s="505">
        <v>1.5410369892896236</v>
      </c>
      <c r="K550" s="505">
        <v>1.5410369892896236</v>
      </c>
      <c r="L550" s="505">
        <v>1.5410369892896236</v>
      </c>
      <c r="M550" s="505">
        <v>1.5410369892896236</v>
      </c>
      <c r="N550" s="505">
        <v>1.5410369892896236</v>
      </c>
      <c r="O550" s="505">
        <v>1.5410369892896236</v>
      </c>
      <c r="P550" s="505">
        <v>1.5410369892896236</v>
      </c>
      <c r="Q550" s="505">
        <v>1.5410369892896236</v>
      </c>
      <c r="R550" s="505">
        <v>1.5410369892896236</v>
      </c>
      <c r="S550" s="505">
        <v>1.5410369892896236</v>
      </c>
      <c r="T550" s="505">
        <v>1.5410369892896236</v>
      </c>
      <c r="U550" s="505">
        <v>1.5410369892896236</v>
      </c>
      <c r="V550" s="505">
        <v>1.5410369892896236</v>
      </c>
      <c r="W550" s="505">
        <v>1.5410369892896236</v>
      </c>
      <c r="X550" s="505">
        <v>1.5410369892896236</v>
      </c>
      <c r="Y550" s="505">
        <v>1.5410369892896236</v>
      </c>
      <c r="Z550" s="505">
        <v>1.5410369892896236</v>
      </c>
      <c r="AA550" s="505">
        <v>1.5410369892896236</v>
      </c>
      <c r="AB550" s="505">
        <v>1.5410369892896236</v>
      </c>
      <c r="AC550" s="505">
        <v>1.5410369892896236</v>
      </c>
    </row>
    <row r="551" spans="1:29">
      <c r="A551" s="459" t="s">
        <v>348</v>
      </c>
      <c r="B551" s="459" t="s">
        <v>653</v>
      </c>
      <c r="C551" s="505">
        <v>1.5689674081337737</v>
      </c>
      <c r="D551" s="505">
        <v>1.5689674081337737</v>
      </c>
      <c r="E551" s="505">
        <v>1.5689674081337737</v>
      </c>
      <c r="F551" s="505">
        <v>1.5689674081337737</v>
      </c>
      <c r="G551" s="505">
        <v>1.5689674081337737</v>
      </c>
      <c r="H551" s="505">
        <v>1.5689674081337737</v>
      </c>
      <c r="I551" s="505">
        <v>1.5689674081337737</v>
      </c>
      <c r="J551" s="505">
        <v>1.5689674081337737</v>
      </c>
      <c r="K551" s="505">
        <v>1.5689674081337737</v>
      </c>
      <c r="L551" s="505">
        <v>1.5689674081337737</v>
      </c>
      <c r="M551" s="505">
        <v>1.5689674081337737</v>
      </c>
      <c r="N551" s="505">
        <v>1.5689674081337737</v>
      </c>
      <c r="O551" s="505">
        <v>1.5689674081337737</v>
      </c>
      <c r="P551" s="505">
        <v>1.5689674081337737</v>
      </c>
      <c r="Q551" s="505">
        <v>1.5689674081337737</v>
      </c>
      <c r="R551" s="505">
        <v>1.5689674081337737</v>
      </c>
      <c r="S551" s="505">
        <v>1.5689674081337737</v>
      </c>
      <c r="T551" s="505">
        <v>1.5689674081337737</v>
      </c>
      <c r="U551" s="505">
        <v>1.5689674081337737</v>
      </c>
      <c r="V551" s="505">
        <v>1.5689674081337737</v>
      </c>
      <c r="W551" s="505">
        <v>1.5689674081337737</v>
      </c>
      <c r="X551" s="505">
        <v>1.5689674081337737</v>
      </c>
      <c r="Y551" s="505">
        <v>1.5689674081337737</v>
      </c>
      <c r="Z551" s="505">
        <v>1.5689674081337737</v>
      </c>
      <c r="AA551" s="505">
        <v>1.5689674081337737</v>
      </c>
      <c r="AB551" s="505">
        <v>1.5689674081337737</v>
      </c>
      <c r="AC551" s="505">
        <v>1.5689674081337737</v>
      </c>
    </row>
    <row r="552" spans="1:29">
      <c r="A552" s="459" t="s">
        <v>349</v>
      </c>
      <c r="B552" s="459" t="s">
        <v>653</v>
      </c>
      <c r="C552" s="505">
        <v>1.7415357309829498</v>
      </c>
      <c r="D552" s="505">
        <v>1.7415357309829498</v>
      </c>
      <c r="E552" s="505">
        <v>1.7415357309829498</v>
      </c>
      <c r="F552" s="505">
        <v>1.7415357309829498</v>
      </c>
      <c r="G552" s="505">
        <v>1.7415357309829498</v>
      </c>
      <c r="H552" s="505">
        <v>1.7415357309829498</v>
      </c>
      <c r="I552" s="505">
        <v>1.7415357309829498</v>
      </c>
      <c r="J552" s="505">
        <v>1.7415357309829498</v>
      </c>
      <c r="K552" s="505">
        <v>1.7415357309829498</v>
      </c>
      <c r="L552" s="505">
        <v>1.7415357309829498</v>
      </c>
      <c r="M552" s="505">
        <v>1.7415357309829498</v>
      </c>
      <c r="N552" s="505">
        <v>1.7415357309829498</v>
      </c>
      <c r="O552" s="505">
        <v>1.7415357309829498</v>
      </c>
      <c r="P552" s="505">
        <v>1.7415357309829498</v>
      </c>
      <c r="Q552" s="505">
        <v>1.7415357309829498</v>
      </c>
      <c r="R552" s="505">
        <v>1.7415357309829498</v>
      </c>
      <c r="S552" s="505">
        <v>1.7415357309829498</v>
      </c>
      <c r="T552" s="505">
        <v>1.7415357309829498</v>
      </c>
      <c r="U552" s="505">
        <v>1.7415357309829498</v>
      </c>
      <c r="V552" s="505">
        <v>1.7415357309829498</v>
      </c>
      <c r="W552" s="505">
        <v>1.7415357309829498</v>
      </c>
      <c r="X552" s="505">
        <v>1.7415357309829498</v>
      </c>
      <c r="Y552" s="505">
        <v>1.7415357309829498</v>
      </c>
      <c r="Z552" s="505">
        <v>1.7415357309829498</v>
      </c>
      <c r="AA552" s="505">
        <v>1.7415357309829498</v>
      </c>
      <c r="AB552" s="505">
        <v>1.7415357309829498</v>
      </c>
      <c r="AC552" s="505">
        <v>1.7415357309829498</v>
      </c>
    </row>
    <row r="553" spans="1:29">
      <c r="A553" s="459" t="s">
        <v>350</v>
      </c>
      <c r="B553" s="459" t="s">
        <v>653</v>
      </c>
      <c r="C553" s="505">
        <v>1.7596865383612372</v>
      </c>
      <c r="D553" s="505">
        <v>1.7596865383612372</v>
      </c>
      <c r="E553" s="505">
        <v>1.7596865383612372</v>
      </c>
      <c r="F553" s="505">
        <v>1.7596865383612372</v>
      </c>
      <c r="G553" s="505">
        <v>1.7596865383612372</v>
      </c>
      <c r="H553" s="505">
        <v>1.7596865383612372</v>
      </c>
      <c r="I553" s="505">
        <v>1.7596865383612372</v>
      </c>
      <c r="J553" s="505">
        <v>1.7596865383612372</v>
      </c>
      <c r="K553" s="505">
        <v>1.7596865383612372</v>
      </c>
      <c r="L553" s="505">
        <v>1.7596865383612372</v>
      </c>
      <c r="M553" s="505">
        <v>1.7596865383612372</v>
      </c>
      <c r="N553" s="505">
        <v>1.7596865383612372</v>
      </c>
      <c r="O553" s="505">
        <v>1.7596865383612372</v>
      </c>
      <c r="P553" s="505">
        <v>1.7596865383612372</v>
      </c>
      <c r="Q553" s="505">
        <v>1.7596865383612372</v>
      </c>
      <c r="R553" s="505">
        <v>1.7596865383612372</v>
      </c>
      <c r="S553" s="505">
        <v>1.7596865383612372</v>
      </c>
      <c r="T553" s="505">
        <v>1.7596865383612372</v>
      </c>
      <c r="U553" s="505">
        <v>1.7596865383612372</v>
      </c>
      <c r="V553" s="505">
        <v>1.7596865383612372</v>
      </c>
      <c r="W553" s="505">
        <v>1.7596865383612372</v>
      </c>
      <c r="X553" s="505">
        <v>1.7596865383612372</v>
      </c>
      <c r="Y553" s="505">
        <v>1.7596865383612372</v>
      </c>
      <c r="Z553" s="505">
        <v>1.7596865383612372</v>
      </c>
      <c r="AA553" s="505">
        <v>1.7596865383612372</v>
      </c>
      <c r="AB553" s="505">
        <v>1.7596865383612372</v>
      </c>
      <c r="AC553" s="505">
        <v>1.7596865383612372</v>
      </c>
    </row>
    <row r="554" spans="1:29">
      <c r="A554" s="459" t="s">
        <v>351</v>
      </c>
      <c r="B554" s="459" t="s">
        <v>653</v>
      </c>
      <c r="C554" s="505">
        <v>1.8433586255014824</v>
      </c>
      <c r="D554" s="505">
        <v>1.8433586255014824</v>
      </c>
      <c r="E554" s="505">
        <v>1.8433586255014824</v>
      </c>
      <c r="F554" s="505">
        <v>1.8433586255014824</v>
      </c>
      <c r="G554" s="505">
        <v>1.8433586255014824</v>
      </c>
      <c r="H554" s="505">
        <v>1.8433586255014824</v>
      </c>
      <c r="I554" s="505">
        <v>1.8433586255014824</v>
      </c>
      <c r="J554" s="505">
        <v>1.8433586255014824</v>
      </c>
      <c r="K554" s="505">
        <v>1.8433586255014824</v>
      </c>
      <c r="L554" s="505">
        <v>1.8433586255014824</v>
      </c>
      <c r="M554" s="505">
        <v>1.8433586255014824</v>
      </c>
      <c r="N554" s="505">
        <v>1.8433586255014824</v>
      </c>
      <c r="O554" s="505">
        <v>1.8433586255014824</v>
      </c>
      <c r="P554" s="505">
        <v>1.8433586255014824</v>
      </c>
      <c r="Q554" s="505">
        <v>1.8433586255014824</v>
      </c>
      <c r="R554" s="505">
        <v>1.8433586255014824</v>
      </c>
      <c r="S554" s="505">
        <v>1.8433586255014824</v>
      </c>
      <c r="T554" s="505">
        <v>1.8433586255014824</v>
      </c>
      <c r="U554" s="505">
        <v>1.8433586255014824</v>
      </c>
      <c r="V554" s="505">
        <v>1.8433586255014824</v>
      </c>
      <c r="W554" s="505">
        <v>1.8433586255014824</v>
      </c>
      <c r="X554" s="505">
        <v>1.8433586255014824</v>
      </c>
      <c r="Y554" s="505">
        <v>1.8433586255014824</v>
      </c>
      <c r="Z554" s="505">
        <v>1.8433586255014824</v>
      </c>
      <c r="AA554" s="505">
        <v>1.8433586255014824</v>
      </c>
      <c r="AB554" s="505">
        <v>1.8433586255014824</v>
      </c>
      <c r="AC554" s="505">
        <v>1.8433586255014824</v>
      </c>
    </row>
    <row r="555" spans="1:29">
      <c r="A555" s="459" t="s">
        <v>352</v>
      </c>
      <c r="B555" s="459" t="s">
        <v>653</v>
      </c>
      <c r="C555" s="505">
        <v>1.8529030871906271</v>
      </c>
      <c r="D555" s="505">
        <v>1.8529030871906271</v>
      </c>
      <c r="E555" s="505">
        <v>1.8529030871906271</v>
      </c>
      <c r="F555" s="505">
        <v>1.8529030871906271</v>
      </c>
      <c r="G555" s="505">
        <v>1.8529030871906271</v>
      </c>
      <c r="H555" s="505">
        <v>1.8529030871906271</v>
      </c>
      <c r="I555" s="505">
        <v>1.8529030871906271</v>
      </c>
      <c r="J555" s="505">
        <v>1.8529030871906271</v>
      </c>
      <c r="K555" s="505">
        <v>1.8529030871906271</v>
      </c>
      <c r="L555" s="505">
        <v>1.8529030871906271</v>
      </c>
      <c r="M555" s="505">
        <v>1.8529030871906271</v>
      </c>
      <c r="N555" s="505">
        <v>1.8529030871906271</v>
      </c>
      <c r="O555" s="505">
        <v>1.8529030871906271</v>
      </c>
      <c r="P555" s="505">
        <v>1.8529030871906271</v>
      </c>
      <c r="Q555" s="505">
        <v>1.8529030871906271</v>
      </c>
      <c r="R555" s="505">
        <v>1.8529030871906271</v>
      </c>
      <c r="S555" s="505">
        <v>1.8529030871906271</v>
      </c>
      <c r="T555" s="505">
        <v>1.8529030871906271</v>
      </c>
      <c r="U555" s="505">
        <v>1.8529030871906271</v>
      </c>
      <c r="V555" s="505">
        <v>1.8529030871906271</v>
      </c>
      <c r="W555" s="505">
        <v>1.8529030871906271</v>
      </c>
      <c r="X555" s="505">
        <v>1.8529030871906271</v>
      </c>
      <c r="Y555" s="505">
        <v>1.8529030871906271</v>
      </c>
      <c r="Z555" s="505">
        <v>1.8529030871906271</v>
      </c>
      <c r="AA555" s="505">
        <v>1.8529030871906271</v>
      </c>
      <c r="AB555" s="505">
        <v>1.8529030871906271</v>
      </c>
      <c r="AC555" s="505">
        <v>1.8529030871906271</v>
      </c>
    </row>
    <row r="556" spans="1:29">
      <c r="A556" s="458" t="s">
        <v>353</v>
      </c>
      <c r="B556" s="458" t="s">
        <v>653</v>
      </c>
      <c r="C556" s="506">
        <v>2.076438345513917</v>
      </c>
      <c r="D556" s="506">
        <v>2.076438345513917</v>
      </c>
      <c r="E556" s="506">
        <v>2.076438345513917</v>
      </c>
      <c r="F556" s="506">
        <v>2.076438345513917</v>
      </c>
      <c r="G556" s="506">
        <v>2.076438345513917</v>
      </c>
      <c r="H556" s="506">
        <v>2.076438345513917</v>
      </c>
      <c r="I556" s="506">
        <v>2.076438345513917</v>
      </c>
      <c r="J556" s="506">
        <v>2.076438345513917</v>
      </c>
      <c r="K556" s="506">
        <v>2.076438345513917</v>
      </c>
      <c r="L556" s="506">
        <v>2.076438345513917</v>
      </c>
      <c r="M556" s="506">
        <v>2.076438345513917</v>
      </c>
      <c r="N556" s="506">
        <v>2.076438345513917</v>
      </c>
      <c r="O556" s="506">
        <v>2.076438345513917</v>
      </c>
      <c r="P556" s="506">
        <v>2.076438345513917</v>
      </c>
      <c r="Q556" s="506">
        <v>2.076438345513917</v>
      </c>
      <c r="R556" s="506">
        <v>2.076438345513917</v>
      </c>
      <c r="S556" s="506">
        <v>2.076438345513917</v>
      </c>
      <c r="T556" s="506">
        <v>2.076438345513917</v>
      </c>
      <c r="U556" s="506">
        <v>2.076438345513917</v>
      </c>
      <c r="V556" s="506">
        <v>2.076438345513917</v>
      </c>
      <c r="W556" s="506">
        <v>2.076438345513917</v>
      </c>
      <c r="X556" s="506">
        <v>2.076438345513917</v>
      </c>
      <c r="Y556" s="506">
        <v>2.076438345513917</v>
      </c>
      <c r="Z556" s="506">
        <v>2.076438345513917</v>
      </c>
      <c r="AA556" s="506">
        <v>2.076438345513917</v>
      </c>
      <c r="AB556" s="506">
        <v>2.076438345513917</v>
      </c>
      <c r="AC556" s="506">
        <v>2.076438345513917</v>
      </c>
    </row>
    <row r="557" spans="1:29">
      <c r="A557" s="510" t="s">
        <v>657</v>
      </c>
      <c r="C557" s="459"/>
      <c r="D557" s="459"/>
      <c r="E557" s="459"/>
      <c r="F557" s="459"/>
      <c r="G557" s="459"/>
      <c r="H557" s="459"/>
      <c r="I557" s="459"/>
      <c r="J557" s="459"/>
      <c r="K557" s="459"/>
      <c r="L557" s="459"/>
      <c r="M557" s="459"/>
      <c r="N557" s="459"/>
      <c r="O557" s="459"/>
      <c r="P557" s="459"/>
      <c r="Q557" s="459"/>
      <c r="R557" s="459"/>
      <c r="S557" s="459"/>
      <c r="T557" s="459"/>
      <c r="U557" s="459"/>
      <c r="V557" s="459"/>
      <c r="W557" s="459"/>
      <c r="X557" s="459"/>
      <c r="Y557" s="459"/>
      <c r="Z557" s="459"/>
      <c r="AA557" s="459"/>
      <c r="AB557" s="459"/>
      <c r="AC557" s="459"/>
    </row>
    <row r="558" spans="1:29">
      <c r="A558" s="459"/>
      <c r="C558" s="459"/>
      <c r="D558" s="459"/>
      <c r="E558" s="459"/>
      <c r="F558" s="459"/>
      <c r="G558" s="459"/>
      <c r="H558" s="459"/>
      <c r="I558" s="459"/>
      <c r="J558" s="459"/>
      <c r="K558" s="459"/>
      <c r="L558" s="459"/>
      <c r="M558" s="459"/>
      <c r="N558" s="459"/>
      <c r="O558" s="459"/>
      <c r="P558" s="459"/>
      <c r="Q558" s="459"/>
      <c r="R558" s="459"/>
      <c r="S558" s="459"/>
      <c r="T558" s="459"/>
      <c r="U558" s="459"/>
      <c r="V558" s="459"/>
      <c r="W558" s="459"/>
      <c r="X558" s="459"/>
      <c r="Y558" s="459"/>
      <c r="Z558" s="459"/>
      <c r="AA558" s="459"/>
      <c r="AB558" s="459"/>
      <c r="AC558" s="459"/>
    </row>
    <row r="559" spans="1:29">
      <c r="A559" s="459"/>
      <c r="C559" s="459"/>
      <c r="D559" s="459"/>
      <c r="E559" s="459"/>
      <c r="F559" s="459"/>
      <c r="G559" s="459"/>
      <c r="H559" s="459"/>
      <c r="I559" s="459"/>
      <c r="J559" s="459"/>
      <c r="K559" s="459"/>
      <c r="L559" s="459"/>
      <c r="M559" s="459"/>
      <c r="N559" s="459"/>
      <c r="O559" s="459"/>
      <c r="P559" s="459"/>
      <c r="Q559" s="459"/>
      <c r="R559" s="459"/>
      <c r="S559" s="459"/>
      <c r="T559" s="459"/>
      <c r="U559" s="459"/>
      <c r="V559" s="459"/>
      <c r="W559" s="459"/>
      <c r="X559" s="459"/>
      <c r="Y559" s="459"/>
      <c r="Z559" s="459"/>
      <c r="AA559" s="459"/>
      <c r="AB559" s="459"/>
      <c r="AC559" s="459"/>
    </row>
    <row r="560" spans="1:29">
      <c r="A560" s="459"/>
      <c r="C560" s="459"/>
      <c r="D560" s="459"/>
      <c r="E560" s="459"/>
      <c r="F560" s="459"/>
      <c r="G560" s="459"/>
      <c r="H560" s="459"/>
      <c r="I560" s="459"/>
      <c r="J560" s="459"/>
      <c r="K560" s="459"/>
      <c r="L560" s="459"/>
      <c r="M560" s="459"/>
      <c r="N560" s="459"/>
      <c r="O560" s="459"/>
      <c r="P560" s="459"/>
      <c r="Q560" s="459"/>
      <c r="R560" s="459"/>
      <c r="S560" s="459"/>
      <c r="T560" s="459"/>
      <c r="U560" s="459"/>
      <c r="V560" s="459"/>
      <c r="W560" s="459"/>
      <c r="X560" s="459"/>
      <c r="Y560" s="459"/>
      <c r="Z560" s="459"/>
      <c r="AA560" s="459"/>
      <c r="AB560" s="459"/>
      <c r="AC560" s="459"/>
    </row>
    <row r="561" spans="1:29" ht="15.6">
      <c r="A561" s="425" t="s">
        <v>702</v>
      </c>
      <c r="C561" s="459"/>
      <c r="D561" s="459"/>
      <c r="E561" s="459"/>
      <c r="F561" s="459"/>
      <c r="G561" s="459"/>
      <c r="H561" s="459"/>
      <c r="I561" s="459"/>
      <c r="J561" s="459"/>
      <c r="K561" s="459"/>
      <c r="L561" s="459"/>
      <c r="M561" s="459"/>
      <c r="N561" s="459"/>
      <c r="O561" s="459"/>
      <c r="P561" s="459"/>
      <c r="Q561" s="459"/>
      <c r="R561" s="459"/>
      <c r="S561" s="459"/>
      <c r="T561" s="459"/>
      <c r="U561" s="459"/>
      <c r="V561" s="459"/>
      <c r="W561" s="459"/>
      <c r="X561" s="459"/>
      <c r="Y561" s="459"/>
      <c r="Z561" s="459"/>
      <c r="AA561" s="459"/>
      <c r="AB561" s="459"/>
      <c r="AC561" s="459"/>
    </row>
    <row r="562" spans="1:29">
      <c r="A562" s="131" t="s">
        <v>648</v>
      </c>
      <c r="B562" s="131" t="s">
        <v>64</v>
      </c>
      <c r="C562" s="131" t="str">
        <f t="shared" ref="C562:AC562" si="434">C549</f>
        <v>IE</v>
      </c>
      <c r="D562" s="131" t="str">
        <f t="shared" si="434"/>
        <v>IE-CW</v>
      </c>
      <c r="E562" s="131" t="str">
        <f t="shared" si="434"/>
        <v>IE-D</v>
      </c>
      <c r="F562" s="131" t="str">
        <f t="shared" si="434"/>
        <v>IE-KE</v>
      </c>
      <c r="G562" s="131" t="str">
        <f t="shared" si="434"/>
        <v>IE-KK</v>
      </c>
      <c r="H562" s="131" t="str">
        <f t="shared" si="434"/>
        <v>IE-LS</v>
      </c>
      <c r="I562" s="131" t="str">
        <f t="shared" si="434"/>
        <v>IE-LD</v>
      </c>
      <c r="J562" s="131" t="str">
        <f t="shared" si="434"/>
        <v>IE-LH</v>
      </c>
      <c r="K562" s="131" t="str">
        <f t="shared" si="434"/>
        <v>IE-MH</v>
      </c>
      <c r="L562" s="131" t="str">
        <f t="shared" si="434"/>
        <v>IE-OY</v>
      </c>
      <c r="M562" s="131" t="str">
        <f t="shared" si="434"/>
        <v>IE-WH</v>
      </c>
      <c r="N562" s="131" t="str">
        <f t="shared" si="434"/>
        <v>IE-WX</v>
      </c>
      <c r="O562" s="131" t="str">
        <f t="shared" si="434"/>
        <v>IE-WW</v>
      </c>
      <c r="P562" s="131" t="str">
        <f t="shared" si="434"/>
        <v>IE-CE</v>
      </c>
      <c r="Q562" s="131" t="str">
        <f t="shared" si="434"/>
        <v>IE-CO</v>
      </c>
      <c r="R562" s="131" t="str">
        <f t="shared" si="434"/>
        <v>IE-KY</v>
      </c>
      <c r="S562" s="131" t="str">
        <f t="shared" si="434"/>
        <v>IE-LK</v>
      </c>
      <c r="T562" s="131" t="str">
        <f t="shared" si="434"/>
        <v>IE-TA</v>
      </c>
      <c r="U562" s="131" t="str">
        <f t="shared" si="434"/>
        <v>IE-WD</v>
      </c>
      <c r="V562" s="131" t="str">
        <f t="shared" si="434"/>
        <v>IE-G</v>
      </c>
      <c r="W562" s="131" t="str">
        <f t="shared" si="434"/>
        <v>IE-LM</v>
      </c>
      <c r="X562" s="131" t="str">
        <f t="shared" si="434"/>
        <v>IE-MO</v>
      </c>
      <c r="Y562" s="131" t="str">
        <f t="shared" si="434"/>
        <v>IE-RN</v>
      </c>
      <c r="Z562" s="131" t="str">
        <f t="shared" si="434"/>
        <v>IE-SO</v>
      </c>
      <c r="AA562" s="131" t="str">
        <f t="shared" si="434"/>
        <v>IE-CN</v>
      </c>
      <c r="AB562" s="131" t="str">
        <f t="shared" si="434"/>
        <v>IE-DL</v>
      </c>
      <c r="AC562" s="131" t="str">
        <f t="shared" si="434"/>
        <v>IE-MN</v>
      </c>
    </row>
    <row r="563" spans="1:29">
      <c r="A563" s="459" t="s">
        <v>669</v>
      </c>
      <c r="B563" s="459" t="s">
        <v>653</v>
      </c>
      <c r="C563" s="505">
        <f t="shared" ref="C563:V563" si="435">SUMPRODUCT(C537:C543,C550:C556)</f>
        <v>1.8140726552198705</v>
      </c>
      <c r="D563" s="505">
        <f t="shared" si="435"/>
        <v>1.9460274065863941</v>
      </c>
      <c r="E563" s="505">
        <f t="shared" si="435"/>
        <v>1.8037417147916066</v>
      </c>
      <c r="F563" s="505">
        <f t="shared" si="435"/>
        <v>1.8085529230310002</v>
      </c>
      <c r="G563" s="505">
        <f t="shared" si="435"/>
        <v>1.8295890277679689</v>
      </c>
      <c r="H563" s="505">
        <f t="shared" si="435"/>
        <v>1.8497947034430671</v>
      </c>
      <c r="I563" s="505">
        <f t="shared" si="435"/>
        <v>2.0181684155108082</v>
      </c>
      <c r="J563" s="505">
        <f t="shared" si="435"/>
        <v>1.8446894448370716</v>
      </c>
      <c r="K563" s="505">
        <f t="shared" si="435"/>
        <v>1.8430338961417763</v>
      </c>
      <c r="L563" s="505">
        <f t="shared" si="435"/>
        <v>1.9180471372254353</v>
      </c>
      <c r="M563" s="505">
        <f t="shared" si="435"/>
        <v>1.815593465590349</v>
      </c>
      <c r="N563" s="505">
        <f t="shared" si="435"/>
        <v>1.8484757821460791</v>
      </c>
      <c r="O563" s="505">
        <f t="shared" si="435"/>
        <v>1.8567345796866417</v>
      </c>
      <c r="P563" s="505">
        <f t="shared" si="435"/>
        <v>1.8159909665712068</v>
      </c>
      <c r="Q563" s="505">
        <f t="shared" si="435"/>
        <v>1.8124446852996714</v>
      </c>
      <c r="R563" s="505">
        <f t="shared" si="435"/>
        <v>1.8600424080426254</v>
      </c>
      <c r="S563" s="505">
        <f t="shared" si="435"/>
        <v>1.8049058950640684</v>
      </c>
      <c r="T563" s="505">
        <f t="shared" si="435"/>
        <v>1.8521026425320195</v>
      </c>
      <c r="U563" s="505">
        <f t="shared" si="435"/>
        <v>1.8258666478087255</v>
      </c>
      <c r="V563" s="505">
        <f t="shared" si="435"/>
        <v>1.8477073870717844</v>
      </c>
      <c r="W563" s="505">
        <f>C563</f>
        <v>1.8140726552198705</v>
      </c>
      <c r="X563" s="505">
        <f t="shared" ref="X563:AC563" si="436">SUMPRODUCT(X537:X543,X550:X556)</f>
        <v>1.8351573955783527</v>
      </c>
      <c r="Y563" s="505">
        <f t="shared" si="436"/>
        <v>1.970854409796357</v>
      </c>
      <c r="Z563" s="505">
        <f t="shared" si="436"/>
        <v>1.8241940913211054</v>
      </c>
      <c r="AA563" s="505">
        <f t="shared" si="436"/>
        <v>1.8015975171049097</v>
      </c>
      <c r="AB563" s="505">
        <f t="shared" si="436"/>
        <v>1.8092825196843492</v>
      </c>
      <c r="AC563" s="505">
        <f t="shared" si="436"/>
        <v>1.9972503937257469</v>
      </c>
    </row>
    <row r="564" spans="1:29">
      <c r="A564" s="458"/>
      <c r="B564" s="458" t="s">
        <v>640</v>
      </c>
      <c r="C564" s="508">
        <f>1000/C563</f>
        <v>551.24583743797041</v>
      </c>
      <c r="D564" s="508">
        <f>1000/D563</f>
        <v>513.86737751763769</v>
      </c>
      <c r="E564" s="508">
        <f>1000/E563</f>
        <v>554.40310095369387</v>
      </c>
      <c r="F564" s="508">
        <f>1000/F563</f>
        <v>552.92824847175291</v>
      </c>
      <c r="G564" s="508">
        <f t="shared" ref="G564" si="437">1000/G563</f>
        <v>546.57083357127647</v>
      </c>
      <c r="H564" s="508">
        <f t="shared" ref="H564" si="438">1000/H563</f>
        <v>540.60053158259996</v>
      </c>
      <c r="I564" s="508">
        <f t="shared" ref="I564" si="439">1000/I563</f>
        <v>495.49878608465644</v>
      </c>
      <c r="J564" s="508">
        <f t="shared" ref="J564" si="440">1000/J563</f>
        <v>542.09666716465813</v>
      </c>
      <c r="K564" s="508">
        <f t="shared" ref="K564" si="441">1000/K563</f>
        <v>542.58361829015132</v>
      </c>
      <c r="L564" s="508">
        <f t="shared" ref="L564" si="442">1000/L563</f>
        <v>521.36362062850924</v>
      </c>
      <c r="M564" s="508">
        <f t="shared" ref="M564" si="443">1000/M563</f>
        <v>550.78409288879277</v>
      </c>
      <c r="N564" s="508">
        <f t="shared" ref="N564" si="444">1000/N563</f>
        <v>540.98625995467501</v>
      </c>
      <c r="O564" s="508">
        <f t="shared" ref="O564" si="445">1000/O563</f>
        <v>538.57994079518278</v>
      </c>
      <c r="P564" s="508">
        <f t="shared" ref="P564" si="446">1000/P563</f>
        <v>550.66353214747062</v>
      </c>
      <c r="Q564" s="508">
        <f t="shared" ref="Q564" si="447">1000/Q563</f>
        <v>551.74097621338387</v>
      </c>
      <c r="R564" s="508">
        <f t="shared" ref="R564" si="448">1000/R563</f>
        <v>537.62215080479154</v>
      </c>
      <c r="S564" s="508">
        <f t="shared" ref="S564" si="449">1000/S563</f>
        <v>554.04550604811629</v>
      </c>
      <c r="T564" s="508">
        <f t="shared" ref="T564" si="450">1000/T563</f>
        <v>539.92687934017226</v>
      </c>
      <c r="U564" s="508">
        <f t="shared" ref="U564" si="451">1000/U563</f>
        <v>547.68512322634751</v>
      </c>
      <c r="V564" s="508">
        <f t="shared" ref="V564" si="452">1000/V563</f>
        <v>541.21123669088274</v>
      </c>
      <c r="W564" s="508">
        <f t="shared" ref="W564" si="453">1000/W563</f>
        <v>551.24583743797041</v>
      </c>
      <c r="X564" s="508">
        <f t="shared" ref="X564" si="454">1000/X563</f>
        <v>544.91238866454205</v>
      </c>
      <c r="Y564" s="508">
        <f t="shared" ref="Y564" si="455">1000/Y563</f>
        <v>507.39415099836179</v>
      </c>
      <c r="Z564" s="508">
        <f t="shared" ref="Z564" si="456">1000/Z563</f>
        <v>548.18728158240378</v>
      </c>
      <c r="AA564" s="508">
        <f t="shared" ref="AA564" si="457">1000/AA563</f>
        <v>555.06293192885687</v>
      </c>
      <c r="AB564" s="508">
        <f t="shared" ref="AB564" si="458">1000/AB563</f>
        <v>552.70527909287591</v>
      </c>
      <c r="AC564" s="508">
        <f t="shared" ref="AC564" si="459">1000/AC563</f>
        <v>500.68834791143138</v>
      </c>
    </row>
    <row r="568" spans="1:29">
      <c r="A568" s="511"/>
      <c r="B568" s="511"/>
      <c r="C568" s="511"/>
      <c r="D568" s="511"/>
      <c r="E568" s="511"/>
      <c r="F568" s="511"/>
      <c r="G568" s="511"/>
      <c r="H568" s="511"/>
      <c r="I568" s="511"/>
      <c r="J568" s="511"/>
      <c r="K568" s="511"/>
      <c r="L568" s="511"/>
      <c r="M568" s="511"/>
      <c r="N568" s="511"/>
      <c r="O568" s="511"/>
      <c r="P568" s="511"/>
      <c r="Q568" s="511"/>
      <c r="R568" s="511"/>
      <c r="S568" s="511"/>
      <c r="T568" s="511"/>
      <c r="U568" s="511"/>
      <c r="V568" s="511"/>
      <c r="W568" s="511"/>
      <c r="X568" s="511"/>
      <c r="Y568" s="511"/>
      <c r="Z568" s="511"/>
      <c r="AA568" s="511"/>
      <c r="AB568" s="511"/>
      <c r="AC568" s="511"/>
    </row>
    <row r="569" spans="1:29" ht="15.6">
      <c r="A569" s="425" t="s">
        <v>703</v>
      </c>
      <c r="C569" s="459"/>
      <c r="D569" s="459"/>
      <c r="E569" s="459"/>
      <c r="F569" s="459"/>
      <c r="G569" s="459"/>
      <c r="H569" s="459"/>
      <c r="I569" s="459"/>
      <c r="J569" s="459"/>
      <c r="K569" s="459"/>
      <c r="L569" s="459"/>
      <c r="M569" s="459"/>
      <c r="N569" s="459"/>
      <c r="O569" s="459"/>
      <c r="P569" s="459"/>
      <c r="Q569" s="459"/>
      <c r="R569" s="459"/>
      <c r="S569" s="459"/>
      <c r="T569" s="459"/>
      <c r="U569" s="459"/>
      <c r="V569" s="459"/>
      <c r="W569" s="459"/>
      <c r="X569" s="459"/>
      <c r="Y569" s="459"/>
      <c r="Z569" s="459"/>
      <c r="AA569" s="459"/>
      <c r="AB569" s="459"/>
      <c r="AC569" s="459"/>
    </row>
    <row r="570" spans="1:29">
      <c r="A570" s="131" t="s">
        <v>648</v>
      </c>
      <c r="B570" s="131" t="s">
        <v>64</v>
      </c>
      <c r="C570" s="131" t="str">
        <f>C562</f>
        <v>IE</v>
      </c>
      <c r="D570" s="131" t="str">
        <f t="shared" ref="D570:AC570" si="460">D562</f>
        <v>IE-CW</v>
      </c>
      <c r="E570" s="131" t="str">
        <f t="shared" si="460"/>
        <v>IE-D</v>
      </c>
      <c r="F570" s="131" t="str">
        <f t="shared" si="460"/>
        <v>IE-KE</v>
      </c>
      <c r="G570" s="131" t="str">
        <f t="shared" si="460"/>
        <v>IE-KK</v>
      </c>
      <c r="H570" s="131" t="str">
        <f t="shared" si="460"/>
        <v>IE-LS</v>
      </c>
      <c r="I570" s="131" t="str">
        <f t="shared" si="460"/>
        <v>IE-LD</v>
      </c>
      <c r="J570" s="131" t="str">
        <f t="shared" si="460"/>
        <v>IE-LH</v>
      </c>
      <c r="K570" s="131" t="str">
        <f t="shared" si="460"/>
        <v>IE-MH</v>
      </c>
      <c r="L570" s="131" t="str">
        <f t="shared" si="460"/>
        <v>IE-OY</v>
      </c>
      <c r="M570" s="131" t="str">
        <f t="shared" si="460"/>
        <v>IE-WH</v>
      </c>
      <c r="N570" s="131" t="str">
        <f t="shared" si="460"/>
        <v>IE-WX</v>
      </c>
      <c r="O570" s="131" t="str">
        <f t="shared" si="460"/>
        <v>IE-WW</v>
      </c>
      <c r="P570" s="131" t="str">
        <f t="shared" si="460"/>
        <v>IE-CE</v>
      </c>
      <c r="Q570" s="131" t="str">
        <f t="shared" si="460"/>
        <v>IE-CO</v>
      </c>
      <c r="R570" s="131" t="str">
        <f t="shared" si="460"/>
        <v>IE-KY</v>
      </c>
      <c r="S570" s="131" t="str">
        <f t="shared" si="460"/>
        <v>IE-LK</v>
      </c>
      <c r="T570" s="131" t="str">
        <f t="shared" si="460"/>
        <v>IE-TA</v>
      </c>
      <c r="U570" s="131" t="str">
        <f t="shared" si="460"/>
        <v>IE-WD</v>
      </c>
      <c r="V570" s="131" t="str">
        <f t="shared" si="460"/>
        <v>IE-G</v>
      </c>
      <c r="W570" s="131" t="str">
        <f t="shared" si="460"/>
        <v>IE-LM</v>
      </c>
      <c r="X570" s="131" t="str">
        <f t="shared" si="460"/>
        <v>IE-MO</v>
      </c>
      <c r="Y570" s="131" t="str">
        <f t="shared" si="460"/>
        <v>IE-RN</v>
      </c>
      <c r="Z570" s="131" t="str">
        <f t="shared" si="460"/>
        <v>IE-SO</v>
      </c>
      <c r="AA570" s="131" t="str">
        <f t="shared" si="460"/>
        <v>IE-CN</v>
      </c>
      <c r="AB570" s="131" t="str">
        <f t="shared" si="460"/>
        <v>IE-DL</v>
      </c>
      <c r="AC570" s="131" t="str">
        <f t="shared" si="460"/>
        <v>IE-MN</v>
      </c>
    </row>
    <row r="571" spans="1:29">
      <c r="A571" s="459" t="s">
        <v>347</v>
      </c>
      <c r="B571" s="459" t="s">
        <v>539</v>
      </c>
      <c r="C571" s="36">
        <f>SUM(D571:AC571)</f>
        <v>3</v>
      </c>
      <c r="D571" s="459">
        <v>0</v>
      </c>
      <c r="E571" s="459">
        <v>3</v>
      </c>
      <c r="F571" s="459">
        <v>0</v>
      </c>
      <c r="G571" s="459">
        <v>0</v>
      </c>
      <c r="H571" s="459">
        <v>0</v>
      </c>
      <c r="I571" s="459">
        <v>0</v>
      </c>
      <c r="J571" s="459">
        <v>0</v>
      </c>
      <c r="K571" s="459">
        <v>0</v>
      </c>
      <c r="L571" s="459">
        <v>0</v>
      </c>
      <c r="M571" s="459">
        <v>0</v>
      </c>
      <c r="N571" s="459">
        <v>0</v>
      </c>
      <c r="O571" s="459">
        <v>0</v>
      </c>
      <c r="P571" s="459">
        <v>0</v>
      </c>
      <c r="Q571" s="459">
        <v>0</v>
      </c>
      <c r="R571" s="459">
        <v>0</v>
      </c>
      <c r="S571" s="459">
        <v>0</v>
      </c>
      <c r="T571" s="459">
        <v>0</v>
      </c>
      <c r="U571" s="459">
        <v>0</v>
      </c>
      <c r="V571" s="459">
        <v>0</v>
      </c>
      <c r="W571" s="459">
        <v>0</v>
      </c>
      <c r="X571" s="459">
        <v>0</v>
      </c>
      <c r="Y571" s="459">
        <v>0</v>
      </c>
      <c r="Z571" s="459">
        <v>0</v>
      </c>
      <c r="AA571" s="459">
        <v>0</v>
      </c>
      <c r="AB571" s="459">
        <v>0</v>
      </c>
      <c r="AC571" s="459">
        <v>0</v>
      </c>
    </row>
    <row r="572" spans="1:29">
      <c r="A572" s="459" t="s">
        <v>348</v>
      </c>
      <c r="B572" s="459" t="s">
        <v>539</v>
      </c>
      <c r="C572" s="36">
        <f t="shared" ref="C572:C577" si="461">SUM(D572:AC572)</f>
        <v>0</v>
      </c>
      <c r="D572" s="459">
        <v>0</v>
      </c>
      <c r="E572" s="459">
        <v>0</v>
      </c>
      <c r="F572" s="459">
        <v>0</v>
      </c>
      <c r="G572" s="459">
        <v>0</v>
      </c>
      <c r="H572" s="459">
        <v>0</v>
      </c>
      <c r="I572" s="459">
        <v>0</v>
      </c>
      <c r="J572" s="459">
        <v>0</v>
      </c>
      <c r="K572" s="459">
        <v>0</v>
      </c>
      <c r="L572" s="459">
        <v>0</v>
      </c>
      <c r="M572" s="459">
        <v>0</v>
      </c>
      <c r="N572" s="459">
        <v>0</v>
      </c>
      <c r="O572" s="459">
        <v>0</v>
      </c>
      <c r="P572" s="459">
        <v>0</v>
      </c>
      <c r="Q572" s="459">
        <v>0</v>
      </c>
      <c r="R572" s="459">
        <v>0</v>
      </c>
      <c r="S572" s="459">
        <v>0</v>
      </c>
      <c r="T572" s="459">
        <v>0</v>
      </c>
      <c r="U572" s="459">
        <v>0</v>
      </c>
      <c r="V572" s="459">
        <v>0</v>
      </c>
      <c r="W572" s="459">
        <v>0</v>
      </c>
      <c r="X572" s="459">
        <v>0</v>
      </c>
      <c r="Y572" s="459">
        <v>0</v>
      </c>
      <c r="Z572" s="459">
        <v>0</v>
      </c>
      <c r="AA572" s="459">
        <v>0</v>
      </c>
      <c r="AB572" s="459">
        <v>0</v>
      </c>
      <c r="AC572" s="459">
        <v>0</v>
      </c>
    </row>
    <row r="573" spans="1:29">
      <c r="A573" s="459" t="s">
        <v>349</v>
      </c>
      <c r="B573" s="459" t="s">
        <v>539</v>
      </c>
      <c r="C573" s="36">
        <f t="shared" si="461"/>
        <v>225</v>
      </c>
      <c r="D573" s="459">
        <v>1</v>
      </c>
      <c r="E573" s="459">
        <v>63</v>
      </c>
      <c r="F573" s="459">
        <v>7</v>
      </c>
      <c r="G573" s="459">
        <v>2</v>
      </c>
      <c r="H573" s="459">
        <v>2</v>
      </c>
      <c r="I573" s="459">
        <v>1</v>
      </c>
      <c r="J573" s="459">
        <v>6</v>
      </c>
      <c r="K573" s="459">
        <v>3</v>
      </c>
      <c r="L573" s="459">
        <v>0</v>
      </c>
      <c r="M573" s="459">
        <v>0</v>
      </c>
      <c r="N573" s="459">
        <v>0</v>
      </c>
      <c r="O573" s="459">
        <v>2</v>
      </c>
      <c r="P573" s="459">
        <v>5</v>
      </c>
      <c r="Q573" s="459">
        <v>103</v>
      </c>
      <c r="R573" s="459">
        <v>5</v>
      </c>
      <c r="S573" s="459">
        <v>8</v>
      </c>
      <c r="T573" s="459">
        <v>2</v>
      </c>
      <c r="U573" s="459">
        <v>4</v>
      </c>
      <c r="V573" s="459">
        <v>2</v>
      </c>
      <c r="W573" s="459">
        <v>1</v>
      </c>
      <c r="X573" s="459">
        <v>1</v>
      </c>
      <c r="Y573" s="459">
        <v>1</v>
      </c>
      <c r="Z573" s="459">
        <v>2</v>
      </c>
      <c r="AA573" s="459">
        <v>4</v>
      </c>
      <c r="AB573" s="459">
        <v>0</v>
      </c>
      <c r="AC573" s="459">
        <v>0</v>
      </c>
    </row>
    <row r="574" spans="1:29">
      <c r="A574" s="459" t="s">
        <v>350</v>
      </c>
      <c r="B574" s="459" t="s">
        <v>539</v>
      </c>
      <c r="C574" s="36">
        <f t="shared" si="461"/>
        <v>5215</v>
      </c>
      <c r="D574" s="459">
        <v>40</v>
      </c>
      <c r="E574" s="459">
        <v>3035</v>
      </c>
      <c r="F574" s="459">
        <v>217</v>
      </c>
      <c r="G574" s="459">
        <v>74</v>
      </c>
      <c r="H574" s="459">
        <v>71</v>
      </c>
      <c r="I574" s="459">
        <v>16</v>
      </c>
      <c r="J574" s="459">
        <v>120</v>
      </c>
      <c r="K574" s="459">
        <v>251</v>
      </c>
      <c r="L574" s="459">
        <v>27</v>
      </c>
      <c r="M574" s="459">
        <v>73</v>
      </c>
      <c r="N574" s="459">
        <v>70</v>
      </c>
      <c r="O574" s="459">
        <v>69</v>
      </c>
      <c r="P574" s="459">
        <v>49</v>
      </c>
      <c r="Q574" s="459">
        <v>375</v>
      </c>
      <c r="R574" s="459">
        <v>64</v>
      </c>
      <c r="S574" s="459">
        <v>93</v>
      </c>
      <c r="T574" s="459">
        <v>37</v>
      </c>
      <c r="U574" s="459">
        <v>83</v>
      </c>
      <c r="V574" s="459">
        <v>189</v>
      </c>
      <c r="W574" s="459">
        <v>10</v>
      </c>
      <c r="X574" s="459">
        <v>54</v>
      </c>
      <c r="Y574" s="459">
        <v>31</v>
      </c>
      <c r="Z574" s="459">
        <v>46</v>
      </c>
      <c r="AA574" s="459">
        <v>39</v>
      </c>
      <c r="AB574" s="459">
        <v>67</v>
      </c>
      <c r="AC574" s="459">
        <v>15</v>
      </c>
    </row>
    <row r="575" spans="1:29">
      <c r="A575" s="459" t="s">
        <v>351</v>
      </c>
      <c r="B575" s="459" t="s">
        <v>539</v>
      </c>
      <c r="C575" s="36">
        <f t="shared" si="461"/>
        <v>673</v>
      </c>
      <c r="D575" s="459">
        <v>9</v>
      </c>
      <c r="E575" s="459">
        <v>344</v>
      </c>
      <c r="F575" s="459">
        <v>34</v>
      </c>
      <c r="G575" s="459">
        <v>8</v>
      </c>
      <c r="H575" s="459">
        <v>8</v>
      </c>
      <c r="I575" s="459">
        <v>3</v>
      </c>
      <c r="J575" s="459">
        <v>17</v>
      </c>
      <c r="K575" s="459">
        <v>35</v>
      </c>
      <c r="L575" s="459">
        <v>4</v>
      </c>
      <c r="M575" s="459">
        <v>8</v>
      </c>
      <c r="N575" s="459">
        <v>11</v>
      </c>
      <c r="O575" s="459">
        <v>11</v>
      </c>
      <c r="P575" s="459">
        <v>7</v>
      </c>
      <c r="Q575" s="459">
        <v>51</v>
      </c>
      <c r="R575" s="459">
        <v>16</v>
      </c>
      <c r="S575" s="459">
        <v>25</v>
      </c>
      <c r="T575" s="459">
        <v>8</v>
      </c>
      <c r="U575" s="459">
        <v>7</v>
      </c>
      <c r="V575" s="459">
        <v>28</v>
      </c>
      <c r="W575" s="459">
        <v>5</v>
      </c>
      <c r="X575" s="459">
        <v>10</v>
      </c>
      <c r="Y575" s="459">
        <v>5</v>
      </c>
      <c r="Z575" s="459">
        <v>5</v>
      </c>
      <c r="AA575" s="459">
        <v>6</v>
      </c>
      <c r="AB575" s="459">
        <v>7</v>
      </c>
      <c r="AC575" s="459">
        <v>1</v>
      </c>
    </row>
    <row r="576" spans="1:29">
      <c r="A576" s="459" t="s">
        <v>352</v>
      </c>
      <c r="B576" s="459" t="s">
        <v>539</v>
      </c>
      <c r="C576" s="36">
        <f t="shared" si="461"/>
        <v>8244</v>
      </c>
      <c r="D576" s="459">
        <v>74</v>
      </c>
      <c r="E576" s="459">
        <v>3896</v>
      </c>
      <c r="F576" s="459">
        <v>316</v>
      </c>
      <c r="G576" s="459">
        <v>76</v>
      </c>
      <c r="H576" s="459">
        <v>95</v>
      </c>
      <c r="I576" s="459">
        <v>49</v>
      </c>
      <c r="J576" s="459">
        <v>268</v>
      </c>
      <c r="K576" s="459">
        <v>395</v>
      </c>
      <c r="L576" s="459">
        <v>81</v>
      </c>
      <c r="M576" s="459">
        <v>142</v>
      </c>
      <c r="N576" s="459">
        <v>106</v>
      </c>
      <c r="O576" s="459">
        <v>135</v>
      </c>
      <c r="P576" s="459">
        <v>130</v>
      </c>
      <c r="Q576" s="459">
        <v>776</v>
      </c>
      <c r="R576" s="459">
        <v>193</v>
      </c>
      <c r="S576" s="459">
        <v>219</v>
      </c>
      <c r="T576" s="459">
        <v>120</v>
      </c>
      <c r="U576" s="459">
        <v>111</v>
      </c>
      <c r="V576" s="459">
        <v>404</v>
      </c>
      <c r="W576" s="459">
        <v>38</v>
      </c>
      <c r="X576" s="459">
        <v>133</v>
      </c>
      <c r="Y576" s="459">
        <v>71</v>
      </c>
      <c r="Z576" s="459">
        <v>69</v>
      </c>
      <c r="AA576" s="459">
        <v>85</v>
      </c>
      <c r="AB576" s="459">
        <v>220</v>
      </c>
      <c r="AC576" s="459">
        <v>42</v>
      </c>
    </row>
    <row r="577" spans="1:29">
      <c r="A577" s="459" t="s">
        <v>353</v>
      </c>
      <c r="B577" s="459" t="s">
        <v>539</v>
      </c>
      <c r="C577" s="36">
        <f t="shared" si="461"/>
        <v>3103</v>
      </c>
      <c r="D577" s="459">
        <v>23</v>
      </c>
      <c r="E577" s="459">
        <v>1173</v>
      </c>
      <c r="F577" s="459">
        <v>141</v>
      </c>
      <c r="G577" s="459">
        <v>44</v>
      </c>
      <c r="H577" s="459">
        <v>24</v>
      </c>
      <c r="I577" s="459">
        <v>14</v>
      </c>
      <c r="J577" s="459">
        <v>97</v>
      </c>
      <c r="K577" s="459">
        <v>148</v>
      </c>
      <c r="L577" s="459">
        <v>38</v>
      </c>
      <c r="M577" s="459">
        <v>36</v>
      </c>
      <c r="N577" s="459">
        <v>63</v>
      </c>
      <c r="O577" s="459">
        <v>98</v>
      </c>
      <c r="P577" s="459">
        <v>110</v>
      </c>
      <c r="Q577" s="459">
        <v>233</v>
      </c>
      <c r="R577" s="459">
        <v>158</v>
      </c>
      <c r="S577" s="459">
        <v>142</v>
      </c>
      <c r="T577" s="459">
        <v>74</v>
      </c>
      <c r="U577" s="459">
        <v>57</v>
      </c>
      <c r="V577" s="459">
        <v>199</v>
      </c>
      <c r="W577" s="459">
        <v>11</v>
      </c>
      <c r="X577" s="459">
        <v>72</v>
      </c>
      <c r="Y577" s="459">
        <v>21</v>
      </c>
      <c r="Z577" s="459">
        <v>33</v>
      </c>
      <c r="AA577" s="459">
        <v>23</v>
      </c>
      <c r="AB577" s="459">
        <v>54</v>
      </c>
      <c r="AC577" s="459">
        <v>17</v>
      </c>
    </row>
    <row r="578" spans="1:29">
      <c r="A578" s="458" t="s">
        <v>16</v>
      </c>
      <c r="B578" s="458" t="s">
        <v>539</v>
      </c>
      <c r="C578" s="504">
        <f>SUM(D578:AC578)</f>
        <v>17463</v>
      </c>
      <c r="D578" s="504">
        <f t="shared" ref="D578:AC578" si="462">SUM(D571:D577)</f>
        <v>147</v>
      </c>
      <c r="E578" s="504">
        <f t="shared" si="462"/>
        <v>8514</v>
      </c>
      <c r="F578" s="504">
        <f t="shared" si="462"/>
        <v>715</v>
      </c>
      <c r="G578" s="504">
        <f t="shared" si="462"/>
        <v>204</v>
      </c>
      <c r="H578" s="504">
        <f t="shared" si="462"/>
        <v>200</v>
      </c>
      <c r="I578" s="504">
        <f t="shared" si="462"/>
        <v>83</v>
      </c>
      <c r="J578" s="504">
        <f t="shared" si="462"/>
        <v>508</v>
      </c>
      <c r="K578" s="504">
        <f t="shared" si="462"/>
        <v>832</v>
      </c>
      <c r="L578" s="504">
        <f t="shared" si="462"/>
        <v>150</v>
      </c>
      <c r="M578" s="504">
        <f t="shared" si="462"/>
        <v>259</v>
      </c>
      <c r="N578" s="504">
        <f t="shared" si="462"/>
        <v>250</v>
      </c>
      <c r="O578" s="504">
        <f t="shared" si="462"/>
        <v>315</v>
      </c>
      <c r="P578" s="504">
        <f t="shared" si="462"/>
        <v>301</v>
      </c>
      <c r="Q578" s="504">
        <f t="shared" si="462"/>
        <v>1538</v>
      </c>
      <c r="R578" s="504">
        <f t="shared" si="462"/>
        <v>436</v>
      </c>
      <c r="S578" s="504">
        <f t="shared" si="462"/>
        <v>487</v>
      </c>
      <c r="T578" s="504">
        <f t="shared" si="462"/>
        <v>241</v>
      </c>
      <c r="U578" s="504">
        <f t="shared" si="462"/>
        <v>262</v>
      </c>
      <c r="V578" s="504">
        <f t="shared" si="462"/>
        <v>822</v>
      </c>
      <c r="W578" s="504">
        <f t="shared" si="462"/>
        <v>65</v>
      </c>
      <c r="X578" s="504">
        <f t="shared" si="462"/>
        <v>270</v>
      </c>
      <c r="Y578" s="504">
        <f t="shared" si="462"/>
        <v>129</v>
      </c>
      <c r="Z578" s="504">
        <f t="shared" si="462"/>
        <v>155</v>
      </c>
      <c r="AA578" s="504">
        <f t="shared" si="462"/>
        <v>157</v>
      </c>
      <c r="AB578" s="504">
        <f t="shared" si="462"/>
        <v>348</v>
      </c>
      <c r="AC578" s="504">
        <f t="shared" si="462"/>
        <v>75</v>
      </c>
    </row>
    <row r="579" spans="1:29">
      <c r="A579" s="459" t="s">
        <v>659</v>
      </c>
      <c r="C579" s="459"/>
      <c r="D579" s="459"/>
      <c r="E579" s="459"/>
      <c r="F579" s="459"/>
      <c r="G579" s="459"/>
      <c r="H579" s="459"/>
      <c r="I579" s="459"/>
      <c r="J579" s="459"/>
      <c r="K579" s="459"/>
      <c r="L579" s="459"/>
      <c r="M579" s="459"/>
      <c r="N579" s="459"/>
      <c r="O579" s="459"/>
      <c r="P579" s="459"/>
      <c r="Q579" s="459"/>
      <c r="R579" s="459"/>
      <c r="S579" s="459"/>
      <c r="T579" s="459"/>
      <c r="U579" s="459"/>
      <c r="V579" s="459"/>
      <c r="W579" s="459"/>
      <c r="X579" s="459"/>
      <c r="Y579" s="459"/>
      <c r="Z579" s="459"/>
      <c r="AA579" s="459"/>
      <c r="AB579" s="459"/>
      <c r="AC579" s="459"/>
    </row>
    <row r="580" spans="1:29">
      <c r="A580" s="459"/>
      <c r="C580" s="459"/>
      <c r="D580" s="459"/>
      <c r="E580" s="459"/>
      <c r="F580" s="459"/>
      <c r="G580" s="459"/>
      <c r="H580" s="459"/>
      <c r="I580" s="459"/>
      <c r="J580" s="459"/>
      <c r="K580" s="459"/>
      <c r="L580" s="459"/>
      <c r="M580" s="459"/>
      <c r="N580" s="459"/>
      <c r="O580" s="459"/>
      <c r="P580" s="459"/>
      <c r="Q580" s="459"/>
      <c r="R580" s="459"/>
      <c r="S580" s="459"/>
      <c r="T580" s="459"/>
      <c r="U580" s="459"/>
      <c r="V580" s="459"/>
      <c r="W580" s="459"/>
      <c r="X580" s="459"/>
      <c r="Y580" s="459"/>
      <c r="Z580" s="459"/>
      <c r="AA580" s="459"/>
      <c r="AB580" s="459"/>
      <c r="AC580" s="459"/>
    </row>
    <row r="581" spans="1:29">
      <c r="A581" s="459"/>
      <c r="C581" s="459"/>
      <c r="D581" s="459"/>
      <c r="E581" s="459"/>
      <c r="F581" s="459"/>
      <c r="G581" s="459"/>
      <c r="H581" s="459"/>
      <c r="I581" s="459"/>
      <c r="J581" s="459"/>
      <c r="K581" s="459"/>
      <c r="L581" s="459"/>
      <c r="M581" s="459"/>
      <c r="N581" s="459"/>
      <c r="O581" s="459"/>
      <c r="P581" s="459"/>
      <c r="Q581" s="459"/>
      <c r="R581" s="459"/>
      <c r="S581" s="459"/>
      <c r="T581" s="459"/>
      <c r="U581" s="459"/>
      <c r="V581" s="459"/>
      <c r="W581" s="459"/>
      <c r="X581" s="459"/>
      <c r="Y581" s="459"/>
      <c r="Z581" s="459"/>
      <c r="AA581" s="459"/>
      <c r="AB581" s="459"/>
      <c r="AC581" s="459"/>
    </row>
    <row r="582" spans="1:29">
      <c r="A582" s="459"/>
      <c r="C582" s="459"/>
      <c r="D582" s="459"/>
      <c r="E582" s="459"/>
      <c r="F582" s="459"/>
      <c r="G582" s="459"/>
      <c r="H582" s="459"/>
      <c r="I582" s="459"/>
      <c r="J582" s="459"/>
      <c r="K582" s="459"/>
      <c r="L582" s="459"/>
      <c r="M582" s="459"/>
      <c r="N582" s="459"/>
      <c r="O582" s="459"/>
      <c r="P582" s="459"/>
      <c r="Q582" s="459"/>
      <c r="R582" s="459"/>
      <c r="S582" s="459"/>
      <c r="T582" s="459"/>
      <c r="U582" s="459"/>
      <c r="V582" s="459"/>
      <c r="W582" s="459"/>
      <c r="X582" s="459"/>
      <c r="Y582" s="459"/>
      <c r="Z582" s="459"/>
      <c r="AA582" s="459"/>
      <c r="AB582" s="459"/>
      <c r="AC582" s="459"/>
    </row>
    <row r="583" spans="1:29" ht="15.6">
      <c r="A583" s="425" t="s">
        <v>704</v>
      </c>
      <c r="C583" s="459"/>
      <c r="D583" s="459"/>
      <c r="E583" s="459"/>
      <c r="F583" s="459"/>
      <c r="G583" s="459"/>
      <c r="H583" s="459"/>
      <c r="I583" s="459"/>
      <c r="J583" s="459"/>
      <c r="K583" s="459"/>
      <c r="L583" s="459"/>
      <c r="M583" s="459"/>
      <c r="N583" s="459"/>
      <c r="O583" s="459"/>
      <c r="P583" s="459"/>
      <c r="Q583" s="459"/>
      <c r="R583" s="459"/>
      <c r="S583" s="459"/>
      <c r="T583" s="459"/>
      <c r="U583" s="459"/>
      <c r="V583" s="459"/>
      <c r="W583" s="459"/>
      <c r="X583" s="459"/>
      <c r="Y583" s="459"/>
      <c r="Z583" s="459"/>
      <c r="AA583" s="459"/>
      <c r="AB583" s="459"/>
      <c r="AC583" s="459"/>
    </row>
    <row r="584" spans="1:29">
      <c r="A584" s="131" t="s">
        <v>648</v>
      </c>
      <c r="B584" s="131" t="s">
        <v>64</v>
      </c>
      <c r="C584" s="131" t="str">
        <f>C570</f>
        <v>IE</v>
      </c>
      <c r="D584" s="131" t="str">
        <f t="shared" ref="D584:AC584" si="463">D570</f>
        <v>IE-CW</v>
      </c>
      <c r="E584" s="131" t="str">
        <f t="shared" si="463"/>
        <v>IE-D</v>
      </c>
      <c r="F584" s="131" t="str">
        <f t="shared" si="463"/>
        <v>IE-KE</v>
      </c>
      <c r="G584" s="131" t="str">
        <f t="shared" si="463"/>
        <v>IE-KK</v>
      </c>
      <c r="H584" s="131" t="str">
        <f t="shared" si="463"/>
        <v>IE-LS</v>
      </c>
      <c r="I584" s="131" t="str">
        <f t="shared" si="463"/>
        <v>IE-LD</v>
      </c>
      <c r="J584" s="131" t="str">
        <f t="shared" si="463"/>
        <v>IE-LH</v>
      </c>
      <c r="K584" s="131" t="str">
        <f t="shared" si="463"/>
        <v>IE-MH</v>
      </c>
      <c r="L584" s="131" t="str">
        <f t="shared" si="463"/>
        <v>IE-OY</v>
      </c>
      <c r="M584" s="131" t="str">
        <f t="shared" si="463"/>
        <v>IE-WH</v>
      </c>
      <c r="N584" s="131" t="str">
        <f t="shared" si="463"/>
        <v>IE-WX</v>
      </c>
      <c r="O584" s="131" t="str">
        <f t="shared" si="463"/>
        <v>IE-WW</v>
      </c>
      <c r="P584" s="131" t="str">
        <f t="shared" si="463"/>
        <v>IE-CE</v>
      </c>
      <c r="Q584" s="131" t="str">
        <f t="shared" si="463"/>
        <v>IE-CO</v>
      </c>
      <c r="R584" s="131" t="str">
        <f t="shared" si="463"/>
        <v>IE-KY</v>
      </c>
      <c r="S584" s="131" t="str">
        <f t="shared" si="463"/>
        <v>IE-LK</v>
      </c>
      <c r="T584" s="131" t="str">
        <f t="shared" si="463"/>
        <v>IE-TA</v>
      </c>
      <c r="U584" s="131" t="str">
        <f t="shared" si="463"/>
        <v>IE-WD</v>
      </c>
      <c r="V584" s="131" t="str">
        <f t="shared" si="463"/>
        <v>IE-G</v>
      </c>
      <c r="W584" s="131" t="str">
        <f t="shared" si="463"/>
        <v>IE-LM</v>
      </c>
      <c r="X584" s="131" t="str">
        <f t="shared" si="463"/>
        <v>IE-MO</v>
      </c>
      <c r="Y584" s="131" t="str">
        <f t="shared" si="463"/>
        <v>IE-RN</v>
      </c>
      <c r="Z584" s="131" t="str">
        <f t="shared" si="463"/>
        <v>IE-SO</v>
      </c>
      <c r="AA584" s="131" t="str">
        <f t="shared" si="463"/>
        <v>IE-CN</v>
      </c>
      <c r="AB584" s="131" t="str">
        <f t="shared" si="463"/>
        <v>IE-DL</v>
      </c>
      <c r="AC584" s="131" t="str">
        <f t="shared" si="463"/>
        <v>IE-MN</v>
      </c>
    </row>
    <row r="585" spans="1:29">
      <c r="A585" s="459" t="s">
        <v>347</v>
      </c>
      <c r="B585" s="507" t="s">
        <v>652</v>
      </c>
      <c r="C585" s="35">
        <f>C571/C$578</f>
        <v>1.7179178835251675E-4</v>
      </c>
      <c r="D585" s="35">
        <f t="shared" ref="D585:AC591" si="464">D571/D$578</f>
        <v>0</v>
      </c>
      <c r="E585" s="35">
        <f t="shared" si="464"/>
        <v>3.5236081747709656E-4</v>
      </c>
      <c r="F585" s="35">
        <f t="shared" si="464"/>
        <v>0</v>
      </c>
      <c r="G585" s="35">
        <f t="shared" si="464"/>
        <v>0</v>
      </c>
      <c r="H585" s="35">
        <f t="shared" si="464"/>
        <v>0</v>
      </c>
      <c r="I585" s="35">
        <f t="shared" si="464"/>
        <v>0</v>
      </c>
      <c r="J585" s="35">
        <f t="shared" si="464"/>
        <v>0</v>
      </c>
      <c r="K585" s="35">
        <f t="shared" si="464"/>
        <v>0</v>
      </c>
      <c r="L585" s="35">
        <f t="shared" si="464"/>
        <v>0</v>
      </c>
      <c r="M585" s="35">
        <f t="shared" si="464"/>
        <v>0</v>
      </c>
      <c r="N585" s="35">
        <f t="shared" si="464"/>
        <v>0</v>
      </c>
      <c r="O585" s="35">
        <f t="shared" si="464"/>
        <v>0</v>
      </c>
      <c r="P585" s="35">
        <f t="shared" si="464"/>
        <v>0</v>
      </c>
      <c r="Q585" s="35">
        <f t="shared" si="464"/>
        <v>0</v>
      </c>
      <c r="R585" s="35">
        <f t="shared" si="464"/>
        <v>0</v>
      </c>
      <c r="S585" s="35">
        <f t="shared" si="464"/>
        <v>0</v>
      </c>
      <c r="T585" s="35">
        <f t="shared" si="464"/>
        <v>0</v>
      </c>
      <c r="U585" s="35">
        <f t="shared" si="464"/>
        <v>0</v>
      </c>
      <c r="V585" s="35">
        <f t="shared" si="464"/>
        <v>0</v>
      </c>
      <c r="W585" s="35">
        <f t="shared" si="464"/>
        <v>0</v>
      </c>
      <c r="X585" s="35">
        <f t="shared" si="464"/>
        <v>0</v>
      </c>
      <c r="Y585" s="35">
        <f t="shared" si="464"/>
        <v>0</v>
      </c>
      <c r="Z585" s="35">
        <f t="shared" si="464"/>
        <v>0</v>
      </c>
      <c r="AA585" s="35">
        <f t="shared" si="464"/>
        <v>0</v>
      </c>
      <c r="AB585" s="35">
        <f t="shared" si="464"/>
        <v>0</v>
      </c>
      <c r="AC585" s="35">
        <f t="shared" si="464"/>
        <v>0</v>
      </c>
    </row>
    <row r="586" spans="1:29">
      <c r="A586" s="459" t="s">
        <v>348</v>
      </c>
      <c r="B586" s="1" t="s">
        <v>652</v>
      </c>
      <c r="C586" s="35">
        <f>C572/C$578</f>
        <v>0</v>
      </c>
      <c r="D586" s="35">
        <f t="shared" ref="C586:R591" si="465">D572/D$578</f>
        <v>0</v>
      </c>
      <c r="E586" s="35">
        <f t="shared" si="465"/>
        <v>0</v>
      </c>
      <c r="F586" s="35">
        <f t="shared" si="465"/>
        <v>0</v>
      </c>
      <c r="G586" s="35">
        <f t="shared" si="465"/>
        <v>0</v>
      </c>
      <c r="H586" s="35">
        <f t="shared" si="465"/>
        <v>0</v>
      </c>
      <c r="I586" s="35">
        <f t="shared" si="465"/>
        <v>0</v>
      </c>
      <c r="J586" s="35">
        <f t="shared" si="465"/>
        <v>0</v>
      </c>
      <c r="K586" s="35">
        <f t="shared" si="465"/>
        <v>0</v>
      </c>
      <c r="L586" s="35">
        <f t="shared" si="465"/>
        <v>0</v>
      </c>
      <c r="M586" s="35">
        <f t="shared" si="465"/>
        <v>0</v>
      </c>
      <c r="N586" s="35">
        <f t="shared" si="465"/>
        <v>0</v>
      </c>
      <c r="O586" s="35">
        <f t="shared" si="465"/>
        <v>0</v>
      </c>
      <c r="P586" s="35">
        <f t="shared" si="465"/>
        <v>0</v>
      </c>
      <c r="Q586" s="35">
        <f t="shared" si="465"/>
        <v>0</v>
      </c>
      <c r="R586" s="35">
        <f t="shared" si="465"/>
        <v>0</v>
      </c>
      <c r="S586" s="35">
        <f t="shared" si="464"/>
        <v>0</v>
      </c>
      <c r="T586" s="35">
        <f t="shared" si="464"/>
        <v>0</v>
      </c>
      <c r="U586" s="35">
        <f t="shared" si="464"/>
        <v>0</v>
      </c>
      <c r="V586" s="35">
        <f t="shared" si="464"/>
        <v>0</v>
      </c>
      <c r="W586" s="35">
        <f t="shared" si="464"/>
        <v>0</v>
      </c>
      <c r="X586" s="35">
        <f t="shared" si="464"/>
        <v>0</v>
      </c>
      <c r="Y586" s="35">
        <f t="shared" si="464"/>
        <v>0</v>
      </c>
      <c r="Z586" s="35">
        <f t="shared" si="464"/>
        <v>0</v>
      </c>
      <c r="AA586" s="35">
        <f t="shared" si="464"/>
        <v>0</v>
      </c>
      <c r="AB586" s="35">
        <f t="shared" si="464"/>
        <v>0</v>
      </c>
      <c r="AC586" s="35">
        <f t="shared" si="464"/>
        <v>0</v>
      </c>
    </row>
    <row r="587" spans="1:29">
      <c r="A587" s="459" t="s">
        <v>349</v>
      </c>
      <c r="B587" s="1" t="s">
        <v>652</v>
      </c>
      <c r="C587" s="35">
        <f t="shared" si="465"/>
        <v>1.2884384126438756E-2</v>
      </c>
      <c r="D587" s="35">
        <f t="shared" si="464"/>
        <v>6.8027210884353739E-3</v>
      </c>
      <c r="E587" s="35">
        <f t="shared" si="464"/>
        <v>7.3995771670190271E-3</v>
      </c>
      <c r="F587" s="35">
        <f t="shared" si="464"/>
        <v>9.7902097902097911E-3</v>
      </c>
      <c r="G587" s="35">
        <f t="shared" si="464"/>
        <v>9.8039215686274508E-3</v>
      </c>
      <c r="H587" s="35">
        <f t="shared" si="464"/>
        <v>0.01</v>
      </c>
      <c r="I587" s="35">
        <f t="shared" si="464"/>
        <v>1.2048192771084338E-2</v>
      </c>
      <c r="J587" s="35">
        <f t="shared" si="464"/>
        <v>1.1811023622047244E-2</v>
      </c>
      <c r="K587" s="35">
        <f t="shared" si="464"/>
        <v>3.605769230769231E-3</v>
      </c>
      <c r="L587" s="35">
        <f t="shared" si="464"/>
        <v>0</v>
      </c>
      <c r="M587" s="35">
        <f t="shared" si="464"/>
        <v>0</v>
      </c>
      <c r="N587" s="35">
        <f t="shared" si="464"/>
        <v>0</v>
      </c>
      <c r="O587" s="35">
        <f t="shared" si="464"/>
        <v>6.3492063492063492E-3</v>
      </c>
      <c r="P587" s="35">
        <f t="shared" si="464"/>
        <v>1.6611295681063124E-2</v>
      </c>
      <c r="Q587" s="35">
        <f t="shared" si="464"/>
        <v>6.6970091027308193E-2</v>
      </c>
      <c r="R587" s="35">
        <f t="shared" si="464"/>
        <v>1.1467889908256881E-2</v>
      </c>
      <c r="S587" s="35">
        <f t="shared" si="464"/>
        <v>1.6427104722792608E-2</v>
      </c>
      <c r="T587" s="35">
        <f t="shared" si="464"/>
        <v>8.2987551867219917E-3</v>
      </c>
      <c r="U587" s="35">
        <f t="shared" si="464"/>
        <v>1.5267175572519083E-2</v>
      </c>
      <c r="V587" s="35">
        <f t="shared" si="464"/>
        <v>2.4330900243309003E-3</v>
      </c>
      <c r="W587" s="35">
        <f t="shared" si="464"/>
        <v>1.5384615384615385E-2</v>
      </c>
      <c r="X587" s="35">
        <f t="shared" si="464"/>
        <v>3.7037037037037038E-3</v>
      </c>
      <c r="Y587" s="35">
        <f t="shared" si="464"/>
        <v>7.7519379844961239E-3</v>
      </c>
      <c r="Z587" s="35">
        <f t="shared" si="464"/>
        <v>1.2903225806451613E-2</v>
      </c>
      <c r="AA587" s="35">
        <f t="shared" si="464"/>
        <v>2.5477707006369428E-2</v>
      </c>
      <c r="AB587" s="35">
        <f t="shared" si="464"/>
        <v>0</v>
      </c>
      <c r="AC587" s="35">
        <f t="shared" si="464"/>
        <v>0</v>
      </c>
    </row>
    <row r="588" spans="1:29">
      <c r="A588" s="459" t="s">
        <v>350</v>
      </c>
      <c r="B588" s="1" t="s">
        <v>652</v>
      </c>
      <c r="C588" s="35">
        <f t="shared" si="465"/>
        <v>0.29863139208612494</v>
      </c>
      <c r="D588" s="35">
        <f t="shared" si="464"/>
        <v>0.27210884353741499</v>
      </c>
      <c r="E588" s="35">
        <f t="shared" si="464"/>
        <v>0.35647169368099602</v>
      </c>
      <c r="F588" s="35">
        <f t="shared" si="464"/>
        <v>0.30349650349650348</v>
      </c>
      <c r="G588" s="35">
        <f t="shared" si="464"/>
        <v>0.36274509803921567</v>
      </c>
      <c r="H588" s="35">
        <f t="shared" si="464"/>
        <v>0.35499999999999998</v>
      </c>
      <c r="I588" s="35">
        <f t="shared" si="464"/>
        <v>0.19277108433734941</v>
      </c>
      <c r="J588" s="35">
        <f t="shared" si="464"/>
        <v>0.23622047244094488</v>
      </c>
      <c r="K588" s="35">
        <f t="shared" si="464"/>
        <v>0.30168269230769229</v>
      </c>
      <c r="L588" s="35">
        <f t="shared" si="464"/>
        <v>0.18</v>
      </c>
      <c r="M588" s="35">
        <f t="shared" si="464"/>
        <v>0.28185328185328185</v>
      </c>
      <c r="N588" s="35">
        <f t="shared" si="464"/>
        <v>0.28000000000000003</v>
      </c>
      <c r="O588" s="35">
        <f t="shared" si="464"/>
        <v>0.21904761904761905</v>
      </c>
      <c r="P588" s="35">
        <f t="shared" si="464"/>
        <v>0.16279069767441862</v>
      </c>
      <c r="Q588" s="35">
        <f t="shared" si="464"/>
        <v>0.24382314694408322</v>
      </c>
      <c r="R588" s="35">
        <f t="shared" si="464"/>
        <v>0.14678899082568808</v>
      </c>
      <c r="S588" s="35">
        <f t="shared" si="464"/>
        <v>0.19096509240246407</v>
      </c>
      <c r="T588" s="35">
        <f t="shared" si="464"/>
        <v>0.15352697095435686</v>
      </c>
      <c r="U588" s="35">
        <f t="shared" si="464"/>
        <v>0.31679389312977096</v>
      </c>
      <c r="V588" s="35">
        <f t="shared" si="464"/>
        <v>0.22992700729927007</v>
      </c>
      <c r="W588" s="35">
        <f t="shared" si="464"/>
        <v>0.15384615384615385</v>
      </c>
      <c r="X588" s="35">
        <f t="shared" si="464"/>
        <v>0.2</v>
      </c>
      <c r="Y588" s="35">
        <f t="shared" si="464"/>
        <v>0.24031007751937986</v>
      </c>
      <c r="Z588" s="35">
        <f t="shared" si="464"/>
        <v>0.29677419354838708</v>
      </c>
      <c r="AA588" s="35">
        <f t="shared" si="464"/>
        <v>0.24840764331210191</v>
      </c>
      <c r="AB588" s="35">
        <f t="shared" si="464"/>
        <v>0.19252873563218389</v>
      </c>
      <c r="AC588" s="35">
        <f t="shared" si="464"/>
        <v>0.2</v>
      </c>
    </row>
    <row r="589" spans="1:29">
      <c r="A589" s="459" t="s">
        <v>351</v>
      </c>
      <c r="B589" s="1" t="s">
        <v>652</v>
      </c>
      <c r="C589" s="35">
        <f t="shared" si="465"/>
        <v>3.8538624520414594E-2</v>
      </c>
      <c r="D589" s="35">
        <f t="shared" si="464"/>
        <v>6.1224489795918366E-2</v>
      </c>
      <c r="E589" s="35">
        <f t="shared" si="464"/>
        <v>4.0404040404040407E-2</v>
      </c>
      <c r="F589" s="35">
        <f t="shared" si="464"/>
        <v>4.7552447552447551E-2</v>
      </c>
      <c r="G589" s="35">
        <f t="shared" si="464"/>
        <v>3.9215686274509803E-2</v>
      </c>
      <c r="H589" s="35">
        <f t="shared" si="464"/>
        <v>0.04</v>
      </c>
      <c r="I589" s="35">
        <f t="shared" si="464"/>
        <v>3.614457831325301E-2</v>
      </c>
      <c r="J589" s="35">
        <f t="shared" si="464"/>
        <v>3.3464566929133861E-2</v>
      </c>
      <c r="K589" s="35">
        <f t="shared" si="464"/>
        <v>4.2067307692307696E-2</v>
      </c>
      <c r="L589" s="35">
        <f t="shared" si="464"/>
        <v>2.6666666666666668E-2</v>
      </c>
      <c r="M589" s="35">
        <f t="shared" si="464"/>
        <v>3.0888030888030889E-2</v>
      </c>
      <c r="N589" s="35">
        <f t="shared" si="464"/>
        <v>4.3999999999999997E-2</v>
      </c>
      <c r="O589" s="35">
        <f t="shared" si="464"/>
        <v>3.4920634920634921E-2</v>
      </c>
      <c r="P589" s="35">
        <f t="shared" si="464"/>
        <v>2.3255813953488372E-2</v>
      </c>
      <c r="Q589" s="35">
        <f t="shared" si="464"/>
        <v>3.3159947984395317E-2</v>
      </c>
      <c r="R589" s="35">
        <f t="shared" si="464"/>
        <v>3.669724770642202E-2</v>
      </c>
      <c r="S589" s="35">
        <f t="shared" si="464"/>
        <v>5.1334702258726897E-2</v>
      </c>
      <c r="T589" s="35">
        <f t="shared" si="464"/>
        <v>3.3195020746887967E-2</v>
      </c>
      <c r="U589" s="35">
        <f t="shared" si="464"/>
        <v>2.6717557251908396E-2</v>
      </c>
      <c r="V589" s="35">
        <f t="shared" si="464"/>
        <v>3.4063260340632603E-2</v>
      </c>
      <c r="W589" s="35">
        <f t="shared" si="464"/>
        <v>7.6923076923076927E-2</v>
      </c>
      <c r="X589" s="35">
        <f t="shared" si="464"/>
        <v>3.7037037037037035E-2</v>
      </c>
      <c r="Y589" s="35">
        <f t="shared" si="464"/>
        <v>3.875968992248062E-2</v>
      </c>
      <c r="Z589" s="35">
        <f t="shared" si="464"/>
        <v>3.2258064516129031E-2</v>
      </c>
      <c r="AA589" s="35">
        <f t="shared" si="464"/>
        <v>3.8216560509554139E-2</v>
      </c>
      <c r="AB589" s="35">
        <f t="shared" si="464"/>
        <v>2.0114942528735632E-2</v>
      </c>
      <c r="AC589" s="35">
        <f t="shared" si="464"/>
        <v>1.3333333333333334E-2</v>
      </c>
    </row>
    <row r="590" spans="1:29">
      <c r="A590" s="459" t="s">
        <v>352</v>
      </c>
      <c r="B590" s="1" t="s">
        <v>652</v>
      </c>
      <c r="C590" s="35">
        <f t="shared" si="465"/>
        <v>0.47208383439271601</v>
      </c>
      <c r="D590" s="35">
        <f t="shared" si="464"/>
        <v>0.50340136054421769</v>
      </c>
      <c r="E590" s="35">
        <f t="shared" si="464"/>
        <v>0.45759924829692272</v>
      </c>
      <c r="F590" s="35">
        <f t="shared" si="464"/>
        <v>0.44195804195804195</v>
      </c>
      <c r="G590" s="35">
        <f t="shared" si="464"/>
        <v>0.37254901960784315</v>
      </c>
      <c r="H590" s="35">
        <f t="shared" si="464"/>
        <v>0.47499999999999998</v>
      </c>
      <c r="I590" s="35">
        <f t="shared" si="464"/>
        <v>0.59036144578313254</v>
      </c>
      <c r="J590" s="35">
        <f t="shared" si="464"/>
        <v>0.52755905511811019</v>
      </c>
      <c r="K590" s="35">
        <f t="shared" si="464"/>
        <v>0.47475961538461536</v>
      </c>
      <c r="L590" s="35">
        <f t="shared" si="464"/>
        <v>0.54</v>
      </c>
      <c r="M590" s="35">
        <f t="shared" si="464"/>
        <v>0.54826254826254828</v>
      </c>
      <c r="N590" s="35">
        <f t="shared" si="464"/>
        <v>0.42399999999999999</v>
      </c>
      <c r="O590" s="35">
        <f t="shared" si="464"/>
        <v>0.42857142857142855</v>
      </c>
      <c r="P590" s="35">
        <f t="shared" si="464"/>
        <v>0.43189368770764119</v>
      </c>
      <c r="Q590" s="35">
        <f t="shared" si="464"/>
        <v>0.50455136540962287</v>
      </c>
      <c r="R590" s="35">
        <f t="shared" si="464"/>
        <v>0.44266055045871561</v>
      </c>
      <c r="S590" s="35">
        <f t="shared" si="464"/>
        <v>0.44969199178644764</v>
      </c>
      <c r="T590" s="35">
        <f t="shared" si="464"/>
        <v>0.49792531120331951</v>
      </c>
      <c r="U590" s="35">
        <f t="shared" si="464"/>
        <v>0.42366412213740456</v>
      </c>
      <c r="V590" s="35">
        <f t="shared" si="464"/>
        <v>0.49148418491484186</v>
      </c>
      <c r="W590" s="35">
        <f t="shared" si="464"/>
        <v>0.58461538461538465</v>
      </c>
      <c r="X590" s="35">
        <f t="shared" si="464"/>
        <v>0.49259259259259258</v>
      </c>
      <c r="Y590" s="35">
        <f t="shared" si="464"/>
        <v>0.55038759689922478</v>
      </c>
      <c r="Z590" s="35">
        <f t="shared" si="464"/>
        <v>0.44516129032258067</v>
      </c>
      <c r="AA590" s="35">
        <f t="shared" si="464"/>
        <v>0.54140127388535031</v>
      </c>
      <c r="AB590" s="35">
        <f t="shared" si="464"/>
        <v>0.63218390804597702</v>
      </c>
      <c r="AC590" s="35">
        <f t="shared" si="464"/>
        <v>0.56000000000000005</v>
      </c>
    </row>
    <row r="591" spans="1:29">
      <c r="A591" s="459" t="s">
        <v>353</v>
      </c>
      <c r="B591" s="1" t="s">
        <v>652</v>
      </c>
      <c r="C591" s="35">
        <f t="shared" si="465"/>
        <v>0.17768997308595316</v>
      </c>
      <c r="D591" s="35">
        <f t="shared" si="464"/>
        <v>0.15646258503401361</v>
      </c>
      <c r="E591" s="35">
        <f t="shared" si="464"/>
        <v>0.13777307963354474</v>
      </c>
      <c r="F591" s="35">
        <f t="shared" si="464"/>
        <v>0.19720279720279721</v>
      </c>
      <c r="G591" s="35">
        <f t="shared" si="464"/>
        <v>0.21568627450980393</v>
      </c>
      <c r="H591" s="35">
        <f t="shared" si="464"/>
        <v>0.12</v>
      </c>
      <c r="I591" s="35">
        <f t="shared" si="464"/>
        <v>0.16867469879518071</v>
      </c>
      <c r="J591" s="35">
        <f t="shared" si="464"/>
        <v>0.19094488188976377</v>
      </c>
      <c r="K591" s="35">
        <f t="shared" si="464"/>
        <v>0.17788461538461539</v>
      </c>
      <c r="L591" s="35">
        <f t="shared" si="464"/>
        <v>0.25333333333333335</v>
      </c>
      <c r="M591" s="35">
        <f t="shared" si="464"/>
        <v>0.138996138996139</v>
      </c>
      <c r="N591" s="35">
        <f t="shared" si="464"/>
        <v>0.252</v>
      </c>
      <c r="O591" s="35">
        <f t="shared" si="464"/>
        <v>0.31111111111111112</v>
      </c>
      <c r="P591" s="35">
        <f t="shared" si="464"/>
        <v>0.36544850498338871</v>
      </c>
      <c r="Q591" s="35">
        <f t="shared" si="464"/>
        <v>0.15149544863459039</v>
      </c>
      <c r="R591" s="35">
        <f t="shared" si="464"/>
        <v>0.36238532110091742</v>
      </c>
      <c r="S591" s="35">
        <f t="shared" si="464"/>
        <v>0.29158110882956878</v>
      </c>
      <c r="T591" s="35">
        <f t="shared" si="464"/>
        <v>0.30705394190871371</v>
      </c>
      <c r="U591" s="35">
        <f t="shared" si="464"/>
        <v>0.21755725190839695</v>
      </c>
      <c r="V591" s="35">
        <f t="shared" si="464"/>
        <v>0.24209245742092458</v>
      </c>
      <c r="W591" s="35">
        <f t="shared" si="464"/>
        <v>0.16923076923076924</v>
      </c>
      <c r="X591" s="35">
        <f t="shared" si="464"/>
        <v>0.26666666666666666</v>
      </c>
      <c r="Y591" s="35">
        <f t="shared" si="464"/>
        <v>0.16279069767441862</v>
      </c>
      <c r="Z591" s="35">
        <f t="shared" si="464"/>
        <v>0.2129032258064516</v>
      </c>
      <c r="AA591" s="35">
        <f t="shared" si="464"/>
        <v>0.1464968152866242</v>
      </c>
      <c r="AB591" s="35">
        <f t="shared" si="464"/>
        <v>0.15517241379310345</v>
      </c>
      <c r="AC591" s="35">
        <f t="shared" si="464"/>
        <v>0.22666666666666666</v>
      </c>
    </row>
    <row r="592" spans="1:29">
      <c r="A592" s="458" t="s">
        <v>16</v>
      </c>
      <c r="B592" s="458" t="s">
        <v>652</v>
      </c>
      <c r="C592" s="403">
        <f t="shared" ref="C592:AC592" si="466">SUM(C585:C591)</f>
        <v>1</v>
      </c>
      <c r="D592" s="403">
        <f t="shared" si="466"/>
        <v>1</v>
      </c>
      <c r="E592" s="403">
        <f t="shared" si="466"/>
        <v>1</v>
      </c>
      <c r="F592" s="403">
        <f t="shared" si="466"/>
        <v>1</v>
      </c>
      <c r="G592" s="403">
        <f t="shared" si="466"/>
        <v>1</v>
      </c>
      <c r="H592" s="403">
        <f t="shared" si="466"/>
        <v>0.99999999999999989</v>
      </c>
      <c r="I592" s="403">
        <f t="shared" si="466"/>
        <v>1</v>
      </c>
      <c r="J592" s="403">
        <f t="shared" si="466"/>
        <v>0.99999999999999989</v>
      </c>
      <c r="K592" s="403">
        <f t="shared" si="466"/>
        <v>1</v>
      </c>
      <c r="L592" s="403">
        <f t="shared" si="466"/>
        <v>1</v>
      </c>
      <c r="M592" s="403">
        <f t="shared" si="466"/>
        <v>1</v>
      </c>
      <c r="N592" s="403">
        <f t="shared" si="466"/>
        <v>1</v>
      </c>
      <c r="O592" s="403">
        <f t="shared" si="466"/>
        <v>1</v>
      </c>
      <c r="P592" s="403">
        <f t="shared" si="466"/>
        <v>1</v>
      </c>
      <c r="Q592" s="403">
        <f t="shared" si="466"/>
        <v>1</v>
      </c>
      <c r="R592" s="403">
        <f t="shared" si="466"/>
        <v>1</v>
      </c>
      <c r="S592" s="403">
        <f t="shared" si="466"/>
        <v>1</v>
      </c>
      <c r="T592" s="403">
        <f t="shared" si="466"/>
        <v>1</v>
      </c>
      <c r="U592" s="403">
        <f t="shared" si="466"/>
        <v>0.99999999999999989</v>
      </c>
      <c r="V592" s="403">
        <f t="shared" si="466"/>
        <v>1</v>
      </c>
      <c r="W592" s="403">
        <f t="shared" si="466"/>
        <v>1</v>
      </c>
      <c r="X592" s="403">
        <f t="shared" si="466"/>
        <v>1</v>
      </c>
      <c r="Y592" s="403">
        <f t="shared" si="466"/>
        <v>1</v>
      </c>
      <c r="Z592" s="403">
        <f t="shared" si="466"/>
        <v>1</v>
      </c>
      <c r="AA592" s="403">
        <f t="shared" si="466"/>
        <v>1</v>
      </c>
      <c r="AB592" s="403">
        <f t="shared" si="466"/>
        <v>1</v>
      </c>
      <c r="AC592" s="403">
        <f t="shared" si="466"/>
        <v>1</v>
      </c>
    </row>
    <row r="593" spans="1:29">
      <c r="A593" s="459"/>
      <c r="C593" s="459"/>
      <c r="D593" s="459"/>
      <c r="E593" s="459"/>
      <c r="F593" s="459"/>
      <c r="G593" s="459"/>
      <c r="H593" s="459"/>
      <c r="I593" s="459"/>
      <c r="J593" s="459"/>
      <c r="K593" s="459"/>
      <c r="L593" s="459"/>
      <c r="M593" s="459"/>
      <c r="N593" s="459"/>
      <c r="O593" s="459"/>
      <c r="P593" s="459"/>
      <c r="Q593" s="459"/>
      <c r="R593" s="459"/>
      <c r="S593" s="459"/>
      <c r="T593" s="459"/>
      <c r="U593" s="459"/>
      <c r="V593" s="459"/>
      <c r="W593" s="459"/>
      <c r="X593" s="459"/>
      <c r="Y593" s="459"/>
      <c r="Z593" s="459"/>
      <c r="AA593" s="459"/>
      <c r="AB593" s="459"/>
      <c r="AC593" s="459"/>
    </row>
    <row r="594" spans="1:29">
      <c r="A594" s="459"/>
      <c r="C594" s="459"/>
      <c r="D594" s="459"/>
      <c r="E594" s="459"/>
      <c r="F594" s="459"/>
      <c r="G594" s="459"/>
      <c r="H594" s="459"/>
      <c r="I594" s="459"/>
      <c r="J594" s="459"/>
      <c r="K594" s="459"/>
      <c r="L594" s="459"/>
      <c r="M594" s="459"/>
      <c r="N594" s="459"/>
      <c r="O594" s="459"/>
      <c r="P594" s="459"/>
      <c r="Q594" s="459"/>
      <c r="R594" s="459"/>
      <c r="S594" s="459"/>
      <c r="T594" s="459"/>
      <c r="U594" s="459"/>
      <c r="V594" s="459"/>
      <c r="W594" s="459"/>
      <c r="X594" s="459"/>
      <c r="Y594" s="459"/>
      <c r="Z594" s="459"/>
      <c r="AA594" s="459"/>
      <c r="AB594" s="459"/>
      <c r="AC594" s="459"/>
    </row>
    <row r="595" spans="1:29">
      <c r="A595" s="459"/>
      <c r="C595" s="459"/>
      <c r="D595" s="459"/>
      <c r="E595" s="459"/>
      <c r="F595" s="459"/>
      <c r="G595" s="459"/>
      <c r="H595" s="459"/>
      <c r="I595" s="459"/>
      <c r="J595" s="459"/>
      <c r="K595" s="459"/>
      <c r="L595" s="459"/>
      <c r="M595" s="459"/>
      <c r="N595" s="459"/>
      <c r="O595" s="459"/>
      <c r="P595" s="459"/>
      <c r="Q595" s="459"/>
      <c r="R595" s="459"/>
      <c r="S595" s="459"/>
      <c r="T595" s="459"/>
      <c r="U595" s="459"/>
      <c r="V595" s="459"/>
      <c r="W595" s="459"/>
      <c r="X595" s="459"/>
      <c r="Y595" s="459"/>
      <c r="Z595" s="459"/>
      <c r="AA595" s="459"/>
      <c r="AB595" s="459"/>
      <c r="AC595" s="459"/>
    </row>
    <row r="596" spans="1:29" ht="15.6">
      <c r="A596" s="425" t="s">
        <v>705</v>
      </c>
      <c r="C596" s="459"/>
      <c r="D596" s="459"/>
      <c r="E596" s="459"/>
      <c r="F596" s="459"/>
      <c r="G596" s="459"/>
      <c r="H596" s="459"/>
      <c r="I596" s="459"/>
      <c r="J596" s="459"/>
      <c r="K596" s="459"/>
      <c r="L596" s="459"/>
      <c r="M596" s="459"/>
      <c r="N596" s="459"/>
      <c r="O596" s="459"/>
      <c r="P596" s="459"/>
      <c r="Q596" s="459"/>
      <c r="R596" s="459"/>
      <c r="S596" s="459"/>
      <c r="T596" s="459"/>
      <c r="U596" s="459"/>
      <c r="V596" s="459"/>
      <c r="W596" s="459"/>
      <c r="X596" s="459"/>
      <c r="Y596" s="459"/>
      <c r="Z596" s="459"/>
      <c r="AA596" s="459"/>
      <c r="AB596" s="459"/>
      <c r="AC596" s="459"/>
    </row>
    <row r="597" spans="1:29">
      <c r="A597" s="131" t="s">
        <v>648</v>
      </c>
      <c r="B597" s="131" t="s">
        <v>64</v>
      </c>
      <c r="C597" s="131" t="str">
        <f>C584</f>
        <v>IE</v>
      </c>
      <c r="D597" s="131" t="str">
        <f t="shared" ref="D597:AC597" si="467">D584</f>
        <v>IE-CW</v>
      </c>
      <c r="E597" s="131" t="str">
        <f t="shared" si="467"/>
        <v>IE-D</v>
      </c>
      <c r="F597" s="131" t="str">
        <f t="shared" si="467"/>
        <v>IE-KE</v>
      </c>
      <c r="G597" s="131" t="str">
        <f t="shared" si="467"/>
        <v>IE-KK</v>
      </c>
      <c r="H597" s="131" t="str">
        <f t="shared" si="467"/>
        <v>IE-LS</v>
      </c>
      <c r="I597" s="131" t="str">
        <f t="shared" si="467"/>
        <v>IE-LD</v>
      </c>
      <c r="J597" s="131" t="str">
        <f t="shared" si="467"/>
        <v>IE-LH</v>
      </c>
      <c r="K597" s="131" t="str">
        <f t="shared" si="467"/>
        <v>IE-MH</v>
      </c>
      <c r="L597" s="131" t="str">
        <f t="shared" si="467"/>
        <v>IE-OY</v>
      </c>
      <c r="M597" s="131" t="str">
        <f t="shared" si="467"/>
        <v>IE-WH</v>
      </c>
      <c r="N597" s="131" t="str">
        <f t="shared" si="467"/>
        <v>IE-WX</v>
      </c>
      <c r="O597" s="131" t="str">
        <f t="shared" si="467"/>
        <v>IE-WW</v>
      </c>
      <c r="P597" s="131" t="str">
        <f t="shared" si="467"/>
        <v>IE-CE</v>
      </c>
      <c r="Q597" s="131" t="str">
        <f t="shared" si="467"/>
        <v>IE-CO</v>
      </c>
      <c r="R597" s="131" t="str">
        <f t="shared" si="467"/>
        <v>IE-KY</v>
      </c>
      <c r="S597" s="131" t="str">
        <f t="shared" si="467"/>
        <v>IE-LK</v>
      </c>
      <c r="T597" s="131" t="str">
        <f t="shared" si="467"/>
        <v>IE-TA</v>
      </c>
      <c r="U597" s="131" t="str">
        <f t="shared" si="467"/>
        <v>IE-WD</v>
      </c>
      <c r="V597" s="131" t="str">
        <f t="shared" si="467"/>
        <v>IE-G</v>
      </c>
      <c r="W597" s="131" t="str">
        <f t="shared" si="467"/>
        <v>IE-LM</v>
      </c>
      <c r="X597" s="131" t="str">
        <f t="shared" si="467"/>
        <v>IE-MO</v>
      </c>
      <c r="Y597" s="131" t="str">
        <f t="shared" si="467"/>
        <v>IE-RN</v>
      </c>
      <c r="Z597" s="131" t="str">
        <f t="shared" si="467"/>
        <v>IE-SO</v>
      </c>
      <c r="AA597" s="131" t="str">
        <f t="shared" si="467"/>
        <v>IE-CN</v>
      </c>
      <c r="AB597" s="131" t="str">
        <f t="shared" si="467"/>
        <v>IE-DL</v>
      </c>
      <c r="AC597" s="131" t="str">
        <f t="shared" si="467"/>
        <v>IE-MN</v>
      </c>
    </row>
    <row r="598" spans="1:29">
      <c r="A598" s="459" t="s">
        <v>347</v>
      </c>
      <c r="B598" s="459" t="s">
        <v>653</v>
      </c>
      <c r="C598" s="505">
        <v>1.376629219195896</v>
      </c>
      <c r="D598" s="505">
        <v>1.376629219195896</v>
      </c>
      <c r="E598" s="505">
        <v>1.376629219195896</v>
      </c>
      <c r="F598" s="505">
        <v>1.376629219195896</v>
      </c>
      <c r="G598" s="505">
        <v>1.376629219195896</v>
      </c>
      <c r="H598" s="505">
        <v>1.376629219195896</v>
      </c>
      <c r="I598" s="505">
        <v>1.376629219195896</v>
      </c>
      <c r="J598" s="505">
        <v>1.376629219195896</v>
      </c>
      <c r="K598" s="505">
        <v>1.376629219195896</v>
      </c>
      <c r="L598" s="505">
        <v>1.376629219195896</v>
      </c>
      <c r="M598" s="505">
        <v>1.376629219195896</v>
      </c>
      <c r="N598" s="505">
        <v>1.376629219195896</v>
      </c>
      <c r="O598" s="505">
        <v>1.376629219195896</v>
      </c>
      <c r="P598" s="505">
        <v>1.376629219195896</v>
      </c>
      <c r="Q598" s="505">
        <v>1.376629219195896</v>
      </c>
      <c r="R598" s="505">
        <v>1.376629219195896</v>
      </c>
      <c r="S598" s="505">
        <v>1.376629219195896</v>
      </c>
      <c r="T598" s="505">
        <v>1.376629219195896</v>
      </c>
      <c r="U598" s="505">
        <v>1.376629219195896</v>
      </c>
      <c r="V598" s="505">
        <v>1.376629219195896</v>
      </c>
      <c r="W598" s="505">
        <v>1.376629219195896</v>
      </c>
      <c r="X598" s="505">
        <v>1.376629219195896</v>
      </c>
      <c r="Y598" s="505">
        <v>1.376629219195896</v>
      </c>
      <c r="Z598" s="505">
        <v>1.376629219195896</v>
      </c>
      <c r="AA598" s="505">
        <v>1.376629219195896</v>
      </c>
      <c r="AB598" s="505">
        <v>1.376629219195896</v>
      </c>
      <c r="AC598" s="505">
        <v>1.376629219195896</v>
      </c>
    </row>
    <row r="599" spans="1:29">
      <c r="A599" s="459" t="s">
        <v>348</v>
      </c>
      <c r="B599" s="459" t="s">
        <v>653</v>
      </c>
      <c r="C599" s="505">
        <v>1.3798479828493471</v>
      </c>
      <c r="D599" s="505">
        <v>1.3798479828493471</v>
      </c>
      <c r="E599" s="505">
        <v>1.3798479828493471</v>
      </c>
      <c r="F599" s="505">
        <v>1.3798479828493471</v>
      </c>
      <c r="G599" s="505">
        <v>1.3798479828493471</v>
      </c>
      <c r="H599" s="505">
        <v>1.3798479828493471</v>
      </c>
      <c r="I599" s="505">
        <v>1.3798479828493471</v>
      </c>
      <c r="J599" s="505">
        <v>1.3798479828493471</v>
      </c>
      <c r="K599" s="505">
        <v>1.3798479828493471</v>
      </c>
      <c r="L599" s="505">
        <v>1.3798479828493471</v>
      </c>
      <c r="M599" s="505">
        <v>1.3798479828493471</v>
      </c>
      <c r="N599" s="505">
        <v>1.3798479828493471</v>
      </c>
      <c r="O599" s="505">
        <v>1.3798479828493471</v>
      </c>
      <c r="P599" s="505">
        <v>1.3798479828493471</v>
      </c>
      <c r="Q599" s="505">
        <v>1.3798479828493471</v>
      </c>
      <c r="R599" s="505">
        <v>1.3798479828493471</v>
      </c>
      <c r="S599" s="505">
        <v>1.3798479828493471</v>
      </c>
      <c r="T599" s="505">
        <v>1.3798479828493471</v>
      </c>
      <c r="U599" s="505">
        <v>1.3798479828493471</v>
      </c>
      <c r="V599" s="505">
        <v>1.3798479828493471</v>
      </c>
      <c r="W599" s="505">
        <v>1.3798479828493471</v>
      </c>
      <c r="X599" s="505">
        <v>1.3798479828493471</v>
      </c>
      <c r="Y599" s="505">
        <v>1.3798479828493471</v>
      </c>
      <c r="Z599" s="505">
        <v>1.3798479828493471</v>
      </c>
      <c r="AA599" s="505">
        <v>1.3798479828493471</v>
      </c>
      <c r="AB599" s="505">
        <v>1.3798479828493471</v>
      </c>
      <c r="AC599" s="505">
        <v>1.3798479828493471</v>
      </c>
    </row>
    <row r="600" spans="1:29">
      <c r="A600" s="459" t="s">
        <v>349</v>
      </c>
      <c r="B600" s="459" t="s">
        <v>653</v>
      </c>
      <c r="C600" s="505">
        <v>1.4199749047648353</v>
      </c>
      <c r="D600" s="505">
        <v>1.4199749047648353</v>
      </c>
      <c r="E600" s="505">
        <v>1.4199749047648353</v>
      </c>
      <c r="F600" s="505">
        <v>1.4199749047648353</v>
      </c>
      <c r="G600" s="505">
        <v>1.4199749047648353</v>
      </c>
      <c r="H600" s="505">
        <v>1.4199749047648353</v>
      </c>
      <c r="I600" s="505">
        <v>1.4199749047648353</v>
      </c>
      <c r="J600" s="505">
        <v>1.4199749047648353</v>
      </c>
      <c r="K600" s="505">
        <v>1.4199749047648353</v>
      </c>
      <c r="L600" s="505">
        <v>1.4199749047648353</v>
      </c>
      <c r="M600" s="505">
        <v>1.4199749047648353</v>
      </c>
      <c r="N600" s="505">
        <v>1.4199749047648353</v>
      </c>
      <c r="O600" s="505">
        <v>1.4199749047648353</v>
      </c>
      <c r="P600" s="505">
        <v>1.4199749047648353</v>
      </c>
      <c r="Q600" s="505">
        <v>1.4199749047648353</v>
      </c>
      <c r="R600" s="505">
        <v>1.4199749047648353</v>
      </c>
      <c r="S600" s="505">
        <v>1.4199749047648353</v>
      </c>
      <c r="T600" s="505">
        <v>1.4199749047648353</v>
      </c>
      <c r="U600" s="505">
        <v>1.4199749047648353</v>
      </c>
      <c r="V600" s="505">
        <v>1.4199749047648353</v>
      </c>
      <c r="W600" s="505">
        <v>1.4199749047648353</v>
      </c>
      <c r="X600" s="505">
        <v>1.4199749047648353</v>
      </c>
      <c r="Y600" s="505">
        <v>1.4199749047648353</v>
      </c>
      <c r="Z600" s="505">
        <v>1.4199749047648353</v>
      </c>
      <c r="AA600" s="505">
        <v>1.4199749047648353</v>
      </c>
      <c r="AB600" s="505">
        <v>1.4199749047648353</v>
      </c>
      <c r="AC600" s="505">
        <v>1.4199749047648353</v>
      </c>
    </row>
    <row r="601" spans="1:29">
      <c r="A601" s="459" t="s">
        <v>350</v>
      </c>
      <c r="B601" s="459" t="s">
        <v>653</v>
      </c>
      <c r="C601" s="505">
        <v>1.4290054727038648</v>
      </c>
      <c r="D601" s="505">
        <v>1.4290054727038648</v>
      </c>
      <c r="E601" s="505">
        <v>1.4290054727038648</v>
      </c>
      <c r="F601" s="505">
        <v>1.4290054727038648</v>
      </c>
      <c r="G601" s="505">
        <v>1.4290054727038648</v>
      </c>
      <c r="H601" s="505">
        <v>1.4290054727038648</v>
      </c>
      <c r="I601" s="505">
        <v>1.4290054727038648</v>
      </c>
      <c r="J601" s="505">
        <v>1.4290054727038648</v>
      </c>
      <c r="K601" s="505">
        <v>1.4290054727038648</v>
      </c>
      <c r="L601" s="505">
        <v>1.4290054727038648</v>
      </c>
      <c r="M601" s="505">
        <v>1.4290054727038648</v>
      </c>
      <c r="N601" s="505">
        <v>1.4290054727038648</v>
      </c>
      <c r="O601" s="505">
        <v>1.4290054727038648</v>
      </c>
      <c r="P601" s="505">
        <v>1.4290054727038648</v>
      </c>
      <c r="Q601" s="505">
        <v>1.4290054727038648</v>
      </c>
      <c r="R601" s="505">
        <v>1.4290054727038648</v>
      </c>
      <c r="S601" s="505">
        <v>1.4290054727038648</v>
      </c>
      <c r="T601" s="505">
        <v>1.4290054727038648</v>
      </c>
      <c r="U601" s="505">
        <v>1.4290054727038648</v>
      </c>
      <c r="V601" s="505">
        <v>1.4290054727038648</v>
      </c>
      <c r="W601" s="505">
        <v>1.4290054727038648</v>
      </c>
      <c r="X601" s="505">
        <v>1.4290054727038648</v>
      </c>
      <c r="Y601" s="505">
        <v>1.4290054727038648</v>
      </c>
      <c r="Z601" s="505">
        <v>1.4290054727038648</v>
      </c>
      <c r="AA601" s="505">
        <v>1.4290054727038648</v>
      </c>
      <c r="AB601" s="505">
        <v>1.4290054727038648</v>
      </c>
      <c r="AC601" s="505">
        <v>1.4290054727038648</v>
      </c>
    </row>
    <row r="602" spans="1:29">
      <c r="A602" s="459" t="s">
        <v>351</v>
      </c>
      <c r="B602" s="459" t="s">
        <v>653</v>
      </c>
      <c r="C602" s="505">
        <v>1.6214274500716734</v>
      </c>
      <c r="D602" s="505">
        <v>1.6214274500716734</v>
      </c>
      <c r="E602" s="505">
        <v>1.6214274500716734</v>
      </c>
      <c r="F602" s="505">
        <v>1.6214274500716734</v>
      </c>
      <c r="G602" s="505">
        <v>1.6214274500716734</v>
      </c>
      <c r="H602" s="505">
        <v>1.6214274500716734</v>
      </c>
      <c r="I602" s="505">
        <v>1.6214274500716734</v>
      </c>
      <c r="J602" s="505">
        <v>1.6214274500716734</v>
      </c>
      <c r="K602" s="505">
        <v>1.6214274500716734</v>
      </c>
      <c r="L602" s="505">
        <v>1.6214274500716734</v>
      </c>
      <c r="M602" s="505">
        <v>1.6214274500716734</v>
      </c>
      <c r="N602" s="505">
        <v>1.6214274500716734</v>
      </c>
      <c r="O602" s="505">
        <v>1.6214274500716734</v>
      </c>
      <c r="P602" s="505">
        <v>1.6214274500716734</v>
      </c>
      <c r="Q602" s="505">
        <v>1.6214274500716734</v>
      </c>
      <c r="R602" s="505">
        <v>1.6214274500716734</v>
      </c>
      <c r="S602" s="505">
        <v>1.6214274500716734</v>
      </c>
      <c r="T602" s="505">
        <v>1.6214274500716734</v>
      </c>
      <c r="U602" s="505">
        <v>1.6214274500716734</v>
      </c>
      <c r="V602" s="505">
        <v>1.6214274500716734</v>
      </c>
      <c r="W602" s="505">
        <v>1.6214274500716734</v>
      </c>
      <c r="X602" s="505">
        <v>1.6214274500716734</v>
      </c>
      <c r="Y602" s="505">
        <v>1.6214274500716734</v>
      </c>
      <c r="Z602" s="505">
        <v>1.6214274500716734</v>
      </c>
      <c r="AA602" s="505">
        <v>1.6214274500716734</v>
      </c>
      <c r="AB602" s="505">
        <v>1.6214274500716734</v>
      </c>
      <c r="AC602" s="505">
        <v>1.6214274500716734</v>
      </c>
    </row>
    <row r="603" spans="1:29">
      <c r="A603" s="459" t="s">
        <v>352</v>
      </c>
      <c r="B603" s="459" t="s">
        <v>653</v>
      </c>
      <c r="C603" s="505">
        <v>1.7083807871715502</v>
      </c>
      <c r="D603" s="505">
        <v>1.7083807871715502</v>
      </c>
      <c r="E603" s="505">
        <v>1.7083807871715502</v>
      </c>
      <c r="F603" s="505">
        <v>1.7083807871715502</v>
      </c>
      <c r="G603" s="505">
        <v>1.7083807871715502</v>
      </c>
      <c r="H603" s="505">
        <v>1.7083807871715502</v>
      </c>
      <c r="I603" s="505">
        <v>1.7083807871715502</v>
      </c>
      <c r="J603" s="505">
        <v>1.7083807871715502</v>
      </c>
      <c r="K603" s="505">
        <v>1.7083807871715502</v>
      </c>
      <c r="L603" s="505">
        <v>1.7083807871715502</v>
      </c>
      <c r="M603" s="505">
        <v>1.7083807871715502</v>
      </c>
      <c r="N603" s="505">
        <v>1.7083807871715502</v>
      </c>
      <c r="O603" s="505">
        <v>1.7083807871715502</v>
      </c>
      <c r="P603" s="505">
        <v>1.7083807871715502</v>
      </c>
      <c r="Q603" s="505">
        <v>1.7083807871715502</v>
      </c>
      <c r="R603" s="505">
        <v>1.7083807871715502</v>
      </c>
      <c r="S603" s="505">
        <v>1.7083807871715502</v>
      </c>
      <c r="T603" s="505">
        <v>1.7083807871715502</v>
      </c>
      <c r="U603" s="505">
        <v>1.7083807871715502</v>
      </c>
      <c r="V603" s="505">
        <v>1.7083807871715502</v>
      </c>
      <c r="W603" s="505">
        <v>1.7083807871715502</v>
      </c>
      <c r="X603" s="505">
        <v>1.7083807871715502</v>
      </c>
      <c r="Y603" s="505">
        <v>1.7083807871715502</v>
      </c>
      <c r="Z603" s="505">
        <v>1.7083807871715502</v>
      </c>
      <c r="AA603" s="505">
        <v>1.7083807871715502</v>
      </c>
      <c r="AB603" s="505">
        <v>1.7083807871715502</v>
      </c>
      <c r="AC603" s="505">
        <v>1.7083807871715502</v>
      </c>
    </row>
    <row r="604" spans="1:29">
      <c r="A604" s="458" t="s">
        <v>353</v>
      </c>
      <c r="B604" s="458" t="s">
        <v>653</v>
      </c>
      <c r="C604" s="506">
        <v>1.8833978763305677</v>
      </c>
      <c r="D604" s="506">
        <v>1.8833978763305677</v>
      </c>
      <c r="E604" s="506">
        <v>1.8833978763305677</v>
      </c>
      <c r="F604" s="506">
        <v>1.8833978763305677</v>
      </c>
      <c r="G604" s="506">
        <v>1.8833978763305677</v>
      </c>
      <c r="H604" s="506">
        <v>1.8833978763305677</v>
      </c>
      <c r="I604" s="506">
        <v>1.8833978763305677</v>
      </c>
      <c r="J604" s="506">
        <v>1.8833978763305677</v>
      </c>
      <c r="K604" s="506">
        <v>1.8833978763305677</v>
      </c>
      <c r="L604" s="506">
        <v>1.8833978763305677</v>
      </c>
      <c r="M604" s="506">
        <v>1.8833978763305677</v>
      </c>
      <c r="N604" s="506">
        <v>1.8833978763305677</v>
      </c>
      <c r="O604" s="506">
        <v>1.8833978763305677</v>
      </c>
      <c r="P604" s="506">
        <v>1.8833978763305677</v>
      </c>
      <c r="Q604" s="506">
        <v>1.8833978763305677</v>
      </c>
      <c r="R604" s="506">
        <v>1.8833978763305677</v>
      </c>
      <c r="S604" s="506">
        <v>1.8833978763305677</v>
      </c>
      <c r="T604" s="506">
        <v>1.8833978763305677</v>
      </c>
      <c r="U604" s="506">
        <v>1.8833978763305677</v>
      </c>
      <c r="V604" s="506">
        <v>1.8833978763305677</v>
      </c>
      <c r="W604" s="506">
        <v>1.8833978763305677</v>
      </c>
      <c r="X604" s="506">
        <v>1.8833978763305677</v>
      </c>
      <c r="Y604" s="506">
        <v>1.8833978763305677</v>
      </c>
      <c r="Z604" s="506">
        <v>1.8833978763305677</v>
      </c>
      <c r="AA604" s="506">
        <v>1.8833978763305677</v>
      </c>
      <c r="AB604" s="506">
        <v>1.8833978763305677</v>
      </c>
      <c r="AC604" s="506">
        <v>1.8833978763305677</v>
      </c>
    </row>
    <row r="605" spans="1:29">
      <c r="A605" s="510" t="s">
        <v>657</v>
      </c>
      <c r="C605" s="459"/>
      <c r="D605" s="459"/>
      <c r="E605" s="459"/>
      <c r="F605" s="459"/>
      <c r="G605" s="459"/>
      <c r="H605" s="459"/>
      <c r="I605" s="459"/>
      <c r="J605" s="459"/>
      <c r="K605" s="459"/>
      <c r="L605" s="459"/>
      <c r="M605" s="459"/>
      <c r="N605" s="459"/>
      <c r="O605" s="459"/>
      <c r="P605" s="459"/>
      <c r="Q605" s="459"/>
      <c r="R605" s="459"/>
      <c r="S605" s="459"/>
      <c r="T605" s="459"/>
      <c r="U605" s="459"/>
      <c r="V605" s="459"/>
      <c r="W605" s="459"/>
      <c r="X605" s="459"/>
      <c r="Y605" s="459"/>
      <c r="Z605" s="459"/>
      <c r="AA605" s="459"/>
      <c r="AB605" s="459"/>
      <c r="AC605" s="459"/>
    </row>
    <row r="606" spans="1:29">
      <c r="A606" s="459"/>
      <c r="C606" s="459"/>
      <c r="D606" s="459"/>
      <c r="E606" s="459"/>
      <c r="F606" s="459"/>
      <c r="G606" s="459"/>
      <c r="H606" s="459"/>
      <c r="I606" s="459"/>
      <c r="J606" s="459"/>
      <c r="K606" s="459"/>
      <c r="L606" s="459"/>
      <c r="M606" s="459"/>
      <c r="N606" s="459"/>
      <c r="O606" s="459"/>
      <c r="P606" s="459"/>
      <c r="Q606" s="459"/>
      <c r="R606" s="459"/>
      <c r="S606" s="459"/>
      <c r="T606" s="459"/>
      <c r="U606" s="459"/>
      <c r="V606" s="459"/>
      <c r="W606" s="459"/>
      <c r="X606" s="459"/>
      <c r="Y606" s="459"/>
      <c r="Z606" s="459"/>
      <c r="AA606" s="459"/>
      <c r="AB606" s="459"/>
      <c r="AC606" s="459"/>
    </row>
    <row r="607" spans="1:29">
      <c r="A607" s="459"/>
      <c r="C607" s="459"/>
      <c r="D607" s="459"/>
      <c r="E607" s="459"/>
      <c r="F607" s="459"/>
      <c r="G607" s="459"/>
      <c r="H607" s="459"/>
      <c r="I607" s="459"/>
      <c r="J607" s="459"/>
      <c r="K607" s="459"/>
      <c r="L607" s="459"/>
      <c r="M607" s="459"/>
      <c r="N607" s="459"/>
      <c r="O607" s="459"/>
      <c r="P607" s="459"/>
      <c r="Q607" s="459"/>
      <c r="R607" s="459"/>
      <c r="S607" s="459"/>
      <c r="T607" s="459"/>
      <c r="U607" s="459"/>
      <c r="V607" s="459"/>
      <c r="W607" s="459"/>
      <c r="X607" s="459"/>
      <c r="Y607" s="459"/>
      <c r="Z607" s="459"/>
      <c r="AA607" s="459"/>
      <c r="AB607" s="459"/>
      <c r="AC607" s="459"/>
    </row>
    <row r="608" spans="1:29">
      <c r="A608" s="459"/>
      <c r="C608" s="459"/>
      <c r="D608" s="459"/>
      <c r="E608" s="459"/>
      <c r="F608" s="459"/>
      <c r="G608" s="459"/>
      <c r="H608" s="459"/>
      <c r="I608" s="459"/>
      <c r="J608" s="459"/>
      <c r="K608" s="459"/>
      <c r="L608" s="459"/>
      <c r="M608" s="459"/>
      <c r="N608" s="459"/>
      <c r="O608" s="459"/>
      <c r="P608" s="459"/>
      <c r="Q608" s="459"/>
      <c r="R608" s="459"/>
      <c r="S608" s="459"/>
      <c r="T608" s="459"/>
      <c r="U608" s="459"/>
      <c r="V608" s="459"/>
      <c r="W608" s="459"/>
      <c r="X608" s="459"/>
      <c r="Y608" s="459"/>
      <c r="Z608" s="459"/>
      <c r="AA608" s="459"/>
      <c r="AB608" s="459"/>
      <c r="AC608" s="459"/>
    </row>
    <row r="609" spans="1:29" ht="15.6">
      <c r="A609" s="425" t="s">
        <v>705</v>
      </c>
      <c r="C609" s="459"/>
      <c r="D609" s="459"/>
      <c r="E609" s="459"/>
      <c r="F609" s="459"/>
      <c r="G609" s="459"/>
      <c r="H609" s="459"/>
      <c r="I609" s="459"/>
      <c r="J609" s="459"/>
      <c r="K609" s="459"/>
      <c r="L609" s="459"/>
      <c r="M609" s="459"/>
      <c r="N609" s="459"/>
      <c r="O609" s="459"/>
      <c r="P609" s="459"/>
      <c r="Q609" s="459"/>
      <c r="R609" s="459"/>
      <c r="S609" s="459"/>
      <c r="T609" s="459"/>
      <c r="U609" s="459"/>
      <c r="V609" s="459"/>
      <c r="W609" s="459"/>
      <c r="X609" s="459"/>
      <c r="Y609" s="459"/>
      <c r="Z609" s="459"/>
      <c r="AA609" s="459"/>
      <c r="AB609" s="459"/>
      <c r="AC609" s="459"/>
    </row>
    <row r="610" spans="1:29">
      <c r="A610" s="131" t="s">
        <v>648</v>
      </c>
      <c r="B610" s="131" t="s">
        <v>64</v>
      </c>
      <c r="C610" s="131" t="str">
        <f t="shared" ref="C610:AC610" si="468">C597</f>
        <v>IE</v>
      </c>
      <c r="D610" s="131" t="str">
        <f t="shared" si="468"/>
        <v>IE-CW</v>
      </c>
      <c r="E610" s="131" t="str">
        <f t="shared" si="468"/>
        <v>IE-D</v>
      </c>
      <c r="F610" s="131" t="str">
        <f t="shared" si="468"/>
        <v>IE-KE</v>
      </c>
      <c r="G610" s="131" t="str">
        <f t="shared" si="468"/>
        <v>IE-KK</v>
      </c>
      <c r="H610" s="131" t="str">
        <f t="shared" si="468"/>
        <v>IE-LS</v>
      </c>
      <c r="I610" s="131" t="str">
        <f t="shared" si="468"/>
        <v>IE-LD</v>
      </c>
      <c r="J610" s="131" t="str">
        <f t="shared" si="468"/>
        <v>IE-LH</v>
      </c>
      <c r="K610" s="131" t="str">
        <f t="shared" si="468"/>
        <v>IE-MH</v>
      </c>
      <c r="L610" s="131" t="str">
        <f t="shared" si="468"/>
        <v>IE-OY</v>
      </c>
      <c r="M610" s="131" t="str">
        <f t="shared" si="468"/>
        <v>IE-WH</v>
      </c>
      <c r="N610" s="131" t="str">
        <f t="shared" si="468"/>
        <v>IE-WX</v>
      </c>
      <c r="O610" s="131" t="str">
        <f t="shared" si="468"/>
        <v>IE-WW</v>
      </c>
      <c r="P610" s="131" t="str">
        <f t="shared" si="468"/>
        <v>IE-CE</v>
      </c>
      <c r="Q610" s="131" t="str">
        <f t="shared" si="468"/>
        <v>IE-CO</v>
      </c>
      <c r="R610" s="131" t="str">
        <f t="shared" si="468"/>
        <v>IE-KY</v>
      </c>
      <c r="S610" s="131" t="str">
        <f t="shared" si="468"/>
        <v>IE-LK</v>
      </c>
      <c r="T610" s="131" t="str">
        <f t="shared" si="468"/>
        <v>IE-TA</v>
      </c>
      <c r="U610" s="131" t="str">
        <f t="shared" si="468"/>
        <v>IE-WD</v>
      </c>
      <c r="V610" s="131" t="str">
        <f t="shared" si="468"/>
        <v>IE-G</v>
      </c>
      <c r="W610" s="131" t="str">
        <f t="shared" si="468"/>
        <v>IE-LM</v>
      </c>
      <c r="X610" s="131" t="str">
        <f t="shared" si="468"/>
        <v>IE-MO</v>
      </c>
      <c r="Y610" s="131" t="str">
        <f t="shared" si="468"/>
        <v>IE-RN</v>
      </c>
      <c r="Z610" s="131" t="str">
        <f t="shared" si="468"/>
        <v>IE-SO</v>
      </c>
      <c r="AA610" s="131" t="str">
        <f t="shared" si="468"/>
        <v>IE-CN</v>
      </c>
      <c r="AB610" s="131" t="str">
        <f t="shared" si="468"/>
        <v>IE-DL</v>
      </c>
      <c r="AC610" s="131" t="str">
        <f t="shared" si="468"/>
        <v>IE-MN</v>
      </c>
    </row>
    <row r="611" spans="1:29">
      <c r="A611" s="459" t="s">
        <v>669</v>
      </c>
      <c r="B611" s="459" t="s">
        <v>653</v>
      </c>
      <c r="C611" s="505">
        <f t="shared" ref="C611:V611" si="469">SUMPRODUCT(C585:C591,C598:C604)</f>
        <v>1.648925343582121</v>
      </c>
      <c r="D611" s="505">
        <f t="shared" si="469"/>
        <v>1.6524583011555254</v>
      </c>
      <c r="E611" s="505">
        <f t="shared" si="469"/>
        <v>1.6271397950310984</v>
      </c>
      <c r="F611" s="505">
        <f t="shared" si="469"/>
        <v>1.6511468175123767</v>
      </c>
      <c r="G611" s="505">
        <f t="shared" si="469"/>
        <v>1.6385501018322151</v>
      </c>
      <c r="H611" s="505">
        <f t="shared" si="469"/>
        <v>1.6238424089265415</v>
      </c>
      <c r="I611" s="505">
        <f t="shared" si="469"/>
        <v>1.677428598292477</v>
      </c>
      <c r="J611" s="505">
        <f t="shared" si="469"/>
        <v>1.6694890113588812</v>
      </c>
      <c r="K611" s="505">
        <f t="shared" si="469"/>
        <v>1.6505331198860089</v>
      </c>
      <c r="L611" s="505">
        <f t="shared" si="469"/>
        <v>1.7001121374983212</v>
      </c>
      <c r="M611" s="505">
        <f t="shared" si="469"/>
        <v>1.6512788202093285</v>
      </c>
      <c r="N611" s="505">
        <f t="shared" si="469"/>
        <v>1.670434058756276</v>
      </c>
      <c r="O611" s="505">
        <f t="shared" si="469"/>
        <v>1.6967664365886974</v>
      </c>
      <c r="P611" s="505">
        <f t="shared" si="469"/>
        <v>1.7200478523770075</v>
      </c>
      <c r="Q611" s="505">
        <f t="shared" si="469"/>
        <v>1.6445789749275215</v>
      </c>
      <c r="R611" s="505">
        <f t="shared" si="469"/>
        <v>1.7242968356934796</v>
      </c>
      <c r="S611" s="505">
        <f t="shared" si="469"/>
        <v>1.6968601340469815</v>
      </c>
      <c r="T611" s="505">
        <f t="shared" si="469"/>
        <v>1.7139490008680254</v>
      </c>
      <c r="U611" s="505">
        <f t="shared" si="469"/>
        <v>1.6512263066063597</v>
      </c>
      <c r="V611" s="505">
        <f t="shared" si="469"/>
        <v>1.6828515427733044</v>
      </c>
      <c r="W611" s="505">
        <f>C611</f>
        <v>1.648925343582121</v>
      </c>
      <c r="X611" s="505">
        <f t="shared" ref="X611:AC611" si="470">SUMPRODUCT(X585:X591,X598:X604)</f>
        <v>1.6948882841522495</v>
      </c>
      <c r="Y611" s="505">
        <f t="shared" si="470"/>
        <v>1.6641292488454651</v>
      </c>
      <c r="Z611" s="505">
        <f t="shared" si="470"/>
        <v>1.6562047937936228</v>
      </c>
      <c r="AA611" s="505">
        <f t="shared" si="470"/>
        <v>1.6539502918479294</v>
      </c>
      <c r="AB611" s="505">
        <f t="shared" si="470"/>
        <v>1.6800017739116448</v>
      </c>
      <c r="AC611" s="505">
        <f t="shared" si="470"/>
        <v>1.691016886659392</v>
      </c>
    </row>
    <row r="612" spans="1:29">
      <c r="A612" s="458"/>
      <c r="B612" s="458" t="s">
        <v>640</v>
      </c>
      <c r="C612" s="508">
        <f>1000/C611</f>
        <v>606.45559478611847</v>
      </c>
      <c r="D612" s="508">
        <f>1000/D611</f>
        <v>605.15899209119129</v>
      </c>
      <c r="E612" s="508">
        <f>1000/E611</f>
        <v>614.57534445028284</v>
      </c>
      <c r="F612" s="508">
        <f>1000/F611</f>
        <v>605.63966171500329</v>
      </c>
      <c r="G612" s="508">
        <f t="shared" ref="G612" si="471">1000/G611</f>
        <v>610.29565033245376</v>
      </c>
      <c r="H612" s="508">
        <f t="shared" ref="H612" si="472">1000/H611</f>
        <v>615.82330557622322</v>
      </c>
      <c r="I612" s="508">
        <f t="shared" ref="I612" si="473">1000/I611</f>
        <v>596.15056105394933</v>
      </c>
      <c r="J612" s="508">
        <f t="shared" ref="J612" si="474">1000/J611</f>
        <v>598.9856735780786</v>
      </c>
      <c r="K612" s="508">
        <f t="shared" ref="K612" si="475">1000/K611</f>
        <v>605.86484933368877</v>
      </c>
      <c r="L612" s="508">
        <f t="shared" ref="L612" si="476">1000/L611</f>
        <v>588.19649477444398</v>
      </c>
      <c r="M612" s="508">
        <f t="shared" ref="M612" si="477">1000/M611</f>
        <v>605.59124707554383</v>
      </c>
      <c r="N612" s="508">
        <f t="shared" ref="N612" si="478">1000/N611</f>
        <v>598.64679767398388</v>
      </c>
      <c r="O612" s="508">
        <f t="shared" ref="O612" si="479">1000/O611</f>
        <v>589.35630646400148</v>
      </c>
      <c r="P612" s="508">
        <f t="shared" ref="P612" si="480">1000/P611</f>
        <v>581.3791742003325</v>
      </c>
      <c r="Q612" s="508">
        <f t="shared" ref="Q612" si="481">1000/Q611</f>
        <v>608.05836341430256</v>
      </c>
      <c r="R612" s="508">
        <f t="shared" ref="R612" si="482">1000/R611</f>
        <v>579.94654939897225</v>
      </c>
      <c r="S612" s="508">
        <f t="shared" ref="S612" si="483">1000/S611</f>
        <v>589.32376330571071</v>
      </c>
      <c r="T612" s="508">
        <f t="shared" ref="T612" si="484">1000/T611</f>
        <v>583.44793193586997</v>
      </c>
      <c r="U612" s="508">
        <f t="shared" ref="U612" si="485">1000/U611</f>
        <v>605.6105065666161</v>
      </c>
      <c r="V612" s="508">
        <f t="shared" ref="V612" si="486">1000/V611</f>
        <v>594.2294816760965</v>
      </c>
      <c r="W612" s="508">
        <f t="shared" ref="W612" si="487">1000/W611</f>
        <v>606.45559478611847</v>
      </c>
      <c r="X612" s="508">
        <f t="shared" ref="X612" si="488">1000/X611</f>
        <v>590.00938843599408</v>
      </c>
      <c r="Y612" s="508">
        <f t="shared" ref="Y612" si="489">1000/Y611</f>
        <v>600.914863249821</v>
      </c>
      <c r="Z612" s="508">
        <f t="shared" ref="Z612" si="490">1000/Z611</f>
        <v>603.79006494085081</v>
      </c>
      <c r="AA612" s="508">
        <f t="shared" ref="AA612" si="491">1000/AA611</f>
        <v>604.61309201905806</v>
      </c>
      <c r="AB612" s="508">
        <f t="shared" ref="AB612" si="492">1000/AB611</f>
        <v>595.23746672697996</v>
      </c>
      <c r="AC612" s="508">
        <f t="shared" ref="AC612" si="493">1000/AC611</f>
        <v>591.36015014935924</v>
      </c>
    </row>
    <row r="616" spans="1:29">
      <c r="A616" s="511"/>
      <c r="B616" s="511"/>
      <c r="C616" s="511"/>
      <c r="D616" s="511"/>
      <c r="E616" s="511"/>
      <c r="F616" s="511"/>
      <c r="G616" s="511"/>
      <c r="H616" s="511"/>
      <c r="I616" s="511"/>
      <c r="J616" s="511"/>
      <c r="K616" s="511"/>
      <c r="L616" s="511"/>
      <c r="M616" s="511"/>
      <c r="N616" s="511"/>
      <c r="O616" s="511"/>
      <c r="P616" s="511"/>
      <c r="Q616" s="511"/>
      <c r="R616" s="511"/>
      <c r="S616" s="511"/>
      <c r="T616" s="511"/>
      <c r="U616" s="511"/>
      <c r="V616" s="511"/>
      <c r="W616" s="511"/>
      <c r="X616" s="511"/>
      <c r="Y616" s="511"/>
      <c r="Z616" s="511"/>
      <c r="AA616" s="511"/>
      <c r="AB616" s="511"/>
      <c r="AC616" s="511"/>
    </row>
    <row r="617" spans="1:29" ht="15.6">
      <c r="A617" s="401" t="s">
        <v>706</v>
      </c>
      <c r="C617" s="459"/>
      <c r="D617" s="459"/>
      <c r="E617" s="459"/>
      <c r="F617" s="459"/>
      <c r="G617" s="459"/>
      <c r="H617" s="459"/>
      <c r="I617" s="459"/>
      <c r="J617" s="459"/>
      <c r="K617" s="459"/>
      <c r="L617" s="459"/>
      <c r="M617" s="459"/>
      <c r="N617" s="459"/>
      <c r="O617" s="459"/>
      <c r="P617" s="459"/>
      <c r="Q617" s="459"/>
      <c r="R617" s="459"/>
      <c r="S617" s="459"/>
      <c r="T617" s="459"/>
      <c r="U617" s="459"/>
      <c r="V617" s="459"/>
      <c r="W617" s="459"/>
      <c r="X617" s="459"/>
      <c r="Y617" s="459"/>
      <c r="Z617" s="459"/>
      <c r="AA617" s="459"/>
      <c r="AB617" s="459"/>
      <c r="AC617" s="459"/>
    </row>
    <row r="618" spans="1:29">
      <c r="A618" s="131" t="s">
        <v>648</v>
      </c>
      <c r="B618" s="131" t="s">
        <v>64</v>
      </c>
      <c r="C618" s="131" t="str">
        <f t="shared" ref="C618:AC618" si="494">C610</f>
        <v>IE</v>
      </c>
      <c r="D618" s="131" t="str">
        <f t="shared" si="494"/>
        <v>IE-CW</v>
      </c>
      <c r="E618" s="131" t="str">
        <f t="shared" si="494"/>
        <v>IE-D</v>
      </c>
      <c r="F618" s="131" t="str">
        <f t="shared" si="494"/>
        <v>IE-KE</v>
      </c>
      <c r="G618" s="131" t="str">
        <f t="shared" si="494"/>
        <v>IE-KK</v>
      </c>
      <c r="H618" s="131" t="str">
        <f t="shared" si="494"/>
        <v>IE-LS</v>
      </c>
      <c r="I618" s="131" t="str">
        <f t="shared" si="494"/>
        <v>IE-LD</v>
      </c>
      <c r="J618" s="131" t="str">
        <f t="shared" si="494"/>
        <v>IE-LH</v>
      </c>
      <c r="K618" s="131" t="str">
        <f t="shared" si="494"/>
        <v>IE-MH</v>
      </c>
      <c r="L618" s="131" t="str">
        <f t="shared" si="494"/>
        <v>IE-OY</v>
      </c>
      <c r="M618" s="131" t="str">
        <f t="shared" si="494"/>
        <v>IE-WH</v>
      </c>
      <c r="N618" s="131" t="str">
        <f t="shared" si="494"/>
        <v>IE-WX</v>
      </c>
      <c r="O618" s="131" t="str">
        <f t="shared" si="494"/>
        <v>IE-WW</v>
      </c>
      <c r="P618" s="131" t="str">
        <f t="shared" si="494"/>
        <v>IE-CE</v>
      </c>
      <c r="Q618" s="131" t="str">
        <f t="shared" si="494"/>
        <v>IE-CO</v>
      </c>
      <c r="R618" s="131" t="str">
        <f t="shared" si="494"/>
        <v>IE-KY</v>
      </c>
      <c r="S618" s="131" t="str">
        <f t="shared" si="494"/>
        <v>IE-LK</v>
      </c>
      <c r="T618" s="131" t="str">
        <f t="shared" si="494"/>
        <v>IE-TA</v>
      </c>
      <c r="U618" s="131" t="str">
        <f t="shared" si="494"/>
        <v>IE-WD</v>
      </c>
      <c r="V618" s="131" t="str">
        <f t="shared" si="494"/>
        <v>IE-G</v>
      </c>
      <c r="W618" s="131" t="str">
        <f t="shared" si="494"/>
        <v>IE-LM</v>
      </c>
      <c r="X618" s="131" t="str">
        <f t="shared" si="494"/>
        <v>IE-MO</v>
      </c>
      <c r="Y618" s="131" t="str">
        <f t="shared" si="494"/>
        <v>IE-RN</v>
      </c>
      <c r="Z618" s="131" t="str">
        <f t="shared" si="494"/>
        <v>IE-SO</v>
      </c>
      <c r="AA618" s="131" t="str">
        <f t="shared" si="494"/>
        <v>IE-CN</v>
      </c>
      <c r="AB618" s="131" t="str">
        <f t="shared" si="494"/>
        <v>IE-DL</v>
      </c>
      <c r="AC618" s="131" t="str">
        <f t="shared" si="494"/>
        <v>IE-MN</v>
      </c>
    </row>
    <row r="619" spans="1:29">
      <c r="A619" s="459" t="s">
        <v>347</v>
      </c>
      <c r="B619" s="459" t="s">
        <v>539</v>
      </c>
      <c r="C619" s="9">
        <f>SUM(D619:AC619)</f>
        <v>18</v>
      </c>
      <c r="D619" s="459">
        <v>0</v>
      </c>
      <c r="E619" s="459">
        <v>10</v>
      </c>
      <c r="F619" s="459">
        <v>0</v>
      </c>
      <c r="G619" s="459">
        <v>0</v>
      </c>
      <c r="H619" s="459">
        <v>2</v>
      </c>
      <c r="I619" s="459">
        <v>0</v>
      </c>
      <c r="J619" s="459">
        <v>0</v>
      </c>
      <c r="K619" s="459">
        <v>1</v>
      </c>
      <c r="L619" s="459">
        <v>0</v>
      </c>
      <c r="M619" s="459">
        <v>0</v>
      </c>
      <c r="N619" s="459">
        <v>0</v>
      </c>
      <c r="O619" s="459">
        <v>0</v>
      </c>
      <c r="P619" s="459">
        <v>0</v>
      </c>
      <c r="Q619" s="459">
        <v>3</v>
      </c>
      <c r="R619" s="459">
        <v>1</v>
      </c>
      <c r="S619" s="459">
        <v>0</v>
      </c>
      <c r="T619" s="459">
        <v>0</v>
      </c>
      <c r="U619" s="459">
        <v>0</v>
      </c>
      <c r="V619" s="459">
        <v>0</v>
      </c>
      <c r="W619" s="459">
        <v>0</v>
      </c>
      <c r="X619" s="459">
        <v>0</v>
      </c>
      <c r="Y619" s="459">
        <v>0</v>
      </c>
      <c r="Z619" s="459">
        <v>0</v>
      </c>
      <c r="AA619" s="459">
        <v>1</v>
      </c>
      <c r="AB619" s="459">
        <v>0</v>
      </c>
      <c r="AC619" s="459">
        <v>0</v>
      </c>
    </row>
    <row r="620" spans="1:29">
      <c r="A620" s="459" t="s">
        <v>348</v>
      </c>
      <c r="B620" s="459" t="s">
        <v>539</v>
      </c>
      <c r="C620" s="9">
        <f t="shared" ref="C620:C625" si="495">SUM(D620:AC620)</f>
        <v>0</v>
      </c>
      <c r="D620" s="459">
        <v>0</v>
      </c>
      <c r="E620" s="459">
        <v>0</v>
      </c>
      <c r="F620" s="459">
        <v>0</v>
      </c>
      <c r="G620" s="459">
        <v>0</v>
      </c>
      <c r="H620" s="459">
        <v>0</v>
      </c>
      <c r="I620" s="459">
        <v>0</v>
      </c>
      <c r="J620" s="459">
        <v>0</v>
      </c>
      <c r="K620" s="459">
        <v>0</v>
      </c>
      <c r="L620" s="459">
        <v>0</v>
      </c>
      <c r="M620" s="459">
        <v>0</v>
      </c>
      <c r="N620" s="459">
        <v>0</v>
      </c>
      <c r="O620" s="459">
        <v>0</v>
      </c>
      <c r="P620" s="459">
        <v>0</v>
      </c>
      <c r="Q620" s="459">
        <v>0</v>
      </c>
      <c r="R620" s="459">
        <v>0</v>
      </c>
      <c r="S620" s="459">
        <v>0</v>
      </c>
      <c r="T620" s="459">
        <v>0</v>
      </c>
      <c r="U620" s="459">
        <v>0</v>
      </c>
      <c r="V620" s="459">
        <v>0</v>
      </c>
      <c r="W620" s="459">
        <v>0</v>
      </c>
      <c r="X620" s="459">
        <v>0</v>
      </c>
      <c r="Y620" s="459">
        <v>0</v>
      </c>
      <c r="Z620" s="459">
        <v>0</v>
      </c>
      <c r="AA620" s="459">
        <v>0</v>
      </c>
      <c r="AB620" s="459">
        <v>0</v>
      </c>
      <c r="AC620" s="459">
        <v>0</v>
      </c>
    </row>
    <row r="621" spans="1:29">
      <c r="A621" s="459" t="s">
        <v>349</v>
      </c>
      <c r="B621" s="459" t="s">
        <v>539</v>
      </c>
      <c r="C621" s="9">
        <f t="shared" si="495"/>
        <v>49</v>
      </c>
      <c r="D621" s="459">
        <v>0</v>
      </c>
      <c r="E621" s="459">
        <v>39</v>
      </c>
      <c r="F621" s="459">
        <v>2</v>
      </c>
      <c r="G621" s="459">
        <v>0</v>
      </c>
      <c r="H621" s="459">
        <v>2</v>
      </c>
      <c r="I621" s="459">
        <v>0</v>
      </c>
      <c r="J621" s="459">
        <v>2</v>
      </c>
      <c r="K621" s="459">
        <v>3</v>
      </c>
      <c r="L621" s="459">
        <v>0</v>
      </c>
      <c r="M621" s="459">
        <v>0</v>
      </c>
      <c r="N621" s="459">
        <v>0</v>
      </c>
      <c r="O621" s="459">
        <v>0</v>
      </c>
      <c r="P621" s="459">
        <v>0</v>
      </c>
      <c r="Q621" s="459">
        <v>0</v>
      </c>
      <c r="R621" s="459">
        <v>0</v>
      </c>
      <c r="S621" s="459">
        <v>1</v>
      </c>
      <c r="T621" s="459">
        <v>0</v>
      </c>
      <c r="U621" s="459">
        <v>0</v>
      </c>
      <c r="V621" s="459">
        <v>0</v>
      </c>
      <c r="W621" s="459">
        <v>0</v>
      </c>
      <c r="X621" s="459">
        <v>0</v>
      </c>
      <c r="Y621" s="459">
        <v>0</v>
      </c>
      <c r="Z621" s="459">
        <v>0</v>
      </c>
      <c r="AA621" s="459">
        <v>0</v>
      </c>
      <c r="AB621" s="459">
        <v>0</v>
      </c>
      <c r="AC621" s="459">
        <v>0</v>
      </c>
    </row>
    <row r="622" spans="1:29">
      <c r="A622" s="459" t="s">
        <v>350</v>
      </c>
      <c r="B622" s="459" t="s">
        <v>539</v>
      </c>
      <c r="C622" s="9">
        <f t="shared" si="495"/>
        <v>165</v>
      </c>
      <c r="D622" s="459">
        <v>1</v>
      </c>
      <c r="E622" s="459">
        <v>131</v>
      </c>
      <c r="F622" s="459">
        <v>5</v>
      </c>
      <c r="G622" s="459">
        <v>0</v>
      </c>
      <c r="H622" s="459">
        <v>0</v>
      </c>
      <c r="I622" s="459">
        <v>0</v>
      </c>
      <c r="J622" s="459">
        <v>1</v>
      </c>
      <c r="K622" s="459">
        <v>6</v>
      </c>
      <c r="L622" s="459">
        <v>0</v>
      </c>
      <c r="M622" s="459">
        <v>2</v>
      </c>
      <c r="N622" s="459">
        <v>0</v>
      </c>
      <c r="O622" s="459">
        <v>2</v>
      </c>
      <c r="P622" s="459">
        <v>2</v>
      </c>
      <c r="Q622" s="459">
        <v>2</v>
      </c>
      <c r="R622" s="459">
        <v>0</v>
      </c>
      <c r="S622" s="459">
        <v>9</v>
      </c>
      <c r="T622" s="459">
        <v>0</v>
      </c>
      <c r="U622" s="459">
        <v>0</v>
      </c>
      <c r="V622" s="459">
        <v>3</v>
      </c>
      <c r="W622" s="459">
        <v>0</v>
      </c>
      <c r="X622" s="459">
        <v>1</v>
      </c>
      <c r="Y622" s="459">
        <v>0</v>
      </c>
      <c r="Z622" s="459">
        <v>0</v>
      </c>
      <c r="AA622" s="459">
        <v>0</v>
      </c>
      <c r="AB622" s="459">
        <v>0</v>
      </c>
      <c r="AC622" s="459">
        <v>0</v>
      </c>
    </row>
    <row r="623" spans="1:29">
      <c r="A623" s="459" t="s">
        <v>351</v>
      </c>
      <c r="B623" s="459" t="s">
        <v>539</v>
      </c>
      <c r="C623" s="9">
        <f t="shared" si="495"/>
        <v>1018</v>
      </c>
      <c r="D623" s="459">
        <v>2</v>
      </c>
      <c r="E623" s="459">
        <v>810</v>
      </c>
      <c r="F623" s="459">
        <v>28</v>
      </c>
      <c r="G623" s="459">
        <v>0</v>
      </c>
      <c r="H623" s="459">
        <v>11</v>
      </c>
      <c r="I623" s="459">
        <v>0</v>
      </c>
      <c r="J623" s="459">
        <v>15</v>
      </c>
      <c r="K623" s="459">
        <v>38</v>
      </c>
      <c r="L623" s="459">
        <v>3</v>
      </c>
      <c r="M623" s="459">
        <v>3</v>
      </c>
      <c r="N623" s="459">
        <v>3</v>
      </c>
      <c r="O623" s="459">
        <v>9</v>
      </c>
      <c r="P623" s="459">
        <v>5</v>
      </c>
      <c r="Q623" s="459">
        <v>41</v>
      </c>
      <c r="R623" s="459">
        <v>3</v>
      </c>
      <c r="S623" s="459">
        <v>31</v>
      </c>
      <c r="T623" s="459">
        <v>1</v>
      </c>
      <c r="U623" s="459">
        <v>0</v>
      </c>
      <c r="V623" s="459">
        <v>12</v>
      </c>
      <c r="W623" s="459">
        <v>0</v>
      </c>
      <c r="X623" s="459">
        <v>1</v>
      </c>
      <c r="Y623" s="459">
        <v>0</v>
      </c>
      <c r="Z623" s="459">
        <v>1</v>
      </c>
      <c r="AA623" s="459">
        <v>0</v>
      </c>
      <c r="AB623" s="459">
        <v>1</v>
      </c>
      <c r="AC623" s="459">
        <v>0</v>
      </c>
    </row>
    <row r="624" spans="1:29">
      <c r="A624" s="459" t="s">
        <v>352</v>
      </c>
      <c r="B624" s="459" t="s">
        <v>539</v>
      </c>
      <c r="C624" s="9">
        <f t="shared" si="495"/>
        <v>17</v>
      </c>
      <c r="D624" s="459">
        <v>0</v>
      </c>
      <c r="E624" s="459">
        <v>10</v>
      </c>
      <c r="F624" s="459">
        <v>0</v>
      </c>
      <c r="G624" s="459">
        <v>0</v>
      </c>
      <c r="H624" s="459">
        <v>0</v>
      </c>
      <c r="I624" s="459">
        <v>0</v>
      </c>
      <c r="J624" s="459">
        <v>0</v>
      </c>
      <c r="K624" s="459">
        <v>1</v>
      </c>
      <c r="L624" s="459">
        <v>0</v>
      </c>
      <c r="M624" s="459">
        <v>0</v>
      </c>
      <c r="N624" s="459">
        <v>0</v>
      </c>
      <c r="O624" s="459">
        <v>0</v>
      </c>
      <c r="P624" s="459">
        <v>0</v>
      </c>
      <c r="Q624" s="459">
        <v>2</v>
      </c>
      <c r="R624" s="459">
        <v>0</v>
      </c>
      <c r="S624" s="459">
        <v>1</v>
      </c>
      <c r="T624" s="459">
        <v>1</v>
      </c>
      <c r="U624" s="459">
        <v>1</v>
      </c>
      <c r="V624" s="459">
        <v>0</v>
      </c>
      <c r="W624" s="459">
        <v>0</v>
      </c>
      <c r="X624" s="459">
        <v>0</v>
      </c>
      <c r="Y624" s="459">
        <v>0</v>
      </c>
      <c r="Z624" s="459">
        <v>1</v>
      </c>
      <c r="AA624" s="459">
        <v>0</v>
      </c>
      <c r="AB624" s="459">
        <v>0</v>
      </c>
      <c r="AC624" s="459">
        <v>0</v>
      </c>
    </row>
    <row r="625" spans="1:29">
      <c r="A625" s="459" t="s">
        <v>353</v>
      </c>
      <c r="B625" s="459" t="s">
        <v>539</v>
      </c>
      <c r="C625" s="9">
        <f t="shared" si="495"/>
        <v>83</v>
      </c>
      <c r="D625" s="459">
        <v>1</v>
      </c>
      <c r="E625" s="459">
        <v>55</v>
      </c>
      <c r="F625" s="459">
        <v>2</v>
      </c>
      <c r="G625" s="459">
        <v>1</v>
      </c>
      <c r="H625" s="459">
        <v>1</v>
      </c>
      <c r="I625" s="459">
        <v>0</v>
      </c>
      <c r="J625" s="459">
        <v>7</v>
      </c>
      <c r="K625" s="459">
        <v>2</v>
      </c>
      <c r="L625" s="459">
        <v>0</v>
      </c>
      <c r="M625" s="459">
        <v>1</v>
      </c>
      <c r="N625" s="459">
        <v>0</v>
      </c>
      <c r="O625" s="459">
        <v>2</v>
      </c>
      <c r="P625" s="459">
        <v>0</v>
      </c>
      <c r="Q625" s="459">
        <v>1</v>
      </c>
      <c r="R625" s="459">
        <v>0</v>
      </c>
      <c r="S625" s="459">
        <v>0</v>
      </c>
      <c r="T625" s="459">
        <v>1</v>
      </c>
      <c r="U625" s="459">
        <v>0</v>
      </c>
      <c r="V625" s="459">
        <v>9</v>
      </c>
      <c r="W625" s="459">
        <v>0</v>
      </c>
      <c r="X625" s="459">
        <v>0</v>
      </c>
      <c r="Y625" s="459">
        <v>0</v>
      </c>
      <c r="Z625" s="459">
        <v>0</v>
      </c>
      <c r="AA625" s="459">
        <v>0</v>
      </c>
      <c r="AB625" s="459">
        <v>0</v>
      </c>
      <c r="AC625" s="459">
        <v>0</v>
      </c>
    </row>
    <row r="626" spans="1:29">
      <c r="A626" s="458" t="s">
        <v>16</v>
      </c>
      <c r="B626" s="458" t="s">
        <v>539</v>
      </c>
      <c r="C626" s="504">
        <f>SUM(C619:C625)</f>
        <v>1350</v>
      </c>
      <c r="D626" s="504">
        <f>SUM(D619:D625)</f>
        <v>4</v>
      </c>
      <c r="E626" s="504">
        <f t="shared" ref="E626" si="496">SUM(E619:E625)</f>
        <v>1055</v>
      </c>
      <c r="F626" s="504">
        <f t="shared" ref="F626" si="497">SUM(F619:F625)</f>
        <v>37</v>
      </c>
      <c r="G626" s="504">
        <f t="shared" ref="G626" si="498">SUM(G619:G625)</f>
        <v>1</v>
      </c>
      <c r="H626" s="504">
        <f t="shared" ref="H626" si="499">SUM(H619:H625)</f>
        <v>16</v>
      </c>
      <c r="I626" s="504">
        <f t="shared" ref="I626" si="500">SUM(I619:I625)</f>
        <v>0</v>
      </c>
      <c r="J626" s="504">
        <f t="shared" ref="J626" si="501">SUM(J619:J625)</f>
        <v>25</v>
      </c>
      <c r="K626" s="504">
        <f t="shared" ref="K626" si="502">SUM(K619:K625)</f>
        <v>51</v>
      </c>
      <c r="L626" s="504">
        <f t="shared" ref="L626" si="503">SUM(L619:L625)</f>
        <v>3</v>
      </c>
      <c r="M626" s="504">
        <f t="shared" ref="M626" si="504">SUM(M619:M625)</f>
        <v>6</v>
      </c>
      <c r="N626" s="504">
        <f t="shared" ref="N626" si="505">SUM(N619:N625)</f>
        <v>3</v>
      </c>
      <c r="O626" s="504">
        <f t="shared" ref="O626" si="506">SUM(O619:O625)</f>
        <v>13</v>
      </c>
      <c r="P626" s="504">
        <f t="shared" ref="P626" si="507">SUM(P619:P625)</f>
        <v>7</v>
      </c>
      <c r="Q626" s="504">
        <f t="shared" ref="Q626" si="508">SUM(Q619:Q625)</f>
        <v>49</v>
      </c>
      <c r="R626" s="504">
        <f t="shared" ref="R626" si="509">SUM(R619:R625)</f>
        <v>4</v>
      </c>
      <c r="S626" s="504">
        <f t="shared" ref="S626" si="510">SUM(S619:S625)</f>
        <v>42</v>
      </c>
      <c r="T626" s="504">
        <f t="shared" ref="T626" si="511">SUM(T619:T625)</f>
        <v>3</v>
      </c>
      <c r="U626" s="504">
        <f t="shared" ref="U626" si="512">SUM(U619:U625)</f>
        <v>1</v>
      </c>
      <c r="V626" s="504">
        <f t="shared" ref="V626" si="513">SUM(V619:V625)</f>
        <v>24</v>
      </c>
      <c r="W626" s="504">
        <f t="shared" ref="W626" si="514">SUM(W619:W625)</f>
        <v>0</v>
      </c>
      <c r="X626" s="504">
        <f t="shared" ref="X626" si="515">SUM(X619:X625)</f>
        <v>2</v>
      </c>
      <c r="Y626" s="504">
        <f t="shared" ref="Y626" si="516">SUM(Y619:Y625)</f>
        <v>0</v>
      </c>
      <c r="Z626" s="504">
        <f t="shared" ref="Z626" si="517">SUM(Z619:Z625)</f>
        <v>2</v>
      </c>
      <c r="AA626" s="504">
        <f t="shared" ref="AA626" si="518">SUM(AA619:AA625)</f>
        <v>1</v>
      </c>
      <c r="AB626" s="504">
        <f t="shared" ref="AB626" si="519">SUM(AB619:AB625)</f>
        <v>1</v>
      </c>
      <c r="AC626" s="504">
        <f t="shared" ref="AC626" si="520">SUM(AC619:AC625)</f>
        <v>0</v>
      </c>
    </row>
    <row r="627" spans="1:29">
      <c r="A627" s="459" t="s">
        <v>659</v>
      </c>
      <c r="C627" s="459"/>
      <c r="D627" s="459"/>
      <c r="E627" s="459"/>
      <c r="F627" s="459"/>
      <c r="G627" s="459"/>
      <c r="H627" s="459"/>
      <c r="I627" s="459"/>
      <c r="J627" s="459"/>
      <c r="K627" s="459"/>
      <c r="L627" s="459"/>
      <c r="M627" s="459"/>
      <c r="N627" s="459"/>
      <c r="O627" s="459"/>
      <c r="P627" s="459"/>
      <c r="Q627" s="459"/>
      <c r="R627" s="459"/>
      <c r="S627" s="459"/>
      <c r="T627" s="459"/>
      <c r="U627" s="459"/>
      <c r="V627" s="459"/>
      <c r="W627" s="459"/>
      <c r="X627" s="459"/>
      <c r="Y627" s="459"/>
      <c r="Z627" s="459"/>
      <c r="AA627" s="459"/>
      <c r="AB627" s="459"/>
      <c r="AC627" s="459"/>
    </row>
    <row r="628" spans="1:29">
      <c r="A628" s="459"/>
      <c r="C628" s="459"/>
      <c r="D628" s="459"/>
      <c r="E628" s="459"/>
      <c r="F628" s="459"/>
      <c r="G628" s="459"/>
      <c r="H628" s="459"/>
      <c r="I628" s="459"/>
      <c r="J628" s="459"/>
      <c r="K628" s="459"/>
      <c r="L628" s="459"/>
      <c r="M628" s="459"/>
      <c r="N628" s="459"/>
      <c r="O628" s="459"/>
      <c r="P628" s="459"/>
      <c r="Q628" s="459"/>
      <c r="R628" s="459"/>
      <c r="S628" s="459"/>
      <c r="T628" s="459"/>
      <c r="U628" s="459"/>
      <c r="V628" s="459"/>
      <c r="W628" s="459"/>
      <c r="X628" s="459"/>
      <c r="Y628" s="459"/>
      <c r="Z628" s="459"/>
      <c r="AA628" s="459"/>
      <c r="AB628" s="459"/>
      <c r="AC628" s="459"/>
    </row>
    <row r="629" spans="1:29">
      <c r="A629" s="459"/>
      <c r="C629" s="459"/>
      <c r="D629" s="459"/>
      <c r="E629" s="459"/>
      <c r="F629" s="459"/>
      <c r="G629" s="459"/>
      <c r="H629" s="459"/>
      <c r="I629" s="459"/>
      <c r="J629" s="459"/>
      <c r="K629" s="459"/>
      <c r="L629" s="459"/>
      <c r="M629" s="459"/>
      <c r="N629" s="459"/>
      <c r="O629" s="459"/>
      <c r="P629" s="459"/>
      <c r="Q629" s="459"/>
      <c r="R629" s="459"/>
      <c r="S629" s="459"/>
      <c r="T629" s="459"/>
      <c r="U629" s="459"/>
      <c r="V629" s="459"/>
      <c r="W629" s="459"/>
      <c r="X629" s="459"/>
      <c r="Y629" s="459"/>
      <c r="Z629" s="459"/>
      <c r="AA629" s="459"/>
      <c r="AB629" s="459"/>
      <c r="AC629" s="459"/>
    </row>
    <row r="630" spans="1:29">
      <c r="A630" s="459"/>
      <c r="C630" s="459"/>
      <c r="D630" s="459"/>
      <c r="E630" s="459"/>
      <c r="F630" s="459"/>
      <c r="G630" s="459"/>
      <c r="H630" s="459"/>
      <c r="I630" s="459"/>
      <c r="J630" s="459"/>
      <c r="K630" s="459"/>
      <c r="L630" s="459"/>
      <c r="M630" s="459"/>
      <c r="N630" s="459"/>
      <c r="O630" s="459"/>
      <c r="P630" s="459"/>
      <c r="Q630" s="459"/>
      <c r="R630" s="459"/>
      <c r="S630" s="459"/>
      <c r="T630" s="459"/>
      <c r="U630" s="459"/>
      <c r="V630" s="459"/>
      <c r="W630" s="459"/>
      <c r="X630" s="459"/>
      <c r="Y630" s="459"/>
      <c r="Z630" s="459"/>
      <c r="AA630" s="459"/>
      <c r="AB630" s="459"/>
      <c r="AC630" s="459"/>
    </row>
    <row r="631" spans="1:29" ht="15.6">
      <c r="A631" s="401" t="s">
        <v>707</v>
      </c>
      <c r="C631" s="459"/>
      <c r="D631" s="459"/>
      <c r="E631" s="459"/>
      <c r="F631" s="459"/>
      <c r="G631" s="459"/>
      <c r="H631" s="459"/>
      <c r="I631" s="459"/>
      <c r="J631" s="459"/>
      <c r="K631" s="459"/>
      <c r="L631" s="459"/>
      <c r="M631" s="459"/>
      <c r="N631" s="459"/>
      <c r="O631" s="459"/>
      <c r="P631" s="459"/>
      <c r="Q631" s="459"/>
      <c r="R631" s="459"/>
      <c r="S631" s="459"/>
      <c r="T631" s="459"/>
      <c r="U631" s="459"/>
      <c r="V631" s="459"/>
      <c r="W631" s="459"/>
      <c r="X631" s="459"/>
      <c r="Y631" s="459"/>
      <c r="Z631" s="459"/>
      <c r="AA631" s="459"/>
      <c r="AB631" s="459"/>
      <c r="AC631" s="459"/>
    </row>
    <row r="632" spans="1:29">
      <c r="A632" s="131" t="s">
        <v>648</v>
      </c>
      <c r="B632" s="131" t="s">
        <v>64</v>
      </c>
      <c r="C632" s="131" t="str">
        <f>C618</f>
        <v>IE</v>
      </c>
      <c r="D632" s="131" t="str">
        <f t="shared" ref="D632:AC632" si="521">D618</f>
        <v>IE-CW</v>
      </c>
      <c r="E632" s="131" t="str">
        <f t="shared" si="521"/>
        <v>IE-D</v>
      </c>
      <c r="F632" s="131" t="str">
        <f t="shared" si="521"/>
        <v>IE-KE</v>
      </c>
      <c r="G632" s="131" t="str">
        <f t="shared" si="521"/>
        <v>IE-KK</v>
      </c>
      <c r="H632" s="131" t="str">
        <f t="shared" si="521"/>
        <v>IE-LS</v>
      </c>
      <c r="I632" s="131" t="str">
        <f t="shared" si="521"/>
        <v>IE-LD</v>
      </c>
      <c r="J632" s="131" t="str">
        <f t="shared" si="521"/>
        <v>IE-LH</v>
      </c>
      <c r="K632" s="131" t="str">
        <f t="shared" si="521"/>
        <v>IE-MH</v>
      </c>
      <c r="L632" s="131" t="str">
        <f t="shared" si="521"/>
        <v>IE-OY</v>
      </c>
      <c r="M632" s="131" t="str">
        <f t="shared" si="521"/>
        <v>IE-WH</v>
      </c>
      <c r="N632" s="131" t="str">
        <f t="shared" si="521"/>
        <v>IE-WX</v>
      </c>
      <c r="O632" s="131" t="str">
        <f t="shared" si="521"/>
        <v>IE-WW</v>
      </c>
      <c r="P632" s="131" t="str">
        <f t="shared" si="521"/>
        <v>IE-CE</v>
      </c>
      <c r="Q632" s="131" t="str">
        <f t="shared" si="521"/>
        <v>IE-CO</v>
      </c>
      <c r="R632" s="131" t="str">
        <f t="shared" si="521"/>
        <v>IE-KY</v>
      </c>
      <c r="S632" s="131" t="str">
        <f t="shared" si="521"/>
        <v>IE-LK</v>
      </c>
      <c r="T632" s="131" t="str">
        <f t="shared" si="521"/>
        <v>IE-TA</v>
      </c>
      <c r="U632" s="131" t="str">
        <f t="shared" si="521"/>
        <v>IE-WD</v>
      </c>
      <c r="V632" s="131" t="str">
        <f t="shared" si="521"/>
        <v>IE-G</v>
      </c>
      <c r="W632" s="131" t="str">
        <f t="shared" si="521"/>
        <v>IE-LM</v>
      </c>
      <c r="X632" s="131" t="str">
        <f t="shared" si="521"/>
        <v>IE-MO</v>
      </c>
      <c r="Y632" s="131" t="str">
        <f t="shared" si="521"/>
        <v>IE-RN</v>
      </c>
      <c r="Z632" s="131" t="str">
        <f t="shared" si="521"/>
        <v>IE-SO</v>
      </c>
      <c r="AA632" s="131" t="str">
        <f t="shared" si="521"/>
        <v>IE-CN</v>
      </c>
      <c r="AB632" s="131" t="str">
        <f t="shared" si="521"/>
        <v>IE-DL</v>
      </c>
      <c r="AC632" s="131" t="str">
        <f t="shared" si="521"/>
        <v>IE-MN</v>
      </c>
    </row>
    <row r="633" spans="1:29">
      <c r="A633" s="459" t="s">
        <v>347</v>
      </c>
      <c r="B633" s="507" t="s">
        <v>652</v>
      </c>
      <c r="C633" s="35">
        <f>C619/C$626</f>
        <v>1.3333333333333334E-2</v>
      </c>
      <c r="D633" s="35">
        <f t="shared" ref="D633:AC639" si="522">D619/D$626</f>
        <v>0</v>
      </c>
      <c r="E633" s="35">
        <f t="shared" si="522"/>
        <v>9.4786729857819912E-3</v>
      </c>
      <c r="F633" s="35">
        <f t="shared" si="522"/>
        <v>0</v>
      </c>
      <c r="G633" s="35">
        <f t="shared" si="522"/>
        <v>0</v>
      </c>
      <c r="H633" s="35">
        <f t="shared" si="522"/>
        <v>0.125</v>
      </c>
      <c r="I633" s="35" t="e">
        <f t="shared" si="522"/>
        <v>#DIV/0!</v>
      </c>
      <c r="J633" s="35">
        <f t="shared" si="522"/>
        <v>0</v>
      </c>
      <c r="K633" s="35">
        <f t="shared" si="522"/>
        <v>1.9607843137254902E-2</v>
      </c>
      <c r="L633" s="35">
        <f t="shared" si="522"/>
        <v>0</v>
      </c>
      <c r="M633" s="35">
        <f t="shared" si="522"/>
        <v>0</v>
      </c>
      <c r="N633" s="35">
        <f t="shared" si="522"/>
        <v>0</v>
      </c>
      <c r="O633" s="35">
        <f t="shared" si="522"/>
        <v>0</v>
      </c>
      <c r="P633" s="35">
        <f t="shared" si="522"/>
        <v>0</v>
      </c>
      <c r="Q633" s="35">
        <f t="shared" si="522"/>
        <v>6.1224489795918366E-2</v>
      </c>
      <c r="R633" s="35">
        <f t="shared" si="522"/>
        <v>0.25</v>
      </c>
      <c r="S633" s="35">
        <f t="shared" si="522"/>
        <v>0</v>
      </c>
      <c r="T633" s="35">
        <f t="shared" si="522"/>
        <v>0</v>
      </c>
      <c r="U633" s="35">
        <f t="shared" si="522"/>
        <v>0</v>
      </c>
      <c r="V633" s="35">
        <f t="shared" si="522"/>
        <v>0</v>
      </c>
      <c r="W633" s="35" t="e">
        <f t="shared" si="522"/>
        <v>#DIV/0!</v>
      </c>
      <c r="X633" s="35">
        <f t="shared" si="522"/>
        <v>0</v>
      </c>
      <c r="Y633" s="35" t="e">
        <f t="shared" si="522"/>
        <v>#DIV/0!</v>
      </c>
      <c r="Z633" s="35">
        <f t="shared" si="522"/>
        <v>0</v>
      </c>
      <c r="AA633" s="35">
        <f t="shared" si="522"/>
        <v>1</v>
      </c>
      <c r="AB633" s="35">
        <f t="shared" si="522"/>
        <v>0</v>
      </c>
      <c r="AC633" s="35" t="e">
        <f t="shared" si="522"/>
        <v>#DIV/0!</v>
      </c>
    </row>
    <row r="634" spans="1:29">
      <c r="A634" s="459" t="s">
        <v>348</v>
      </c>
      <c r="B634" s="1" t="s">
        <v>652</v>
      </c>
      <c r="C634" s="35">
        <f t="shared" ref="C634:R639" si="523">C620/C$626</f>
        <v>0</v>
      </c>
      <c r="D634" s="35">
        <f t="shared" si="523"/>
        <v>0</v>
      </c>
      <c r="E634" s="35">
        <f t="shared" si="523"/>
        <v>0</v>
      </c>
      <c r="F634" s="35">
        <f t="shared" si="523"/>
        <v>0</v>
      </c>
      <c r="G634" s="35">
        <f t="shared" si="523"/>
        <v>0</v>
      </c>
      <c r="H634" s="35">
        <f t="shared" si="523"/>
        <v>0</v>
      </c>
      <c r="I634" s="35" t="e">
        <f t="shared" si="523"/>
        <v>#DIV/0!</v>
      </c>
      <c r="J634" s="35">
        <f t="shared" si="523"/>
        <v>0</v>
      </c>
      <c r="K634" s="35">
        <f t="shared" si="523"/>
        <v>0</v>
      </c>
      <c r="L634" s="35">
        <f t="shared" si="523"/>
        <v>0</v>
      </c>
      <c r="M634" s="35">
        <f t="shared" si="523"/>
        <v>0</v>
      </c>
      <c r="N634" s="35">
        <f t="shared" si="523"/>
        <v>0</v>
      </c>
      <c r="O634" s="35">
        <f t="shared" si="523"/>
        <v>0</v>
      </c>
      <c r="P634" s="35">
        <f t="shared" si="523"/>
        <v>0</v>
      </c>
      <c r="Q634" s="35">
        <f t="shared" si="523"/>
        <v>0</v>
      </c>
      <c r="R634" s="35">
        <f t="shared" si="523"/>
        <v>0</v>
      </c>
      <c r="S634" s="35">
        <f t="shared" si="522"/>
        <v>0</v>
      </c>
      <c r="T634" s="35">
        <f t="shared" si="522"/>
        <v>0</v>
      </c>
      <c r="U634" s="35">
        <f t="shared" si="522"/>
        <v>0</v>
      </c>
      <c r="V634" s="35">
        <f t="shared" si="522"/>
        <v>0</v>
      </c>
      <c r="W634" s="35" t="e">
        <f t="shared" si="522"/>
        <v>#DIV/0!</v>
      </c>
      <c r="X634" s="35">
        <f t="shared" si="522"/>
        <v>0</v>
      </c>
      <c r="Y634" s="35" t="e">
        <f t="shared" si="522"/>
        <v>#DIV/0!</v>
      </c>
      <c r="Z634" s="35">
        <f t="shared" si="522"/>
        <v>0</v>
      </c>
      <c r="AA634" s="35">
        <f t="shared" si="522"/>
        <v>0</v>
      </c>
      <c r="AB634" s="35">
        <f t="shared" si="522"/>
        <v>0</v>
      </c>
      <c r="AC634" s="35" t="e">
        <f t="shared" si="522"/>
        <v>#DIV/0!</v>
      </c>
    </row>
    <row r="635" spans="1:29">
      <c r="A635" s="459" t="s">
        <v>349</v>
      </c>
      <c r="B635" s="1" t="s">
        <v>652</v>
      </c>
      <c r="C635" s="35">
        <f t="shared" si="523"/>
        <v>3.6296296296296299E-2</v>
      </c>
      <c r="D635" s="35">
        <f t="shared" si="522"/>
        <v>0</v>
      </c>
      <c r="E635" s="35">
        <f t="shared" si="522"/>
        <v>3.6966824644549763E-2</v>
      </c>
      <c r="F635" s="35">
        <f t="shared" si="522"/>
        <v>5.4054054054054057E-2</v>
      </c>
      <c r="G635" s="35">
        <f t="shared" si="522"/>
        <v>0</v>
      </c>
      <c r="H635" s="35">
        <f t="shared" si="522"/>
        <v>0.125</v>
      </c>
      <c r="I635" s="35" t="e">
        <f t="shared" si="522"/>
        <v>#DIV/0!</v>
      </c>
      <c r="J635" s="35">
        <f t="shared" si="522"/>
        <v>0.08</v>
      </c>
      <c r="K635" s="35">
        <f t="shared" si="522"/>
        <v>5.8823529411764705E-2</v>
      </c>
      <c r="L635" s="35">
        <f t="shared" si="522"/>
        <v>0</v>
      </c>
      <c r="M635" s="35">
        <f t="shared" si="522"/>
        <v>0</v>
      </c>
      <c r="N635" s="35">
        <f t="shared" si="522"/>
        <v>0</v>
      </c>
      <c r="O635" s="35">
        <f t="shared" si="522"/>
        <v>0</v>
      </c>
      <c r="P635" s="35">
        <f t="shared" si="522"/>
        <v>0</v>
      </c>
      <c r="Q635" s="35">
        <f t="shared" si="522"/>
        <v>0</v>
      </c>
      <c r="R635" s="35">
        <f t="shared" si="522"/>
        <v>0</v>
      </c>
      <c r="S635" s="35">
        <f t="shared" si="522"/>
        <v>2.3809523809523808E-2</v>
      </c>
      <c r="T635" s="35">
        <f t="shared" si="522"/>
        <v>0</v>
      </c>
      <c r="U635" s="35">
        <f t="shared" si="522"/>
        <v>0</v>
      </c>
      <c r="V635" s="35">
        <f t="shared" si="522"/>
        <v>0</v>
      </c>
      <c r="W635" s="35" t="e">
        <f t="shared" si="522"/>
        <v>#DIV/0!</v>
      </c>
      <c r="X635" s="35">
        <f t="shared" si="522"/>
        <v>0</v>
      </c>
      <c r="Y635" s="35" t="e">
        <f t="shared" si="522"/>
        <v>#DIV/0!</v>
      </c>
      <c r="Z635" s="35">
        <f t="shared" si="522"/>
        <v>0</v>
      </c>
      <c r="AA635" s="35">
        <f t="shared" si="522"/>
        <v>0</v>
      </c>
      <c r="AB635" s="35">
        <f t="shared" si="522"/>
        <v>0</v>
      </c>
      <c r="AC635" s="35" t="e">
        <f t="shared" si="522"/>
        <v>#DIV/0!</v>
      </c>
    </row>
    <row r="636" spans="1:29">
      <c r="A636" s="459" t="s">
        <v>350</v>
      </c>
      <c r="B636" s="1" t="s">
        <v>652</v>
      </c>
      <c r="C636" s="35">
        <f t="shared" si="523"/>
        <v>0.12222222222222222</v>
      </c>
      <c r="D636" s="35">
        <f t="shared" si="522"/>
        <v>0.25</v>
      </c>
      <c r="E636" s="35">
        <f t="shared" si="522"/>
        <v>0.12417061611374408</v>
      </c>
      <c r="F636" s="35">
        <f t="shared" si="522"/>
        <v>0.13513513513513514</v>
      </c>
      <c r="G636" s="35">
        <f t="shared" si="522"/>
        <v>0</v>
      </c>
      <c r="H636" s="35">
        <f t="shared" si="522"/>
        <v>0</v>
      </c>
      <c r="I636" s="35" t="e">
        <f t="shared" si="522"/>
        <v>#DIV/0!</v>
      </c>
      <c r="J636" s="35">
        <f t="shared" si="522"/>
        <v>0.04</v>
      </c>
      <c r="K636" s="35">
        <f t="shared" si="522"/>
        <v>0.11764705882352941</v>
      </c>
      <c r="L636" s="35">
        <f t="shared" si="522"/>
        <v>0</v>
      </c>
      <c r="M636" s="35">
        <f t="shared" si="522"/>
        <v>0.33333333333333331</v>
      </c>
      <c r="N636" s="35">
        <f t="shared" si="522"/>
        <v>0</v>
      </c>
      <c r="O636" s="35">
        <f t="shared" si="522"/>
        <v>0.15384615384615385</v>
      </c>
      <c r="P636" s="35">
        <f t="shared" si="522"/>
        <v>0.2857142857142857</v>
      </c>
      <c r="Q636" s="35">
        <f t="shared" si="522"/>
        <v>4.0816326530612242E-2</v>
      </c>
      <c r="R636" s="35">
        <f t="shared" si="522"/>
        <v>0</v>
      </c>
      <c r="S636" s="35">
        <f t="shared" si="522"/>
        <v>0.21428571428571427</v>
      </c>
      <c r="T636" s="35">
        <f t="shared" si="522"/>
        <v>0</v>
      </c>
      <c r="U636" s="35">
        <f t="shared" si="522"/>
        <v>0</v>
      </c>
      <c r="V636" s="35">
        <f t="shared" si="522"/>
        <v>0.125</v>
      </c>
      <c r="W636" s="35" t="e">
        <f t="shared" si="522"/>
        <v>#DIV/0!</v>
      </c>
      <c r="X636" s="35">
        <f t="shared" si="522"/>
        <v>0.5</v>
      </c>
      <c r="Y636" s="35" t="e">
        <f t="shared" si="522"/>
        <v>#DIV/0!</v>
      </c>
      <c r="Z636" s="35">
        <f t="shared" si="522"/>
        <v>0</v>
      </c>
      <c r="AA636" s="35">
        <f t="shared" si="522"/>
        <v>0</v>
      </c>
      <c r="AB636" s="35">
        <f t="shared" si="522"/>
        <v>0</v>
      </c>
      <c r="AC636" s="35" t="e">
        <f t="shared" si="522"/>
        <v>#DIV/0!</v>
      </c>
    </row>
    <row r="637" spans="1:29">
      <c r="A637" s="459" t="s">
        <v>351</v>
      </c>
      <c r="B637" s="1" t="s">
        <v>652</v>
      </c>
      <c r="C637" s="35">
        <f t="shared" si="523"/>
        <v>0.75407407407407412</v>
      </c>
      <c r="D637" s="35">
        <f t="shared" si="522"/>
        <v>0.5</v>
      </c>
      <c r="E637" s="35">
        <f t="shared" si="522"/>
        <v>0.76777251184834128</v>
      </c>
      <c r="F637" s="35">
        <f t="shared" si="522"/>
        <v>0.7567567567567568</v>
      </c>
      <c r="G637" s="35">
        <f t="shared" si="522"/>
        <v>0</v>
      </c>
      <c r="H637" s="35">
        <f t="shared" si="522"/>
        <v>0.6875</v>
      </c>
      <c r="I637" s="35" t="e">
        <f t="shared" si="522"/>
        <v>#DIV/0!</v>
      </c>
      <c r="J637" s="35">
        <f t="shared" si="522"/>
        <v>0.6</v>
      </c>
      <c r="K637" s="35">
        <f t="shared" si="522"/>
        <v>0.74509803921568629</v>
      </c>
      <c r="L637" s="35">
        <f t="shared" si="522"/>
        <v>1</v>
      </c>
      <c r="M637" s="35">
        <f t="shared" si="522"/>
        <v>0.5</v>
      </c>
      <c r="N637" s="35">
        <f t="shared" si="522"/>
        <v>1</v>
      </c>
      <c r="O637" s="35">
        <f t="shared" si="522"/>
        <v>0.69230769230769229</v>
      </c>
      <c r="P637" s="35">
        <f t="shared" si="522"/>
        <v>0.7142857142857143</v>
      </c>
      <c r="Q637" s="35">
        <f t="shared" si="522"/>
        <v>0.83673469387755106</v>
      </c>
      <c r="R637" s="35">
        <f t="shared" si="522"/>
        <v>0.75</v>
      </c>
      <c r="S637" s="35">
        <f t="shared" si="522"/>
        <v>0.73809523809523814</v>
      </c>
      <c r="T637" s="35">
        <f t="shared" si="522"/>
        <v>0.33333333333333331</v>
      </c>
      <c r="U637" s="35">
        <f t="shared" si="522"/>
        <v>0</v>
      </c>
      <c r="V637" s="35">
        <f t="shared" si="522"/>
        <v>0.5</v>
      </c>
      <c r="W637" s="35" t="e">
        <f t="shared" si="522"/>
        <v>#DIV/0!</v>
      </c>
      <c r="X637" s="35">
        <f t="shared" si="522"/>
        <v>0.5</v>
      </c>
      <c r="Y637" s="35" t="e">
        <f t="shared" si="522"/>
        <v>#DIV/0!</v>
      </c>
      <c r="Z637" s="35">
        <f t="shared" si="522"/>
        <v>0.5</v>
      </c>
      <c r="AA637" s="35">
        <f t="shared" si="522"/>
        <v>0</v>
      </c>
      <c r="AB637" s="35">
        <f t="shared" si="522"/>
        <v>1</v>
      </c>
      <c r="AC637" s="35" t="e">
        <f t="shared" si="522"/>
        <v>#DIV/0!</v>
      </c>
    </row>
    <row r="638" spans="1:29">
      <c r="A638" s="459" t="s">
        <v>352</v>
      </c>
      <c r="B638" s="1" t="s">
        <v>652</v>
      </c>
      <c r="C638" s="35">
        <f t="shared" si="523"/>
        <v>1.2592592592592593E-2</v>
      </c>
      <c r="D638" s="35">
        <f t="shared" si="522"/>
        <v>0</v>
      </c>
      <c r="E638" s="35">
        <f t="shared" si="522"/>
        <v>9.4786729857819912E-3</v>
      </c>
      <c r="F638" s="35">
        <f t="shared" si="522"/>
        <v>0</v>
      </c>
      <c r="G638" s="35">
        <f t="shared" si="522"/>
        <v>0</v>
      </c>
      <c r="H638" s="35">
        <f t="shared" si="522"/>
        <v>0</v>
      </c>
      <c r="I638" s="35" t="e">
        <f t="shared" si="522"/>
        <v>#DIV/0!</v>
      </c>
      <c r="J638" s="35">
        <f t="shared" si="522"/>
        <v>0</v>
      </c>
      <c r="K638" s="35">
        <f t="shared" si="522"/>
        <v>1.9607843137254902E-2</v>
      </c>
      <c r="L638" s="35">
        <f t="shared" si="522"/>
        <v>0</v>
      </c>
      <c r="M638" s="35">
        <f t="shared" si="522"/>
        <v>0</v>
      </c>
      <c r="N638" s="35">
        <f t="shared" si="522"/>
        <v>0</v>
      </c>
      <c r="O638" s="35">
        <f t="shared" si="522"/>
        <v>0</v>
      </c>
      <c r="P638" s="35">
        <f t="shared" si="522"/>
        <v>0</v>
      </c>
      <c r="Q638" s="35">
        <f t="shared" si="522"/>
        <v>4.0816326530612242E-2</v>
      </c>
      <c r="R638" s="35">
        <f t="shared" si="522"/>
        <v>0</v>
      </c>
      <c r="S638" s="35">
        <f t="shared" si="522"/>
        <v>2.3809523809523808E-2</v>
      </c>
      <c r="T638" s="35">
        <f t="shared" si="522"/>
        <v>0.33333333333333331</v>
      </c>
      <c r="U638" s="35">
        <f t="shared" si="522"/>
        <v>1</v>
      </c>
      <c r="V638" s="35">
        <f t="shared" si="522"/>
        <v>0</v>
      </c>
      <c r="W638" s="35" t="e">
        <f t="shared" si="522"/>
        <v>#DIV/0!</v>
      </c>
      <c r="X638" s="35">
        <f t="shared" si="522"/>
        <v>0</v>
      </c>
      <c r="Y638" s="35" t="e">
        <f t="shared" si="522"/>
        <v>#DIV/0!</v>
      </c>
      <c r="Z638" s="35">
        <f t="shared" si="522"/>
        <v>0.5</v>
      </c>
      <c r="AA638" s="35">
        <f t="shared" si="522"/>
        <v>0</v>
      </c>
      <c r="AB638" s="35">
        <f t="shared" si="522"/>
        <v>0</v>
      </c>
      <c r="AC638" s="35" t="e">
        <f t="shared" si="522"/>
        <v>#DIV/0!</v>
      </c>
    </row>
    <row r="639" spans="1:29">
      <c r="A639" s="459" t="s">
        <v>353</v>
      </c>
      <c r="B639" s="1" t="s">
        <v>652</v>
      </c>
      <c r="C639" s="35">
        <f t="shared" si="523"/>
        <v>6.1481481481481484E-2</v>
      </c>
      <c r="D639" s="35">
        <f t="shared" si="522"/>
        <v>0.25</v>
      </c>
      <c r="E639" s="35">
        <f t="shared" si="522"/>
        <v>5.2132701421800945E-2</v>
      </c>
      <c r="F639" s="35">
        <f t="shared" si="522"/>
        <v>5.4054054054054057E-2</v>
      </c>
      <c r="G639" s="35">
        <f t="shared" si="522"/>
        <v>1</v>
      </c>
      <c r="H639" s="35">
        <f t="shared" si="522"/>
        <v>6.25E-2</v>
      </c>
      <c r="I639" s="35" t="e">
        <f t="shared" si="522"/>
        <v>#DIV/0!</v>
      </c>
      <c r="J639" s="35">
        <f t="shared" si="522"/>
        <v>0.28000000000000003</v>
      </c>
      <c r="K639" s="35">
        <f t="shared" si="522"/>
        <v>3.9215686274509803E-2</v>
      </c>
      <c r="L639" s="35">
        <f t="shared" si="522"/>
        <v>0</v>
      </c>
      <c r="M639" s="35">
        <f t="shared" si="522"/>
        <v>0.16666666666666666</v>
      </c>
      <c r="N639" s="35">
        <f t="shared" si="522"/>
        <v>0</v>
      </c>
      <c r="O639" s="35">
        <f t="shared" si="522"/>
        <v>0.15384615384615385</v>
      </c>
      <c r="P639" s="35">
        <f t="shared" si="522"/>
        <v>0</v>
      </c>
      <c r="Q639" s="35">
        <f t="shared" si="522"/>
        <v>2.0408163265306121E-2</v>
      </c>
      <c r="R639" s="35">
        <f t="shared" si="522"/>
        <v>0</v>
      </c>
      <c r="S639" s="35">
        <f t="shared" si="522"/>
        <v>0</v>
      </c>
      <c r="T639" s="35">
        <f t="shared" si="522"/>
        <v>0.33333333333333331</v>
      </c>
      <c r="U639" s="35">
        <f t="shared" si="522"/>
        <v>0</v>
      </c>
      <c r="V639" s="35">
        <f t="shared" si="522"/>
        <v>0.375</v>
      </c>
      <c r="W639" s="35" t="e">
        <f t="shared" si="522"/>
        <v>#DIV/0!</v>
      </c>
      <c r="X639" s="35">
        <f t="shared" si="522"/>
        <v>0</v>
      </c>
      <c r="Y639" s="35" t="e">
        <f t="shared" si="522"/>
        <v>#DIV/0!</v>
      </c>
      <c r="Z639" s="35">
        <f t="shared" si="522"/>
        <v>0</v>
      </c>
      <c r="AA639" s="35">
        <f t="shared" si="522"/>
        <v>0</v>
      </c>
      <c r="AB639" s="35">
        <f t="shared" si="522"/>
        <v>0</v>
      </c>
      <c r="AC639" s="35" t="e">
        <f t="shared" si="522"/>
        <v>#DIV/0!</v>
      </c>
    </row>
    <row r="640" spans="1:29">
      <c r="A640" s="458" t="s">
        <v>16</v>
      </c>
      <c r="B640" s="458" t="s">
        <v>652</v>
      </c>
      <c r="C640" s="403">
        <f t="shared" ref="C640:AC640" si="524">SUM(C633:C639)</f>
        <v>1.0000000000000002</v>
      </c>
      <c r="D640" s="403">
        <f t="shared" si="524"/>
        <v>1</v>
      </c>
      <c r="E640" s="403">
        <f t="shared" si="524"/>
        <v>1</v>
      </c>
      <c r="F640" s="403">
        <f t="shared" si="524"/>
        <v>1</v>
      </c>
      <c r="G640" s="403">
        <f t="shared" si="524"/>
        <v>1</v>
      </c>
      <c r="H640" s="403">
        <f t="shared" si="524"/>
        <v>1</v>
      </c>
      <c r="I640" s="403" t="e">
        <f t="shared" si="524"/>
        <v>#DIV/0!</v>
      </c>
      <c r="J640" s="403">
        <f t="shared" si="524"/>
        <v>1</v>
      </c>
      <c r="K640" s="403">
        <f t="shared" si="524"/>
        <v>1</v>
      </c>
      <c r="L640" s="403">
        <f t="shared" si="524"/>
        <v>1</v>
      </c>
      <c r="M640" s="403">
        <f t="shared" si="524"/>
        <v>0.99999999999999989</v>
      </c>
      <c r="N640" s="403">
        <f t="shared" si="524"/>
        <v>1</v>
      </c>
      <c r="O640" s="403">
        <f t="shared" si="524"/>
        <v>1</v>
      </c>
      <c r="P640" s="403">
        <f t="shared" si="524"/>
        <v>1</v>
      </c>
      <c r="Q640" s="403">
        <f t="shared" si="524"/>
        <v>1</v>
      </c>
      <c r="R640" s="403">
        <f t="shared" si="524"/>
        <v>1</v>
      </c>
      <c r="S640" s="403">
        <f t="shared" si="524"/>
        <v>1</v>
      </c>
      <c r="T640" s="403">
        <f t="shared" si="524"/>
        <v>1</v>
      </c>
      <c r="U640" s="403">
        <f t="shared" si="524"/>
        <v>1</v>
      </c>
      <c r="V640" s="403">
        <f t="shared" si="524"/>
        <v>1</v>
      </c>
      <c r="W640" s="403" t="e">
        <f t="shared" si="524"/>
        <v>#DIV/0!</v>
      </c>
      <c r="X640" s="403">
        <f t="shared" si="524"/>
        <v>1</v>
      </c>
      <c r="Y640" s="403" t="e">
        <f t="shared" si="524"/>
        <v>#DIV/0!</v>
      </c>
      <c r="Z640" s="403">
        <f t="shared" si="524"/>
        <v>1</v>
      </c>
      <c r="AA640" s="403">
        <f t="shared" si="524"/>
        <v>1</v>
      </c>
      <c r="AB640" s="403">
        <f t="shared" si="524"/>
        <v>1</v>
      </c>
      <c r="AC640" s="403" t="e">
        <f t="shared" si="524"/>
        <v>#DIV/0!</v>
      </c>
    </row>
    <row r="641" spans="1:29">
      <c r="A641" s="459"/>
      <c r="C641" s="459"/>
      <c r="D641" s="459"/>
      <c r="E641" s="459"/>
      <c r="F641" s="459"/>
      <c r="G641" s="459"/>
      <c r="H641" s="459"/>
      <c r="I641" s="459"/>
      <c r="J641" s="459"/>
      <c r="K641" s="459"/>
      <c r="L641" s="459"/>
      <c r="M641" s="459"/>
      <c r="N641" s="459"/>
      <c r="O641" s="459"/>
      <c r="P641" s="459"/>
      <c r="Q641" s="459"/>
      <c r="R641" s="459"/>
      <c r="S641" s="459"/>
      <c r="T641" s="459"/>
      <c r="U641" s="459"/>
      <c r="V641" s="459"/>
      <c r="W641" s="459"/>
      <c r="X641" s="459"/>
      <c r="Y641" s="459"/>
      <c r="Z641" s="459"/>
      <c r="AA641" s="459"/>
      <c r="AB641" s="459"/>
      <c r="AC641" s="459"/>
    </row>
    <row r="642" spans="1:29">
      <c r="A642" s="459"/>
      <c r="C642" s="459"/>
      <c r="D642" s="459"/>
      <c r="E642" s="459"/>
      <c r="F642" s="459"/>
      <c r="G642" s="459"/>
      <c r="H642" s="459"/>
      <c r="I642" s="459"/>
      <c r="J642" s="459"/>
      <c r="K642" s="459"/>
      <c r="L642" s="459"/>
      <c r="M642" s="459"/>
      <c r="N642" s="459"/>
      <c r="O642" s="459"/>
      <c r="P642" s="459"/>
      <c r="Q642" s="459"/>
      <c r="R642" s="459"/>
      <c r="S642" s="459"/>
      <c r="T642" s="459"/>
      <c r="U642" s="459"/>
      <c r="V642" s="459"/>
      <c r="W642" s="459"/>
      <c r="X642" s="459"/>
      <c r="Y642" s="459"/>
      <c r="Z642" s="459"/>
      <c r="AA642" s="459"/>
      <c r="AB642" s="459"/>
      <c r="AC642" s="459"/>
    </row>
    <row r="643" spans="1:29">
      <c r="A643" s="459"/>
      <c r="C643" s="459"/>
      <c r="D643" s="459"/>
      <c r="E643" s="459"/>
      <c r="F643" s="459"/>
      <c r="G643" s="459"/>
      <c r="H643" s="459"/>
      <c r="I643" s="459"/>
      <c r="J643" s="459"/>
      <c r="K643" s="459"/>
      <c r="L643" s="459"/>
      <c r="M643" s="459"/>
      <c r="N643" s="459"/>
      <c r="O643" s="459"/>
      <c r="P643" s="459"/>
      <c r="Q643" s="459"/>
      <c r="R643" s="459"/>
      <c r="S643" s="459"/>
      <c r="T643" s="459"/>
      <c r="U643" s="459"/>
      <c r="V643" s="459"/>
      <c r="W643" s="459"/>
      <c r="X643" s="459"/>
      <c r="Y643" s="459"/>
      <c r="Z643" s="459"/>
      <c r="AA643" s="459"/>
      <c r="AB643" s="459"/>
      <c r="AC643" s="459"/>
    </row>
    <row r="644" spans="1:29" ht="15.6">
      <c r="A644" s="425" t="s">
        <v>708</v>
      </c>
      <c r="C644" s="459"/>
      <c r="D644" s="459"/>
      <c r="E644" s="459"/>
      <c r="F644" s="459"/>
      <c r="G644" s="459"/>
      <c r="H644" s="459"/>
      <c r="I644" s="459"/>
      <c r="J644" s="459"/>
      <c r="K644" s="459"/>
      <c r="L644" s="459"/>
      <c r="M644" s="459"/>
      <c r="N644" s="459"/>
      <c r="O644" s="459"/>
      <c r="P644" s="459"/>
      <c r="Q644" s="459"/>
      <c r="R644" s="459"/>
      <c r="S644" s="459"/>
      <c r="T644" s="459"/>
      <c r="U644" s="459"/>
      <c r="V644" s="459"/>
      <c r="W644" s="459"/>
      <c r="X644" s="459"/>
      <c r="Y644" s="459"/>
      <c r="Z644" s="459"/>
      <c r="AA644" s="459"/>
      <c r="AB644" s="459"/>
      <c r="AC644" s="459"/>
    </row>
    <row r="645" spans="1:29">
      <c r="A645" s="131" t="s">
        <v>648</v>
      </c>
      <c r="B645" s="131" t="s">
        <v>64</v>
      </c>
      <c r="C645" s="131" t="str">
        <f>C632</f>
        <v>IE</v>
      </c>
      <c r="D645" s="131" t="str">
        <f t="shared" ref="D645:AC645" si="525">D632</f>
        <v>IE-CW</v>
      </c>
      <c r="E645" s="131" t="str">
        <f t="shared" si="525"/>
        <v>IE-D</v>
      </c>
      <c r="F645" s="131" t="str">
        <f t="shared" si="525"/>
        <v>IE-KE</v>
      </c>
      <c r="G645" s="131" t="str">
        <f t="shared" si="525"/>
        <v>IE-KK</v>
      </c>
      <c r="H645" s="131" t="str">
        <f t="shared" si="525"/>
        <v>IE-LS</v>
      </c>
      <c r="I645" s="131" t="str">
        <f t="shared" si="525"/>
        <v>IE-LD</v>
      </c>
      <c r="J645" s="131" t="str">
        <f t="shared" si="525"/>
        <v>IE-LH</v>
      </c>
      <c r="K645" s="131" t="str">
        <f t="shared" si="525"/>
        <v>IE-MH</v>
      </c>
      <c r="L645" s="131" t="str">
        <f t="shared" si="525"/>
        <v>IE-OY</v>
      </c>
      <c r="M645" s="131" t="str">
        <f t="shared" si="525"/>
        <v>IE-WH</v>
      </c>
      <c r="N645" s="131" t="str">
        <f t="shared" si="525"/>
        <v>IE-WX</v>
      </c>
      <c r="O645" s="131" t="str">
        <f t="shared" si="525"/>
        <v>IE-WW</v>
      </c>
      <c r="P645" s="131" t="str">
        <f t="shared" si="525"/>
        <v>IE-CE</v>
      </c>
      <c r="Q645" s="131" t="str">
        <f t="shared" si="525"/>
        <v>IE-CO</v>
      </c>
      <c r="R645" s="131" t="str">
        <f t="shared" si="525"/>
        <v>IE-KY</v>
      </c>
      <c r="S645" s="131" t="str">
        <f t="shared" si="525"/>
        <v>IE-LK</v>
      </c>
      <c r="T645" s="131" t="str">
        <f t="shared" si="525"/>
        <v>IE-TA</v>
      </c>
      <c r="U645" s="131" t="str">
        <f t="shared" si="525"/>
        <v>IE-WD</v>
      </c>
      <c r="V645" s="131" t="str">
        <f t="shared" si="525"/>
        <v>IE-G</v>
      </c>
      <c r="W645" s="131" t="str">
        <f t="shared" si="525"/>
        <v>IE-LM</v>
      </c>
      <c r="X645" s="131" t="str">
        <f t="shared" si="525"/>
        <v>IE-MO</v>
      </c>
      <c r="Y645" s="131" t="str">
        <f t="shared" si="525"/>
        <v>IE-RN</v>
      </c>
      <c r="Z645" s="131" t="str">
        <f t="shared" si="525"/>
        <v>IE-SO</v>
      </c>
      <c r="AA645" s="131" t="str">
        <f t="shared" si="525"/>
        <v>IE-CN</v>
      </c>
      <c r="AB645" s="131" t="str">
        <f t="shared" si="525"/>
        <v>IE-DL</v>
      </c>
      <c r="AC645" s="131" t="str">
        <f t="shared" si="525"/>
        <v>IE-MN</v>
      </c>
    </row>
    <row r="646" spans="1:29">
      <c r="A646" s="459" t="s">
        <v>347</v>
      </c>
      <c r="B646" s="459" t="s">
        <v>653</v>
      </c>
      <c r="C646" s="505">
        <v>1.171188111860114</v>
      </c>
      <c r="D646" s="505">
        <v>1.171188111860114</v>
      </c>
      <c r="E646" s="505">
        <v>1.171188111860114</v>
      </c>
      <c r="F646" s="505">
        <v>1.171188111860114</v>
      </c>
      <c r="G646" s="505">
        <v>1.171188111860114</v>
      </c>
      <c r="H646" s="505">
        <v>1.171188111860114</v>
      </c>
      <c r="I646" s="505">
        <v>1.171188111860114</v>
      </c>
      <c r="J646" s="505">
        <v>1.171188111860114</v>
      </c>
      <c r="K646" s="505">
        <v>1.171188111860114</v>
      </c>
      <c r="L646" s="505">
        <v>1.171188111860114</v>
      </c>
      <c r="M646" s="505">
        <v>1.171188111860114</v>
      </c>
      <c r="N646" s="505">
        <v>1.171188111860114</v>
      </c>
      <c r="O646" s="505">
        <v>1.171188111860114</v>
      </c>
      <c r="P646" s="505">
        <v>1.171188111860114</v>
      </c>
      <c r="Q646" s="505">
        <v>1.171188111860114</v>
      </c>
      <c r="R646" s="505">
        <v>1.171188111860114</v>
      </c>
      <c r="S646" s="505">
        <v>1.171188111860114</v>
      </c>
      <c r="T646" s="505">
        <v>1.171188111860114</v>
      </c>
      <c r="U646" s="505">
        <v>1.171188111860114</v>
      </c>
      <c r="V646" s="505">
        <v>1.171188111860114</v>
      </c>
      <c r="W646" s="505">
        <v>1.171188111860114</v>
      </c>
      <c r="X646" s="505">
        <v>1.171188111860114</v>
      </c>
      <c r="Y646" s="505">
        <v>1.171188111860114</v>
      </c>
      <c r="Z646" s="505">
        <v>1.171188111860114</v>
      </c>
      <c r="AA646" s="505">
        <v>1.171188111860114</v>
      </c>
      <c r="AB646" s="505">
        <v>1.171188111860114</v>
      </c>
      <c r="AC646" s="505">
        <v>1.171188111860114</v>
      </c>
    </row>
    <row r="647" spans="1:29">
      <c r="A647" s="459" t="s">
        <v>348</v>
      </c>
      <c r="B647" s="459" t="s">
        <v>653</v>
      </c>
      <c r="C647" s="505">
        <v>1.192415230181668</v>
      </c>
      <c r="D647" s="505">
        <v>1.192415230181668</v>
      </c>
      <c r="E647" s="505">
        <v>1.192415230181668</v>
      </c>
      <c r="F647" s="505">
        <v>1.192415230181668</v>
      </c>
      <c r="G647" s="505">
        <v>1.192415230181668</v>
      </c>
      <c r="H647" s="505">
        <v>1.192415230181668</v>
      </c>
      <c r="I647" s="505">
        <v>1.192415230181668</v>
      </c>
      <c r="J647" s="505">
        <v>1.192415230181668</v>
      </c>
      <c r="K647" s="505">
        <v>1.192415230181668</v>
      </c>
      <c r="L647" s="505">
        <v>1.192415230181668</v>
      </c>
      <c r="M647" s="505">
        <v>1.192415230181668</v>
      </c>
      <c r="N647" s="505">
        <v>1.192415230181668</v>
      </c>
      <c r="O647" s="505">
        <v>1.192415230181668</v>
      </c>
      <c r="P647" s="505">
        <v>1.192415230181668</v>
      </c>
      <c r="Q647" s="505">
        <v>1.192415230181668</v>
      </c>
      <c r="R647" s="505">
        <v>1.192415230181668</v>
      </c>
      <c r="S647" s="505">
        <v>1.192415230181668</v>
      </c>
      <c r="T647" s="505">
        <v>1.192415230181668</v>
      </c>
      <c r="U647" s="505">
        <v>1.192415230181668</v>
      </c>
      <c r="V647" s="505">
        <v>1.192415230181668</v>
      </c>
      <c r="W647" s="505">
        <v>1.192415230181668</v>
      </c>
      <c r="X647" s="505">
        <v>1.192415230181668</v>
      </c>
      <c r="Y647" s="505">
        <v>1.192415230181668</v>
      </c>
      <c r="Z647" s="505">
        <v>1.192415230181668</v>
      </c>
      <c r="AA647" s="505">
        <v>1.192415230181668</v>
      </c>
      <c r="AB647" s="505">
        <v>1.192415230181668</v>
      </c>
      <c r="AC647" s="505">
        <v>1.192415230181668</v>
      </c>
    </row>
    <row r="648" spans="1:29">
      <c r="A648" s="459" t="s">
        <v>349</v>
      </c>
      <c r="B648" s="459" t="s">
        <v>653</v>
      </c>
      <c r="C648" s="505">
        <v>1.3235671555470419</v>
      </c>
      <c r="D648" s="505">
        <v>1.3235671555470419</v>
      </c>
      <c r="E648" s="505">
        <v>1.3235671555470419</v>
      </c>
      <c r="F648" s="505">
        <v>1.3235671555470419</v>
      </c>
      <c r="G648" s="505">
        <v>1.3235671555470419</v>
      </c>
      <c r="H648" s="505">
        <v>1.3235671555470419</v>
      </c>
      <c r="I648" s="505">
        <v>1.3235671555470419</v>
      </c>
      <c r="J648" s="505">
        <v>1.3235671555470419</v>
      </c>
      <c r="K648" s="505">
        <v>1.3235671555470419</v>
      </c>
      <c r="L648" s="505">
        <v>1.3235671555470419</v>
      </c>
      <c r="M648" s="505">
        <v>1.3235671555470419</v>
      </c>
      <c r="N648" s="505">
        <v>1.3235671555470419</v>
      </c>
      <c r="O648" s="505">
        <v>1.3235671555470419</v>
      </c>
      <c r="P648" s="505">
        <v>1.3235671555470419</v>
      </c>
      <c r="Q648" s="505">
        <v>1.3235671555470419</v>
      </c>
      <c r="R648" s="505">
        <v>1.3235671555470419</v>
      </c>
      <c r="S648" s="505">
        <v>1.3235671555470419</v>
      </c>
      <c r="T648" s="505">
        <v>1.3235671555470419</v>
      </c>
      <c r="U648" s="505">
        <v>1.3235671555470419</v>
      </c>
      <c r="V648" s="505">
        <v>1.3235671555470419</v>
      </c>
      <c r="W648" s="505">
        <v>1.3235671555470419</v>
      </c>
      <c r="X648" s="505">
        <v>1.3235671555470419</v>
      </c>
      <c r="Y648" s="505">
        <v>1.3235671555470419</v>
      </c>
      <c r="Z648" s="505">
        <v>1.3235671555470419</v>
      </c>
      <c r="AA648" s="505">
        <v>1.3235671555470419</v>
      </c>
      <c r="AB648" s="505">
        <v>1.3235671555470419</v>
      </c>
      <c r="AC648" s="505">
        <v>1.3235671555470419</v>
      </c>
    </row>
    <row r="649" spans="1:29">
      <c r="A649" s="459" t="s">
        <v>350</v>
      </c>
      <c r="B649" s="459" t="s">
        <v>653</v>
      </c>
      <c r="C649" s="505">
        <v>1.3373617691545401</v>
      </c>
      <c r="D649" s="505">
        <v>1.3373617691545401</v>
      </c>
      <c r="E649" s="505">
        <v>1.3373617691545401</v>
      </c>
      <c r="F649" s="505">
        <v>1.3373617691545401</v>
      </c>
      <c r="G649" s="505">
        <v>1.3373617691545401</v>
      </c>
      <c r="H649" s="505">
        <v>1.3373617691545401</v>
      </c>
      <c r="I649" s="505">
        <v>1.3373617691545401</v>
      </c>
      <c r="J649" s="505">
        <v>1.3373617691545401</v>
      </c>
      <c r="K649" s="505">
        <v>1.3373617691545401</v>
      </c>
      <c r="L649" s="505">
        <v>1.3373617691545401</v>
      </c>
      <c r="M649" s="505">
        <v>1.3373617691545401</v>
      </c>
      <c r="N649" s="505">
        <v>1.3373617691545401</v>
      </c>
      <c r="O649" s="505">
        <v>1.3373617691545401</v>
      </c>
      <c r="P649" s="505">
        <v>1.3373617691545401</v>
      </c>
      <c r="Q649" s="505">
        <v>1.3373617691545401</v>
      </c>
      <c r="R649" s="505">
        <v>1.3373617691545401</v>
      </c>
      <c r="S649" s="505">
        <v>1.3373617691545401</v>
      </c>
      <c r="T649" s="505">
        <v>1.3373617691545401</v>
      </c>
      <c r="U649" s="505">
        <v>1.3373617691545401</v>
      </c>
      <c r="V649" s="505">
        <v>1.3373617691545401</v>
      </c>
      <c r="W649" s="505">
        <v>1.3373617691545401</v>
      </c>
      <c r="X649" s="505">
        <v>1.3373617691545401</v>
      </c>
      <c r="Y649" s="505">
        <v>1.3373617691545401</v>
      </c>
      <c r="Z649" s="505">
        <v>1.3373617691545401</v>
      </c>
      <c r="AA649" s="505">
        <v>1.3373617691545401</v>
      </c>
      <c r="AB649" s="505">
        <v>1.3373617691545401</v>
      </c>
      <c r="AC649" s="505">
        <v>1.3373617691545401</v>
      </c>
    </row>
    <row r="650" spans="1:29">
      <c r="A650" s="459" t="s">
        <v>351</v>
      </c>
      <c r="B650" s="459" t="s">
        <v>653</v>
      </c>
      <c r="C650" s="505">
        <v>1.4009525553811268</v>
      </c>
      <c r="D650" s="505">
        <v>1.4009525553811268</v>
      </c>
      <c r="E650" s="505">
        <v>1.4009525553811268</v>
      </c>
      <c r="F650" s="505">
        <v>1.4009525553811268</v>
      </c>
      <c r="G650" s="505">
        <v>1.4009525553811268</v>
      </c>
      <c r="H650" s="505">
        <v>1.4009525553811268</v>
      </c>
      <c r="I650" s="505">
        <v>1.4009525553811268</v>
      </c>
      <c r="J650" s="505">
        <v>1.4009525553811268</v>
      </c>
      <c r="K650" s="505">
        <v>1.4009525553811268</v>
      </c>
      <c r="L650" s="505">
        <v>1.4009525553811268</v>
      </c>
      <c r="M650" s="505">
        <v>1.4009525553811268</v>
      </c>
      <c r="N650" s="505">
        <v>1.4009525553811268</v>
      </c>
      <c r="O650" s="505">
        <v>1.4009525553811268</v>
      </c>
      <c r="P650" s="505">
        <v>1.4009525553811268</v>
      </c>
      <c r="Q650" s="505">
        <v>1.4009525553811268</v>
      </c>
      <c r="R650" s="505">
        <v>1.4009525553811268</v>
      </c>
      <c r="S650" s="505">
        <v>1.4009525553811268</v>
      </c>
      <c r="T650" s="505">
        <v>1.4009525553811268</v>
      </c>
      <c r="U650" s="505">
        <v>1.4009525553811268</v>
      </c>
      <c r="V650" s="505">
        <v>1.4009525553811268</v>
      </c>
      <c r="W650" s="505">
        <v>1.4009525553811268</v>
      </c>
      <c r="X650" s="505">
        <v>1.4009525553811268</v>
      </c>
      <c r="Y650" s="505">
        <v>1.4009525553811268</v>
      </c>
      <c r="Z650" s="505">
        <v>1.4009525553811268</v>
      </c>
      <c r="AA650" s="505">
        <v>1.4009525553811268</v>
      </c>
      <c r="AB650" s="505">
        <v>1.4009525553811268</v>
      </c>
      <c r="AC650" s="505">
        <v>1.4009525553811268</v>
      </c>
    </row>
    <row r="651" spans="1:29">
      <c r="A651" s="459" t="s">
        <v>352</v>
      </c>
      <c r="B651" s="459" t="s">
        <v>653</v>
      </c>
      <c r="C651" s="505">
        <v>1.4082063462648766</v>
      </c>
      <c r="D651" s="505">
        <v>1.4082063462648766</v>
      </c>
      <c r="E651" s="505">
        <v>1.4082063462648766</v>
      </c>
      <c r="F651" s="505">
        <v>1.4082063462648766</v>
      </c>
      <c r="G651" s="505">
        <v>1.4082063462648766</v>
      </c>
      <c r="H651" s="505">
        <v>1.4082063462648766</v>
      </c>
      <c r="I651" s="505">
        <v>1.4082063462648766</v>
      </c>
      <c r="J651" s="505">
        <v>1.4082063462648766</v>
      </c>
      <c r="K651" s="505">
        <v>1.4082063462648766</v>
      </c>
      <c r="L651" s="505">
        <v>1.4082063462648766</v>
      </c>
      <c r="M651" s="505">
        <v>1.4082063462648766</v>
      </c>
      <c r="N651" s="505">
        <v>1.4082063462648766</v>
      </c>
      <c r="O651" s="505">
        <v>1.4082063462648766</v>
      </c>
      <c r="P651" s="505">
        <v>1.4082063462648766</v>
      </c>
      <c r="Q651" s="505">
        <v>1.4082063462648766</v>
      </c>
      <c r="R651" s="505">
        <v>1.4082063462648766</v>
      </c>
      <c r="S651" s="505">
        <v>1.4082063462648766</v>
      </c>
      <c r="T651" s="505">
        <v>1.4082063462648766</v>
      </c>
      <c r="U651" s="505">
        <v>1.4082063462648766</v>
      </c>
      <c r="V651" s="505">
        <v>1.4082063462648766</v>
      </c>
      <c r="W651" s="505">
        <v>1.4082063462648766</v>
      </c>
      <c r="X651" s="505">
        <v>1.4082063462648766</v>
      </c>
      <c r="Y651" s="505">
        <v>1.4082063462648766</v>
      </c>
      <c r="Z651" s="505">
        <v>1.4082063462648766</v>
      </c>
      <c r="AA651" s="505">
        <v>1.4082063462648766</v>
      </c>
      <c r="AB651" s="505">
        <v>1.4082063462648766</v>
      </c>
      <c r="AC651" s="505">
        <v>1.4082063462648766</v>
      </c>
    </row>
    <row r="652" spans="1:29">
      <c r="A652" s="458" t="s">
        <v>353</v>
      </c>
      <c r="B652" s="458" t="s">
        <v>653</v>
      </c>
      <c r="C652" s="506">
        <v>1.5780931425905766</v>
      </c>
      <c r="D652" s="506">
        <v>1.5780931425905766</v>
      </c>
      <c r="E652" s="506">
        <v>1.5780931425905766</v>
      </c>
      <c r="F652" s="506">
        <v>1.5780931425905766</v>
      </c>
      <c r="G652" s="506">
        <v>1.5780931425905766</v>
      </c>
      <c r="H652" s="506">
        <v>1.5780931425905766</v>
      </c>
      <c r="I652" s="506">
        <v>1.5780931425905766</v>
      </c>
      <c r="J652" s="506">
        <v>1.5780931425905766</v>
      </c>
      <c r="K652" s="506">
        <v>1.5780931425905766</v>
      </c>
      <c r="L652" s="506">
        <v>1.5780931425905766</v>
      </c>
      <c r="M652" s="506">
        <v>1.5780931425905766</v>
      </c>
      <c r="N652" s="506">
        <v>1.5780931425905766</v>
      </c>
      <c r="O652" s="506">
        <v>1.5780931425905766</v>
      </c>
      <c r="P652" s="506">
        <v>1.5780931425905766</v>
      </c>
      <c r="Q652" s="506">
        <v>1.5780931425905766</v>
      </c>
      <c r="R652" s="506">
        <v>1.5780931425905766</v>
      </c>
      <c r="S652" s="506">
        <v>1.5780931425905766</v>
      </c>
      <c r="T652" s="506">
        <v>1.5780931425905766</v>
      </c>
      <c r="U652" s="506">
        <v>1.5780931425905766</v>
      </c>
      <c r="V652" s="506">
        <v>1.5780931425905766</v>
      </c>
      <c r="W652" s="506">
        <v>1.5780931425905766</v>
      </c>
      <c r="X652" s="506">
        <v>1.5780931425905766</v>
      </c>
      <c r="Y652" s="506">
        <v>1.5780931425905766</v>
      </c>
      <c r="Z652" s="506">
        <v>1.5780931425905766</v>
      </c>
      <c r="AA652" s="506">
        <v>1.5780931425905766</v>
      </c>
      <c r="AB652" s="506">
        <v>1.5780931425905766</v>
      </c>
      <c r="AC652" s="506">
        <v>1.5780931425905766</v>
      </c>
    </row>
    <row r="653" spans="1:29">
      <c r="A653" s="510" t="s">
        <v>657</v>
      </c>
      <c r="C653" s="459"/>
      <c r="D653" s="459"/>
      <c r="E653" s="459"/>
      <c r="F653" s="459"/>
      <c r="G653" s="459"/>
      <c r="H653" s="459"/>
      <c r="I653" s="459"/>
      <c r="J653" s="459"/>
      <c r="K653" s="459"/>
      <c r="L653" s="459"/>
      <c r="M653" s="459"/>
      <c r="N653" s="459"/>
      <c r="O653" s="459"/>
      <c r="P653" s="459"/>
      <c r="Q653" s="459"/>
      <c r="R653" s="459"/>
      <c r="S653" s="459"/>
      <c r="T653" s="459"/>
      <c r="U653" s="459"/>
      <c r="V653" s="459"/>
      <c r="W653" s="459"/>
      <c r="X653" s="459"/>
      <c r="Y653" s="459"/>
      <c r="Z653" s="459"/>
      <c r="AA653" s="459"/>
      <c r="AB653" s="459"/>
      <c r="AC653" s="459"/>
    </row>
    <row r="654" spans="1:29">
      <c r="A654" s="459"/>
      <c r="C654" s="459"/>
      <c r="D654" s="459"/>
      <c r="E654" s="459"/>
      <c r="F654" s="459"/>
      <c r="G654" s="459"/>
      <c r="H654" s="459"/>
      <c r="I654" s="459"/>
      <c r="J654" s="459"/>
      <c r="K654" s="459"/>
      <c r="L654" s="459"/>
      <c r="M654" s="459"/>
      <c r="N654" s="459"/>
      <c r="O654" s="459"/>
      <c r="P654" s="459"/>
      <c r="Q654" s="459"/>
      <c r="R654" s="459"/>
      <c r="S654" s="459"/>
      <c r="T654" s="459"/>
      <c r="U654" s="459"/>
      <c r="V654" s="459"/>
      <c r="W654" s="459"/>
      <c r="X654" s="459"/>
      <c r="Y654" s="459"/>
      <c r="Z654" s="459"/>
      <c r="AA654" s="459"/>
      <c r="AB654" s="459"/>
      <c r="AC654" s="459"/>
    </row>
    <row r="655" spans="1:29">
      <c r="A655" s="459"/>
      <c r="C655" s="459"/>
      <c r="D655" s="459"/>
      <c r="E655" s="459"/>
      <c r="F655" s="459"/>
      <c r="G655" s="459"/>
      <c r="H655" s="459"/>
      <c r="I655" s="459"/>
      <c r="J655" s="459"/>
      <c r="K655" s="459"/>
      <c r="L655" s="459"/>
      <c r="M655" s="459"/>
      <c r="N655" s="459"/>
      <c r="O655" s="459"/>
      <c r="P655" s="459"/>
      <c r="Q655" s="459"/>
      <c r="R655" s="459"/>
      <c r="S655" s="459"/>
      <c r="T655" s="459"/>
      <c r="U655" s="459"/>
      <c r="V655" s="459"/>
      <c r="W655" s="459"/>
      <c r="X655" s="459"/>
      <c r="Y655" s="459"/>
      <c r="Z655" s="459"/>
      <c r="AA655" s="459"/>
      <c r="AB655" s="459"/>
      <c r="AC655" s="459"/>
    </row>
    <row r="656" spans="1:29">
      <c r="A656" s="459"/>
      <c r="C656" s="459"/>
      <c r="D656" s="459"/>
      <c r="E656" s="459"/>
      <c r="F656" s="459"/>
      <c r="G656" s="459"/>
      <c r="H656" s="459"/>
      <c r="I656" s="459"/>
      <c r="J656" s="459"/>
      <c r="K656" s="459"/>
      <c r="L656" s="459"/>
      <c r="M656" s="459"/>
      <c r="N656" s="459"/>
      <c r="O656" s="459"/>
      <c r="P656" s="459"/>
      <c r="Q656" s="459"/>
      <c r="R656" s="459"/>
      <c r="S656" s="459"/>
      <c r="T656" s="459"/>
      <c r="U656" s="459"/>
      <c r="V656" s="459"/>
      <c r="W656" s="459"/>
      <c r="X656" s="459"/>
      <c r="Y656" s="459"/>
      <c r="Z656" s="459"/>
      <c r="AA656" s="459"/>
      <c r="AB656" s="459"/>
      <c r="AC656" s="459"/>
    </row>
    <row r="657" spans="1:29" ht="15.6">
      <c r="A657" s="425" t="s">
        <v>708</v>
      </c>
      <c r="C657" s="459"/>
      <c r="D657" s="459"/>
      <c r="E657" s="459"/>
      <c r="F657" s="459"/>
      <c r="G657" s="459"/>
      <c r="H657" s="459"/>
      <c r="I657" s="459"/>
      <c r="J657" s="459"/>
      <c r="K657" s="459"/>
      <c r="L657" s="459"/>
      <c r="M657" s="459"/>
      <c r="N657" s="459"/>
      <c r="O657" s="459"/>
      <c r="P657" s="459"/>
      <c r="Q657" s="459"/>
      <c r="R657" s="459"/>
      <c r="S657" s="459"/>
      <c r="T657" s="459"/>
      <c r="U657" s="459"/>
      <c r="V657" s="459"/>
      <c r="W657" s="459"/>
      <c r="X657" s="459"/>
      <c r="Y657" s="459"/>
      <c r="Z657" s="459"/>
      <c r="AA657" s="459"/>
      <c r="AB657" s="459"/>
      <c r="AC657" s="459"/>
    </row>
    <row r="658" spans="1:29">
      <c r="A658" s="131" t="s">
        <v>648</v>
      </c>
      <c r="B658" s="131" t="s">
        <v>64</v>
      </c>
      <c r="C658" s="131" t="str">
        <f>C645</f>
        <v>IE</v>
      </c>
      <c r="D658" s="131" t="str">
        <f t="shared" ref="D658:AC658" si="526">D645</f>
        <v>IE-CW</v>
      </c>
      <c r="E658" s="131" t="str">
        <f t="shared" si="526"/>
        <v>IE-D</v>
      </c>
      <c r="F658" s="131" t="str">
        <f t="shared" si="526"/>
        <v>IE-KE</v>
      </c>
      <c r="G658" s="131" t="str">
        <f t="shared" si="526"/>
        <v>IE-KK</v>
      </c>
      <c r="H658" s="131" t="str">
        <f t="shared" si="526"/>
        <v>IE-LS</v>
      </c>
      <c r="I658" s="131" t="str">
        <f t="shared" si="526"/>
        <v>IE-LD</v>
      </c>
      <c r="J658" s="131" t="str">
        <f t="shared" si="526"/>
        <v>IE-LH</v>
      </c>
      <c r="K658" s="131" t="str">
        <f t="shared" si="526"/>
        <v>IE-MH</v>
      </c>
      <c r="L658" s="131" t="str">
        <f t="shared" si="526"/>
        <v>IE-OY</v>
      </c>
      <c r="M658" s="131" t="str">
        <f t="shared" si="526"/>
        <v>IE-WH</v>
      </c>
      <c r="N658" s="131" t="str">
        <f t="shared" si="526"/>
        <v>IE-WX</v>
      </c>
      <c r="O658" s="131" t="str">
        <f t="shared" si="526"/>
        <v>IE-WW</v>
      </c>
      <c r="P658" s="131" t="str">
        <f t="shared" si="526"/>
        <v>IE-CE</v>
      </c>
      <c r="Q658" s="131" t="str">
        <f t="shared" si="526"/>
        <v>IE-CO</v>
      </c>
      <c r="R658" s="131" t="str">
        <f t="shared" si="526"/>
        <v>IE-KY</v>
      </c>
      <c r="S658" s="131" t="str">
        <f t="shared" si="526"/>
        <v>IE-LK</v>
      </c>
      <c r="T658" s="131" t="str">
        <f t="shared" si="526"/>
        <v>IE-TA</v>
      </c>
      <c r="U658" s="131" t="str">
        <f t="shared" si="526"/>
        <v>IE-WD</v>
      </c>
      <c r="V658" s="131" t="str">
        <f t="shared" si="526"/>
        <v>IE-G</v>
      </c>
      <c r="W658" s="131" t="str">
        <f t="shared" si="526"/>
        <v>IE-LM</v>
      </c>
      <c r="X658" s="131" t="str">
        <f t="shared" si="526"/>
        <v>IE-MO</v>
      </c>
      <c r="Y658" s="131" t="str">
        <f t="shared" si="526"/>
        <v>IE-RN</v>
      </c>
      <c r="Z658" s="131" t="str">
        <f t="shared" si="526"/>
        <v>IE-SO</v>
      </c>
      <c r="AA658" s="131" t="str">
        <f t="shared" si="526"/>
        <v>IE-CN</v>
      </c>
      <c r="AB658" s="131" t="str">
        <f t="shared" si="526"/>
        <v>IE-DL</v>
      </c>
      <c r="AC658" s="131" t="str">
        <f t="shared" si="526"/>
        <v>IE-MN</v>
      </c>
    </row>
    <row r="659" spans="1:29">
      <c r="A659" s="459" t="s">
        <v>669</v>
      </c>
      <c r="B659" s="459" t="s">
        <v>653</v>
      </c>
      <c r="C659" s="505">
        <f t="shared" ref="C659:H659" si="527">SUMPRODUCT(C633:C639,C646:C652)</f>
        <v>1.3982902286261438</v>
      </c>
      <c r="D659" s="505">
        <f t="shared" si="527"/>
        <v>1.4293400056268426</v>
      </c>
      <c r="E659" s="505">
        <f t="shared" si="527"/>
        <v>1.3973214674009706</v>
      </c>
      <c r="F659" s="505">
        <f t="shared" si="527"/>
        <v>1.3977513781816078</v>
      </c>
      <c r="G659" s="505">
        <f t="shared" si="527"/>
        <v>1.5780931425905766</v>
      </c>
      <c r="H659" s="505">
        <f t="shared" si="527"/>
        <v>1.37363011166233</v>
      </c>
      <c r="I659" s="505">
        <f>C659</f>
        <v>1.3982902286261438</v>
      </c>
      <c r="J659" s="505">
        <f t="shared" ref="J659:V659" si="528">SUMPRODUCT(J633:J639,J646:J652)</f>
        <v>1.4418174563639825</v>
      </c>
      <c r="K659" s="505">
        <f t="shared" si="528"/>
        <v>1.3915029397913203</v>
      </c>
      <c r="L659" s="505">
        <f t="shared" si="528"/>
        <v>1.4009525553811268</v>
      </c>
      <c r="M659" s="505">
        <f t="shared" si="528"/>
        <v>1.4092790578405063</v>
      </c>
      <c r="N659" s="505">
        <f t="shared" si="528"/>
        <v>1.4009525553811268</v>
      </c>
      <c r="O659" s="505">
        <f t="shared" si="528"/>
        <v>1.4184217555323364</v>
      </c>
      <c r="P659" s="505">
        <f t="shared" si="528"/>
        <v>1.3827837593163879</v>
      </c>
      <c r="Q659" s="505">
        <f t="shared" si="528"/>
        <v>1.3882009893803255</v>
      </c>
      <c r="R659" s="505">
        <f t="shared" si="528"/>
        <v>1.3435114445008736</v>
      </c>
      <c r="S659" s="505">
        <f t="shared" si="528"/>
        <v>1.3856561581194693</v>
      </c>
      <c r="T659" s="505">
        <f t="shared" si="528"/>
        <v>1.4624173480788598</v>
      </c>
      <c r="U659" s="505">
        <f t="shared" si="528"/>
        <v>1.4082063462648766</v>
      </c>
      <c r="V659" s="505">
        <f t="shared" si="528"/>
        <v>1.4594314273063471</v>
      </c>
      <c r="W659" s="505">
        <f>C659</f>
        <v>1.3982902286261438</v>
      </c>
      <c r="X659" s="505">
        <f>SUMPRODUCT(X633:X639,X646:X652)</f>
        <v>1.3691571622678333</v>
      </c>
      <c r="Y659" s="505">
        <f>C659</f>
        <v>1.3982902286261438</v>
      </c>
      <c r="Z659" s="505">
        <f>SUMPRODUCT(Z633:Z639,Z646:Z652)</f>
        <v>1.4045794508230016</v>
      </c>
      <c r="AA659" s="505">
        <f>SUMPRODUCT(AA633:AA639,AA646:AA652)</f>
        <v>1.171188111860114</v>
      </c>
      <c r="AB659" s="505">
        <f>SUMPRODUCT(AB633:AB639,AB646:AB652)</f>
        <v>1.4009525553811268</v>
      </c>
      <c r="AC659" s="505">
        <f>C659</f>
        <v>1.3982902286261438</v>
      </c>
    </row>
    <row r="660" spans="1:29">
      <c r="A660" s="458"/>
      <c r="B660" s="458" t="s">
        <v>640</v>
      </c>
      <c r="C660" s="508">
        <f>1000/C659</f>
        <v>715.15911327115953</v>
      </c>
      <c r="D660" s="508">
        <f>1000/D659</f>
        <v>699.62359974766548</v>
      </c>
      <c r="E660" s="508">
        <f>1000/E659</f>
        <v>715.65493218966151</v>
      </c>
      <c r="F660" s="508">
        <f>1000/F659</f>
        <v>715.43481595485252</v>
      </c>
      <c r="G660" s="508">
        <f t="shared" ref="G660" si="529">1000/G659</f>
        <v>633.67615827695272</v>
      </c>
      <c r="H660" s="508">
        <f t="shared" ref="H660" si="530">1000/H659</f>
        <v>727.99801890614287</v>
      </c>
      <c r="I660" s="508">
        <f t="shared" ref="I660" si="531">1000/I659</f>
        <v>715.15911327115953</v>
      </c>
      <c r="J660" s="508">
        <f t="shared" ref="J660" si="532">1000/J659</f>
        <v>693.56907532651826</v>
      </c>
      <c r="K660" s="508">
        <f t="shared" ref="K660" si="533">1000/K659</f>
        <v>718.64742172227614</v>
      </c>
      <c r="L660" s="508">
        <f t="shared" ref="L660" si="534">1000/L659</f>
        <v>713.80004708864078</v>
      </c>
      <c r="M660" s="508">
        <f t="shared" ref="M660" si="535">1000/M659</f>
        <v>709.58267238593555</v>
      </c>
      <c r="N660" s="508">
        <f t="shared" ref="N660" si="536">1000/N659</f>
        <v>713.80004708864078</v>
      </c>
      <c r="O660" s="508">
        <f t="shared" ref="O660" si="537">1000/O659</f>
        <v>705.00892706957814</v>
      </c>
      <c r="P660" s="508">
        <f t="shared" ref="P660" si="538">1000/P659</f>
        <v>723.17887251899299</v>
      </c>
      <c r="Q660" s="508">
        <f t="shared" ref="Q660" si="539">1000/Q659</f>
        <v>720.35678381585558</v>
      </c>
      <c r="R660" s="508">
        <f t="shared" ref="R660" si="540">1000/R659</f>
        <v>744.31818507620449</v>
      </c>
      <c r="S660" s="508">
        <f t="shared" ref="S660" si="541">1000/S659</f>
        <v>721.67975737728534</v>
      </c>
      <c r="T660" s="508">
        <f t="shared" ref="T660" si="542">1000/T659</f>
        <v>683.7993280876176</v>
      </c>
      <c r="U660" s="508">
        <f t="shared" ref="U660" si="543">1000/U659</f>
        <v>710.12320222274082</v>
      </c>
      <c r="V660" s="508">
        <f t="shared" ref="V660" si="544">1000/V659</f>
        <v>685.1983459378331</v>
      </c>
      <c r="W660" s="508">
        <f t="shared" ref="W660" si="545">1000/W659</f>
        <v>715.15911327115953</v>
      </c>
      <c r="X660" s="508">
        <f t="shared" ref="X660" si="546">1000/X659</f>
        <v>730.37634214587035</v>
      </c>
      <c r="Y660" s="508">
        <f t="shared" ref="Y660" si="547">1000/Y659</f>
        <v>715.15911327115953</v>
      </c>
      <c r="Z660" s="508">
        <f t="shared" ref="Z660" si="548">1000/Z659</f>
        <v>711.95687749387071</v>
      </c>
      <c r="AA660" s="508">
        <f t="shared" ref="AA660" si="549">1000/AA659</f>
        <v>853.83380336039431</v>
      </c>
      <c r="AB660" s="508">
        <f t="shared" ref="AB660" si="550">1000/AB659</f>
        <v>713.80004708864078</v>
      </c>
      <c r="AC660" s="508">
        <f t="shared" ref="AC660" si="551">1000/AC659</f>
        <v>715.15911327115953</v>
      </c>
    </row>
    <row r="664" spans="1:29" s="11" customFormat="1"/>
    <row r="669" spans="1:29">
      <c r="H669" s="459"/>
      <c r="I669" s="459"/>
      <c r="J669" s="459"/>
      <c r="K669" s="459"/>
    </row>
    <row r="670" spans="1:29">
      <c r="A670" t="s">
        <v>869</v>
      </c>
      <c r="H670" s="459"/>
      <c r="I670" s="459"/>
      <c r="J670" s="459"/>
      <c r="K670" s="459"/>
    </row>
    <row r="671" spans="1:29">
      <c r="A671" s="16" t="s">
        <v>2</v>
      </c>
      <c r="B671" s="16"/>
      <c r="C671" s="16">
        <v>2014</v>
      </c>
      <c r="D671" s="16">
        <v>2015</v>
      </c>
      <c r="E671" s="16">
        <v>2016</v>
      </c>
      <c r="F671" s="16">
        <v>2017</v>
      </c>
      <c r="G671" s="16">
        <v>2018</v>
      </c>
      <c r="H671" s="459"/>
      <c r="I671" s="459"/>
      <c r="J671" s="459"/>
      <c r="K671" s="459"/>
    </row>
    <row r="672" spans="1:29">
      <c r="A672" s="459" t="s">
        <v>45</v>
      </c>
      <c r="B672" s="134"/>
      <c r="C672" s="134">
        <v>414900</v>
      </c>
      <c r="D672" s="134">
        <f>C672</f>
        <v>414900</v>
      </c>
      <c r="E672" s="134">
        <v>429000</v>
      </c>
      <c r="F672" s="134">
        <v>438000</v>
      </c>
      <c r="G672" s="134">
        <v>445500</v>
      </c>
      <c r="H672" s="459"/>
      <c r="I672" s="459"/>
      <c r="J672" s="459"/>
      <c r="K672" s="459"/>
    </row>
    <row r="673" spans="1:14">
      <c r="A673" s="459" t="s">
        <v>44</v>
      </c>
      <c r="B673" s="134"/>
      <c r="C673" s="134">
        <v>19200</v>
      </c>
      <c r="D673" s="134">
        <f>C673</f>
        <v>19200</v>
      </c>
      <c r="E673" s="134">
        <v>24458</v>
      </c>
      <c r="F673" s="134">
        <v>25240</v>
      </c>
      <c r="G673" s="134">
        <v>26222</v>
      </c>
      <c r="H673" s="459"/>
      <c r="I673" s="459"/>
      <c r="J673" s="459"/>
      <c r="K673" s="459"/>
    </row>
    <row r="674" spans="1:14">
      <c r="A674" s="459" t="s">
        <v>46</v>
      </c>
      <c r="B674" s="134"/>
      <c r="C674" s="134">
        <v>15300</v>
      </c>
      <c r="D674" s="134">
        <f t="shared" ref="D674:D689" si="552">C674</f>
        <v>15300</v>
      </c>
      <c r="E674" s="134">
        <v>15700</v>
      </c>
      <c r="F674" s="134">
        <v>15527</v>
      </c>
      <c r="G674" s="134">
        <v>15005</v>
      </c>
      <c r="H674" s="459"/>
      <c r="I674" s="459"/>
      <c r="J674" s="459"/>
      <c r="K674" s="459"/>
    </row>
    <row r="675" spans="1:14">
      <c r="A675" s="459" t="s">
        <v>47</v>
      </c>
      <c r="B675" s="134"/>
      <c r="C675" s="134">
        <v>37400</v>
      </c>
      <c r="D675" s="134">
        <f t="shared" si="552"/>
        <v>37400</v>
      </c>
      <c r="E675" s="134">
        <v>36889</v>
      </c>
      <c r="F675" s="134">
        <v>36816</v>
      </c>
      <c r="G675" s="134">
        <v>37031</v>
      </c>
      <c r="H675" s="459"/>
      <c r="I675" s="459"/>
      <c r="J675" s="459"/>
      <c r="K675" s="459"/>
    </row>
    <row r="676" spans="1:14">
      <c r="A676" s="459" t="s">
        <v>48</v>
      </c>
      <c r="B676" s="134"/>
      <c r="C676" s="134">
        <v>8400</v>
      </c>
      <c r="D676" s="134">
        <f t="shared" si="552"/>
        <v>8400</v>
      </c>
      <c r="E676" s="134">
        <v>8700</v>
      </c>
      <c r="F676" s="134">
        <v>8600</v>
      </c>
      <c r="G676" s="134">
        <v>9032</v>
      </c>
      <c r="H676" s="459"/>
      <c r="I676" s="459"/>
      <c r="J676" s="459"/>
      <c r="K676" s="459"/>
    </row>
    <row r="677" spans="1:14">
      <c r="A677" s="459" t="s">
        <v>49</v>
      </c>
      <c r="B677" s="134"/>
      <c r="C677" s="134">
        <v>495200</v>
      </c>
      <c r="D677" s="134">
        <f t="shared" si="552"/>
        <v>495200</v>
      </c>
      <c r="E677" s="134">
        <f t="shared" ref="E677:F677" si="553">SUM(E672:E676)</f>
        <v>514747</v>
      </c>
      <c r="F677" s="134">
        <f t="shared" si="553"/>
        <v>524183</v>
      </c>
      <c r="G677" s="134">
        <f>SUM(G672:G676)</f>
        <v>532790</v>
      </c>
      <c r="H677" s="459"/>
      <c r="I677" s="459"/>
      <c r="J677" s="459"/>
      <c r="K677" s="459"/>
    </row>
    <row r="678" spans="1:14">
      <c r="A678" s="459"/>
      <c r="B678" s="15"/>
      <c r="C678" s="15">
        <v>0.64</v>
      </c>
      <c r="D678" s="15">
        <f t="shared" si="552"/>
        <v>0.64</v>
      </c>
      <c r="E678" s="15"/>
      <c r="F678" s="15"/>
      <c r="G678" s="15"/>
      <c r="H678" s="459"/>
      <c r="I678" s="459"/>
      <c r="J678" s="459"/>
      <c r="K678" s="459"/>
    </row>
    <row r="679" spans="1:14">
      <c r="A679" s="459" t="s">
        <v>50</v>
      </c>
      <c r="B679" s="134"/>
      <c r="C679" s="134">
        <v>1803</v>
      </c>
      <c r="D679" s="134">
        <f t="shared" si="552"/>
        <v>1803</v>
      </c>
      <c r="E679" s="134">
        <v>1990</v>
      </c>
      <c r="F679" s="134">
        <v>2121</v>
      </c>
      <c r="G679" s="134">
        <v>2281</v>
      </c>
      <c r="H679" s="459"/>
      <c r="I679" s="459"/>
      <c r="J679" s="459"/>
    </row>
    <row r="680" spans="1:14">
      <c r="A680" s="459" t="s">
        <v>51</v>
      </c>
      <c r="C680" s="459">
        <v>2.75</v>
      </c>
      <c r="D680" s="134">
        <f t="shared" si="552"/>
        <v>2.75</v>
      </c>
      <c r="E680" s="19">
        <v>2.59</v>
      </c>
      <c r="F680" s="19">
        <v>2.4700000000000002</v>
      </c>
      <c r="G680" s="19">
        <v>2.34</v>
      </c>
      <c r="H680" s="459"/>
      <c r="I680" s="459"/>
      <c r="J680" s="459"/>
      <c r="K680" s="459"/>
    </row>
    <row r="681" spans="1:14" s="459" customFormat="1">
      <c r="A681" s="459" t="s">
        <v>868</v>
      </c>
      <c r="C681" s="135">
        <f>10000*1000/C680/3600</f>
        <v>1010.10101010101</v>
      </c>
      <c r="D681" s="135">
        <f t="shared" ref="D681:G681" si="554">10000*1000/D680/3600</f>
        <v>1010.10101010101</v>
      </c>
      <c r="E681" s="135">
        <f t="shared" si="554"/>
        <v>1072.5010725010725</v>
      </c>
      <c r="F681" s="135">
        <f t="shared" si="554"/>
        <v>1124.6063877642825</v>
      </c>
      <c r="G681" s="135">
        <f t="shared" si="554"/>
        <v>1187.0845204178538</v>
      </c>
    </row>
    <row r="682" spans="1:14">
      <c r="A682" s="459"/>
      <c r="B682" s="15"/>
      <c r="C682" s="15">
        <v>0.69</v>
      </c>
      <c r="D682" s="15">
        <f t="shared" si="552"/>
        <v>0.69</v>
      </c>
      <c r="E682" s="15"/>
      <c r="F682" s="15"/>
      <c r="G682" s="15"/>
      <c r="H682" s="459"/>
      <c r="I682" s="459"/>
      <c r="J682" s="459"/>
      <c r="K682" s="459"/>
    </row>
    <row r="683" spans="1:14">
      <c r="A683" s="459" t="s">
        <v>52</v>
      </c>
      <c r="C683" s="459">
        <v>18.399999999999999</v>
      </c>
      <c r="D683" s="134">
        <f t="shared" si="552"/>
        <v>18.399999999999999</v>
      </c>
      <c r="E683" s="459">
        <v>18.399999999999999</v>
      </c>
      <c r="F683" s="459">
        <v>18.63</v>
      </c>
      <c r="G683" s="459">
        <v>18.88</v>
      </c>
      <c r="H683" s="459"/>
      <c r="I683" s="459"/>
      <c r="J683" s="459"/>
      <c r="K683" s="459"/>
      <c r="L683" s="459"/>
      <c r="M683" s="459"/>
      <c r="N683" s="459"/>
    </row>
    <row r="684" spans="1:14">
      <c r="A684" s="459" t="s">
        <v>53</v>
      </c>
      <c r="C684" s="459">
        <v>2.69</v>
      </c>
      <c r="D684" s="134">
        <f t="shared" si="552"/>
        <v>2.69</v>
      </c>
      <c r="E684" s="459">
        <v>2.8</v>
      </c>
      <c r="F684" s="459">
        <v>2.82</v>
      </c>
      <c r="G684" s="459">
        <v>2.82</v>
      </c>
      <c r="H684" s="459"/>
      <c r="I684" s="459"/>
      <c r="J684" s="459"/>
      <c r="K684" s="459"/>
      <c r="L684" s="459"/>
      <c r="M684" s="459"/>
      <c r="N684" s="459"/>
    </row>
    <row r="685" spans="1:14">
      <c r="A685" s="459"/>
      <c r="B685" s="15"/>
      <c r="C685" s="15">
        <v>0.65</v>
      </c>
      <c r="D685" s="15">
        <f t="shared" si="552"/>
        <v>0.65</v>
      </c>
      <c r="E685" s="15"/>
      <c r="F685" s="15"/>
      <c r="G685" s="15"/>
      <c r="H685" s="459"/>
      <c r="I685" s="459"/>
      <c r="J685" s="459"/>
      <c r="K685" s="459"/>
      <c r="L685" s="459"/>
      <c r="M685" s="459"/>
      <c r="N685" s="459"/>
    </row>
    <row r="686" spans="1:14">
      <c r="A686" s="459" t="s">
        <v>54</v>
      </c>
      <c r="C686" s="459">
        <v>597</v>
      </c>
      <c r="D686" s="134">
        <f t="shared" si="552"/>
        <v>597</v>
      </c>
      <c r="E686" s="459">
        <v>614</v>
      </c>
      <c r="F686" s="459">
        <v>616</v>
      </c>
      <c r="G686" s="459">
        <v>617</v>
      </c>
      <c r="H686" s="459"/>
      <c r="I686" s="459"/>
      <c r="J686" s="459"/>
      <c r="K686" s="459"/>
      <c r="L686" s="459"/>
      <c r="M686" s="459"/>
      <c r="N686" s="459"/>
    </row>
    <row r="687" spans="1:14">
      <c r="A687" s="459"/>
      <c r="B687" s="15"/>
      <c r="C687" s="15">
        <v>1.53</v>
      </c>
      <c r="D687" s="15">
        <f t="shared" si="552"/>
        <v>1.53</v>
      </c>
      <c r="E687" s="15"/>
      <c r="F687" s="15"/>
      <c r="G687" s="15"/>
      <c r="H687" s="459"/>
      <c r="I687" s="459"/>
      <c r="J687" s="459"/>
      <c r="K687" s="459"/>
      <c r="L687" s="459"/>
      <c r="M687" s="459"/>
      <c r="N687" s="459"/>
    </row>
    <row r="688" spans="1:14">
      <c r="A688" s="459" t="s">
        <v>55</v>
      </c>
      <c r="C688" s="459">
        <v>0.77</v>
      </c>
      <c r="D688" s="134">
        <f t="shared" si="552"/>
        <v>0.77</v>
      </c>
      <c r="E688" s="459">
        <v>0.74</v>
      </c>
      <c r="F688" s="459">
        <v>0.55000000000000004</v>
      </c>
      <c r="G688" s="459">
        <v>0.56000000000000005</v>
      </c>
      <c r="H688" s="459"/>
      <c r="I688" s="459"/>
      <c r="J688" s="459"/>
      <c r="K688" s="459"/>
      <c r="L688" s="459"/>
      <c r="M688" s="459"/>
      <c r="N688" s="459"/>
    </row>
    <row r="689" spans="1:14">
      <c r="A689" s="17"/>
      <c r="B689" s="18"/>
      <c r="C689" s="18">
        <v>2.27</v>
      </c>
      <c r="D689" s="18">
        <f t="shared" si="552"/>
        <v>2.27</v>
      </c>
      <c r="E689" s="18"/>
      <c r="F689" s="18"/>
      <c r="G689" s="18"/>
      <c r="H689" s="459"/>
      <c r="I689" s="459"/>
      <c r="J689" s="459"/>
      <c r="K689" s="459"/>
      <c r="L689" s="459"/>
      <c r="M689" s="459"/>
      <c r="N689" s="459"/>
    </row>
    <row r="690" spans="1:14">
      <c r="A690" s="459" t="s">
        <v>356</v>
      </c>
      <c r="C690" s="459"/>
      <c r="D690" s="459"/>
      <c r="F690" s="459"/>
      <c r="G690" s="459"/>
      <c r="H690" s="459"/>
      <c r="I690" s="459"/>
      <c r="J690" s="459"/>
      <c r="K690" s="459"/>
      <c r="L690" s="459"/>
      <c r="M690" s="459"/>
      <c r="N690" s="459"/>
    </row>
    <row r="691" spans="1:14">
      <c r="A691" s="389" t="s">
        <v>357</v>
      </c>
      <c r="B691" s="134"/>
      <c r="C691" s="134"/>
      <c r="D691" s="134"/>
      <c r="F691" s="134"/>
      <c r="G691" s="134"/>
      <c r="H691" s="134"/>
      <c r="I691" s="134"/>
    </row>
    <row r="694" spans="1:14">
      <c r="A694" s="16"/>
      <c r="B694" s="16" t="s">
        <v>499</v>
      </c>
      <c r="C694" s="16">
        <v>2014</v>
      </c>
      <c r="D694" s="16">
        <v>2015</v>
      </c>
      <c r="E694" s="16">
        <v>2016</v>
      </c>
      <c r="F694" s="16">
        <v>2017</v>
      </c>
      <c r="G694" s="16">
        <v>2018</v>
      </c>
    </row>
    <row r="695" spans="1:14">
      <c r="A695" s="21" t="s">
        <v>874</v>
      </c>
      <c r="B695" s="459" t="s">
        <v>870</v>
      </c>
      <c r="C695" s="134">
        <f>C673+C675</f>
        <v>56600</v>
      </c>
      <c r="D695" s="134">
        <f t="shared" ref="D695:G695" si="555">D673+D675</f>
        <v>56600</v>
      </c>
      <c r="E695" s="134">
        <f t="shared" si="555"/>
        <v>61347</v>
      </c>
      <c r="F695" s="134">
        <f t="shared" si="555"/>
        <v>62056</v>
      </c>
      <c r="G695" s="134">
        <f t="shared" si="555"/>
        <v>63253</v>
      </c>
    </row>
    <row r="696" spans="1:14">
      <c r="A696" s="21" t="s">
        <v>873</v>
      </c>
      <c r="B696" s="459" t="s">
        <v>870</v>
      </c>
      <c r="C696" s="134">
        <f>C672+C674</f>
        <v>430200</v>
      </c>
      <c r="D696" s="134">
        <f t="shared" ref="D696:G696" si="556">D672+D674</f>
        <v>430200</v>
      </c>
      <c r="E696" s="134">
        <f t="shared" si="556"/>
        <v>444700</v>
      </c>
      <c r="F696" s="134">
        <f t="shared" si="556"/>
        <v>453527</v>
      </c>
      <c r="G696" s="134">
        <f t="shared" si="556"/>
        <v>460505</v>
      </c>
    </row>
    <row r="697" spans="1:14">
      <c r="A697" s="21" t="s">
        <v>876</v>
      </c>
      <c r="B697" s="459" t="s">
        <v>875</v>
      </c>
      <c r="C697" s="38">
        <f>C695/100/C679</f>
        <v>0.31392124237382141</v>
      </c>
      <c r="D697" s="38">
        <f t="shared" ref="D697:G697" si="557">D695/100/D679</f>
        <v>0.31392124237382141</v>
      </c>
      <c r="E697" s="38">
        <f t="shared" si="557"/>
        <v>0.30827638190954776</v>
      </c>
      <c r="F697" s="38">
        <f t="shared" si="557"/>
        <v>0.29257897218293255</v>
      </c>
      <c r="G697" s="38">
        <f t="shared" si="557"/>
        <v>0.27730381411661553</v>
      </c>
    </row>
    <row r="698" spans="1:14">
      <c r="A698" s="21" t="s">
        <v>877</v>
      </c>
      <c r="B698" s="459" t="s">
        <v>875</v>
      </c>
      <c r="C698" s="38">
        <f>C696/100/C679</f>
        <v>2.3860232945091515</v>
      </c>
      <c r="D698" s="38">
        <f t="shared" ref="D698:G698" si="558">D696/100/D679</f>
        <v>2.3860232945091515</v>
      </c>
      <c r="E698" s="38">
        <f t="shared" si="558"/>
        <v>2.2346733668341709</v>
      </c>
      <c r="F698" s="38">
        <f t="shared" si="558"/>
        <v>2.1382696841112683</v>
      </c>
      <c r="G698" s="38">
        <f t="shared" si="558"/>
        <v>2.0188733011836915</v>
      </c>
    </row>
    <row r="699" spans="1:14" s="459" customFormat="1">
      <c r="A699" s="21" t="s">
        <v>1</v>
      </c>
      <c r="B699" s="459" t="s">
        <v>875</v>
      </c>
      <c r="C699" s="5">
        <f>C697+C698</f>
        <v>2.6999445368829731</v>
      </c>
      <c r="D699" s="5">
        <f t="shared" ref="D699:G699" si="559">D697+D698</f>
        <v>2.6999445368829731</v>
      </c>
      <c r="E699" s="5">
        <f t="shared" si="559"/>
        <v>2.5429497487437187</v>
      </c>
      <c r="F699" s="5">
        <f t="shared" si="559"/>
        <v>2.4308486562942009</v>
      </c>
      <c r="G699" s="5">
        <f t="shared" si="559"/>
        <v>2.2961771153003072</v>
      </c>
    </row>
    <row r="700" spans="1:14">
      <c r="A700" s="21" t="s">
        <v>871</v>
      </c>
      <c r="B700" s="459" t="s">
        <v>872</v>
      </c>
      <c r="C700" s="5">
        <f>10000*1000/C699/1000/3600</f>
        <v>1.0288277184333059</v>
      </c>
      <c r="D700" s="5">
        <f t="shared" ref="D700:G700" si="560">10000*1000/D699/1000/3600</f>
        <v>1.0288277184333059</v>
      </c>
      <c r="E700" s="5">
        <f t="shared" si="560"/>
        <v>1.0923447382906681</v>
      </c>
      <c r="F700" s="5">
        <f t="shared" si="560"/>
        <v>1.1427193423108726</v>
      </c>
      <c r="G700" s="5">
        <f t="shared" si="560"/>
        <v>1.2097402065669851</v>
      </c>
    </row>
    <row r="701" spans="1:14">
      <c r="A701" s="21" t="s">
        <v>84</v>
      </c>
      <c r="B701" s="459" t="s">
        <v>878</v>
      </c>
      <c r="C701">
        <v>80</v>
      </c>
      <c r="D701" s="459">
        <v>80</v>
      </c>
      <c r="E701" s="459">
        <v>80</v>
      </c>
      <c r="F701" s="459">
        <v>80</v>
      </c>
      <c r="G701" s="459">
        <v>80</v>
      </c>
    </row>
    <row r="702" spans="1:14">
      <c r="A702" s="615" t="s">
        <v>879</v>
      </c>
    </row>
  </sheetData>
  <hyperlinks>
    <hyperlink ref="A691" r:id="rId1" xr:uid="{4BA7157F-E0B2-4D7A-849C-9F2E12F79E5C}"/>
  </hyperlinks>
  <pageMargins left="0.7" right="0.7" top="0.75" bottom="0.75" header="0.3" footer="0.3"/>
  <pageSetup orientation="portrait" r:id="rId2"/>
  <ignoredErrors>
    <ignoredError sqref="D255" evalError="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1:BM117"/>
  <sheetViews>
    <sheetView topLeftCell="A28" zoomScale="90" zoomScaleNormal="90" workbookViewId="0">
      <selection activeCell="I27" sqref="I27"/>
    </sheetView>
  </sheetViews>
  <sheetFormatPr defaultRowHeight="14.4"/>
  <cols>
    <col min="1" max="1" width="5.44140625" customWidth="1"/>
    <col min="2" max="2" width="22.44140625" bestFit="1" customWidth="1"/>
    <col min="3" max="3" width="22.44140625" style="459" customWidth="1"/>
    <col min="31" max="31" width="16.44140625" bestFit="1" customWidth="1"/>
  </cols>
  <sheetData>
    <row r="1" spans="2:65">
      <c r="AE1" s="448"/>
      <c r="AF1" s="718"/>
      <c r="AG1" s="718"/>
      <c r="AH1" s="718"/>
      <c r="AI1" s="718"/>
      <c r="AJ1" s="718"/>
      <c r="AK1" s="718"/>
      <c r="AL1" s="718"/>
      <c r="AM1" s="718"/>
      <c r="AN1" s="718"/>
      <c r="AO1" s="718"/>
      <c r="AP1" s="718"/>
      <c r="AQ1" s="718"/>
      <c r="AR1" s="718"/>
      <c r="AS1" s="718"/>
      <c r="AT1" s="718"/>
      <c r="AU1" s="718"/>
      <c r="AV1" s="718"/>
      <c r="AW1" s="718"/>
      <c r="AX1" s="718"/>
      <c r="AY1" s="718"/>
      <c r="AZ1" s="718"/>
      <c r="BA1" s="718"/>
      <c r="BB1" s="718"/>
      <c r="BC1" s="718"/>
      <c r="BD1" s="718"/>
      <c r="BE1" s="718"/>
      <c r="BF1" s="718"/>
      <c r="BG1" s="718"/>
      <c r="BH1" s="718"/>
      <c r="BI1" s="718"/>
      <c r="BJ1" s="718"/>
      <c r="BK1" s="718"/>
      <c r="BL1" s="718"/>
      <c r="BM1" s="718"/>
    </row>
    <row r="2" spans="2:65">
      <c r="C2" s="453" t="s">
        <v>1054</v>
      </c>
      <c r="D2" s="448"/>
      <c r="E2" s="448"/>
      <c r="AE2" s="448"/>
      <c r="AF2" s="718"/>
      <c r="AG2" s="718"/>
      <c r="AH2" s="718"/>
      <c r="AI2" s="718"/>
      <c r="AJ2" s="718"/>
      <c r="AK2" s="718"/>
      <c r="AL2" s="718"/>
      <c r="AM2" s="718"/>
      <c r="AN2" s="718"/>
      <c r="AO2" s="718"/>
      <c r="AP2" s="718"/>
      <c r="AQ2" s="718"/>
      <c r="AR2" s="718"/>
      <c r="AS2" s="718"/>
      <c r="AT2" s="718"/>
      <c r="AU2" s="718"/>
      <c r="AV2" s="718"/>
      <c r="AW2" s="718"/>
      <c r="AX2" s="718"/>
      <c r="AY2" s="718"/>
      <c r="AZ2" s="718"/>
      <c r="BA2" s="718"/>
      <c r="BB2" s="718"/>
      <c r="BC2" s="718"/>
      <c r="BD2" s="718"/>
      <c r="BE2" s="718"/>
      <c r="BF2" s="718"/>
      <c r="BG2" s="718"/>
      <c r="BH2" s="718"/>
      <c r="BI2" s="718"/>
      <c r="BJ2" s="718"/>
      <c r="BK2" s="718"/>
      <c r="BL2" s="718"/>
      <c r="BM2" s="718"/>
    </row>
    <row r="3" spans="2:65" ht="15" thickBot="1">
      <c r="B3" s="41" t="s">
        <v>70</v>
      </c>
      <c r="C3" s="41" t="s">
        <v>96</v>
      </c>
      <c r="D3" s="460" t="str">
        <f>Efficiency!D4</f>
        <v>IE</v>
      </c>
      <c r="E3" s="460" t="str">
        <f>Efficiency!E4</f>
        <v>IE-CW</v>
      </c>
      <c r="F3" s="460" t="str">
        <f>Efficiency!F4</f>
        <v>IE-D</v>
      </c>
      <c r="G3" s="460" t="str">
        <f>Efficiency!G4</f>
        <v>IE-KE</v>
      </c>
      <c r="H3" s="460" t="str">
        <f>Efficiency!H4</f>
        <v>IE-KK</v>
      </c>
      <c r="I3" s="460" t="str">
        <f>Efficiency!I4</f>
        <v>IE-LS</v>
      </c>
      <c r="J3" s="460" t="str">
        <f>Efficiency!J4</f>
        <v>IE-LD</v>
      </c>
      <c r="K3" s="460" t="str">
        <f>Efficiency!K4</f>
        <v>IE-LH</v>
      </c>
      <c r="L3" s="460" t="str">
        <f>Efficiency!L4</f>
        <v>IE-MH</v>
      </c>
      <c r="M3" s="460" t="str">
        <f>Efficiency!M4</f>
        <v>IE-OY</v>
      </c>
      <c r="N3" s="460" t="str">
        <f>Efficiency!N4</f>
        <v>IE-WH</v>
      </c>
      <c r="O3" s="460" t="str">
        <f>Efficiency!O4</f>
        <v>IE-WX</v>
      </c>
      <c r="P3" s="460" t="str">
        <f>Efficiency!P4</f>
        <v>IE-WW</v>
      </c>
      <c r="Q3" s="460" t="str">
        <f>Efficiency!Q4</f>
        <v>IE-CE</v>
      </c>
      <c r="R3" s="460" t="str">
        <f>Efficiency!R4</f>
        <v>IE-CO</v>
      </c>
      <c r="S3" s="460" t="str">
        <f>Efficiency!S4</f>
        <v>IE-KY</v>
      </c>
      <c r="T3" s="460" t="str">
        <f>Efficiency!T4</f>
        <v>IE-LK</v>
      </c>
      <c r="U3" s="460" t="str">
        <f>Efficiency!U4</f>
        <v>IE-TA</v>
      </c>
      <c r="V3" s="460" t="str">
        <f>Efficiency!V4</f>
        <v>IE-WD</v>
      </c>
      <c r="W3" s="460" t="str">
        <f>Efficiency!W4</f>
        <v>IE-G</v>
      </c>
      <c r="X3" s="460" t="str">
        <f>Efficiency!X4</f>
        <v>IE-LM</v>
      </c>
      <c r="Y3" s="460" t="str">
        <f>Efficiency!Y4</f>
        <v>IE-MO</v>
      </c>
      <c r="Z3" s="460" t="str">
        <f>Efficiency!Z4</f>
        <v>IE-RN</v>
      </c>
      <c r="AA3" s="460" t="str">
        <f>Efficiency!AA4</f>
        <v>IE-SO</v>
      </c>
      <c r="AB3" s="460" t="str">
        <f>Efficiency!AB4</f>
        <v>IE-CN</v>
      </c>
      <c r="AC3" s="460" t="str">
        <f>Efficiency!AC4</f>
        <v>IE-DL</v>
      </c>
      <c r="AD3" s="460" t="str">
        <f>Efficiency!AD4</f>
        <v>IE-MN</v>
      </c>
      <c r="AF3" s="718"/>
      <c r="AG3" s="718"/>
      <c r="AH3" s="718"/>
      <c r="AI3" s="718"/>
      <c r="AJ3" s="718"/>
      <c r="AK3" s="718"/>
      <c r="AL3" s="718"/>
      <c r="AM3" s="718"/>
      <c r="AN3" s="718"/>
      <c r="AO3" s="718"/>
      <c r="AP3" s="718"/>
      <c r="AQ3" s="718"/>
      <c r="AR3" s="718"/>
      <c r="AS3" s="718"/>
      <c r="AT3" s="718"/>
      <c r="AU3" s="718"/>
      <c r="AV3" s="718"/>
      <c r="AW3" s="718"/>
      <c r="AX3" s="718"/>
      <c r="AY3" s="718"/>
      <c r="AZ3" s="718"/>
      <c r="BA3" s="718"/>
      <c r="BB3" s="718"/>
      <c r="BC3" s="718"/>
      <c r="BD3" s="718"/>
      <c r="BE3" s="718"/>
      <c r="BF3" s="718"/>
      <c r="BG3" s="718"/>
      <c r="BH3" s="718"/>
      <c r="BI3" s="718"/>
      <c r="BJ3" s="718"/>
      <c r="BK3" s="718"/>
      <c r="BL3" s="718"/>
      <c r="BM3" s="718"/>
    </row>
    <row r="4" spans="2:65" s="459" customFormat="1">
      <c r="B4" s="459" t="str">
        <f>Commodities!K8</f>
        <v>TWLK_WLK</v>
      </c>
      <c r="C4" s="459" t="s">
        <v>854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c r="AF4" s="718"/>
      <c r="AG4" s="718"/>
      <c r="AH4" s="718"/>
      <c r="AI4" s="718"/>
      <c r="AJ4" s="718"/>
      <c r="AK4" s="718"/>
      <c r="AL4" s="718"/>
      <c r="AM4" s="718"/>
      <c r="AN4" s="718"/>
      <c r="AO4" s="718"/>
      <c r="AP4" s="718"/>
      <c r="AQ4" s="718"/>
      <c r="AR4" s="718"/>
      <c r="AS4" s="718"/>
      <c r="AT4" s="718"/>
      <c r="AU4" s="718"/>
      <c r="AV4" s="718"/>
      <c r="AW4" s="718"/>
      <c r="AX4" s="718"/>
      <c r="AY4" s="718"/>
      <c r="AZ4" s="718"/>
      <c r="BA4" s="718"/>
      <c r="BB4" s="718"/>
      <c r="BC4" s="718"/>
      <c r="BD4" s="718"/>
      <c r="BE4" s="718"/>
      <c r="BF4" s="718"/>
      <c r="BG4" s="718"/>
      <c r="BH4" s="718"/>
      <c r="BI4" s="718"/>
      <c r="BJ4" s="718"/>
      <c r="BK4" s="718"/>
      <c r="BL4" s="718"/>
      <c r="BM4" s="718"/>
    </row>
    <row r="5" spans="2:65" s="459" customFormat="1">
      <c r="B5" s="459" t="str">
        <f>Commodities!K9</f>
        <v>TCYC_CYC</v>
      </c>
      <c r="C5" s="459" t="s">
        <v>854</v>
      </c>
      <c r="D5" s="723">
        <v>8</v>
      </c>
      <c r="E5" s="723">
        <v>8</v>
      </c>
      <c r="F5" s="723">
        <v>8</v>
      </c>
      <c r="G5" s="723">
        <v>8</v>
      </c>
      <c r="H5" s="723">
        <v>8</v>
      </c>
      <c r="I5" s="723">
        <v>8</v>
      </c>
      <c r="J5" s="723">
        <v>8</v>
      </c>
      <c r="K5" s="723">
        <v>8</v>
      </c>
      <c r="L5" s="723">
        <v>8</v>
      </c>
      <c r="M5" s="723">
        <v>8</v>
      </c>
      <c r="N5" s="723">
        <v>8</v>
      </c>
      <c r="O5" s="723">
        <v>8</v>
      </c>
      <c r="P5" s="723">
        <v>8</v>
      </c>
      <c r="Q5" s="723">
        <v>8</v>
      </c>
      <c r="R5" s="723">
        <v>8</v>
      </c>
      <c r="S5" s="723">
        <v>8</v>
      </c>
      <c r="T5" s="723">
        <v>8</v>
      </c>
      <c r="U5" s="723">
        <v>8</v>
      </c>
      <c r="V5" s="723">
        <v>8</v>
      </c>
      <c r="W5" s="723">
        <v>8</v>
      </c>
      <c r="X5" s="723">
        <v>8</v>
      </c>
      <c r="Y5" s="723">
        <v>8</v>
      </c>
      <c r="Z5" s="723">
        <v>8</v>
      </c>
      <c r="AA5" s="723">
        <v>8</v>
      </c>
      <c r="AB5" s="723">
        <v>8</v>
      </c>
      <c r="AC5" s="723">
        <v>8</v>
      </c>
      <c r="AD5" s="723">
        <v>8</v>
      </c>
      <c r="AF5" s="718"/>
      <c r="AG5" s="718"/>
      <c r="AH5" s="718"/>
      <c r="AI5" s="718"/>
      <c r="AJ5" s="718"/>
      <c r="AK5" s="718"/>
      <c r="AL5" s="718"/>
      <c r="AM5" s="718"/>
      <c r="AN5" s="718"/>
      <c r="AO5" s="718"/>
      <c r="AP5" s="718"/>
      <c r="AQ5" s="718"/>
      <c r="AR5" s="718"/>
      <c r="AS5" s="718"/>
      <c r="AT5" s="718"/>
      <c r="AU5" s="718"/>
      <c r="AV5" s="718"/>
      <c r="AW5" s="718"/>
      <c r="AX5" s="718"/>
      <c r="AY5" s="718"/>
      <c r="AZ5" s="718"/>
      <c r="BA5" s="718"/>
      <c r="BB5" s="718"/>
      <c r="BC5" s="718"/>
      <c r="BD5" s="718"/>
      <c r="BE5" s="718"/>
      <c r="BF5" s="718"/>
      <c r="BG5" s="718"/>
      <c r="BH5" s="718"/>
      <c r="BI5" s="718"/>
      <c r="BJ5" s="718"/>
      <c r="BK5" s="718"/>
      <c r="BL5" s="718"/>
      <c r="BM5" s="718"/>
    </row>
    <row r="6" spans="2:65">
      <c r="B6" s="448" t="str">
        <f>Commodities!K11</f>
        <v>TMOT_GSL_00</v>
      </c>
      <c r="C6" s="459" t="s">
        <v>854</v>
      </c>
      <c r="D6" s="723">
        <f>D69*1.1</f>
        <v>3.0041000000000002</v>
      </c>
      <c r="E6" s="723">
        <f t="shared" ref="E6:AD17" si="0">E69*1.1</f>
        <v>2.9007000000000001</v>
      </c>
      <c r="F6" s="723">
        <f t="shared" si="0"/>
        <v>3.0778000000000003</v>
      </c>
      <c r="G6" s="723">
        <f t="shared" si="0"/>
        <v>3.0008000000000004</v>
      </c>
      <c r="H6" s="723">
        <f t="shared" si="0"/>
        <v>2.9172000000000002</v>
      </c>
      <c r="I6" s="723">
        <f t="shared" si="0"/>
        <v>2.9810000000000003</v>
      </c>
      <c r="J6" s="723">
        <f t="shared" si="0"/>
        <v>2.9359000000000002</v>
      </c>
      <c r="K6" s="723">
        <f t="shared" si="0"/>
        <v>3.0338000000000003</v>
      </c>
      <c r="L6" s="723">
        <f t="shared" si="0"/>
        <v>2.9942000000000002</v>
      </c>
      <c r="M6" s="723">
        <f t="shared" si="0"/>
        <v>2.9216000000000002</v>
      </c>
      <c r="N6" s="723">
        <f t="shared" si="0"/>
        <v>2.9766000000000004</v>
      </c>
      <c r="O6" s="723">
        <f t="shared" si="0"/>
        <v>2.9227000000000003</v>
      </c>
      <c r="P6" s="723">
        <f t="shared" si="0"/>
        <v>2.9920000000000004</v>
      </c>
      <c r="Q6" s="723">
        <f t="shared" si="0"/>
        <v>2.9986000000000002</v>
      </c>
      <c r="R6" s="723">
        <f t="shared" si="0"/>
        <v>2.9568000000000003</v>
      </c>
      <c r="S6" s="723">
        <f t="shared" si="0"/>
        <v>2.9480000000000004</v>
      </c>
      <c r="T6" s="723">
        <f t="shared" si="0"/>
        <v>2.9700000000000006</v>
      </c>
      <c r="U6" s="723">
        <f t="shared" si="0"/>
        <v>2.9634</v>
      </c>
      <c r="V6" s="723">
        <f t="shared" si="0"/>
        <v>2.9128000000000003</v>
      </c>
      <c r="W6" s="723">
        <f t="shared" si="0"/>
        <v>2.9711000000000003</v>
      </c>
      <c r="X6" s="723">
        <f t="shared" si="0"/>
        <v>2.9975000000000005</v>
      </c>
      <c r="Y6" s="723">
        <f t="shared" si="0"/>
        <v>2.9898000000000002</v>
      </c>
      <c r="Z6" s="723">
        <f t="shared" si="0"/>
        <v>3.0019000000000005</v>
      </c>
      <c r="AA6" s="723">
        <f t="shared" si="0"/>
        <v>2.9128000000000003</v>
      </c>
      <c r="AB6" s="723">
        <f t="shared" si="0"/>
        <v>2.9821</v>
      </c>
      <c r="AC6" s="723">
        <f t="shared" si="0"/>
        <v>3.0723000000000003</v>
      </c>
      <c r="AD6" s="723">
        <f t="shared" si="0"/>
        <v>3.0580000000000007</v>
      </c>
      <c r="AF6" s="718"/>
      <c r="AG6" s="718"/>
      <c r="AH6" s="718"/>
      <c r="AI6" s="718"/>
      <c r="AJ6" s="718"/>
      <c r="AK6" s="718"/>
      <c r="AL6" s="718"/>
      <c r="AM6" s="718"/>
      <c r="AN6" s="718"/>
      <c r="AO6" s="718"/>
      <c r="AP6" s="718"/>
      <c r="AQ6" s="718"/>
      <c r="AR6" s="718"/>
      <c r="AS6" s="718"/>
      <c r="AT6" s="718"/>
      <c r="AU6" s="718"/>
      <c r="AV6" s="718"/>
      <c r="AW6" s="718"/>
      <c r="AX6" s="718"/>
      <c r="AY6" s="718"/>
      <c r="AZ6" s="718"/>
      <c r="BA6" s="718"/>
      <c r="BB6" s="718"/>
      <c r="BC6" s="718"/>
      <c r="BD6" s="718"/>
      <c r="BE6" s="718"/>
      <c r="BF6" s="718"/>
      <c r="BG6" s="718"/>
      <c r="BH6" s="718"/>
      <c r="BI6" s="718"/>
      <c r="BJ6" s="718"/>
      <c r="BK6" s="718"/>
      <c r="BL6" s="718"/>
      <c r="BM6" s="718"/>
    </row>
    <row r="7" spans="2:65">
      <c r="B7" s="448" t="str">
        <f>Commodities!K13</f>
        <v>TCAR_ICE_GSL_00</v>
      </c>
      <c r="C7" s="459" t="s">
        <v>854</v>
      </c>
      <c r="D7" s="723">
        <f t="shared" ref="D7:S22" si="1">D70*1.1</f>
        <v>14.098700000000001</v>
      </c>
      <c r="E7" s="723">
        <f t="shared" si="1"/>
        <v>14.891800000000002</v>
      </c>
      <c r="F7" s="723">
        <f t="shared" si="1"/>
        <v>12.123100000000003</v>
      </c>
      <c r="G7" s="723">
        <f t="shared" si="1"/>
        <v>14.881900000000002</v>
      </c>
      <c r="H7" s="723">
        <f t="shared" si="1"/>
        <v>15.1404</v>
      </c>
      <c r="I7" s="723">
        <f t="shared" si="1"/>
        <v>15.491300000000001</v>
      </c>
      <c r="J7" s="723">
        <f t="shared" si="1"/>
        <v>15.424200000000001</v>
      </c>
      <c r="K7" s="723">
        <f t="shared" si="1"/>
        <v>14.501300000000001</v>
      </c>
      <c r="L7" s="723">
        <f t="shared" si="1"/>
        <v>15.335100000000002</v>
      </c>
      <c r="M7" s="723">
        <f t="shared" si="1"/>
        <v>15.543000000000003</v>
      </c>
      <c r="N7" s="723">
        <f t="shared" si="1"/>
        <v>15.296600000000002</v>
      </c>
      <c r="O7" s="723">
        <f t="shared" si="1"/>
        <v>15.3329</v>
      </c>
      <c r="P7" s="723">
        <f t="shared" si="1"/>
        <v>14.7521</v>
      </c>
      <c r="Q7" s="723">
        <f t="shared" si="1"/>
        <v>15.6167</v>
      </c>
      <c r="R7" s="723">
        <f t="shared" si="1"/>
        <v>14.375900000000001</v>
      </c>
      <c r="S7" s="723">
        <f t="shared" si="1"/>
        <v>15.283400000000002</v>
      </c>
      <c r="T7" s="723">
        <f t="shared" si="0"/>
        <v>14.8126</v>
      </c>
      <c r="U7" s="723">
        <f t="shared" si="0"/>
        <v>15.660700000000002</v>
      </c>
      <c r="V7" s="723">
        <f t="shared" si="0"/>
        <v>14.4496</v>
      </c>
      <c r="W7" s="723">
        <f t="shared" si="0"/>
        <v>14.912700000000001</v>
      </c>
      <c r="X7" s="723">
        <f t="shared" si="0"/>
        <v>16.041300000000003</v>
      </c>
      <c r="Y7" s="723">
        <f t="shared" si="0"/>
        <v>15.385700000000002</v>
      </c>
      <c r="Z7" s="723">
        <f t="shared" si="0"/>
        <v>16.914700000000003</v>
      </c>
      <c r="AA7" s="723">
        <f t="shared" si="0"/>
        <v>14.767500000000002</v>
      </c>
      <c r="AB7" s="723">
        <f t="shared" si="0"/>
        <v>15.639800000000001</v>
      </c>
      <c r="AC7" s="723">
        <f t="shared" si="0"/>
        <v>15.264700000000001</v>
      </c>
      <c r="AD7" s="723">
        <f t="shared" si="0"/>
        <v>15.159100000000002</v>
      </c>
      <c r="AF7" s="718"/>
      <c r="AG7" s="718"/>
      <c r="AH7" s="718"/>
      <c r="AI7" s="718"/>
      <c r="AJ7" s="718"/>
      <c r="AK7" s="718"/>
      <c r="AL7" s="718"/>
      <c r="AM7" s="718"/>
      <c r="AN7" s="718"/>
      <c r="AO7" s="718"/>
      <c r="AP7" s="718"/>
      <c r="AQ7" s="718"/>
      <c r="AR7" s="718"/>
      <c r="AS7" s="718"/>
      <c r="AT7" s="718"/>
      <c r="AU7" s="718"/>
      <c r="AV7" s="718"/>
      <c r="AW7" s="718"/>
      <c r="AX7" s="718"/>
      <c r="AY7" s="718"/>
      <c r="AZ7" s="718"/>
      <c r="BA7" s="718"/>
      <c r="BB7" s="718"/>
      <c r="BC7" s="718"/>
      <c r="BD7" s="718"/>
      <c r="BE7" s="718"/>
      <c r="BF7" s="718"/>
      <c r="BG7" s="718"/>
      <c r="BH7" s="718"/>
      <c r="BI7" s="718"/>
      <c r="BJ7" s="718"/>
      <c r="BK7" s="718"/>
      <c r="BL7" s="718"/>
      <c r="BM7" s="718"/>
    </row>
    <row r="8" spans="2:65">
      <c r="B8" s="459" t="str">
        <f>Commodities!K14</f>
        <v>TCAR_ICE_DST_00</v>
      </c>
      <c r="C8" s="459" t="s">
        <v>854</v>
      </c>
      <c r="D8" s="723">
        <f>D71</f>
        <v>20.617000000000001</v>
      </c>
      <c r="E8" s="723">
        <f t="shared" ref="E8:AD8" si="2">E71</f>
        <v>21.731000000000002</v>
      </c>
      <c r="F8" s="723">
        <f t="shared" si="2"/>
        <v>18.106000000000002</v>
      </c>
      <c r="G8" s="723">
        <f t="shared" si="2"/>
        <v>20.908999999999999</v>
      </c>
      <c r="H8" s="723">
        <f t="shared" si="2"/>
        <v>21.75</v>
      </c>
      <c r="I8" s="723">
        <f t="shared" si="2"/>
        <v>22.298999999999999</v>
      </c>
      <c r="J8" s="723">
        <f t="shared" si="2"/>
        <v>22.722999999999999</v>
      </c>
      <c r="K8" s="723">
        <f t="shared" si="2"/>
        <v>20.613</v>
      </c>
      <c r="L8" s="723">
        <f t="shared" si="2"/>
        <v>21.196999999999999</v>
      </c>
      <c r="M8" s="723">
        <f t="shared" si="2"/>
        <v>22.055</v>
      </c>
      <c r="N8" s="723">
        <f t="shared" si="2"/>
        <v>22.035</v>
      </c>
      <c r="O8" s="723">
        <f t="shared" si="2"/>
        <v>21.408000000000001</v>
      </c>
      <c r="P8" s="723">
        <f t="shared" si="2"/>
        <v>20.399999999999999</v>
      </c>
      <c r="Q8" s="723">
        <f t="shared" si="2"/>
        <v>22.021000000000001</v>
      </c>
      <c r="R8" s="723">
        <f t="shared" si="2"/>
        <v>20.07</v>
      </c>
      <c r="S8" s="723">
        <f t="shared" si="2"/>
        <v>20.986000000000001</v>
      </c>
      <c r="T8" s="723">
        <f t="shared" si="2"/>
        <v>21.373999999999999</v>
      </c>
      <c r="U8" s="723">
        <f t="shared" si="2"/>
        <v>22.268999999999998</v>
      </c>
      <c r="V8" s="723">
        <f t="shared" si="2"/>
        <v>20.774999999999999</v>
      </c>
      <c r="W8" s="723">
        <f t="shared" si="2"/>
        <v>21.388000000000002</v>
      </c>
      <c r="X8" s="723">
        <f t="shared" si="2"/>
        <v>22.28</v>
      </c>
      <c r="Y8" s="723">
        <f t="shared" si="2"/>
        <v>21.443000000000001</v>
      </c>
      <c r="Z8" s="723">
        <f t="shared" si="2"/>
        <v>23.317</v>
      </c>
      <c r="AA8" s="723">
        <f t="shared" si="2"/>
        <v>21.324000000000002</v>
      </c>
      <c r="AB8" s="723">
        <f t="shared" si="2"/>
        <v>21.887</v>
      </c>
      <c r="AC8" s="723">
        <f t="shared" si="2"/>
        <v>20.55</v>
      </c>
      <c r="AD8" s="723">
        <f t="shared" si="2"/>
        <v>21.584</v>
      </c>
      <c r="AF8" s="718"/>
      <c r="AG8" s="718"/>
      <c r="AH8" s="718"/>
      <c r="AI8" s="718"/>
      <c r="AJ8" s="718"/>
      <c r="AK8" s="718"/>
      <c r="AL8" s="718"/>
      <c r="AM8" s="718"/>
      <c r="AN8" s="718"/>
      <c r="AO8" s="718"/>
      <c r="AP8" s="718"/>
      <c r="AQ8" s="718"/>
      <c r="AR8" s="718"/>
      <c r="AS8" s="718"/>
      <c r="AT8" s="718"/>
      <c r="AU8" s="718"/>
      <c r="AV8" s="718"/>
      <c r="AW8" s="718"/>
      <c r="AX8" s="718"/>
      <c r="AY8" s="718"/>
      <c r="AZ8" s="718"/>
      <c r="BA8" s="718"/>
      <c r="BB8" s="718"/>
      <c r="BC8" s="718"/>
      <c r="BD8" s="718"/>
      <c r="BE8" s="718"/>
      <c r="BF8" s="718"/>
      <c r="BG8" s="718"/>
      <c r="BH8" s="718"/>
      <c r="BI8" s="718"/>
      <c r="BJ8" s="718"/>
      <c r="BK8" s="718"/>
      <c r="BL8" s="718"/>
      <c r="BM8" s="718"/>
    </row>
    <row r="9" spans="2:65">
      <c r="B9" s="459" t="str">
        <f>Commodities!K15</f>
        <v>TCAR_ICE_DF_00</v>
      </c>
      <c r="C9" s="459" t="s">
        <v>854</v>
      </c>
      <c r="D9" s="723">
        <f t="shared" si="1"/>
        <v>14.788400000000003</v>
      </c>
      <c r="E9" s="723">
        <f t="shared" si="0"/>
        <v>15.5001</v>
      </c>
      <c r="F9" s="723">
        <f t="shared" si="0"/>
        <v>14.1317</v>
      </c>
      <c r="G9" s="723">
        <f t="shared" si="0"/>
        <v>15.304300000000001</v>
      </c>
      <c r="H9" s="723">
        <f t="shared" si="0"/>
        <v>15.793800000000003</v>
      </c>
      <c r="I9" s="723">
        <f t="shared" si="0"/>
        <v>16.044600000000003</v>
      </c>
      <c r="J9" s="723">
        <f t="shared" si="0"/>
        <v>15.404400000000001</v>
      </c>
      <c r="K9" s="723">
        <f t="shared" si="0"/>
        <v>14.755400000000002</v>
      </c>
      <c r="L9" s="723">
        <f t="shared" si="0"/>
        <v>15.513300000000001</v>
      </c>
      <c r="M9" s="723">
        <f t="shared" si="0"/>
        <v>15.953300000000002</v>
      </c>
      <c r="N9" s="723">
        <f t="shared" si="0"/>
        <v>15.409900000000002</v>
      </c>
      <c r="O9" s="723">
        <f t="shared" si="0"/>
        <v>15.545200000000001</v>
      </c>
      <c r="P9" s="723">
        <f t="shared" si="0"/>
        <v>15.3065</v>
      </c>
      <c r="Q9" s="723">
        <f t="shared" si="0"/>
        <v>15.485800000000001</v>
      </c>
      <c r="R9" s="723">
        <f t="shared" si="0"/>
        <v>14.690500000000002</v>
      </c>
      <c r="S9" s="723">
        <f t="shared" si="0"/>
        <v>15.158000000000001</v>
      </c>
      <c r="T9" s="723">
        <f t="shared" si="0"/>
        <v>15.314200000000001</v>
      </c>
      <c r="U9" s="723">
        <f t="shared" si="0"/>
        <v>15.272400000000001</v>
      </c>
      <c r="V9" s="723">
        <f t="shared" si="0"/>
        <v>15.335100000000002</v>
      </c>
      <c r="W9" s="723">
        <f t="shared" si="0"/>
        <v>15.3241</v>
      </c>
      <c r="X9" s="723">
        <f t="shared" si="0"/>
        <v>15.557300000000001</v>
      </c>
      <c r="Y9" s="723">
        <f t="shared" si="0"/>
        <v>15.610100000000003</v>
      </c>
      <c r="Z9" s="723">
        <f t="shared" si="0"/>
        <v>15.569400000000002</v>
      </c>
      <c r="AA9" s="723">
        <f t="shared" si="0"/>
        <v>15.237200000000001</v>
      </c>
      <c r="AB9" s="723">
        <f t="shared" si="0"/>
        <v>15.468200000000001</v>
      </c>
      <c r="AC9" s="723">
        <f t="shared" si="0"/>
        <v>15.734400000000001</v>
      </c>
      <c r="AD9" s="723">
        <f t="shared" si="0"/>
        <v>15.170100000000001</v>
      </c>
      <c r="AF9" s="718"/>
      <c r="AG9" s="718"/>
      <c r="AH9" s="718"/>
      <c r="AI9" s="718"/>
      <c r="AJ9" s="718"/>
      <c r="AK9" s="718"/>
      <c r="AL9" s="718"/>
      <c r="AM9" s="718"/>
      <c r="AN9" s="718"/>
      <c r="AO9" s="718"/>
      <c r="AP9" s="718"/>
      <c r="AQ9" s="718"/>
      <c r="AR9" s="718"/>
      <c r="AS9" s="718"/>
      <c r="AT9" s="718"/>
      <c r="AU9" s="718"/>
      <c r="AV9" s="718"/>
      <c r="AW9" s="718"/>
      <c r="AX9" s="718"/>
      <c r="AY9" s="718"/>
      <c r="AZ9" s="718"/>
      <c r="BA9" s="718"/>
      <c r="BB9" s="718"/>
      <c r="BC9" s="718"/>
      <c r="BD9" s="718"/>
      <c r="BE9" s="718"/>
      <c r="BF9" s="718"/>
      <c r="BG9" s="718"/>
      <c r="BH9" s="718"/>
      <c r="BI9" s="718"/>
      <c r="BJ9" s="718"/>
      <c r="BK9" s="718"/>
      <c r="BL9" s="718"/>
      <c r="BM9" s="718"/>
    </row>
    <row r="10" spans="2:65">
      <c r="B10" s="459" t="str">
        <f>Commodities!K16</f>
        <v>TCAR_ICE_E85_00</v>
      </c>
      <c r="C10" s="459" t="s">
        <v>854</v>
      </c>
      <c r="D10" s="723">
        <f t="shared" si="1"/>
        <v>14.788400000000003</v>
      </c>
      <c r="E10" s="723">
        <f t="shared" si="0"/>
        <v>15.5001</v>
      </c>
      <c r="F10" s="723">
        <f t="shared" si="0"/>
        <v>14.1317</v>
      </c>
      <c r="G10" s="723">
        <f t="shared" si="0"/>
        <v>15.304300000000001</v>
      </c>
      <c r="H10" s="723">
        <f t="shared" si="0"/>
        <v>15.793800000000003</v>
      </c>
      <c r="I10" s="723">
        <f t="shared" si="0"/>
        <v>16.044600000000003</v>
      </c>
      <c r="J10" s="723">
        <f t="shared" si="0"/>
        <v>15.404400000000001</v>
      </c>
      <c r="K10" s="723">
        <f t="shared" si="0"/>
        <v>14.755400000000002</v>
      </c>
      <c r="L10" s="723">
        <f t="shared" si="0"/>
        <v>15.513300000000001</v>
      </c>
      <c r="M10" s="723">
        <f t="shared" si="0"/>
        <v>15.953300000000002</v>
      </c>
      <c r="N10" s="723">
        <f t="shared" si="0"/>
        <v>15.409900000000002</v>
      </c>
      <c r="O10" s="723">
        <f t="shared" si="0"/>
        <v>15.545200000000001</v>
      </c>
      <c r="P10" s="723">
        <f t="shared" si="0"/>
        <v>15.3065</v>
      </c>
      <c r="Q10" s="723">
        <f t="shared" si="0"/>
        <v>15.485800000000001</v>
      </c>
      <c r="R10" s="723">
        <f t="shared" si="0"/>
        <v>14.690500000000002</v>
      </c>
      <c r="S10" s="723">
        <f t="shared" si="0"/>
        <v>15.158000000000001</v>
      </c>
      <c r="T10" s="723">
        <f t="shared" si="0"/>
        <v>15.314200000000001</v>
      </c>
      <c r="U10" s="723">
        <f t="shared" si="0"/>
        <v>15.272400000000001</v>
      </c>
      <c r="V10" s="723">
        <f t="shared" si="0"/>
        <v>15.335100000000002</v>
      </c>
      <c r="W10" s="723">
        <f t="shared" si="0"/>
        <v>15.3241</v>
      </c>
      <c r="X10" s="723">
        <f t="shared" si="0"/>
        <v>15.557300000000001</v>
      </c>
      <c r="Y10" s="723">
        <f t="shared" si="0"/>
        <v>15.610100000000003</v>
      </c>
      <c r="Z10" s="723">
        <f t="shared" si="0"/>
        <v>15.569400000000002</v>
      </c>
      <c r="AA10" s="723">
        <f t="shared" si="0"/>
        <v>15.237200000000001</v>
      </c>
      <c r="AB10" s="723">
        <f t="shared" si="0"/>
        <v>15.468200000000001</v>
      </c>
      <c r="AC10" s="723">
        <f t="shared" si="0"/>
        <v>15.734400000000001</v>
      </c>
      <c r="AD10" s="723">
        <f t="shared" si="0"/>
        <v>15.170100000000001</v>
      </c>
      <c r="AF10" s="718"/>
      <c r="AG10" s="718"/>
      <c r="AH10" s="718"/>
      <c r="AI10" s="718"/>
      <c r="AJ10" s="718"/>
      <c r="AK10" s="718"/>
      <c r="AL10" s="718"/>
      <c r="AM10" s="718"/>
      <c r="AN10" s="718"/>
      <c r="AO10" s="718"/>
      <c r="AP10" s="718"/>
      <c r="AQ10" s="718"/>
      <c r="AR10" s="718"/>
      <c r="AS10" s="718"/>
      <c r="AT10" s="718"/>
      <c r="AU10" s="718"/>
      <c r="AV10" s="718"/>
      <c r="AW10" s="718"/>
      <c r="AX10" s="718"/>
      <c r="AY10" s="718"/>
      <c r="AZ10" s="718"/>
      <c r="BA10" s="718"/>
      <c r="BB10" s="718"/>
      <c r="BC10" s="718"/>
      <c r="BD10" s="718"/>
      <c r="BE10" s="718"/>
      <c r="BF10" s="718"/>
      <c r="BG10" s="718"/>
      <c r="BH10" s="718"/>
      <c r="BI10" s="718"/>
      <c r="BJ10" s="718"/>
      <c r="BK10" s="718"/>
      <c r="BL10" s="718"/>
      <c r="BM10" s="718"/>
    </row>
    <row r="11" spans="2:65">
      <c r="B11" s="459" t="str">
        <f>Commodities!K17</f>
        <v>TCAR_HEV_GSL_00</v>
      </c>
      <c r="C11" s="459" t="s">
        <v>854</v>
      </c>
      <c r="D11" s="723">
        <f t="shared" si="1"/>
        <v>14.098700000000001</v>
      </c>
      <c r="E11" s="723">
        <f t="shared" si="0"/>
        <v>14.891800000000002</v>
      </c>
      <c r="F11" s="723">
        <f t="shared" si="0"/>
        <v>12.123100000000003</v>
      </c>
      <c r="G11" s="723">
        <f t="shared" si="0"/>
        <v>14.881900000000002</v>
      </c>
      <c r="H11" s="723">
        <f t="shared" si="0"/>
        <v>15.1404</v>
      </c>
      <c r="I11" s="723">
        <f t="shared" si="0"/>
        <v>15.491300000000001</v>
      </c>
      <c r="J11" s="723">
        <f t="shared" si="0"/>
        <v>15.424200000000001</v>
      </c>
      <c r="K11" s="723">
        <f t="shared" si="0"/>
        <v>14.501300000000001</v>
      </c>
      <c r="L11" s="723">
        <f t="shared" si="0"/>
        <v>15.335100000000002</v>
      </c>
      <c r="M11" s="723">
        <f t="shared" si="0"/>
        <v>15.543000000000003</v>
      </c>
      <c r="N11" s="723">
        <f t="shared" si="0"/>
        <v>15.296600000000002</v>
      </c>
      <c r="O11" s="723">
        <f t="shared" si="0"/>
        <v>15.3329</v>
      </c>
      <c r="P11" s="723">
        <f t="shared" si="0"/>
        <v>14.7521</v>
      </c>
      <c r="Q11" s="723">
        <f t="shared" si="0"/>
        <v>15.6167</v>
      </c>
      <c r="R11" s="723">
        <f t="shared" si="0"/>
        <v>14.375900000000001</v>
      </c>
      <c r="S11" s="723">
        <f t="shared" si="0"/>
        <v>15.283400000000002</v>
      </c>
      <c r="T11" s="723">
        <f t="shared" si="0"/>
        <v>14.8126</v>
      </c>
      <c r="U11" s="723">
        <f t="shared" si="0"/>
        <v>15.660700000000002</v>
      </c>
      <c r="V11" s="723">
        <f t="shared" si="0"/>
        <v>14.4496</v>
      </c>
      <c r="W11" s="723">
        <f t="shared" si="0"/>
        <v>14.912700000000001</v>
      </c>
      <c r="X11" s="723">
        <f t="shared" si="0"/>
        <v>16.041300000000003</v>
      </c>
      <c r="Y11" s="723">
        <f t="shared" si="0"/>
        <v>15.385700000000002</v>
      </c>
      <c r="Z11" s="723">
        <f t="shared" si="0"/>
        <v>16.914700000000003</v>
      </c>
      <c r="AA11" s="723">
        <f t="shared" si="0"/>
        <v>14.767500000000002</v>
      </c>
      <c r="AB11" s="723">
        <f t="shared" si="0"/>
        <v>15.639800000000001</v>
      </c>
      <c r="AC11" s="723">
        <f t="shared" si="0"/>
        <v>15.264700000000001</v>
      </c>
      <c r="AD11" s="723">
        <f t="shared" si="0"/>
        <v>15.159100000000002</v>
      </c>
      <c r="AF11" s="718"/>
      <c r="AG11" s="718"/>
      <c r="AH11" s="718"/>
      <c r="AI11" s="718"/>
      <c r="AJ11" s="718"/>
      <c r="AK11" s="718"/>
      <c r="AL11" s="718"/>
      <c r="AM11" s="718"/>
      <c r="AN11" s="718"/>
      <c r="AO11" s="718"/>
      <c r="AP11" s="718"/>
      <c r="AQ11" s="718"/>
      <c r="AR11" s="718"/>
      <c r="AS11" s="718"/>
      <c r="AT11" s="718"/>
      <c r="AU11" s="718"/>
      <c r="AV11" s="718"/>
      <c r="AW11" s="718"/>
      <c r="AX11" s="718"/>
      <c r="AY11" s="718"/>
      <c r="AZ11" s="718"/>
      <c r="BA11" s="718"/>
      <c r="BB11" s="718"/>
      <c r="BC11" s="718"/>
      <c r="BD11" s="718"/>
      <c r="BE11" s="718"/>
      <c r="BF11" s="718"/>
      <c r="BG11" s="718"/>
      <c r="BH11" s="718"/>
      <c r="BI11" s="718"/>
      <c r="BJ11" s="718"/>
      <c r="BK11" s="718"/>
      <c r="BL11" s="718"/>
      <c r="BM11" s="718"/>
    </row>
    <row r="12" spans="2:65" s="459" customFormat="1">
      <c r="B12" s="459" t="str">
        <f>Commodities!K18</f>
        <v>TCAR_HEV_DST_00</v>
      </c>
      <c r="C12" s="459" t="s">
        <v>854</v>
      </c>
      <c r="D12" s="723">
        <f t="shared" si="1"/>
        <v>22.678700000000003</v>
      </c>
      <c r="E12" s="723">
        <f t="shared" si="0"/>
        <v>23.904100000000003</v>
      </c>
      <c r="F12" s="723">
        <f t="shared" si="0"/>
        <v>19.916600000000003</v>
      </c>
      <c r="G12" s="723">
        <f t="shared" si="0"/>
        <v>22.9999</v>
      </c>
      <c r="H12" s="723">
        <f t="shared" si="0"/>
        <v>23.925000000000001</v>
      </c>
      <c r="I12" s="723">
        <f t="shared" si="0"/>
        <v>24.5289</v>
      </c>
      <c r="J12" s="723">
        <f t="shared" si="0"/>
        <v>24.9953</v>
      </c>
      <c r="K12" s="723">
        <f t="shared" si="0"/>
        <v>22.674300000000002</v>
      </c>
      <c r="L12" s="723">
        <f t="shared" si="0"/>
        <v>23.316700000000001</v>
      </c>
      <c r="M12" s="723">
        <f t="shared" si="0"/>
        <v>24.2605</v>
      </c>
      <c r="N12" s="723">
        <f t="shared" si="0"/>
        <v>24.238500000000002</v>
      </c>
      <c r="O12" s="723">
        <f t="shared" si="0"/>
        <v>23.548800000000004</v>
      </c>
      <c r="P12" s="723">
        <f t="shared" si="0"/>
        <v>22.44</v>
      </c>
      <c r="Q12" s="723">
        <f t="shared" si="0"/>
        <v>24.223100000000002</v>
      </c>
      <c r="R12" s="723">
        <f t="shared" si="0"/>
        <v>22.077000000000002</v>
      </c>
      <c r="S12" s="723">
        <f t="shared" si="0"/>
        <v>23.084600000000002</v>
      </c>
      <c r="T12" s="723">
        <f t="shared" si="0"/>
        <v>23.511400000000002</v>
      </c>
      <c r="U12" s="723">
        <f t="shared" si="0"/>
        <v>24.495899999999999</v>
      </c>
      <c r="V12" s="723">
        <f t="shared" si="0"/>
        <v>22.852499999999999</v>
      </c>
      <c r="W12" s="723">
        <f t="shared" si="0"/>
        <v>23.526800000000005</v>
      </c>
      <c r="X12" s="723">
        <f t="shared" si="0"/>
        <v>24.508000000000003</v>
      </c>
      <c r="Y12" s="723">
        <f t="shared" si="0"/>
        <v>23.587300000000003</v>
      </c>
      <c r="Z12" s="723">
        <f t="shared" si="0"/>
        <v>25.648700000000002</v>
      </c>
      <c r="AA12" s="723">
        <f t="shared" si="0"/>
        <v>23.456400000000002</v>
      </c>
      <c r="AB12" s="723">
        <f t="shared" si="0"/>
        <v>24.075700000000001</v>
      </c>
      <c r="AC12" s="723">
        <f t="shared" si="0"/>
        <v>22.605000000000004</v>
      </c>
      <c r="AD12" s="723">
        <f t="shared" si="0"/>
        <v>23.7424</v>
      </c>
      <c r="AF12" s="718"/>
      <c r="AG12" s="718"/>
      <c r="AH12" s="718"/>
      <c r="AI12" s="718"/>
      <c r="AJ12" s="718"/>
      <c r="AK12" s="718"/>
      <c r="AL12" s="718"/>
      <c r="AM12" s="718"/>
      <c r="AN12" s="718"/>
      <c r="AO12" s="718"/>
      <c r="AP12" s="718"/>
      <c r="AQ12" s="718"/>
      <c r="AR12" s="718"/>
      <c r="AS12" s="718"/>
      <c r="AT12" s="718"/>
      <c r="AU12" s="718"/>
      <c r="AV12" s="718"/>
      <c r="AW12" s="718"/>
      <c r="AX12" s="718"/>
      <c r="AY12" s="718"/>
      <c r="AZ12" s="718"/>
      <c r="BA12" s="718"/>
      <c r="BB12" s="718"/>
      <c r="BC12" s="718"/>
      <c r="BD12" s="718"/>
      <c r="BE12" s="718"/>
      <c r="BF12" s="718"/>
      <c r="BG12" s="718"/>
      <c r="BH12" s="718"/>
      <c r="BI12" s="718"/>
      <c r="BJ12" s="718"/>
      <c r="BK12" s="718"/>
      <c r="BL12" s="718"/>
      <c r="BM12" s="718"/>
    </row>
    <row r="13" spans="2:65">
      <c r="B13" s="459" t="str">
        <f>Commodities!K19</f>
        <v>TCAR_PHEV_GSL_00</v>
      </c>
      <c r="C13" s="459" t="s">
        <v>854</v>
      </c>
      <c r="D13" s="723">
        <f t="shared" si="1"/>
        <v>14.098700000000001</v>
      </c>
      <c r="E13" s="723">
        <f t="shared" si="0"/>
        <v>14.891800000000002</v>
      </c>
      <c r="F13" s="723">
        <f t="shared" si="0"/>
        <v>12.123100000000003</v>
      </c>
      <c r="G13" s="723">
        <f t="shared" si="0"/>
        <v>14.881900000000002</v>
      </c>
      <c r="H13" s="723">
        <f t="shared" si="0"/>
        <v>15.1404</v>
      </c>
      <c r="I13" s="723">
        <f t="shared" si="0"/>
        <v>15.491300000000001</v>
      </c>
      <c r="J13" s="723">
        <f t="shared" si="0"/>
        <v>15.424200000000001</v>
      </c>
      <c r="K13" s="723">
        <f t="shared" si="0"/>
        <v>14.501300000000001</v>
      </c>
      <c r="L13" s="723">
        <f t="shared" si="0"/>
        <v>15.335100000000002</v>
      </c>
      <c r="M13" s="723">
        <f t="shared" si="0"/>
        <v>15.543000000000003</v>
      </c>
      <c r="N13" s="723">
        <f t="shared" si="0"/>
        <v>15.296600000000002</v>
      </c>
      <c r="O13" s="723">
        <f t="shared" si="0"/>
        <v>15.3329</v>
      </c>
      <c r="P13" s="723">
        <f t="shared" si="0"/>
        <v>14.7521</v>
      </c>
      <c r="Q13" s="723">
        <f t="shared" si="0"/>
        <v>15.6167</v>
      </c>
      <c r="R13" s="723">
        <f t="shared" si="0"/>
        <v>14.375900000000001</v>
      </c>
      <c r="S13" s="723">
        <f t="shared" si="0"/>
        <v>15.283400000000002</v>
      </c>
      <c r="T13" s="723">
        <f t="shared" si="0"/>
        <v>14.8126</v>
      </c>
      <c r="U13" s="723">
        <f t="shared" si="0"/>
        <v>15.660700000000002</v>
      </c>
      <c r="V13" s="723">
        <f t="shared" si="0"/>
        <v>14.4496</v>
      </c>
      <c r="W13" s="723">
        <f t="shared" si="0"/>
        <v>14.912700000000001</v>
      </c>
      <c r="X13" s="723">
        <f t="shared" si="0"/>
        <v>16.041300000000003</v>
      </c>
      <c r="Y13" s="723">
        <f t="shared" si="0"/>
        <v>15.385700000000002</v>
      </c>
      <c r="Z13" s="723">
        <f t="shared" si="0"/>
        <v>16.914700000000003</v>
      </c>
      <c r="AA13" s="723">
        <f t="shared" si="0"/>
        <v>14.767500000000002</v>
      </c>
      <c r="AB13" s="723">
        <f t="shared" si="0"/>
        <v>15.639800000000001</v>
      </c>
      <c r="AC13" s="723">
        <f t="shared" si="0"/>
        <v>15.264700000000001</v>
      </c>
      <c r="AD13" s="723">
        <f t="shared" si="0"/>
        <v>15.159100000000002</v>
      </c>
      <c r="AF13" s="718"/>
      <c r="AG13" s="718"/>
      <c r="AH13" s="718"/>
      <c r="AI13" s="718"/>
      <c r="AJ13" s="718"/>
      <c r="AK13" s="718"/>
      <c r="AL13" s="718"/>
      <c r="AM13" s="718"/>
      <c r="AN13" s="718"/>
      <c r="AO13" s="718"/>
      <c r="AP13" s="718"/>
      <c r="AQ13" s="718"/>
      <c r="AR13" s="718"/>
      <c r="AS13" s="718"/>
      <c r="AT13" s="718"/>
      <c r="AU13" s="718"/>
      <c r="AV13" s="718"/>
      <c r="AW13" s="718"/>
      <c r="AX13" s="718"/>
      <c r="AY13" s="718"/>
      <c r="AZ13" s="718"/>
      <c r="BA13" s="718"/>
      <c r="BB13" s="718"/>
      <c r="BC13" s="718"/>
      <c r="BD13" s="718"/>
      <c r="BE13" s="718"/>
      <c r="BF13" s="718"/>
      <c r="BG13" s="718"/>
      <c r="BH13" s="718"/>
      <c r="BI13" s="718"/>
      <c r="BJ13" s="718"/>
      <c r="BK13" s="718"/>
      <c r="BL13" s="718"/>
      <c r="BM13" s="718"/>
    </row>
    <row r="14" spans="2:65">
      <c r="B14" s="459" t="str">
        <f>Commodities!K20</f>
        <v>TCAR_PHEV_DST_00</v>
      </c>
      <c r="C14" s="459" t="s">
        <v>854</v>
      </c>
      <c r="D14" s="723">
        <f t="shared" si="1"/>
        <v>22.678700000000003</v>
      </c>
      <c r="E14" s="723">
        <f t="shared" si="0"/>
        <v>23.904100000000003</v>
      </c>
      <c r="F14" s="723">
        <f t="shared" si="0"/>
        <v>19.916600000000003</v>
      </c>
      <c r="G14" s="723">
        <f t="shared" si="0"/>
        <v>22.9999</v>
      </c>
      <c r="H14" s="723">
        <f t="shared" si="0"/>
        <v>23.925000000000001</v>
      </c>
      <c r="I14" s="723">
        <f t="shared" si="0"/>
        <v>24.5289</v>
      </c>
      <c r="J14" s="723">
        <f t="shared" si="0"/>
        <v>24.9953</v>
      </c>
      <c r="K14" s="723">
        <f t="shared" si="0"/>
        <v>22.674300000000002</v>
      </c>
      <c r="L14" s="723">
        <f t="shared" si="0"/>
        <v>23.316700000000001</v>
      </c>
      <c r="M14" s="723">
        <f t="shared" si="0"/>
        <v>24.2605</v>
      </c>
      <c r="N14" s="723">
        <f t="shared" si="0"/>
        <v>24.238500000000002</v>
      </c>
      <c r="O14" s="723">
        <f t="shared" si="0"/>
        <v>23.548800000000004</v>
      </c>
      <c r="P14" s="723">
        <f t="shared" si="0"/>
        <v>22.44</v>
      </c>
      <c r="Q14" s="723">
        <f t="shared" si="0"/>
        <v>24.223100000000002</v>
      </c>
      <c r="R14" s="723">
        <f t="shared" si="0"/>
        <v>22.077000000000002</v>
      </c>
      <c r="S14" s="723">
        <f t="shared" si="0"/>
        <v>23.084600000000002</v>
      </c>
      <c r="T14" s="723">
        <f t="shared" si="0"/>
        <v>23.511400000000002</v>
      </c>
      <c r="U14" s="723">
        <f t="shared" si="0"/>
        <v>24.495899999999999</v>
      </c>
      <c r="V14" s="723">
        <f t="shared" si="0"/>
        <v>22.852499999999999</v>
      </c>
      <c r="W14" s="723">
        <f t="shared" si="0"/>
        <v>23.526800000000005</v>
      </c>
      <c r="X14" s="723">
        <f t="shared" si="0"/>
        <v>24.508000000000003</v>
      </c>
      <c r="Y14" s="723">
        <f t="shared" si="0"/>
        <v>23.587300000000003</v>
      </c>
      <c r="Z14" s="723">
        <f t="shared" si="0"/>
        <v>25.648700000000002</v>
      </c>
      <c r="AA14" s="723">
        <f t="shared" si="0"/>
        <v>23.456400000000002</v>
      </c>
      <c r="AB14" s="723">
        <f t="shared" si="0"/>
        <v>24.075700000000001</v>
      </c>
      <c r="AC14" s="723">
        <f t="shared" si="0"/>
        <v>22.605000000000004</v>
      </c>
      <c r="AD14" s="723">
        <f t="shared" si="0"/>
        <v>23.7424</v>
      </c>
      <c r="AF14" s="718"/>
      <c r="AG14" s="718"/>
      <c r="AH14" s="718"/>
      <c r="AI14" s="718"/>
      <c r="AJ14" s="718"/>
      <c r="AK14" s="718"/>
      <c r="AL14" s="718"/>
      <c r="AM14" s="718"/>
      <c r="AN14" s="718"/>
      <c r="AO14" s="718"/>
      <c r="AP14" s="718"/>
      <c r="AQ14" s="718"/>
      <c r="AR14" s="718"/>
      <c r="AS14" s="718"/>
      <c r="AT14" s="718"/>
      <c r="AU14" s="718"/>
      <c r="AV14" s="718"/>
      <c r="AW14" s="718"/>
      <c r="AX14" s="718"/>
      <c r="AY14" s="718"/>
      <c r="AZ14" s="718"/>
      <c r="BA14" s="718"/>
      <c r="BB14" s="718"/>
      <c r="BC14" s="718"/>
      <c r="BD14" s="718"/>
      <c r="BE14" s="718"/>
      <c r="BF14" s="718"/>
      <c r="BG14" s="718"/>
      <c r="BH14" s="718"/>
      <c r="BI14" s="718"/>
      <c r="BJ14" s="718"/>
      <c r="BK14" s="718"/>
      <c r="BL14" s="718"/>
      <c r="BM14" s="718"/>
    </row>
    <row r="15" spans="2:65">
      <c r="B15" s="459" t="str">
        <f>Commodities!K21</f>
        <v>TCAR_BEV_00</v>
      </c>
      <c r="C15" s="459" t="s">
        <v>854</v>
      </c>
      <c r="D15" s="723">
        <f t="shared" si="1"/>
        <v>14.788400000000003</v>
      </c>
      <c r="E15" s="723">
        <f t="shared" si="0"/>
        <v>15.5001</v>
      </c>
      <c r="F15" s="723">
        <f t="shared" si="0"/>
        <v>14.1317</v>
      </c>
      <c r="G15" s="723">
        <f t="shared" si="0"/>
        <v>15.304300000000001</v>
      </c>
      <c r="H15" s="723">
        <f t="shared" si="0"/>
        <v>15.793800000000003</v>
      </c>
      <c r="I15" s="723">
        <f t="shared" si="0"/>
        <v>16.044600000000003</v>
      </c>
      <c r="J15" s="723">
        <f t="shared" si="0"/>
        <v>15.404400000000001</v>
      </c>
      <c r="K15" s="723">
        <f t="shared" si="0"/>
        <v>14.755400000000002</v>
      </c>
      <c r="L15" s="723">
        <f t="shared" si="0"/>
        <v>15.513300000000001</v>
      </c>
      <c r="M15" s="723">
        <f t="shared" si="0"/>
        <v>15.953300000000002</v>
      </c>
      <c r="N15" s="723">
        <f t="shared" si="0"/>
        <v>15.409900000000002</v>
      </c>
      <c r="O15" s="723">
        <f t="shared" si="0"/>
        <v>15.545200000000001</v>
      </c>
      <c r="P15" s="723">
        <f t="shared" si="0"/>
        <v>15.3065</v>
      </c>
      <c r="Q15" s="723">
        <f t="shared" si="0"/>
        <v>15.485800000000001</v>
      </c>
      <c r="R15" s="723">
        <f t="shared" si="0"/>
        <v>14.690500000000002</v>
      </c>
      <c r="S15" s="723">
        <f t="shared" si="0"/>
        <v>15.158000000000001</v>
      </c>
      <c r="T15" s="723">
        <f t="shared" si="0"/>
        <v>15.314200000000001</v>
      </c>
      <c r="U15" s="723">
        <f t="shared" si="0"/>
        <v>15.272400000000001</v>
      </c>
      <c r="V15" s="723">
        <f t="shared" si="0"/>
        <v>15.335100000000002</v>
      </c>
      <c r="W15" s="723">
        <f t="shared" si="0"/>
        <v>15.3241</v>
      </c>
      <c r="X15" s="723">
        <f t="shared" si="0"/>
        <v>15.557300000000001</v>
      </c>
      <c r="Y15" s="723">
        <f t="shared" si="0"/>
        <v>15.610100000000003</v>
      </c>
      <c r="Z15" s="723">
        <f t="shared" si="0"/>
        <v>15.569400000000002</v>
      </c>
      <c r="AA15" s="723">
        <f t="shared" si="0"/>
        <v>15.237200000000001</v>
      </c>
      <c r="AB15" s="723">
        <f t="shared" si="0"/>
        <v>15.468200000000001</v>
      </c>
      <c r="AC15" s="723">
        <f t="shared" si="0"/>
        <v>15.734400000000001</v>
      </c>
      <c r="AD15" s="723">
        <f t="shared" si="0"/>
        <v>15.170100000000001</v>
      </c>
      <c r="AF15" s="718"/>
      <c r="AG15" s="718"/>
      <c r="AH15" s="718"/>
      <c r="AI15" s="718"/>
      <c r="AJ15" s="718"/>
      <c r="AK15" s="718"/>
      <c r="AL15" s="718"/>
      <c r="AM15" s="718"/>
      <c r="AN15" s="718"/>
      <c r="AO15" s="718"/>
      <c r="AP15" s="718"/>
      <c r="AQ15" s="718"/>
      <c r="AR15" s="718"/>
      <c r="AS15" s="718"/>
      <c r="AT15" s="718"/>
      <c r="AU15" s="718"/>
      <c r="AV15" s="718"/>
      <c r="AW15" s="718"/>
      <c r="AX15" s="718"/>
      <c r="AY15" s="718"/>
      <c r="AZ15" s="718"/>
      <c r="BA15" s="718"/>
      <c r="BB15" s="718"/>
      <c r="BC15" s="718"/>
      <c r="BD15" s="718"/>
      <c r="BE15" s="718"/>
      <c r="BF15" s="718"/>
      <c r="BG15" s="718"/>
      <c r="BH15" s="718"/>
      <c r="BI15" s="718"/>
      <c r="BJ15" s="718"/>
      <c r="BK15" s="718"/>
      <c r="BL15" s="718"/>
      <c r="BM15" s="718"/>
    </row>
    <row r="16" spans="2:65">
      <c r="B16" s="448" t="str">
        <f>Commodities!K23</f>
        <v>TTAXI_ICE_GSL_00</v>
      </c>
      <c r="C16" s="459" t="s">
        <v>854</v>
      </c>
      <c r="D16" s="723">
        <f t="shared" si="1"/>
        <v>39.167700000000004</v>
      </c>
      <c r="E16" s="723">
        <f t="shared" si="0"/>
        <v>24.504700000000003</v>
      </c>
      <c r="F16" s="723">
        <f t="shared" si="0"/>
        <v>39.042300000000004</v>
      </c>
      <c r="G16" s="723">
        <f t="shared" si="0"/>
        <v>45.325500000000005</v>
      </c>
      <c r="H16" s="723">
        <f t="shared" si="0"/>
        <v>45.515800000000006</v>
      </c>
      <c r="I16" s="723">
        <f t="shared" si="0"/>
        <v>35.621300000000005</v>
      </c>
      <c r="J16" s="723">
        <f t="shared" si="0"/>
        <v>45.420099999999998</v>
      </c>
      <c r="K16" s="723">
        <f t="shared" si="0"/>
        <v>39.851900000000001</v>
      </c>
      <c r="L16" s="723">
        <f t="shared" si="0"/>
        <v>45.808399999999999</v>
      </c>
      <c r="M16" s="723">
        <f t="shared" si="0"/>
        <v>29.751700000000003</v>
      </c>
      <c r="N16" s="723">
        <f t="shared" si="0"/>
        <v>49.087500000000006</v>
      </c>
      <c r="O16" s="723">
        <f t="shared" si="0"/>
        <v>35.98980000000001</v>
      </c>
      <c r="P16" s="723">
        <f t="shared" si="0"/>
        <v>34.114300000000007</v>
      </c>
      <c r="Q16" s="723">
        <f t="shared" si="0"/>
        <v>41.424900000000001</v>
      </c>
      <c r="R16" s="723">
        <f t="shared" si="0"/>
        <v>37.559500000000007</v>
      </c>
      <c r="S16" s="723">
        <f t="shared" si="0"/>
        <v>34.124200000000002</v>
      </c>
      <c r="T16" s="723">
        <f t="shared" si="0"/>
        <v>40.852900000000005</v>
      </c>
      <c r="U16" s="723">
        <f t="shared" si="0"/>
        <v>37.070000000000007</v>
      </c>
      <c r="V16" s="723">
        <f t="shared" si="0"/>
        <v>32.896599999999999</v>
      </c>
      <c r="W16" s="723">
        <f t="shared" si="0"/>
        <v>40.282000000000004</v>
      </c>
      <c r="X16" s="723">
        <f t="shared" si="0"/>
        <v>31.6877</v>
      </c>
      <c r="Y16" s="723">
        <f t="shared" si="0"/>
        <v>35.741199999999999</v>
      </c>
      <c r="Z16" s="723">
        <f t="shared" si="0"/>
        <v>26.884000000000004</v>
      </c>
      <c r="AA16" s="723">
        <f t="shared" si="0"/>
        <v>30.134500000000003</v>
      </c>
      <c r="AB16" s="723">
        <f t="shared" si="0"/>
        <v>39.460300000000004</v>
      </c>
      <c r="AC16" s="723">
        <f t="shared" si="0"/>
        <v>38.273400000000002</v>
      </c>
      <c r="AD16" s="723">
        <f t="shared" si="0"/>
        <v>15.317500000000003</v>
      </c>
      <c r="AF16" s="718"/>
      <c r="AG16" s="718"/>
      <c r="AH16" s="718"/>
      <c r="AI16" s="718"/>
      <c r="AJ16" s="718"/>
      <c r="AK16" s="718"/>
      <c r="AL16" s="718"/>
      <c r="AM16" s="718"/>
      <c r="AN16" s="718"/>
      <c r="AO16" s="718"/>
      <c r="AP16" s="718"/>
      <c r="AQ16" s="718"/>
      <c r="AR16" s="718"/>
      <c r="AS16" s="718"/>
      <c r="AT16" s="718"/>
      <c r="AU16" s="718"/>
      <c r="AV16" s="718"/>
      <c r="AW16" s="718"/>
      <c r="AX16" s="718"/>
      <c r="AY16" s="718"/>
      <c r="AZ16" s="718"/>
      <c r="BA16" s="718"/>
      <c r="BB16" s="718"/>
      <c r="BC16" s="718"/>
      <c r="BD16" s="718"/>
      <c r="BE16" s="718"/>
      <c r="BF16" s="718"/>
      <c r="BG16" s="718"/>
      <c r="BH16" s="718"/>
      <c r="BI16" s="718"/>
      <c r="BJ16" s="718"/>
      <c r="BK16" s="718"/>
      <c r="BL16" s="718"/>
      <c r="BM16" s="718"/>
    </row>
    <row r="17" spans="2:65">
      <c r="B17" s="459" t="str">
        <f>Commodities!K24</f>
        <v>TTAXI_ICE_DST_00</v>
      </c>
      <c r="C17" s="459" t="s">
        <v>854</v>
      </c>
      <c r="D17" s="723">
        <f t="shared" si="1"/>
        <v>43.917499999999997</v>
      </c>
      <c r="E17" s="723">
        <f t="shared" si="0"/>
        <v>40.342500000000001</v>
      </c>
      <c r="F17" s="723">
        <f t="shared" si="0"/>
        <v>42.816400000000002</v>
      </c>
      <c r="G17" s="723">
        <f t="shared" si="0"/>
        <v>46.506900000000009</v>
      </c>
      <c r="H17" s="723">
        <f t="shared" si="0"/>
        <v>45.882100000000001</v>
      </c>
      <c r="I17" s="723">
        <f t="shared" si="0"/>
        <v>45.897500000000008</v>
      </c>
      <c r="J17" s="723">
        <f t="shared" si="0"/>
        <v>50.101700000000001</v>
      </c>
      <c r="K17" s="723">
        <f t="shared" si="0"/>
        <v>46.984300000000005</v>
      </c>
      <c r="L17" s="723">
        <f t="shared" si="0"/>
        <v>47.701500000000003</v>
      </c>
      <c r="M17" s="723">
        <f t="shared" si="0"/>
        <v>42.573300000000003</v>
      </c>
      <c r="N17" s="723">
        <f t="shared" si="0"/>
        <v>46.098800000000004</v>
      </c>
      <c r="O17" s="723">
        <f t="shared" ref="E17:AD22" si="3">O80*1.1</f>
        <v>42.750399999999999</v>
      </c>
      <c r="P17" s="723">
        <f t="shared" si="3"/>
        <v>42.913200000000003</v>
      </c>
      <c r="Q17" s="723">
        <f t="shared" si="3"/>
        <v>44.004400000000004</v>
      </c>
      <c r="R17" s="723">
        <f t="shared" si="3"/>
        <v>44.402600000000007</v>
      </c>
      <c r="S17" s="723">
        <f t="shared" si="3"/>
        <v>43.1387</v>
      </c>
      <c r="T17" s="723">
        <f t="shared" si="3"/>
        <v>44.288200000000003</v>
      </c>
      <c r="U17" s="723">
        <f t="shared" si="3"/>
        <v>44.341000000000008</v>
      </c>
      <c r="V17" s="723">
        <f t="shared" si="3"/>
        <v>43.679900000000004</v>
      </c>
      <c r="W17" s="723">
        <f t="shared" si="3"/>
        <v>44.762300000000003</v>
      </c>
      <c r="X17" s="723">
        <f t="shared" si="3"/>
        <v>47.269200000000005</v>
      </c>
      <c r="Y17" s="723">
        <f t="shared" si="3"/>
        <v>42.2059</v>
      </c>
      <c r="Z17" s="723">
        <f t="shared" si="3"/>
        <v>43.088100000000004</v>
      </c>
      <c r="AA17" s="723">
        <f t="shared" si="3"/>
        <v>44.394900000000007</v>
      </c>
      <c r="AB17" s="723">
        <f t="shared" si="3"/>
        <v>48.438499999999998</v>
      </c>
      <c r="AC17" s="723">
        <f t="shared" si="3"/>
        <v>44.727100000000007</v>
      </c>
      <c r="AD17" s="723">
        <f t="shared" si="3"/>
        <v>46.750000000000007</v>
      </c>
      <c r="AF17" s="718"/>
      <c r="AG17" s="718"/>
      <c r="AH17" s="718"/>
      <c r="AI17" s="718"/>
      <c r="AJ17" s="718"/>
      <c r="AK17" s="718"/>
      <c r="AL17" s="718"/>
      <c r="AM17" s="718"/>
      <c r="AN17" s="718"/>
      <c r="AO17" s="718"/>
      <c r="AP17" s="718"/>
      <c r="AQ17" s="718"/>
      <c r="AR17" s="718"/>
      <c r="AS17" s="718"/>
      <c r="AT17" s="718"/>
      <c r="AU17" s="718"/>
      <c r="AV17" s="718"/>
      <c r="AW17" s="718"/>
      <c r="AX17" s="718"/>
      <c r="AY17" s="718"/>
      <c r="AZ17" s="718"/>
      <c r="BA17" s="718"/>
      <c r="BB17" s="718"/>
      <c r="BC17" s="718"/>
      <c r="BD17" s="718"/>
      <c r="BE17" s="718"/>
      <c r="BF17" s="718"/>
      <c r="BG17" s="718"/>
      <c r="BH17" s="718"/>
      <c r="BI17" s="718"/>
      <c r="BJ17" s="718"/>
      <c r="BK17" s="718"/>
      <c r="BL17" s="718"/>
      <c r="BM17" s="718"/>
    </row>
    <row r="18" spans="2:65">
      <c r="B18" s="459" t="str">
        <f>Commodities!K25</f>
        <v>TTAXI_HEV_GSL_00</v>
      </c>
      <c r="C18" s="459" t="s">
        <v>854</v>
      </c>
      <c r="D18" s="723">
        <f t="shared" si="1"/>
        <v>45.332100000000004</v>
      </c>
      <c r="E18" s="723">
        <f t="shared" si="3"/>
        <v>50.828800000000001</v>
      </c>
      <c r="F18" s="723">
        <f t="shared" si="3"/>
        <v>44.367400000000011</v>
      </c>
      <c r="G18" s="723">
        <f t="shared" si="3"/>
        <v>51.668100000000003</v>
      </c>
      <c r="H18" s="723">
        <f t="shared" si="3"/>
        <v>46.696100000000001</v>
      </c>
      <c r="I18" s="723">
        <f t="shared" si="3"/>
        <v>44.666600000000003</v>
      </c>
      <c r="J18" s="723">
        <f t="shared" si="3"/>
        <v>0</v>
      </c>
      <c r="K18" s="723">
        <f t="shared" si="3"/>
        <v>46.471700000000006</v>
      </c>
      <c r="L18" s="723">
        <f t="shared" si="3"/>
        <v>52.027800000000006</v>
      </c>
      <c r="M18" s="723">
        <f t="shared" si="3"/>
        <v>43.737100000000005</v>
      </c>
      <c r="N18" s="723">
        <f t="shared" si="3"/>
        <v>54.109000000000002</v>
      </c>
      <c r="O18" s="723">
        <f t="shared" si="3"/>
        <v>45.116500000000002</v>
      </c>
      <c r="P18" s="723">
        <f t="shared" si="3"/>
        <v>43.994500000000002</v>
      </c>
      <c r="Q18" s="723">
        <f t="shared" si="3"/>
        <v>41.136700000000005</v>
      </c>
      <c r="R18" s="723">
        <f t="shared" si="3"/>
        <v>49.859700000000004</v>
      </c>
      <c r="S18" s="723">
        <f t="shared" si="3"/>
        <v>39.487800000000007</v>
      </c>
      <c r="T18" s="723">
        <f t="shared" si="3"/>
        <v>49.924600000000005</v>
      </c>
      <c r="U18" s="723">
        <f t="shared" si="3"/>
        <v>41.816500000000005</v>
      </c>
      <c r="V18" s="723">
        <f t="shared" si="3"/>
        <v>66.202399999999997</v>
      </c>
      <c r="W18" s="723">
        <f t="shared" si="3"/>
        <v>44.682000000000002</v>
      </c>
      <c r="X18" s="723">
        <f t="shared" si="3"/>
        <v>0</v>
      </c>
      <c r="Y18" s="723">
        <f t="shared" si="3"/>
        <v>60.327300000000008</v>
      </c>
      <c r="Z18" s="723">
        <f t="shared" si="3"/>
        <v>0</v>
      </c>
      <c r="AA18" s="723">
        <f t="shared" si="3"/>
        <v>28.334900000000001</v>
      </c>
      <c r="AB18" s="723">
        <f t="shared" si="3"/>
        <v>47.160299999999999</v>
      </c>
      <c r="AC18" s="723">
        <f t="shared" si="3"/>
        <v>64.90440000000001</v>
      </c>
      <c r="AD18" s="723">
        <f t="shared" si="3"/>
        <v>0</v>
      </c>
      <c r="AF18" s="718"/>
      <c r="AG18" s="718"/>
      <c r="AH18" s="718"/>
      <c r="AI18" s="718"/>
      <c r="AJ18" s="718"/>
      <c r="AK18" s="718"/>
      <c r="AL18" s="718"/>
      <c r="AM18" s="718"/>
      <c r="AN18" s="718"/>
      <c r="AO18" s="718"/>
      <c r="AP18" s="718"/>
      <c r="AQ18" s="718"/>
      <c r="AR18" s="718"/>
      <c r="AS18" s="718"/>
      <c r="AT18" s="718"/>
      <c r="AU18" s="718"/>
      <c r="AV18" s="718"/>
      <c r="AW18" s="718"/>
      <c r="AX18" s="718"/>
      <c r="AY18" s="718"/>
      <c r="AZ18" s="718"/>
      <c r="BA18" s="718"/>
      <c r="BB18" s="718"/>
      <c r="BC18" s="718"/>
      <c r="BD18" s="718"/>
      <c r="BE18" s="718"/>
      <c r="BF18" s="718"/>
      <c r="BG18" s="718"/>
      <c r="BH18" s="718"/>
      <c r="BI18" s="718"/>
      <c r="BJ18" s="718"/>
      <c r="BK18" s="718"/>
      <c r="BL18" s="718"/>
      <c r="BM18" s="718"/>
    </row>
    <row r="19" spans="2:65">
      <c r="B19" s="448" t="str">
        <f>Commodities!K27</f>
        <v>TBUS_ICE_DST_00</v>
      </c>
      <c r="C19" s="459" t="s">
        <v>854</v>
      </c>
      <c r="D19" s="723">
        <f t="shared" si="1"/>
        <v>39.704500000000003</v>
      </c>
      <c r="E19" s="723">
        <f t="shared" si="3"/>
        <v>31.992400000000004</v>
      </c>
      <c r="F19" s="723">
        <f t="shared" si="3"/>
        <v>46.553100000000001</v>
      </c>
      <c r="G19" s="723">
        <f t="shared" si="3"/>
        <v>36.474900000000005</v>
      </c>
      <c r="H19" s="723">
        <f t="shared" si="3"/>
        <v>40.013600000000004</v>
      </c>
      <c r="I19" s="723">
        <f t="shared" si="3"/>
        <v>30.453500000000002</v>
      </c>
      <c r="J19" s="723">
        <f t="shared" si="3"/>
        <v>32.455500000000001</v>
      </c>
      <c r="K19" s="723">
        <f t="shared" si="3"/>
        <v>40.17860000000001</v>
      </c>
      <c r="L19" s="723">
        <f t="shared" si="3"/>
        <v>32.325700000000005</v>
      </c>
      <c r="M19" s="723">
        <f t="shared" si="3"/>
        <v>34.989900000000006</v>
      </c>
      <c r="N19" s="723">
        <f t="shared" si="3"/>
        <v>35.577300000000008</v>
      </c>
      <c r="O19" s="723">
        <f t="shared" si="3"/>
        <v>37.309800000000003</v>
      </c>
      <c r="P19" s="723">
        <f t="shared" si="3"/>
        <v>38.782699999999998</v>
      </c>
      <c r="Q19" s="723">
        <f t="shared" si="3"/>
        <v>34.004300000000001</v>
      </c>
      <c r="R19" s="723">
        <f t="shared" si="3"/>
        <v>35.624600000000008</v>
      </c>
      <c r="S19" s="723">
        <f t="shared" si="3"/>
        <v>38.508800000000008</v>
      </c>
      <c r="T19" s="723">
        <f t="shared" si="3"/>
        <v>38.160100000000007</v>
      </c>
      <c r="U19" s="723">
        <f t="shared" si="3"/>
        <v>35.675200000000004</v>
      </c>
      <c r="V19" s="723">
        <f t="shared" si="3"/>
        <v>34.159399999999998</v>
      </c>
      <c r="W19" s="723">
        <f t="shared" si="3"/>
        <v>38.607800000000005</v>
      </c>
      <c r="X19" s="723">
        <f t="shared" si="3"/>
        <v>24.398000000000003</v>
      </c>
      <c r="Y19" s="723">
        <f t="shared" si="3"/>
        <v>41.241199999999999</v>
      </c>
      <c r="Z19" s="723">
        <f t="shared" si="3"/>
        <v>34.814999999999998</v>
      </c>
      <c r="AA19" s="723">
        <f t="shared" si="3"/>
        <v>38.398800000000001</v>
      </c>
      <c r="AB19" s="723">
        <f t="shared" si="3"/>
        <v>42.984700000000004</v>
      </c>
      <c r="AC19" s="723">
        <f t="shared" si="3"/>
        <v>36.119599999999998</v>
      </c>
      <c r="AD19" s="723">
        <f t="shared" si="3"/>
        <v>49.783800000000006</v>
      </c>
      <c r="AF19" s="718"/>
      <c r="AG19" s="718"/>
      <c r="AH19" s="718"/>
      <c r="AI19" s="718"/>
      <c r="AJ19" s="718"/>
      <c r="AK19" s="718"/>
      <c r="AL19" s="718"/>
      <c r="AM19" s="718"/>
      <c r="AN19" s="718"/>
      <c r="AO19" s="718"/>
      <c r="AP19" s="718"/>
      <c r="AQ19" s="718"/>
      <c r="AR19" s="718"/>
      <c r="AS19" s="718"/>
      <c r="AT19" s="718"/>
      <c r="AU19" s="718"/>
      <c r="AV19" s="718"/>
      <c r="AW19" s="718"/>
      <c r="AX19" s="718"/>
      <c r="AY19" s="718"/>
      <c r="AZ19" s="718"/>
      <c r="BA19" s="718"/>
      <c r="BB19" s="718"/>
      <c r="BC19" s="718"/>
      <c r="BD19" s="718"/>
      <c r="BE19" s="718"/>
      <c r="BF19" s="718"/>
      <c r="BG19" s="718"/>
      <c r="BH19" s="718"/>
      <c r="BI19" s="718"/>
      <c r="BJ19" s="718"/>
      <c r="BK19" s="718"/>
      <c r="BL19" s="718"/>
      <c r="BM19" s="718"/>
    </row>
    <row r="20" spans="2:65">
      <c r="B20" s="459" t="str">
        <f>Commodities!K29</f>
        <v>TLRAIL_ELC_00</v>
      </c>
      <c r="C20" s="459" t="s">
        <v>854</v>
      </c>
      <c r="D20" s="723">
        <f t="shared" si="1"/>
        <v>61.260100000000008</v>
      </c>
      <c r="E20" s="723">
        <f t="shared" si="3"/>
        <v>61.260100000000008</v>
      </c>
      <c r="F20" s="723">
        <f t="shared" si="3"/>
        <v>61.260100000000008</v>
      </c>
      <c r="G20" s="723">
        <f t="shared" si="3"/>
        <v>61.260100000000008</v>
      </c>
      <c r="H20" s="723">
        <f t="shared" si="3"/>
        <v>61.260100000000008</v>
      </c>
      <c r="I20" s="723">
        <f t="shared" si="3"/>
        <v>61.260100000000008</v>
      </c>
      <c r="J20" s="723">
        <f t="shared" si="3"/>
        <v>61.260100000000008</v>
      </c>
      <c r="K20" s="723">
        <f t="shared" si="3"/>
        <v>61.260100000000008</v>
      </c>
      <c r="L20" s="723">
        <f t="shared" si="3"/>
        <v>61.260100000000008</v>
      </c>
      <c r="M20" s="723">
        <f t="shared" si="3"/>
        <v>61.260100000000008</v>
      </c>
      <c r="N20" s="723">
        <f t="shared" si="3"/>
        <v>61.260100000000008</v>
      </c>
      <c r="O20" s="723">
        <f t="shared" si="3"/>
        <v>61.260100000000008</v>
      </c>
      <c r="P20" s="723">
        <f t="shared" si="3"/>
        <v>61.260100000000008</v>
      </c>
      <c r="Q20" s="723">
        <f t="shared" si="3"/>
        <v>61.260100000000008</v>
      </c>
      <c r="R20" s="723">
        <f t="shared" si="3"/>
        <v>61.260100000000008</v>
      </c>
      <c r="S20" s="723">
        <f t="shared" si="3"/>
        <v>61.260100000000008</v>
      </c>
      <c r="T20" s="723">
        <f t="shared" si="3"/>
        <v>61.260100000000008</v>
      </c>
      <c r="U20" s="723">
        <f t="shared" si="3"/>
        <v>61.260100000000008</v>
      </c>
      <c r="V20" s="723">
        <f t="shared" si="3"/>
        <v>61.260100000000008</v>
      </c>
      <c r="W20" s="723">
        <f t="shared" si="3"/>
        <v>61.260100000000008</v>
      </c>
      <c r="X20" s="723">
        <f t="shared" si="3"/>
        <v>61.260100000000008</v>
      </c>
      <c r="Y20" s="723">
        <f t="shared" si="3"/>
        <v>61.260100000000008</v>
      </c>
      <c r="Z20" s="723">
        <f t="shared" si="3"/>
        <v>61.260100000000008</v>
      </c>
      <c r="AA20" s="723">
        <f t="shared" si="3"/>
        <v>61.260100000000008</v>
      </c>
      <c r="AB20" s="723">
        <f t="shared" si="3"/>
        <v>61.260100000000008</v>
      </c>
      <c r="AC20" s="723">
        <f t="shared" si="3"/>
        <v>61.260100000000008</v>
      </c>
      <c r="AD20" s="723">
        <f t="shared" si="3"/>
        <v>61.260100000000008</v>
      </c>
      <c r="AF20" s="718"/>
      <c r="AG20" s="718"/>
      <c r="AH20" s="718"/>
      <c r="AI20" s="718"/>
      <c r="AJ20" s="718"/>
      <c r="AK20" s="718"/>
      <c r="AL20" s="718"/>
      <c r="AM20" s="718"/>
      <c r="AN20" s="718"/>
      <c r="AO20" s="718"/>
      <c r="AP20" s="718"/>
      <c r="AQ20" s="718"/>
      <c r="AR20" s="718"/>
      <c r="AS20" s="718"/>
      <c r="AT20" s="718"/>
      <c r="AU20" s="718"/>
      <c r="AV20" s="718"/>
      <c r="AW20" s="718"/>
      <c r="AX20" s="718"/>
      <c r="AY20" s="718"/>
      <c r="AZ20" s="718"/>
      <c r="BA20" s="718"/>
      <c r="BB20" s="718"/>
      <c r="BC20" s="718"/>
      <c r="BD20" s="718"/>
      <c r="BE20" s="718"/>
      <c r="BF20" s="718"/>
      <c r="BG20" s="718"/>
      <c r="BH20" s="718"/>
      <c r="BI20" s="718"/>
      <c r="BJ20" s="718"/>
      <c r="BK20" s="718"/>
      <c r="BL20" s="718"/>
      <c r="BM20" s="718"/>
    </row>
    <row r="21" spans="2:65">
      <c r="B21" s="459" t="str">
        <f>Commodities!K30</f>
        <v>THRAIL_ELC_00</v>
      </c>
      <c r="C21" s="459" t="s">
        <v>854</v>
      </c>
      <c r="D21" s="723">
        <f t="shared" si="1"/>
        <v>174.3236</v>
      </c>
      <c r="E21" s="723">
        <f t="shared" si="3"/>
        <v>174.3236</v>
      </c>
      <c r="F21" s="723">
        <f t="shared" si="3"/>
        <v>174.3236</v>
      </c>
      <c r="G21" s="723">
        <f t="shared" si="3"/>
        <v>174.3236</v>
      </c>
      <c r="H21" s="723">
        <f t="shared" si="3"/>
        <v>174.3236</v>
      </c>
      <c r="I21" s="723">
        <f t="shared" si="3"/>
        <v>174.3236</v>
      </c>
      <c r="J21" s="723">
        <f t="shared" si="3"/>
        <v>174.3236</v>
      </c>
      <c r="K21" s="723">
        <f t="shared" si="3"/>
        <v>174.3236</v>
      </c>
      <c r="L21" s="723">
        <f t="shared" si="3"/>
        <v>174.3236</v>
      </c>
      <c r="M21" s="723">
        <f t="shared" si="3"/>
        <v>174.3236</v>
      </c>
      <c r="N21" s="723">
        <f t="shared" si="3"/>
        <v>174.3236</v>
      </c>
      <c r="O21" s="723">
        <f t="shared" si="3"/>
        <v>174.3236</v>
      </c>
      <c r="P21" s="723">
        <f t="shared" si="3"/>
        <v>174.3236</v>
      </c>
      <c r="Q21" s="723">
        <f t="shared" si="3"/>
        <v>174.3236</v>
      </c>
      <c r="R21" s="723">
        <f t="shared" si="3"/>
        <v>174.3236</v>
      </c>
      <c r="S21" s="723">
        <f t="shared" si="3"/>
        <v>174.3236</v>
      </c>
      <c r="T21" s="723">
        <f t="shared" si="3"/>
        <v>174.3236</v>
      </c>
      <c r="U21" s="723">
        <f t="shared" si="3"/>
        <v>174.3236</v>
      </c>
      <c r="V21" s="723">
        <f t="shared" si="3"/>
        <v>174.3236</v>
      </c>
      <c r="W21" s="723">
        <f t="shared" si="3"/>
        <v>174.3236</v>
      </c>
      <c r="X21" s="723">
        <f t="shared" si="3"/>
        <v>174.3236</v>
      </c>
      <c r="Y21" s="723">
        <f t="shared" si="3"/>
        <v>174.3236</v>
      </c>
      <c r="Z21" s="723">
        <f t="shared" si="3"/>
        <v>174.3236</v>
      </c>
      <c r="AA21" s="723">
        <f t="shared" si="3"/>
        <v>174.3236</v>
      </c>
      <c r="AB21" s="723">
        <f t="shared" si="3"/>
        <v>174.3236</v>
      </c>
      <c r="AC21" s="723">
        <f t="shared" si="3"/>
        <v>174.3236</v>
      </c>
      <c r="AD21" s="723">
        <f t="shared" si="3"/>
        <v>174.3236</v>
      </c>
      <c r="AF21" s="718"/>
      <c r="AG21" s="718"/>
      <c r="AH21" s="718"/>
      <c r="AI21" s="718"/>
      <c r="AJ21" s="718"/>
      <c r="AK21" s="718"/>
      <c r="AL21" s="718"/>
      <c r="AM21" s="718"/>
      <c r="AN21" s="718"/>
      <c r="AO21" s="718"/>
      <c r="AP21" s="718"/>
      <c r="AQ21" s="718"/>
      <c r="AR21" s="718"/>
      <c r="AS21" s="718"/>
      <c r="AT21" s="718"/>
      <c r="AU21" s="718"/>
      <c r="AV21" s="718"/>
      <c r="AW21" s="718"/>
      <c r="AX21" s="718"/>
      <c r="AY21" s="718"/>
      <c r="AZ21" s="718"/>
      <c r="BA21" s="718"/>
      <c r="BB21" s="718"/>
      <c r="BC21" s="718"/>
      <c r="BD21" s="718"/>
      <c r="BE21" s="718"/>
      <c r="BF21" s="718"/>
      <c r="BG21" s="718"/>
      <c r="BH21" s="718"/>
      <c r="BI21" s="718"/>
      <c r="BJ21" s="718"/>
      <c r="BK21" s="718"/>
      <c r="BL21" s="718"/>
      <c r="BM21" s="718"/>
    </row>
    <row r="22" spans="2:65">
      <c r="B22" s="459" t="str">
        <f>Commodities!K31</f>
        <v>THRAIL_DST_00</v>
      </c>
      <c r="C22" s="459" t="s">
        <v>854</v>
      </c>
      <c r="D22" s="723">
        <f t="shared" si="1"/>
        <v>81.272400000000005</v>
      </c>
      <c r="E22" s="723">
        <f t="shared" si="3"/>
        <v>81.272400000000005</v>
      </c>
      <c r="F22" s="723">
        <f t="shared" si="3"/>
        <v>81.272400000000005</v>
      </c>
      <c r="G22" s="723">
        <f t="shared" si="3"/>
        <v>81.272400000000005</v>
      </c>
      <c r="H22" s="723">
        <f t="shared" si="3"/>
        <v>81.272400000000005</v>
      </c>
      <c r="I22" s="723">
        <f t="shared" si="3"/>
        <v>81.272400000000005</v>
      </c>
      <c r="J22" s="723">
        <f t="shared" si="3"/>
        <v>81.272400000000005</v>
      </c>
      <c r="K22" s="723">
        <f t="shared" si="3"/>
        <v>81.272400000000005</v>
      </c>
      <c r="L22" s="723">
        <f t="shared" si="3"/>
        <v>81.272400000000005</v>
      </c>
      <c r="M22" s="723">
        <f t="shared" si="3"/>
        <v>81.272400000000005</v>
      </c>
      <c r="N22" s="723">
        <f t="shared" si="3"/>
        <v>81.272400000000005</v>
      </c>
      <c r="O22" s="723">
        <f t="shared" si="3"/>
        <v>81.272400000000005</v>
      </c>
      <c r="P22" s="723">
        <f t="shared" si="3"/>
        <v>81.272400000000005</v>
      </c>
      <c r="Q22" s="723">
        <f t="shared" si="3"/>
        <v>81.272400000000005</v>
      </c>
      <c r="R22" s="723">
        <f t="shared" si="3"/>
        <v>81.272400000000005</v>
      </c>
      <c r="S22" s="723">
        <f t="shared" si="3"/>
        <v>81.272400000000005</v>
      </c>
      <c r="T22" s="723">
        <f t="shared" si="3"/>
        <v>81.272400000000005</v>
      </c>
      <c r="U22" s="723">
        <f t="shared" si="3"/>
        <v>81.272400000000005</v>
      </c>
      <c r="V22" s="723">
        <f t="shared" si="3"/>
        <v>81.272400000000005</v>
      </c>
      <c r="W22" s="723">
        <f t="shared" si="3"/>
        <v>81.272400000000005</v>
      </c>
      <c r="X22" s="723">
        <f t="shared" si="3"/>
        <v>81.272400000000005</v>
      </c>
      <c r="Y22" s="723">
        <f t="shared" si="3"/>
        <v>81.272400000000005</v>
      </c>
      <c r="Z22" s="723">
        <f t="shared" si="3"/>
        <v>81.272400000000005</v>
      </c>
      <c r="AA22" s="723">
        <f t="shared" si="3"/>
        <v>81.272400000000005</v>
      </c>
      <c r="AB22" s="723">
        <f t="shared" si="3"/>
        <v>81.272400000000005</v>
      </c>
      <c r="AC22" s="723">
        <f t="shared" si="3"/>
        <v>81.272400000000005</v>
      </c>
      <c r="AD22" s="723">
        <f t="shared" si="3"/>
        <v>81.272400000000005</v>
      </c>
      <c r="AF22" s="718"/>
      <c r="AG22" s="718"/>
      <c r="AH22" s="718"/>
      <c r="AI22" s="718"/>
      <c r="AJ22" s="718"/>
      <c r="AK22" s="718"/>
      <c r="AL22" s="718"/>
      <c r="AM22" s="718"/>
      <c r="AN22" s="718"/>
      <c r="AO22" s="718"/>
      <c r="AP22" s="718"/>
      <c r="AQ22" s="718"/>
      <c r="AR22" s="718"/>
      <c r="AS22" s="718"/>
      <c r="AT22" s="718"/>
      <c r="AU22" s="718"/>
      <c r="AV22" s="718"/>
      <c r="AW22" s="718"/>
      <c r="AX22" s="718"/>
      <c r="AY22" s="718"/>
      <c r="AZ22" s="718"/>
      <c r="BA22" s="718"/>
      <c r="BB22" s="718"/>
      <c r="BC22" s="718"/>
      <c r="BD22" s="718"/>
      <c r="BE22" s="718"/>
      <c r="BF22" s="718"/>
      <c r="BG22" s="718"/>
      <c r="BH22" s="718"/>
      <c r="BI22" s="718"/>
      <c r="BJ22" s="718"/>
      <c r="BK22" s="718"/>
      <c r="BL22" s="718"/>
      <c r="BM22" s="718"/>
    </row>
    <row r="23" spans="2:65">
      <c r="B23" t="str">
        <f>Commodities!K34</f>
        <v>TFGV_GSL_00</v>
      </c>
      <c r="C23" s="459" t="s">
        <v>854</v>
      </c>
      <c r="D23" s="5">
        <f t="shared" ref="D23:AD23" si="4">D86</f>
        <v>16.637</v>
      </c>
      <c r="E23" s="5">
        <f t="shared" si="4"/>
        <v>18.2</v>
      </c>
      <c r="F23" s="5">
        <f t="shared" si="4"/>
        <v>17.184999999999999</v>
      </c>
      <c r="G23" s="5">
        <f t="shared" si="4"/>
        <v>18.103999999999999</v>
      </c>
      <c r="H23" s="5">
        <f t="shared" si="4"/>
        <v>13.529</v>
      </c>
      <c r="I23" s="5">
        <f t="shared" si="4"/>
        <v>14.763999999999999</v>
      </c>
      <c r="J23" s="5">
        <f t="shared" si="4"/>
        <v>16.236000000000001</v>
      </c>
      <c r="K23" s="5">
        <f t="shared" si="4"/>
        <v>20.882999999999999</v>
      </c>
      <c r="L23" s="5">
        <f t="shared" si="4"/>
        <v>16.834</v>
      </c>
      <c r="M23" s="5">
        <f t="shared" si="4"/>
        <v>18.277000000000001</v>
      </c>
      <c r="N23" s="5">
        <f t="shared" si="4"/>
        <v>17.556999999999999</v>
      </c>
      <c r="O23" s="5">
        <f t="shared" si="4"/>
        <v>18.234000000000002</v>
      </c>
      <c r="P23" s="5">
        <f t="shared" si="4"/>
        <v>13.991</v>
      </c>
      <c r="Q23" s="5">
        <f t="shared" si="4"/>
        <v>16.218</v>
      </c>
      <c r="R23" s="5">
        <f t="shared" si="4"/>
        <v>15.417999999999999</v>
      </c>
      <c r="S23" s="5">
        <f t="shared" si="4"/>
        <v>16.893000000000001</v>
      </c>
      <c r="T23" s="5">
        <f t="shared" si="4"/>
        <v>21.984999999999999</v>
      </c>
      <c r="U23" s="5">
        <f t="shared" si="4"/>
        <v>17.042999999999999</v>
      </c>
      <c r="V23" s="5">
        <f t="shared" si="4"/>
        <v>15.646000000000001</v>
      </c>
      <c r="W23" s="5">
        <f t="shared" si="4"/>
        <v>15.837999999999999</v>
      </c>
      <c r="X23" s="5">
        <f t="shared" si="4"/>
        <v>17.187999999999999</v>
      </c>
      <c r="Y23" s="5">
        <f t="shared" si="4"/>
        <v>15.44</v>
      </c>
      <c r="Z23" s="5">
        <f t="shared" si="4"/>
        <v>19.148</v>
      </c>
      <c r="AA23" s="5">
        <f t="shared" si="4"/>
        <v>17.276</v>
      </c>
      <c r="AB23" s="5">
        <f t="shared" si="4"/>
        <v>15.121</v>
      </c>
      <c r="AC23" s="5">
        <f t="shared" si="4"/>
        <v>16.215</v>
      </c>
      <c r="AD23" s="5">
        <f t="shared" si="4"/>
        <v>18.088000000000001</v>
      </c>
      <c r="AF23" s="718"/>
      <c r="AG23" s="718"/>
      <c r="AH23" s="718"/>
      <c r="AI23" s="718"/>
      <c r="AJ23" s="718"/>
      <c r="AK23" s="718"/>
      <c r="AL23" s="718"/>
      <c r="AM23" s="718"/>
      <c r="AN23" s="718"/>
      <c r="AO23" s="718"/>
      <c r="AP23" s="718"/>
      <c r="AQ23" s="718"/>
      <c r="AR23" s="718"/>
      <c r="AS23" s="718"/>
      <c r="AT23" s="718"/>
      <c r="AU23" s="718"/>
      <c r="AV23" s="718"/>
      <c r="AW23" s="718"/>
      <c r="AX23" s="718"/>
      <c r="AY23" s="718"/>
      <c r="AZ23" s="718"/>
      <c r="BA23" s="718"/>
      <c r="BB23" s="718"/>
      <c r="BC23" s="718"/>
      <c r="BD23" s="718"/>
      <c r="BE23" s="718"/>
      <c r="BF23" s="718"/>
      <c r="BG23" s="718"/>
      <c r="BH23" s="718"/>
      <c r="BI23" s="718"/>
      <c r="BJ23" s="718"/>
      <c r="BK23" s="718"/>
      <c r="BL23" s="718"/>
      <c r="BM23" s="718"/>
    </row>
    <row r="24" spans="2:65">
      <c r="B24" s="459" t="str">
        <f>Commodities!K35</f>
        <v>TFGV_DST_00</v>
      </c>
      <c r="C24" s="459" t="s">
        <v>854</v>
      </c>
      <c r="D24" s="723">
        <f>D87*1.1</f>
        <v>24.504700000000003</v>
      </c>
      <c r="E24" s="723">
        <f t="shared" ref="E24:AD24" si="5">E87*1.1</f>
        <v>24.521200000000004</v>
      </c>
      <c r="F24" s="723">
        <f t="shared" si="5"/>
        <v>26.150300000000001</v>
      </c>
      <c r="G24" s="723">
        <f t="shared" si="5"/>
        <v>25.831300000000002</v>
      </c>
      <c r="H24" s="723">
        <f t="shared" si="5"/>
        <v>25.316500000000001</v>
      </c>
      <c r="I24" s="723">
        <f t="shared" si="5"/>
        <v>25.613500000000002</v>
      </c>
      <c r="J24" s="723">
        <f t="shared" si="5"/>
        <v>24.5124</v>
      </c>
      <c r="K24" s="723">
        <f t="shared" si="5"/>
        <v>25.415500000000002</v>
      </c>
      <c r="L24" s="723">
        <f t="shared" si="5"/>
        <v>26.580400000000004</v>
      </c>
      <c r="M24" s="723">
        <f t="shared" si="5"/>
        <v>23.504799999999999</v>
      </c>
      <c r="N24" s="723">
        <f t="shared" si="5"/>
        <v>23.578500000000002</v>
      </c>
      <c r="O24" s="723">
        <f t="shared" si="5"/>
        <v>26.297700000000003</v>
      </c>
      <c r="P24" s="723">
        <f t="shared" si="5"/>
        <v>23.342000000000002</v>
      </c>
      <c r="Q24" s="723">
        <f t="shared" si="5"/>
        <v>23.075800000000005</v>
      </c>
      <c r="R24" s="723">
        <f t="shared" si="5"/>
        <v>23.3035</v>
      </c>
      <c r="S24" s="723">
        <f t="shared" si="5"/>
        <v>22.5852</v>
      </c>
      <c r="T24" s="723">
        <f t="shared" si="5"/>
        <v>25.953400000000002</v>
      </c>
      <c r="U24" s="723">
        <f t="shared" si="5"/>
        <v>23.837000000000003</v>
      </c>
      <c r="V24" s="723">
        <f t="shared" si="5"/>
        <v>21.978000000000002</v>
      </c>
      <c r="W24" s="723">
        <f t="shared" si="5"/>
        <v>23.195700000000002</v>
      </c>
      <c r="X24" s="723">
        <f t="shared" si="5"/>
        <v>22.712800000000001</v>
      </c>
      <c r="Y24" s="723">
        <f t="shared" si="5"/>
        <v>22.297000000000001</v>
      </c>
      <c r="Z24" s="723">
        <f t="shared" si="5"/>
        <v>23.728100000000005</v>
      </c>
      <c r="AA24" s="723">
        <f t="shared" si="5"/>
        <v>22.083600000000004</v>
      </c>
      <c r="AB24" s="723">
        <f t="shared" si="5"/>
        <v>24.393599999999999</v>
      </c>
      <c r="AC24" s="723">
        <f t="shared" si="5"/>
        <v>21.733800000000002</v>
      </c>
      <c r="AD24" s="723">
        <f t="shared" si="5"/>
        <v>27.5473</v>
      </c>
      <c r="AF24" s="718"/>
      <c r="AG24" s="718"/>
      <c r="AH24" s="718"/>
      <c r="AI24" s="718"/>
      <c r="AJ24" s="718"/>
      <c r="AK24" s="718"/>
      <c r="AL24" s="718"/>
      <c r="AM24" s="718"/>
      <c r="AN24" s="718"/>
      <c r="AO24" s="718"/>
      <c r="AP24" s="718"/>
      <c r="AQ24" s="718"/>
      <c r="AR24" s="718"/>
      <c r="AS24" s="718"/>
      <c r="AT24" s="718"/>
      <c r="AU24" s="718"/>
      <c r="AV24" s="718"/>
      <c r="AW24" s="718"/>
      <c r="AX24" s="718"/>
      <c r="AY24" s="718"/>
      <c r="AZ24" s="718"/>
      <c r="BA24" s="718"/>
      <c r="BB24" s="718"/>
      <c r="BC24" s="718"/>
      <c r="BD24" s="718"/>
      <c r="BE24" s="718"/>
      <c r="BF24" s="718"/>
      <c r="BG24" s="718"/>
      <c r="BH24" s="718"/>
      <c r="BI24" s="718"/>
      <c r="BJ24" s="718"/>
      <c r="BK24" s="718"/>
      <c r="BL24" s="718"/>
      <c r="BM24" s="718"/>
    </row>
    <row r="25" spans="2:65">
      <c r="B25" s="458" t="str">
        <f>Commodities!K36</f>
        <v>TFRAIL_DST_00</v>
      </c>
      <c r="C25" s="458" t="s">
        <v>854</v>
      </c>
      <c r="D25" s="602">
        <f>D88</f>
        <v>39.363999999999997</v>
      </c>
      <c r="E25" s="602">
        <f t="shared" ref="E25:AD25" si="6">E88</f>
        <v>39.363999999999997</v>
      </c>
      <c r="F25" s="602">
        <f t="shared" si="6"/>
        <v>39.363999999999997</v>
      </c>
      <c r="G25" s="602">
        <f t="shared" si="6"/>
        <v>39.363999999999997</v>
      </c>
      <c r="H25" s="602">
        <f t="shared" si="6"/>
        <v>39.363999999999997</v>
      </c>
      <c r="I25" s="602">
        <f t="shared" si="6"/>
        <v>39.363999999999997</v>
      </c>
      <c r="J25" s="602">
        <f t="shared" si="6"/>
        <v>39.363999999999997</v>
      </c>
      <c r="K25" s="602">
        <f t="shared" si="6"/>
        <v>39.363999999999997</v>
      </c>
      <c r="L25" s="602">
        <f t="shared" si="6"/>
        <v>39.363999999999997</v>
      </c>
      <c r="M25" s="602">
        <f t="shared" si="6"/>
        <v>39.363999999999997</v>
      </c>
      <c r="N25" s="602">
        <f t="shared" si="6"/>
        <v>39.363999999999997</v>
      </c>
      <c r="O25" s="602">
        <f t="shared" si="6"/>
        <v>39.363999999999997</v>
      </c>
      <c r="P25" s="602">
        <f t="shared" si="6"/>
        <v>39.363999999999997</v>
      </c>
      <c r="Q25" s="602">
        <f t="shared" si="6"/>
        <v>39.363999999999997</v>
      </c>
      <c r="R25" s="602">
        <f t="shared" si="6"/>
        <v>39.363999999999997</v>
      </c>
      <c r="S25" s="602">
        <f t="shared" si="6"/>
        <v>39.363999999999997</v>
      </c>
      <c r="T25" s="602">
        <f t="shared" si="6"/>
        <v>39.363999999999997</v>
      </c>
      <c r="U25" s="602">
        <f t="shared" si="6"/>
        <v>39.363999999999997</v>
      </c>
      <c r="V25" s="602">
        <f t="shared" si="6"/>
        <v>39.363999999999997</v>
      </c>
      <c r="W25" s="602">
        <f t="shared" si="6"/>
        <v>39.363999999999997</v>
      </c>
      <c r="X25" s="602">
        <f t="shared" si="6"/>
        <v>39.363999999999997</v>
      </c>
      <c r="Y25" s="602">
        <f t="shared" si="6"/>
        <v>39.363999999999997</v>
      </c>
      <c r="Z25" s="602">
        <f t="shared" si="6"/>
        <v>39.363999999999997</v>
      </c>
      <c r="AA25" s="602">
        <f t="shared" si="6"/>
        <v>39.363999999999997</v>
      </c>
      <c r="AB25" s="602">
        <f t="shared" si="6"/>
        <v>39.363999999999997</v>
      </c>
      <c r="AC25" s="602">
        <f t="shared" si="6"/>
        <v>39.363999999999997</v>
      </c>
      <c r="AD25" s="602">
        <f t="shared" si="6"/>
        <v>39.363999999999997</v>
      </c>
      <c r="AF25" s="718"/>
      <c r="AG25" s="718"/>
      <c r="AH25" s="718"/>
      <c r="AI25" s="718"/>
      <c r="AJ25" s="718"/>
      <c r="AK25" s="718"/>
      <c r="AL25" s="718"/>
      <c r="AM25" s="718"/>
      <c r="AN25" s="718"/>
      <c r="AO25" s="718"/>
      <c r="AP25" s="718"/>
      <c r="AQ25" s="718"/>
      <c r="AR25" s="718"/>
      <c r="AS25" s="718"/>
      <c r="AT25" s="718"/>
      <c r="AU25" s="718"/>
      <c r="AV25" s="718"/>
      <c r="AW25" s="718"/>
      <c r="AX25" s="718"/>
      <c r="AY25" s="718"/>
      <c r="AZ25" s="718"/>
      <c r="BA25" s="718"/>
      <c r="BB25" s="718"/>
      <c r="BC25" s="718"/>
      <c r="BD25" s="718"/>
      <c r="BE25" s="718"/>
      <c r="BF25" s="718"/>
      <c r="BG25" s="718"/>
      <c r="BH25" s="718"/>
      <c r="BI25" s="718"/>
      <c r="BJ25" s="718"/>
      <c r="BK25" s="718"/>
      <c r="BL25" s="718"/>
      <c r="BM25" s="718"/>
    </row>
    <row r="26" spans="2:65" s="718" customFormat="1">
      <c r="B26" s="1"/>
      <c r="C26" s="1"/>
      <c r="D26" s="654"/>
      <c r="E26" s="654"/>
      <c r="F26" s="654"/>
      <c r="G26" s="654"/>
      <c r="H26" s="654"/>
      <c r="I26" s="654"/>
      <c r="J26" s="654"/>
      <c r="K26" s="654"/>
      <c r="L26" s="654"/>
      <c r="M26" s="654"/>
      <c r="N26" s="654"/>
      <c r="O26" s="654"/>
      <c r="P26" s="654"/>
      <c r="Q26" s="654"/>
      <c r="R26" s="654"/>
      <c r="S26" s="654"/>
      <c r="T26" s="654"/>
      <c r="U26" s="654"/>
      <c r="V26" s="654"/>
      <c r="W26" s="654"/>
      <c r="X26" s="654"/>
      <c r="Y26" s="654"/>
      <c r="Z26" s="654"/>
      <c r="AA26" s="654"/>
      <c r="AB26" s="654"/>
      <c r="AC26" s="654"/>
      <c r="AD26" s="654"/>
    </row>
    <row r="27" spans="2:65" s="459" customFormat="1">
      <c r="B27" s="1" t="s">
        <v>1063</v>
      </c>
      <c r="C27" s="1"/>
      <c r="D27" s="654"/>
      <c r="E27" s="654"/>
      <c r="F27" s="654"/>
      <c r="G27" s="654"/>
      <c r="H27" s="654"/>
      <c r="I27" s="654"/>
      <c r="J27" s="654"/>
      <c r="K27" s="654"/>
      <c r="L27" s="654"/>
      <c r="M27" s="654"/>
      <c r="N27" s="654"/>
      <c r="O27" s="654"/>
      <c r="P27" s="654"/>
      <c r="Q27" s="654"/>
      <c r="R27" s="654"/>
      <c r="S27" s="654"/>
      <c r="T27" s="654"/>
      <c r="U27" s="654"/>
      <c r="V27" s="654"/>
      <c r="W27" s="654"/>
      <c r="X27" s="654"/>
      <c r="Y27" s="654"/>
      <c r="Z27" s="654"/>
      <c r="AA27" s="654"/>
      <c r="AB27" s="654"/>
      <c r="AC27" s="654"/>
      <c r="AD27" s="654"/>
      <c r="AF27" s="718"/>
      <c r="AG27" s="718"/>
      <c r="AH27" s="718"/>
      <c r="AI27" s="718"/>
      <c r="AJ27" s="718"/>
      <c r="AK27" s="718"/>
      <c r="AL27" s="718"/>
      <c r="AM27" s="718"/>
      <c r="AN27" s="718"/>
      <c r="AO27" s="718"/>
      <c r="AP27" s="718"/>
      <c r="AQ27" s="718"/>
      <c r="AR27" s="718"/>
      <c r="AS27" s="718"/>
      <c r="AT27" s="718"/>
      <c r="AU27" s="718"/>
      <c r="AV27" s="718"/>
      <c r="AW27" s="718"/>
      <c r="AX27" s="718"/>
      <c r="AY27" s="718"/>
      <c r="AZ27" s="718"/>
      <c r="BA27" s="718"/>
      <c r="BB27" s="718"/>
      <c r="BC27" s="718"/>
      <c r="BD27" s="718"/>
      <c r="BE27" s="718"/>
      <c r="BF27" s="718"/>
      <c r="BG27" s="718"/>
      <c r="BH27" s="718"/>
      <c r="BI27" s="718"/>
      <c r="BJ27" s="718"/>
      <c r="BK27" s="718"/>
      <c r="BL27" s="718"/>
      <c r="BM27" s="718"/>
    </row>
    <row r="28" spans="2:65">
      <c r="B28" s="459"/>
      <c r="D28" s="459"/>
      <c r="E28" s="459"/>
      <c r="F28" s="459"/>
      <c r="G28" s="459"/>
      <c r="H28" s="459"/>
      <c r="I28" s="459"/>
      <c r="J28" s="459"/>
      <c r="K28" s="459"/>
      <c r="L28" s="459"/>
      <c r="M28" s="459"/>
      <c r="N28" s="459"/>
      <c r="O28" s="459"/>
      <c r="P28" s="459"/>
      <c r="Q28" s="459"/>
      <c r="R28" s="459"/>
      <c r="S28" s="459"/>
      <c r="T28" s="459"/>
      <c r="U28" s="459"/>
      <c r="V28" s="459"/>
      <c r="W28" s="459"/>
      <c r="X28" s="459"/>
      <c r="Y28" s="459"/>
      <c r="Z28" s="459"/>
      <c r="AA28" s="459"/>
      <c r="AB28" s="459"/>
      <c r="AC28" s="459"/>
      <c r="AD28" s="459"/>
      <c r="AE28" s="459"/>
      <c r="AF28" s="718"/>
      <c r="AG28" s="718"/>
      <c r="AH28" s="718"/>
      <c r="AI28" s="718"/>
      <c r="AJ28" s="718"/>
      <c r="AK28" s="718"/>
      <c r="AL28" s="718"/>
      <c r="AM28" s="718"/>
      <c r="AN28" s="718"/>
      <c r="AO28" s="718"/>
      <c r="AP28" s="718"/>
      <c r="AQ28" s="718"/>
      <c r="AR28" s="718"/>
      <c r="AS28" s="718"/>
      <c r="AT28" s="718"/>
      <c r="AU28" s="718"/>
      <c r="AV28" s="718"/>
      <c r="AW28" s="718"/>
      <c r="AX28" s="718"/>
      <c r="AY28" s="718"/>
      <c r="AZ28" s="718"/>
      <c r="BA28" s="718"/>
      <c r="BB28" s="718"/>
      <c r="BC28" s="718"/>
      <c r="BD28" s="718"/>
      <c r="BE28" s="718"/>
      <c r="BF28" s="718"/>
      <c r="BG28" s="718"/>
      <c r="BH28" s="718"/>
      <c r="BI28" s="718"/>
      <c r="BJ28" s="718"/>
      <c r="BK28" s="718"/>
      <c r="BL28" s="718"/>
      <c r="BM28" s="718"/>
    </row>
    <row r="29" spans="2:65">
      <c r="B29" s="459"/>
      <c r="D29" s="459"/>
      <c r="E29" s="459"/>
      <c r="F29" s="459"/>
      <c r="G29" s="459"/>
      <c r="H29" s="459"/>
      <c r="I29" s="459"/>
      <c r="J29" s="459"/>
      <c r="K29" s="459"/>
      <c r="L29" s="459"/>
      <c r="M29" s="459"/>
      <c r="N29" s="459"/>
      <c r="O29" s="459"/>
      <c r="P29" s="459"/>
      <c r="Q29" s="459"/>
      <c r="AF29" s="718"/>
      <c r="AG29" s="718"/>
      <c r="AH29" s="718"/>
      <c r="AI29" s="718"/>
      <c r="AJ29" s="718"/>
      <c r="AK29" s="718"/>
      <c r="AL29" s="718"/>
      <c r="AM29" s="718"/>
      <c r="AN29" s="718"/>
      <c r="AO29" s="718"/>
      <c r="AP29" s="718"/>
      <c r="AQ29" s="718"/>
      <c r="AR29" s="718"/>
      <c r="AS29" s="718"/>
      <c r="AT29" s="718"/>
      <c r="AU29" s="718"/>
      <c r="AV29" s="718"/>
      <c r="AW29" s="718"/>
      <c r="AX29" s="718"/>
      <c r="AY29" s="718"/>
      <c r="AZ29" s="718"/>
      <c r="BA29" s="718"/>
      <c r="BB29" s="718"/>
      <c r="BC29" s="718"/>
      <c r="BD29" s="718"/>
      <c r="BE29" s="718"/>
      <c r="BF29" s="718"/>
      <c r="BG29" s="718"/>
      <c r="BH29" s="718"/>
      <c r="BI29" s="718"/>
      <c r="BJ29" s="718"/>
      <c r="BK29" s="718"/>
      <c r="BL29" s="718"/>
      <c r="BM29" s="718"/>
    </row>
    <row r="30" spans="2:65">
      <c r="B30" s="459"/>
      <c r="C30" s="461"/>
      <c r="D30" s="718"/>
      <c r="E30" s="718"/>
      <c r="F30" s="718"/>
      <c r="G30" s="718"/>
      <c r="H30" s="718"/>
      <c r="I30" s="718"/>
      <c r="J30" s="718"/>
      <c r="K30" s="459"/>
      <c r="L30" s="459"/>
      <c r="M30" s="459"/>
      <c r="N30" s="459"/>
      <c r="O30" s="459"/>
      <c r="P30" s="459"/>
      <c r="Q30" s="459"/>
      <c r="AF30" s="718"/>
      <c r="AG30" s="718"/>
      <c r="AH30" s="718"/>
      <c r="AI30" s="718"/>
      <c r="AJ30" s="718"/>
      <c r="AK30" s="718"/>
      <c r="AL30" s="718"/>
      <c r="AM30" s="718"/>
      <c r="AN30" s="718"/>
      <c r="AO30" s="718"/>
      <c r="AP30" s="718"/>
      <c r="AQ30" s="718"/>
      <c r="AR30" s="718"/>
      <c r="AS30" s="718"/>
      <c r="AT30" s="718"/>
      <c r="AU30" s="718"/>
      <c r="AV30" s="718"/>
      <c r="AW30" s="718"/>
      <c r="AX30" s="718"/>
      <c r="AY30" s="718"/>
      <c r="AZ30" s="718"/>
      <c r="BA30" s="718"/>
      <c r="BB30" s="718"/>
      <c r="BC30" s="718"/>
      <c r="BD30" s="718"/>
      <c r="BE30" s="718"/>
      <c r="BF30" s="718"/>
      <c r="BG30" s="718"/>
      <c r="BH30" s="718"/>
      <c r="BI30" s="718"/>
      <c r="BJ30" s="718"/>
      <c r="BK30" s="718"/>
      <c r="BL30" s="718"/>
      <c r="BM30" s="718"/>
    </row>
    <row r="31" spans="2:65" s="459" customFormat="1">
      <c r="C31" s="461"/>
      <c r="D31" s="718"/>
      <c r="E31" s="718"/>
      <c r="F31" s="718"/>
      <c r="G31" s="718"/>
      <c r="H31" s="718"/>
      <c r="I31" s="718"/>
      <c r="J31" s="718"/>
      <c r="AF31" s="718"/>
      <c r="AG31" s="718"/>
      <c r="AH31" s="718"/>
      <c r="AI31" s="718"/>
      <c r="AJ31" s="718"/>
      <c r="AK31" s="718"/>
      <c r="AL31" s="718"/>
      <c r="AM31" s="718"/>
      <c r="AN31" s="718"/>
      <c r="AO31" s="718"/>
      <c r="AP31" s="718"/>
      <c r="AQ31" s="718"/>
      <c r="AR31" s="718"/>
      <c r="AS31" s="718"/>
      <c r="AT31" s="718"/>
      <c r="AU31" s="718"/>
      <c r="AV31" s="718"/>
      <c r="AW31" s="718"/>
      <c r="AX31" s="718"/>
      <c r="AY31" s="718"/>
      <c r="AZ31" s="718"/>
      <c r="BA31" s="718"/>
      <c r="BB31" s="718"/>
      <c r="BC31" s="718"/>
      <c r="BD31" s="718"/>
      <c r="BE31" s="718"/>
      <c r="BF31" s="718"/>
      <c r="BG31" s="718"/>
      <c r="BH31" s="718"/>
      <c r="BI31" s="718"/>
      <c r="BJ31" s="718"/>
      <c r="BK31" s="718"/>
      <c r="BL31" s="718"/>
      <c r="BM31" s="718"/>
    </row>
    <row r="32" spans="2:65">
      <c r="B32" s="459"/>
      <c r="C32" s="134"/>
      <c r="D32" s="459"/>
      <c r="E32" s="459"/>
      <c r="F32" s="459"/>
      <c r="G32" s="459"/>
      <c r="H32" s="459"/>
      <c r="I32" s="459"/>
      <c r="J32" s="459"/>
      <c r="K32" s="459"/>
      <c r="L32" s="459"/>
      <c r="M32" s="459"/>
      <c r="N32" s="459"/>
      <c r="O32" s="459"/>
      <c r="P32" s="459"/>
      <c r="Q32" s="459"/>
      <c r="AF32" s="718"/>
      <c r="AG32" s="718"/>
      <c r="AH32" s="718"/>
      <c r="AI32" s="718"/>
      <c r="AJ32" s="718"/>
      <c r="AK32" s="718"/>
      <c r="AL32" s="718"/>
      <c r="AM32" s="718"/>
      <c r="AN32" s="718"/>
      <c r="AO32" s="718"/>
      <c r="AP32" s="718"/>
      <c r="AQ32" s="718"/>
      <c r="AR32" s="718"/>
      <c r="AS32" s="718"/>
      <c r="AT32" s="718"/>
      <c r="AU32" s="718"/>
      <c r="AV32" s="718"/>
      <c r="AW32" s="718"/>
      <c r="AX32" s="718"/>
      <c r="AY32" s="718"/>
      <c r="AZ32" s="718"/>
      <c r="BA32" s="718"/>
      <c r="BB32" s="718"/>
      <c r="BC32" s="718"/>
      <c r="BD32" s="718"/>
      <c r="BE32" s="718"/>
      <c r="BF32" s="718"/>
      <c r="BG32" s="718"/>
      <c r="BH32" s="718"/>
      <c r="BI32" s="718"/>
      <c r="BJ32" s="718"/>
      <c r="BK32" s="718"/>
      <c r="BL32" s="718"/>
      <c r="BM32" s="718"/>
    </row>
    <row r="33" spans="2:65">
      <c r="C33" s="453" t="s">
        <v>76</v>
      </c>
      <c r="D33" s="459"/>
      <c r="E33" s="459"/>
      <c r="F33" s="459"/>
      <c r="G33" s="459"/>
      <c r="H33" s="459"/>
      <c r="I33" s="459"/>
      <c r="J33" s="459"/>
      <c r="K33" s="459"/>
      <c r="L33" s="459"/>
      <c r="M33" s="459"/>
      <c r="N33" s="459"/>
      <c r="O33" s="459"/>
      <c r="P33" s="459"/>
      <c r="Q33" s="459"/>
      <c r="R33" s="459"/>
      <c r="S33" s="459"/>
      <c r="T33" s="459"/>
      <c r="U33" s="459"/>
      <c r="V33" s="459"/>
      <c r="W33" s="459"/>
      <c r="X33" s="459"/>
      <c r="Y33" s="459"/>
      <c r="Z33" s="459"/>
      <c r="AA33" s="459"/>
      <c r="AB33" s="459"/>
      <c r="AC33" s="459"/>
      <c r="AD33" s="459"/>
      <c r="AF33" s="718"/>
      <c r="AG33" s="718"/>
      <c r="AH33" s="718"/>
      <c r="AI33" s="718"/>
      <c r="AJ33" s="718"/>
      <c r="AK33" s="718"/>
      <c r="AL33" s="718"/>
      <c r="AM33" s="718"/>
      <c r="AN33" s="718"/>
      <c r="AO33" s="718"/>
      <c r="AP33" s="718"/>
      <c r="AQ33" s="718"/>
      <c r="AR33" s="718"/>
      <c r="AS33" s="718"/>
      <c r="AT33" s="718"/>
      <c r="AU33" s="718"/>
      <c r="AV33" s="718"/>
      <c r="AW33" s="718"/>
      <c r="AX33" s="718"/>
      <c r="AY33" s="718"/>
      <c r="AZ33" s="718"/>
      <c r="BA33" s="718"/>
      <c r="BB33" s="718"/>
      <c r="BC33" s="718"/>
      <c r="BD33" s="718"/>
      <c r="BE33" s="718"/>
      <c r="BF33" s="718"/>
      <c r="BG33" s="718"/>
      <c r="BH33" s="718"/>
      <c r="BI33" s="718"/>
      <c r="BJ33" s="718"/>
      <c r="BK33" s="718"/>
      <c r="BL33" s="718"/>
      <c r="BM33" s="718"/>
    </row>
    <row r="34" spans="2:65" ht="15" thickBot="1">
      <c r="B34" s="41" t="s">
        <v>70</v>
      </c>
      <c r="C34" s="41" t="s">
        <v>101</v>
      </c>
      <c r="D34" s="460" t="str">
        <f t="shared" ref="D34:AD34" si="7">D3</f>
        <v>IE</v>
      </c>
      <c r="E34" s="460" t="str">
        <f t="shared" si="7"/>
        <v>IE-CW</v>
      </c>
      <c r="F34" s="460" t="str">
        <f t="shared" si="7"/>
        <v>IE-D</v>
      </c>
      <c r="G34" s="460" t="str">
        <f t="shared" si="7"/>
        <v>IE-KE</v>
      </c>
      <c r="H34" s="460" t="str">
        <f t="shared" si="7"/>
        <v>IE-KK</v>
      </c>
      <c r="I34" s="460" t="str">
        <f t="shared" si="7"/>
        <v>IE-LS</v>
      </c>
      <c r="J34" s="460" t="str">
        <f t="shared" si="7"/>
        <v>IE-LD</v>
      </c>
      <c r="K34" s="460" t="str">
        <f t="shared" si="7"/>
        <v>IE-LH</v>
      </c>
      <c r="L34" s="460" t="str">
        <f t="shared" si="7"/>
        <v>IE-MH</v>
      </c>
      <c r="M34" s="460" t="str">
        <f t="shared" si="7"/>
        <v>IE-OY</v>
      </c>
      <c r="N34" s="460" t="str">
        <f t="shared" si="7"/>
        <v>IE-WH</v>
      </c>
      <c r="O34" s="460" t="str">
        <f t="shared" si="7"/>
        <v>IE-WX</v>
      </c>
      <c r="P34" s="460" t="str">
        <f t="shared" si="7"/>
        <v>IE-WW</v>
      </c>
      <c r="Q34" s="460" t="str">
        <f t="shared" si="7"/>
        <v>IE-CE</v>
      </c>
      <c r="R34" s="460" t="str">
        <f t="shared" si="7"/>
        <v>IE-CO</v>
      </c>
      <c r="S34" s="460" t="str">
        <f t="shared" si="7"/>
        <v>IE-KY</v>
      </c>
      <c r="T34" s="460" t="str">
        <f t="shared" si="7"/>
        <v>IE-LK</v>
      </c>
      <c r="U34" s="460" t="str">
        <f t="shared" si="7"/>
        <v>IE-TA</v>
      </c>
      <c r="V34" s="460" t="str">
        <f t="shared" si="7"/>
        <v>IE-WD</v>
      </c>
      <c r="W34" s="460" t="str">
        <f t="shared" si="7"/>
        <v>IE-G</v>
      </c>
      <c r="X34" s="460" t="str">
        <f t="shared" si="7"/>
        <v>IE-LM</v>
      </c>
      <c r="Y34" s="460" t="str">
        <f t="shared" si="7"/>
        <v>IE-MO</v>
      </c>
      <c r="Z34" s="460" t="str">
        <f t="shared" si="7"/>
        <v>IE-RN</v>
      </c>
      <c r="AA34" s="460" t="str">
        <f t="shared" si="7"/>
        <v>IE-SO</v>
      </c>
      <c r="AB34" s="460" t="str">
        <f t="shared" si="7"/>
        <v>IE-CN</v>
      </c>
      <c r="AC34" s="460" t="str">
        <f t="shared" si="7"/>
        <v>IE-DL</v>
      </c>
      <c r="AD34" s="460" t="str">
        <f t="shared" si="7"/>
        <v>IE-MN</v>
      </c>
      <c r="AF34" s="718"/>
      <c r="AG34" s="718"/>
      <c r="AH34" s="718"/>
      <c r="AI34" s="718"/>
      <c r="AJ34" s="718"/>
      <c r="AK34" s="718"/>
      <c r="AL34" s="718"/>
      <c r="AM34" s="718"/>
      <c r="AN34" s="718"/>
      <c r="AO34" s="718"/>
      <c r="AP34" s="718"/>
      <c r="AQ34" s="718"/>
      <c r="AR34" s="718"/>
      <c r="AS34" s="718"/>
      <c r="AT34" s="718"/>
      <c r="AU34" s="718"/>
      <c r="AV34" s="718"/>
      <c r="AW34" s="718"/>
      <c r="AX34" s="718"/>
      <c r="AY34" s="718"/>
      <c r="AZ34" s="718"/>
      <c r="BA34" s="718"/>
      <c r="BB34" s="718"/>
      <c r="BC34" s="718"/>
      <c r="BD34" s="718"/>
      <c r="BE34" s="718"/>
      <c r="BF34" s="718"/>
      <c r="BG34" s="718"/>
      <c r="BH34" s="718"/>
      <c r="BI34" s="718"/>
      <c r="BJ34" s="718"/>
      <c r="BK34" s="718"/>
      <c r="BL34" s="718"/>
      <c r="BM34" s="718"/>
    </row>
    <row r="35" spans="2:65" s="459" customFormat="1">
      <c r="B35" s="459" t="str">
        <f>Commodities!K8</f>
        <v>TWLK_WLK</v>
      </c>
      <c r="C35" s="459" t="s">
        <v>584</v>
      </c>
      <c r="D35" s="38">
        <v>1E-3</v>
      </c>
      <c r="E35" s="38">
        <v>1E-3</v>
      </c>
      <c r="F35" s="38">
        <v>1E-3</v>
      </c>
      <c r="G35" s="38">
        <v>1E-3</v>
      </c>
      <c r="H35" s="38">
        <v>1E-3</v>
      </c>
      <c r="I35" s="38">
        <v>1E-3</v>
      </c>
      <c r="J35" s="38">
        <v>1E-3</v>
      </c>
      <c r="K35" s="38">
        <v>1E-3</v>
      </c>
      <c r="L35" s="38">
        <v>1E-3</v>
      </c>
      <c r="M35" s="38">
        <v>1E-3</v>
      </c>
      <c r="N35" s="38">
        <v>1E-3</v>
      </c>
      <c r="O35" s="38">
        <v>1E-3</v>
      </c>
      <c r="P35" s="38">
        <v>1E-3</v>
      </c>
      <c r="Q35" s="38">
        <v>1E-3</v>
      </c>
      <c r="R35" s="38">
        <v>1E-3</v>
      </c>
      <c r="S35" s="38">
        <v>1E-3</v>
      </c>
      <c r="T35" s="38">
        <v>1E-3</v>
      </c>
      <c r="U35" s="38">
        <v>1E-3</v>
      </c>
      <c r="V35" s="38">
        <v>1E-3</v>
      </c>
      <c r="W35" s="38">
        <v>1E-3</v>
      </c>
      <c r="X35" s="38">
        <v>1E-3</v>
      </c>
      <c r="Y35" s="38">
        <v>1E-3</v>
      </c>
      <c r="Z35" s="38">
        <v>1E-3</v>
      </c>
      <c r="AA35" s="38">
        <v>1E-3</v>
      </c>
      <c r="AB35" s="38">
        <v>1E-3</v>
      </c>
      <c r="AC35" s="38">
        <v>1E-3</v>
      </c>
      <c r="AD35" s="38">
        <v>1E-3</v>
      </c>
      <c r="AF35" s="718"/>
      <c r="AG35" s="718"/>
      <c r="AH35" s="718"/>
      <c r="AI35" s="718"/>
      <c r="AJ35" s="718"/>
      <c r="AK35" s="718"/>
      <c r="AL35" s="718"/>
      <c r="AM35" s="718"/>
      <c r="AN35" s="718"/>
      <c r="AO35" s="718"/>
      <c r="AP35" s="718"/>
      <c r="AQ35" s="718"/>
      <c r="AR35" s="718"/>
      <c r="AS35" s="718"/>
      <c r="AT35" s="718"/>
      <c r="AU35" s="718"/>
      <c r="AV35" s="718"/>
      <c r="AW35" s="718"/>
      <c r="AX35" s="718"/>
      <c r="AY35" s="718"/>
      <c r="AZ35" s="718"/>
      <c r="BA35" s="718"/>
      <c r="BB35" s="718"/>
      <c r="BC35" s="718"/>
      <c r="BD35" s="718"/>
      <c r="BE35" s="718"/>
      <c r="BF35" s="718"/>
      <c r="BG35" s="718"/>
      <c r="BH35" s="718"/>
      <c r="BI35" s="718"/>
      <c r="BJ35" s="718"/>
      <c r="BK35" s="718"/>
      <c r="BL35" s="718"/>
      <c r="BM35" s="718"/>
    </row>
    <row r="36" spans="2:65" s="459" customFormat="1">
      <c r="B36" s="459" t="str">
        <f>Commodities!K9</f>
        <v>TCYC_CYC</v>
      </c>
      <c r="C36" s="459" t="s">
        <v>584</v>
      </c>
      <c r="D36" s="38">
        <v>1E-3</v>
      </c>
      <c r="E36" s="38">
        <v>1E-3</v>
      </c>
      <c r="F36" s="38">
        <v>1E-3</v>
      </c>
      <c r="G36" s="38">
        <v>1E-3</v>
      </c>
      <c r="H36" s="38">
        <v>1E-3</v>
      </c>
      <c r="I36" s="38">
        <v>1E-3</v>
      </c>
      <c r="J36" s="38">
        <v>1E-3</v>
      </c>
      <c r="K36" s="38">
        <v>1E-3</v>
      </c>
      <c r="L36" s="38">
        <v>1E-3</v>
      </c>
      <c r="M36" s="38">
        <v>1E-3</v>
      </c>
      <c r="N36" s="38">
        <v>1E-3</v>
      </c>
      <c r="O36" s="38">
        <v>1E-3</v>
      </c>
      <c r="P36" s="38">
        <v>1E-3</v>
      </c>
      <c r="Q36" s="38">
        <v>1E-3</v>
      </c>
      <c r="R36" s="38">
        <v>1E-3</v>
      </c>
      <c r="S36" s="38">
        <v>1E-3</v>
      </c>
      <c r="T36" s="38">
        <v>1E-3</v>
      </c>
      <c r="U36" s="38">
        <v>1E-3</v>
      </c>
      <c r="V36" s="38">
        <v>1E-3</v>
      </c>
      <c r="W36" s="38">
        <v>1E-3</v>
      </c>
      <c r="X36" s="38">
        <v>1E-3</v>
      </c>
      <c r="Y36" s="38">
        <v>1E-3</v>
      </c>
      <c r="Z36" s="38">
        <v>1E-3</v>
      </c>
      <c r="AA36" s="38">
        <v>1E-3</v>
      </c>
      <c r="AB36" s="38">
        <v>1E-3</v>
      </c>
      <c r="AC36" s="38">
        <v>1E-3</v>
      </c>
      <c r="AD36" s="38">
        <v>1E-3</v>
      </c>
      <c r="AF36" s="718"/>
      <c r="AG36" s="718"/>
      <c r="AH36" s="718"/>
      <c r="AI36" s="718"/>
      <c r="AJ36" s="718"/>
      <c r="AK36" s="718"/>
      <c r="AL36" s="718"/>
      <c r="AM36" s="718"/>
      <c r="AN36" s="718"/>
      <c r="AO36" s="718"/>
      <c r="AP36" s="718"/>
      <c r="AQ36" s="718"/>
      <c r="AR36" s="718"/>
      <c r="AS36" s="718"/>
      <c r="AT36" s="718"/>
      <c r="AU36" s="718"/>
      <c r="AV36" s="718"/>
      <c r="AW36" s="718"/>
      <c r="AX36" s="718"/>
      <c r="AY36" s="718"/>
      <c r="AZ36" s="718"/>
      <c r="BA36" s="718"/>
      <c r="BB36" s="718"/>
      <c r="BC36" s="718"/>
      <c r="BD36" s="718"/>
      <c r="BE36" s="718"/>
      <c r="BF36" s="718"/>
      <c r="BG36" s="718"/>
      <c r="BH36" s="718"/>
      <c r="BI36" s="718"/>
      <c r="BJ36" s="718"/>
      <c r="BK36" s="718"/>
      <c r="BL36" s="718"/>
      <c r="BM36" s="718"/>
    </row>
    <row r="37" spans="2:65">
      <c r="B37" s="459" t="str">
        <f>Commodities!K11</f>
        <v>TMOT_GSL_00</v>
      </c>
      <c r="C37" s="459" t="s">
        <v>584</v>
      </c>
      <c r="D37" s="38">
        <v>1E-3</v>
      </c>
      <c r="E37" s="38">
        <v>1E-3</v>
      </c>
      <c r="F37" s="38">
        <v>1E-3</v>
      </c>
      <c r="G37" s="38">
        <v>1E-3</v>
      </c>
      <c r="H37" s="38">
        <v>1E-3</v>
      </c>
      <c r="I37" s="38">
        <v>1E-3</v>
      </c>
      <c r="J37" s="38">
        <v>1E-3</v>
      </c>
      <c r="K37" s="38">
        <v>1E-3</v>
      </c>
      <c r="L37" s="38">
        <v>1E-3</v>
      </c>
      <c r="M37" s="38">
        <v>1E-3</v>
      </c>
      <c r="N37" s="38">
        <v>1E-3</v>
      </c>
      <c r="O37" s="38">
        <v>1E-3</v>
      </c>
      <c r="P37" s="38">
        <v>1E-3</v>
      </c>
      <c r="Q37" s="38">
        <v>1E-3</v>
      </c>
      <c r="R37" s="38">
        <v>1E-3</v>
      </c>
      <c r="S37" s="38">
        <v>1E-3</v>
      </c>
      <c r="T37" s="38">
        <v>1E-3</v>
      </c>
      <c r="U37" s="38">
        <v>1E-3</v>
      </c>
      <c r="V37" s="38">
        <v>1E-3</v>
      </c>
      <c r="W37" s="38">
        <v>1E-3</v>
      </c>
      <c r="X37" s="38">
        <v>1E-3</v>
      </c>
      <c r="Y37" s="38">
        <v>1E-3</v>
      </c>
      <c r="Z37" s="38">
        <v>1E-3</v>
      </c>
      <c r="AA37" s="38">
        <v>1E-3</v>
      </c>
      <c r="AB37" s="38">
        <v>1E-3</v>
      </c>
      <c r="AC37" s="38">
        <v>1E-3</v>
      </c>
      <c r="AD37" s="38">
        <v>1E-3</v>
      </c>
    </row>
    <row r="38" spans="2:65">
      <c r="B38" s="459" t="str">
        <f>Commodities!K13</f>
        <v>TCAR_ICE_GSL_00</v>
      </c>
      <c r="C38" s="459" t="s">
        <v>584</v>
      </c>
      <c r="D38" s="38">
        <v>1E-3</v>
      </c>
      <c r="E38" s="38">
        <v>1E-3</v>
      </c>
      <c r="F38" s="38">
        <v>1E-3</v>
      </c>
      <c r="G38" s="38">
        <v>1E-3</v>
      </c>
      <c r="H38" s="38">
        <v>1E-3</v>
      </c>
      <c r="I38" s="38">
        <v>1E-3</v>
      </c>
      <c r="J38" s="38">
        <v>1E-3</v>
      </c>
      <c r="K38" s="38">
        <v>1E-3</v>
      </c>
      <c r="L38" s="38">
        <v>1E-3</v>
      </c>
      <c r="M38" s="38">
        <v>1E-3</v>
      </c>
      <c r="N38" s="38">
        <v>1E-3</v>
      </c>
      <c r="O38" s="38">
        <v>1E-3</v>
      </c>
      <c r="P38" s="38">
        <v>1E-3</v>
      </c>
      <c r="Q38" s="38">
        <v>1E-3</v>
      </c>
      <c r="R38" s="38">
        <v>1E-3</v>
      </c>
      <c r="S38" s="38">
        <v>1E-3</v>
      </c>
      <c r="T38" s="38">
        <v>1E-3</v>
      </c>
      <c r="U38" s="38">
        <v>1E-3</v>
      </c>
      <c r="V38" s="38">
        <v>1E-3</v>
      </c>
      <c r="W38" s="38">
        <v>1E-3</v>
      </c>
      <c r="X38" s="38">
        <v>1E-3</v>
      </c>
      <c r="Y38" s="38">
        <v>1E-3</v>
      </c>
      <c r="Z38" s="38">
        <v>1E-3</v>
      </c>
      <c r="AA38" s="38">
        <v>1E-3</v>
      </c>
      <c r="AB38" s="38">
        <v>1E-3</v>
      </c>
      <c r="AC38" s="38">
        <v>1E-3</v>
      </c>
      <c r="AD38" s="38">
        <v>1E-3</v>
      </c>
    </row>
    <row r="39" spans="2:65">
      <c r="B39" s="459" t="str">
        <f>Commodities!K14</f>
        <v>TCAR_ICE_DST_00</v>
      </c>
      <c r="C39" s="459" t="s">
        <v>584</v>
      </c>
      <c r="D39" s="38">
        <v>1E-3</v>
      </c>
      <c r="E39" s="38">
        <v>1E-3</v>
      </c>
      <c r="F39" s="38">
        <v>1E-3</v>
      </c>
      <c r="G39" s="38">
        <v>1E-3</v>
      </c>
      <c r="H39" s="38">
        <v>1E-3</v>
      </c>
      <c r="I39" s="38">
        <v>1E-3</v>
      </c>
      <c r="J39" s="38">
        <v>1E-3</v>
      </c>
      <c r="K39" s="38">
        <v>1E-3</v>
      </c>
      <c r="L39" s="38">
        <v>1E-3</v>
      </c>
      <c r="M39" s="38">
        <v>1E-3</v>
      </c>
      <c r="N39" s="38">
        <v>1E-3</v>
      </c>
      <c r="O39" s="38">
        <v>1E-3</v>
      </c>
      <c r="P39" s="38">
        <v>1E-3</v>
      </c>
      <c r="Q39" s="38">
        <v>1E-3</v>
      </c>
      <c r="R39" s="38">
        <v>1E-3</v>
      </c>
      <c r="S39" s="38">
        <v>1E-3</v>
      </c>
      <c r="T39" s="38">
        <v>1E-3</v>
      </c>
      <c r="U39" s="38">
        <v>1E-3</v>
      </c>
      <c r="V39" s="38">
        <v>1E-3</v>
      </c>
      <c r="W39" s="38">
        <v>1E-3</v>
      </c>
      <c r="X39" s="38">
        <v>1E-3</v>
      </c>
      <c r="Y39" s="38">
        <v>1E-3</v>
      </c>
      <c r="Z39" s="38">
        <v>1E-3</v>
      </c>
      <c r="AA39" s="38">
        <v>1E-3</v>
      </c>
      <c r="AB39" s="38">
        <v>1E-3</v>
      </c>
      <c r="AC39" s="38">
        <v>1E-3</v>
      </c>
      <c r="AD39" s="38">
        <v>1E-3</v>
      </c>
    </row>
    <row r="40" spans="2:65">
      <c r="B40" s="459" t="str">
        <f>Commodities!K15</f>
        <v>TCAR_ICE_DF_00</v>
      </c>
      <c r="C40" s="459" t="s">
        <v>584</v>
      </c>
      <c r="D40" s="38">
        <v>1E-3</v>
      </c>
      <c r="E40" s="38">
        <v>1E-3</v>
      </c>
      <c r="F40" s="38">
        <v>1E-3</v>
      </c>
      <c r="G40" s="38">
        <v>1E-3</v>
      </c>
      <c r="H40" s="38">
        <v>1E-3</v>
      </c>
      <c r="I40" s="38">
        <v>1E-3</v>
      </c>
      <c r="J40" s="38">
        <v>1E-3</v>
      </c>
      <c r="K40" s="38">
        <v>1E-3</v>
      </c>
      <c r="L40" s="38">
        <v>1E-3</v>
      </c>
      <c r="M40" s="38">
        <v>1E-3</v>
      </c>
      <c r="N40" s="38">
        <v>1E-3</v>
      </c>
      <c r="O40" s="38">
        <v>1E-3</v>
      </c>
      <c r="P40" s="38">
        <v>1E-3</v>
      </c>
      <c r="Q40" s="38">
        <v>1E-3</v>
      </c>
      <c r="R40" s="38">
        <v>1E-3</v>
      </c>
      <c r="S40" s="38">
        <v>1E-3</v>
      </c>
      <c r="T40" s="38">
        <v>1E-3</v>
      </c>
      <c r="U40" s="38">
        <v>1E-3</v>
      </c>
      <c r="V40" s="38">
        <v>1E-3</v>
      </c>
      <c r="W40" s="38">
        <v>1E-3</v>
      </c>
      <c r="X40" s="38">
        <v>1E-3</v>
      </c>
      <c r="Y40" s="38">
        <v>1E-3</v>
      </c>
      <c r="Z40" s="38">
        <v>1E-3</v>
      </c>
      <c r="AA40" s="38">
        <v>1E-3</v>
      </c>
      <c r="AB40" s="38">
        <v>1E-3</v>
      </c>
      <c r="AC40" s="38">
        <v>1E-3</v>
      </c>
      <c r="AD40" s="38">
        <v>1E-3</v>
      </c>
    </row>
    <row r="41" spans="2:65">
      <c r="B41" s="459" t="str">
        <f>Commodities!K16</f>
        <v>TCAR_ICE_E85_00</v>
      </c>
      <c r="C41" s="459" t="s">
        <v>584</v>
      </c>
      <c r="D41" s="38">
        <v>1E-3</v>
      </c>
      <c r="E41" s="38">
        <v>1E-3</v>
      </c>
      <c r="F41" s="38">
        <v>1E-3</v>
      </c>
      <c r="G41" s="38">
        <v>1E-3</v>
      </c>
      <c r="H41" s="38">
        <v>1E-3</v>
      </c>
      <c r="I41" s="38">
        <v>1E-3</v>
      </c>
      <c r="J41" s="38">
        <v>1E-3</v>
      </c>
      <c r="K41" s="38">
        <v>1E-3</v>
      </c>
      <c r="L41" s="38">
        <v>1E-3</v>
      </c>
      <c r="M41" s="38">
        <v>1E-3</v>
      </c>
      <c r="N41" s="38">
        <v>1E-3</v>
      </c>
      <c r="O41" s="38">
        <v>1E-3</v>
      </c>
      <c r="P41" s="38">
        <v>1E-3</v>
      </c>
      <c r="Q41" s="38">
        <v>1E-3</v>
      </c>
      <c r="R41" s="38">
        <v>1E-3</v>
      </c>
      <c r="S41" s="38">
        <v>1E-3</v>
      </c>
      <c r="T41" s="38">
        <v>1E-3</v>
      </c>
      <c r="U41" s="38">
        <v>1E-3</v>
      </c>
      <c r="V41" s="38">
        <v>1E-3</v>
      </c>
      <c r="W41" s="38">
        <v>1E-3</v>
      </c>
      <c r="X41" s="38">
        <v>1E-3</v>
      </c>
      <c r="Y41" s="38">
        <v>1E-3</v>
      </c>
      <c r="Z41" s="38">
        <v>1E-3</v>
      </c>
      <c r="AA41" s="38">
        <v>1E-3</v>
      </c>
      <c r="AB41" s="38">
        <v>1E-3</v>
      </c>
      <c r="AC41" s="38">
        <v>1E-3</v>
      </c>
      <c r="AD41" s="38">
        <v>1E-3</v>
      </c>
    </row>
    <row r="42" spans="2:65">
      <c r="B42" s="459" t="str">
        <f>Commodities!K17</f>
        <v>TCAR_HEV_GSL_00</v>
      </c>
      <c r="C42" s="459" t="s">
        <v>584</v>
      </c>
      <c r="D42" s="38">
        <v>1E-3</v>
      </c>
      <c r="E42" s="38">
        <v>1E-3</v>
      </c>
      <c r="F42" s="38">
        <v>1E-3</v>
      </c>
      <c r="G42" s="38">
        <v>1E-3</v>
      </c>
      <c r="H42" s="38">
        <v>1E-3</v>
      </c>
      <c r="I42" s="38">
        <v>1E-3</v>
      </c>
      <c r="J42" s="38">
        <v>1E-3</v>
      </c>
      <c r="K42" s="38">
        <v>1E-3</v>
      </c>
      <c r="L42" s="38">
        <v>1E-3</v>
      </c>
      <c r="M42" s="38">
        <v>1E-3</v>
      </c>
      <c r="N42" s="38">
        <v>1E-3</v>
      </c>
      <c r="O42" s="38">
        <v>1E-3</v>
      </c>
      <c r="P42" s="38">
        <v>1E-3</v>
      </c>
      <c r="Q42" s="38">
        <v>1E-3</v>
      </c>
      <c r="R42" s="38">
        <v>1E-3</v>
      </c>
      <c r="S42" s="38">
        <v>1E-3</v>
      </c>
      <c r="T42" s="38">
        <v>1E-3</v>
      </c>
      <c r="U42" s="38">
        <v>1E-3</v>
      </c>
      <c r="V42" s="38">
        <v>1E-3</v>
      </c>
      <c r="W42" s="38">
        <v>1E-3</v>
      </c>
      <c r="X42" s="38">
        <v>1E-3</v>
      </c>
      <c r="Y42" s="38">
        <v>1E-3</v>
      </c>
      <c r="Z42" s="38">
        <v>1E-3</v>
      </c>
      <c r="AA42" s="38">
        <v>1E-3</v>
      </c>
      <c r="AB42" s="38">
        <v>1E-3</v>
      </c>
      <c r="AC42" s="38">
        <v>1E-3</v>
      </c>
      <c r="AD42" s="38">
        <v>1E-3</v>
      </c>
    </row>
    <row r="43" spans="2:65">
      <c r="B43" s="459" t="str">
        <f>Commodities!K18</f>
        <v>TCAR_HEV_DST_00</v>
      </c>
      <c r="C43" s="459" t="s">
        <v>584</v>
      </c>
      <c r="D43" s="38">
        <v>1E-3</v>
      </c>
      <c r="E43" s="38">
        <v>1E-3</v>
      </c>
      <c r="F43" s="38">
        <v>1E-3</v>
      </c>
      <c r="G43" s="38">
        <v>1E-3</v>
      </c>
      <c r="H43" s="38">
        <v>1E-3</v>
      </c>
      <c r="I43" s="38">
        <v>1E-3</v>
      </c>
      <c r="J43" s="38">
        <v>1E-3</v>
      </c>
      <c r="K43" s="38">
        <v>1E-3</v>
      </c>
      <c r="L43" s="38">
        <v>1E-3</v>
      </c>
      <c r="M43" s="38">
        <v>1E-3</v>
      </c>
      <c r="N43" s="38">
        <v>1E-3</v>
      </c>
      <c r="O43" s="38">
        <v>1E-3</v>
      </c>
      <c r="P43" s="38">
        <v>1E-3</v>
      </c>
      <c r="Q43" s="38">
        <v>1E-3</v>
      </c>
      <c r="R43" s="38">
        <v>1E-3</v>
      </c>
      <c r="S43" s="38">
        <v>1E-3</v>
      </c>
      <c r="T43" s="38">
        <v>1E-3</v>
      </c>
      <c r="U43" s="38">
        <v>1E-3</v>
      </c>
      <c r="V43" s="38">
        <v>1E-3</v>
      </c>
      <c r="W43" s="38">
        <v>1E-3</v>
      </c>
      <c r="X43" s="38">
        <v>1E-3</v>
      </c>
      <c r="Y43" s="38">
        <v>1E-3</v>
      </c>
      <c r="Z43" s="38">
        <v>1E-3</v>
      </c>
      <c r="AA43" s="38">
        <v>1E-3</v>
      </c>
      <c r="AB43" s="38">
        <v>1E-3</v>
      </c>
      <c r="AC43" s="38">
        <v>1E-3</v>
      </c>
      <c r="AD43" s="38">
        <v>1E-3</v>
      </c>
    </row>
    <row r="44" spans="2:65">
      <c r="B44" s="459" t="str">
        <f>Commodities!K19</f>
        <v>TCAR_PHEV_GSL_00</v>
      </c>
      <c r="C44" s="459" t="s">
        <v>584</v>
      </c>
      <c r="D44" s="38">
        <v>1E-3</v>
      </c>
      <c r="E44" s="38">
        <v>1E-3</v>
      </c>
      <c r="F44" s="38">
        <v>1E-3</v>
      </c>
      <c r="G44" s="38">
        <v>1E-3</v>
      </c>
      <c r="H44" s="38">
        <v>1E-3</v>
      </c>
      <c r="I44" s="38">
        <v>1E-3</v>
      </c>
      <c r="J44" s="38">
        <v>1E-3</v>
      </c>
      <c r="K44" s="38">
        <v>1E-3</v>
      </c>
      <c r="L44" s="38">
        <v>1E-3</v>
      </c>
      <c r="M44" s="38">
        <v>1E-3</v>
      </c>
      <c r="N44" s="38">
        <v>1E-3</v>
      </c>
      <c r="O44" s="38">
        <v>1E-3</v>
      </c>
      <c r="P44" s="38">
        <v>1E-3</v>
      </c>
      <c r="Q44" s="38">
        <v>1E-3</v>
      </c>
      <c r="R44" s="38">
        <v>1E-3</v>
      </c>
      <c r="S44" s="38">
        <v>1E-3</v>
      </c>
      <c r="T44" s="38">
        <v>1E-3</v>
      </c>
      <c r="U44" s="38">
        <v>1E-3</v>
      </c>
      <c r="V44" s="38">
        <v>1E-3</v>
      </c>
      <c r="W44" s="38">
        <v>1E-3</v>
      </c>
      <c r="X44" s="38">
        <v>1E-3</v>
      </c>
      <c r="Y44" s="38">
        <v>1E-3</v>
      </c>
      <c r="Z44" s="38">
        <v>1E-3</v>
      </c>
      <c r="AA44" s="38">
        <v>1E-3</v>
      </c>
      <c r="AB44" s="38">
        <v>1E-3</v>
      </c>
      <c r="AC44" s="38">
        <v>1E-3</v>
      </c>
      <c r="AD44" s="38">
        <v>1E-3</v>
      </c>
    </row>
    <row r="45" spans="2:65">
      <c r="B45" s="459" t="str">
        <f>Commodities!K20</f>
        <v>TCAR_PHEV_DST_00</v>
      </c>
      <c r="C45" s="459" t="s">
        <v>584</v>
      </c>
      <c r="D45" s="38">
        <v>1E-3</v>
      </c>
      <c r="E45" s="38">
        <v>1E-3</v>
      </c>
      <c r="F45" s="38">
        <v>1E-3</v>
      </c>
      <c r="G45" s="38">
        <v>1E-3</v>
      </c>
      <c r="H45" s="38">
        <v>1E-3</v>
      </c>
      <c r="I45" s="38">
        <v>1E-3</v>
      </c>
      <c r="J45" s="38">
        <v>1E-3</v>
      </c>
      <c r="K45" s="38">
        <v>1E-3</v>
      </c>
      <c r="L45" s="38">
        <v>1E-3</v>
      </c>
      <c r="M45" s="38">
        <v>1E-3</v>
      </c>
      <c r="N45" s="38">
        <v>1E-3</v>
      </c>
      <c r="O45" s="38">
        <v>1E-3</v>
      </c>
      <c r="P45" s="38">
        <v>1E-3</v>
      </c>
      <c r="Q45" s="38">
        <v>1E-3</v>
      </c>
      <c r="R45" s="38">
        <v>1E-3</v>
      </c>
      <c r="S45" s="38">
        <v>1E-3</v>
      </c>
      <c r="T45" s="38">
        <v>1E-3</v>
      </c>
      <c r="U45" s="38">
        <v>1E-3</v>
      </c>
      <c r="V45" s="38">
        <v>1E-3</v>
      </c>
      <c r="W45" s="38">
        <v>1E-3</v>
      </c>
      <c r="X45" s="38">
        <v>1E-3</v>
      </c>
      <c r="Y45" s="38">
        <v>1E-3</v>
      </c>
      <c r="Z45" s="38">
        <v>1E-3</v>
      </c>
      <c r="AA45" s="38">
        <v>1E-3</v>
      </c>
      <c r="AB45" s="38">
        <v>1E-3</v>
      </c>
      <c r="AC45" s="38">
        <v>1E-3</v>
      </c>
      <c r="AD45" s="38">
        <v>1E-3</v>
      </c>
    </row>
    <row r="46" spans="2:65">
      <c r="B46" s="459" t="str">
        <f>Commodities!K21</f>
        <v>TCAR_BEV_00</v>
      </c>
      <c r="C46" s="459" t="s">
        <v>584</v>
      </c>
      <c r="D46" s="38">
        <v>1E-3</v>
      </c>
      <c r="E46" s="38">
        <v>1E-3</v>
      </c>
      <c r="F46" s="38">
        <v>1E-3</v>
      </c>
      <c r="G46" s="38">
        <v>1E-3</v>
      </c>
      <c r="H46" s="38">
        <v>1E-3</v>
      </c>
      <c r="I46" s="38">
        <v>1E-3</v>
      </c>
      <c r="J46" s="38">
        <v>1E-3</v>
      </c>
      <c r="K46" s="38">
        <v>1E-3</v>
      </c>
      <c r="L46" s="38">
        <v>1E-3</v>
      </c>
      <c r="M46" s="38">
        <v>1E-3</v>
      </c>
      <c r="N46" s="38">
        <v>1E-3</v>
      </c>
      <c r="O46" s="38">
        <v>1E-3</v>
      </c>
      <c r="P46" s="38">
        <v>1E-3</v>
      </c>
      <c r="Q46" s="38">
        <v>1E-3</v>
      </c>
      <c r="R46" s="38">
        <v>1E-3</v>
      </c>
      <c r="S46" s="38">
        <v>1E-3</v>
      </c>
      <c r="T46" s="38">
        <v>1E-3</v>
      </c>
      <c r="U46" s="38">
        <v>1E-3</v>
      </c>
      <c r="V46" s="38">
        <v>1E-3</v>
      </c>
      <c r="W46" s="38">
        <v>1E-3</v>
      </c>
      <c r="X46" s="38">
        <v>1E-3</v>
      </c>
      <c r="Y46" s="38">
        <v>1E-3</v>
      </c>
      <c r="Z46" s="38">
        <v>1E-3</v>
      </c>
      <c r="AA46" s="38">
        <v>1E-3</v>
      </c>
      <c r="AB46" s="38">
        <v>1E-3</v>
      </c>
      <c r="AC46" s="38">
        <v>1E-3</v>
      </c>
      <c r="AD46" s="38">
        <v>1E-3</v>
      </c>
    </row>
    <row r="47" spans="2:65">
      <c r="B47" s="459" t="str">
        <f>Commodities!K23</f>
        <v>TTAXI_ICE_GSL_00</v>
      </c>
      <c r="C47" s="459" t="s">
        <v>584</v>
      </c>
      <c r="D47" s="38">
        <v>1E-3</v>
      </c>
      <c r="E47" s="38">
        <v>1E-3</v>
      </c>
      <c r="F47" s="38">
        <v>1E-3</v>
      </c>
      <c r="G47" s="38">
        <v>1E-3</v>
      </c>
      <c r="H47" s="38">
        <v>1E-3</v>
      </c>
      <c r="I47" s="38">
        <v>1E-3</v>
      </c>
      <c r="J47" s="38">
        <v>1E-3</v>
      </c>
      <c r="K47" s="38">
        <v>1E-3</v>
      </c>
      <c r="L47" s="38">
        <v>1E-3</v>
      </c>
      <c r="M47" s="38">
        <v>1E-3</v>
      </c>
      <c r="N47" s="38">
        <v>1E-3</v>
      </c>
      <c r="O47" s="38">
        <v>1E-3</v>
      </c>
      <c r="P47" s="38">
        <v>1E-3</v>
      </c>
      <c r="Q47" s="38">
        <v>1E-3</v>
      </c>
      <c r="R47" s="38">
        <v>1E-3</v>
      </c>
      <c r="S47" s="38">
        <v>1E-3</v>
      </c>
      <c r="T47" s="38">
        <v>1E-3</v>
      </c>
      <c r="U47" s="38">
        <v>1E-3</v>
      </c>
      <c r="V47" s="38">
        <v>1E-3</v>
      </c>
      <c r="W47" s="38">
        <v>1E-3</v>
      </c>
      <c r="X47" s="38">
        <v>1E-3</v>
      </c>
      <c r="Y47" s="38">
        <v>1E-3</v>
      </c>
      <c r="Z47" s="38">
        <v>1E-3</v>
      </c>
      <c r="AA47" s="38">
        <v>1E-3</v>
      </c>
      <c r="AB47" s="38">
        <v>1E-3</v>
      </c>
      <c r="AC47" s="38">
        <v>1E-3</v>
      </c>
      <c r="AD47" s="38">
        <v>1E-3</v>
      </c>
    </row>
    <row r="48" spans="2:65">
      <c r="B48" s="459" t="str">
        <f>Commodities!K24</f>
        <v>TTAXI_ICE_DST_00</v>
      </c>
      <c r="C48" s="459" t="s">
        <v>584</v>
      </c>
      <c r="D48" s="38">
        <v>1E-3</v>
      </c>
      <c r="E48" s="38">
        <v>1E-3</v>
      </c>
      <c r="F48" s="38">
        <v>1E-3</v>
      </c>
      <c r="G48" s="38">
        <v>1E-3</v>
      </c>
      <c r="H48" s="38">
        <v>1E-3</v>
      </c>
      <c r="I48" s="38">
        <v>1E-3</v>
      </c>
      <c r="J48" s="38">
        <v>1E-3</v>
      </c>
      <c r="K48" s="38">
        <v>1E-3</v>
      </c>
      <c r="L48" s="38">
        <v>1E-3</v>
      </c>
      <c r="M48" s="38">
        <v>1E-3</v>
      </c>
      <c r="N48" s="38">
        <v>1E-3</v>
      </c>
      <c r="O48" s="38">
        <v>1E-3</v>
      </c>
      <c r="P48" s="38">
        <v>1E-3</v>
      </c>
      <c r="Q48" s="38">
        <v>1E-3</v>
      </c>
      <c r="R48" s="38">
        <v>1E-3</v>
      </c>
      <c r="S48" s="38">
        <v>1E-3</v>
      </c>
      <c r="T48" s="38">
        <v>1E-3</v>
      </c>
      <c r="U48" s="38">
        <v>1E-3</v>
      </c>
      <c r="V48" s="38">
        <v>1E-3</v>
      </c>
      <c r="W48" s="38">
        <v>1E-3</v>
      </c>
      <c r="X48" s="38">
        <v>1E-3</v>
      </c>
      <c r="Y48" s="38">
        <v>1E-3</v>
      </c>
      <c r="Z48" s="38">
        <v>1E-3</v>
      </c>
      <c r="AA48" s="38">
        <v>1E-3</v>
      </c>
      <c r="AB48" s="38">
        <v>1E-3</v>
      </c>
      <c r="AC48" s="38">
        <v>1E-3</v>
      </c>
      <c r="AD48" s="38">
        <v>1E-3</v>
      </c>
    </row>
    <row r="49" spans="2:30">
      <c r="B49" s="459" t="str">
        <f>Commodities!K25</f>
        <v>TTAXI_HEV_GSL_00</v>
      </c>
      <c r="C49" s="459" t="s">
        <v>584</v>
      </c>
      <c r="D49" s="38">
        <v>1E-3</v>
      </c>
      <c r="E49" s="38">
        <v>1E-3</v>
      </c>
      <c r="F49" s="38">
        <v>1E-3</v>
      </c>
      <c r="G49" s="38">
        <v>1E-3</v>
      </c>
      <c r="H49" s="38">
        <v>1E-3</v>
      </c>
      <c r="I49" s="38">
        <v>1E-3</v>
      </c>
      <c r="J49" s="38">
        <v>1E-3</v>
      </c>
      <c r="K49" s="38">
        <v>1E-3</v>
      </c>
      <c r="L49" s="38">
        <v>1E-3</v>
      </c>
      <c r="M49" s="38">
        <v>1E-3</v>
      </c>
      <c r="N49" s="38">
        <v>1E-3</v>
      </c>
      <c r="O49" s="38">
        <v>1E-3</v>
      </c>
      <c r="P49" s="38">
        <v>1E-3</v>
      </c>
      <c r="Q49" s="38">
        <v>1E-3</v>
      </c>
      <c r="R49" s="38">
        <v>1E-3</v>
      </c>
      <c r="S49" s="38">
        <v>1E-3</v>
      </c>
      <c r="T49" s="38">
        <v>1E-3</v>
      </c>
      <c r="U49" s="38">
        <v>1E-3</v>
      </c>
      <c r="V49" s="38">
        <v>1E-3</v>
      </c>
      <c r="W49" s="38">
        <v>1E-3</v>
      </c>
      <c r="X49" s="38">
        <v>1E-3</v>
      </c>
      <c r="Y49" s="38">
        <v>1E-3</v>
      </c>
      <c r="Z49" s="38">
        <v>1E-3</v>
      </c>
      <c r="AA49" s="38">
        <v>1E-3</v>
      </c>
      <c r="AB49" s="38">
        <v>1E-3</v>
      </c>
      <c r="AC49" s="38">
        <v>1E-3</v>
      </c>
      <c r="AD49" s="38">
        <v>1E-3</v>
      </c>
    </row>
    <row r="50" spans="2:30">
      <c r="B50" s="459" t="str">
        <f>Commodities!K27</f>
        <v>TBUS_ICE_DST_00</v>
      </c>
      <c r="C50" s="459" t="s">
        <v>584</v>
      </c>
      <c r="D50" s="38">
        <v>1E-3</v>
      </c>
      <c r="E50" s="38">
        <v>1E-3</v>
      </c>
      <c r="F50" s="38">
        <v>1E-3</v>
      </c>
      <c r="G50" s="38">
        <v>1E-3</v>
      </c>
      <c r="H50" s="38">
        <v>1E-3</v>
      </c>
      <c r="I50" s="38">
        <v>1E-3</v>
      </c>
      <c r="J50" s="38">
        <v>1E-3</v>
      </c>
      <c r="K50" s="38">
        <v>1E-3</v>
      </c>
      <c r="L50" s="38">
        <v>1E-3</v>
      </c>
      <c r="M50" s="38">
        <v>1E-3</v>
      </c>
      <c r="N50" s="38">
        <v>1E-3</v>
      </c>
      <c r="O50" s="38">
        <v>1E-3</v>
      </c>
      <c r="P50" s="38">
        <v>1E-3</v>
      </c>
      <c r="Q50" s="38">
        <v>1E-3</v>
      </c>
      <c r="R50" s="38">
        <v>1E-3</v>
      </c>
      <c r="S50" s="38">
        <v>1E-3</v>
      </c>
      <c r="T50" s="38">
        <v>1E-3</v>
      </c>
      <c r="U50" s="38">
        <v>1E-3</v>
      </c>
      <c r="V50" s="38">
        <v>1E-3</v>
      </c>
      <c r="W50" s="38">
        <v>1E-3</v>
      </c>
      <c r="X50" s="38">
        <v>1E-3</v>
      </c>
      <c r="Y50" s="38">
        <v>1E-3</v>
      </c>
      <c r="Z50" s="38">
        <v>1E-3</v>
      </c>
      <c r="AA50" s="38">
        <v>1E-3</v>
      </c>
      <c r="AB50" s="38">
        <v>1E-3</v>
      </c>
      <c r="AC50" s="38">
        <v>1E-3</v>
      </c>
      <c r="AD50" s="38">
        <v>1E-3</v>
      </c>
    </row>
    <row r="51" spans="2:30">
      <c r="B51" s="459" t="str">
        <f>Commodities!K29</f>
        <v>TLRAIL_ELC_00</v>
      </c>
      <c r="C51" s="459" t="s">
        <v>584</v>
      </c>
      <c r="D51" s="38">
        <v>1E-3</v>
      </c>
      <c r="E51" s="38">
        <v>1E-3</v>
      </c>
      <c r="F51" s="38">
        <v>1E-3</v>
      </c>
      <c r="G51" s="38">
        <v>1E-3</v>
      </c>
      <c r="H51" s="38">
        <v>1E-3</v>
      </c>
      <c r="I51" s="38">
        <v>1E-3</v>
      </c>
      <c r="J51" s="38">
        <v>1E-3</v>
      </c>
      <c r="K51" s="38">
        <v>1E-3</v>
      </c>
      <c r="L51" s="38">
        <v>1E-3</v>
      </c>
      <c r="M51" s="38">
        <v>1E-3</v>
      </c>
      <c r="N51" s="38">
        <v>1E-3</v>
      </c>
      <c r="O51" s="38">
        <v>1E-3</v>
      </c>
      <c r="P51" s="38">
        <v>1E-3</v>
      </c>
      <c r="Q51" s="38">
        <v>1E-3</v>
      </c>
      <c r="R51" s="38">
        <v>1E-3</v>
      </c>
      <c r="S51" s="38">
        <v>1E-3</v>
      </c>
      <c r="T51" s="38">
        <v>1E-3</v>
      </c>
      <c r="U51" s="38">
        <v>1E-3</v>
      </c>
      <c r="V51" s="38">
        <v>1E-3</v>
      </c>
      <c r="W51" s="38">
        <v>1E-3</v>
      </c>
      <c r="X51" s="38">
        <v>1E-3</v>
      </c>
      <c r="Y51" s="38">
        <v>1E-3</v>
      </c>
      <c r="Z51" s="38">
        <v>1E-3</v>
      </c>
      <c r="AA51" s="38">
        <v>1E-3</v>
      </c>
      <c r="AB51" s="38">
        <v>1E-3</v>
      </c>
      <c r="AC51" s="38">
        <v>1E-3</v>
      </c>
      <c r="AD51" s="38">
        <v>1E-3</v>
      </c>
    </row>
    <row r="52" spans="2:30">
      <c r="B52" s="459" t="str">
        <f>Commodities!K30</f>
        <v>THRAIL_ELC_00</v>
      </c>
      <c r="C52" s="459" t="s">
        <v>584</v>
      </c>
      <c r="D52" s="38">
        <v>1E-3</v>
      </c>
      <c r="E52" s="38">
        <v>1E-3</v>
      </c>
      <c r="F52" s="38">
        <v>1E-3</v>
      </c>
      <c r="G52" s="38">
        <v>1E-3</v>
      </c>
      <c r="H52" s="38">
        <v>1E-3</v>
      </c>
      <c r="I52" s="38">
        <v>1E-3</v>
      </c>
      <c r="J52" s="38">
        <v>1E-3</v>
      </c>
      <c r="K52" s="38">
        <v>1E-3</v>
      </c>
      <c r="L52" s="38">
        <v>1E-3</v>
      </c>
      <c r="M52" s="38">
        <v>1E-3</v>
      </c>
      <c r="N52" s="38">
        <v>1E-3</v>
      </c>
      <c r="O52" s="38">
        <v>1E-3</v>
      </c>
      <c r="P52" s="38">
        <v>1E-3</v>
      </c>
      <c r="Q52" s="38">
        <v>1E-3</v>
      </c>
      <c r="R52" s="38">
        <v>1E-3</v>
      </c>
      <c r="S52" s="38">
        <v>1E-3</v>
      </c>
      <c r="T52" s="38">
        <v>1E-3</v>
      </c>
      <c r="U52" s="38">
        <v>1E-3</v>
      </c>
      <c r="V52" s="38">
        <v>1E-3</v>
      </c>
      <c r="W52" s="38">
        <v>1E-3</v>
      </c>
      <c r="X52" s="38">
        <v>1E-3</v>
      </c>
      <c r="Y52" s="38">
        <v>1E-3</v>
      </c>
      <c r="Z52" s="38">
        <v>1E-3</v>
      </c>
      <c r="AA52" s="38">
        <v>1E-3</v>
      </c>
      <c r="AB52" s="38">
        <v>1E-3</v>
      </c>
      <c r="AC52" s="38">
        <v>1E-3</v>
      </c>
      <c r="AD52" s="38">
        <v>1E-3</v>
      </c>
    </row>
    <row r="53" spans="2:30">
      <c r="B53" s="459" t="str">
        <f>Commodities!K31</f>
        <v>THRAIL_DST_00</v>
      </c>
      <c r="C53" s="459" t="s">
        <v>584</v>
      </c>
      <c r="D53" s="38">
        <v>1E-3</v>
      </c>
      <c r="E53" s="38">
        <v>1E-3</v>
      </c>
      <c r="F53" s="38">
        <v>1E-3</v>
      </c>
      <c r="G53" s="38">
        <v>1E-3</v>
      </c>
      <c r="H53" s="38">
        <v>1E-3</v>
      </c>
      <c r="I53" s="38">
        <v>1E-3</v>
      </c>
      <c r="J53" s="38">
        <v>1E-3</v>
      </c>
      <c r="K53" s="38">
        <v>1E-3</v>
      </c>
      <c r="L53" s="38">
        <v>1E-3</v>
      </c>
      <c r="M53" s="38">
        <v>1E-3</v>
      </c>
      <c r="N53" s="38">
        <v>1E-3</v>
      </c>
      <c r="O53" s="38">
        <v>1E-3</v>
      </c>
      <c r="P53" s="38">
        <v>1E-3</v>
      </c>
      <c r="Q53" s="38">
        <v>1E-3</v>
      </c>
      <c r="R53" s="38">
        <v>1E-3</v>
      </c>
      <c r="S53" s="38">
        <v>1E-3</v>
      </c>
      <c r="T53" s="38">
        <v>1E-3</v>
      </c>
      <c r="U53" s="38">
        <v>1E-3</v>
      </c>
      <c r="V53" s="38">
        <v>1E-3</v>
      </c>
      <c r="W53" s="38">
        <v>1E-3</v>
      </c>
      <c r="X53" s="38">
        <v>1E-3</v>
      </c>
      <c r="Y53" s="38">
        <v>1E-3</v>
      </c>
      <c r="Z53" s="38">
        <v>1E-3</v>
      </c>
      <c r="AA53" s="38">
        <v>1E-3</v>
      </c>
      <c r="AB53" s="38">
        <v>1E-3</v>
      </c>
      <c r="AC53" s="38">
        <v>1E-3</v>
      </c>
      <c r="AD53" s="38">
        <v>1E-3</v>
      </c>
    </row>
    <row r="54" spans="2:30">
      <c r="B54" s="480" t="str">
        <f>Commodities!K34</f>
        <v>TFGV_GSL_00</v>
      </c>
      <c r="C54" s="480" t="s">
        <v>584</v>
      </c>
      <c r="D54" s="38">
        <v>1E-3</v>
      </c>
      <c r="E54" s="38">
        <v>1E-3</v>
      </c>
      <c r="F54" s="38">
        <v>1E-3</v>
      </c>
      <c r="G54" s="38">
        <v>1E-3</v>
      </c>
      <c r="H54" s="38">
        <v>1E-3</v>
      </c>
      <c r="I54" s="38">
        <v>1E-3</v>
      </c>
      <c r="J54" s="38">
        <v>1E-3</v>
      </c>
      <c r="K54" s="38">
        <v>1E-3</v>
      </c>
      <c r="L54" s="38">
        <v>1E-3</v>
      </c>
      <c r="M54" s="38">
        <v>1E-3</v>
      </c>
      <c r="N54" s="38">
        <v>1E-3</v>
      </c>
      <c r="O54" s="38">
        <v>1E-3</v>
      </c>
      <c r="P54" s="38">
        <v>1E-3</v>
      </c>
      <c r="Q54" s="38">
        <v>1E-3</v>
      </c>
      <c r="R54" s="38">
        <v>1E-3</v>
      </c>
      <c r="S54" s="38">
        <v>1E-3</v>
      </c>
      <c r="T54" s="38">
        <v>1E-3</v>
      </c>
      <c r="U54" s="38">
        <v>1E-3</v>
      </c>
      <c r="V54" s="38">
        <v>1E-3</v>
      </c>
      <c r="W54" s="38">
        <v>1E-3</v>
      </c>
      <c r="X54" s="38">
        <v>1E-3</v>
      </c>
      <c r="Y54" s="38">
        <v>1E-3</v>
      </c>
      <c r="Z54" s="38">
        <v>1E-3</v>
      </c>
      <c r="AA54" s="38">
        <v>1E-3</v>
      </c>
      <c r="AB54" s="38">
        <v>1E-3</v>
      </c>
      <c r="AC54" s="38">
        <v>1E-3</v>
      </c>
      <c r="AD54" s="38">
        <v>1E-3</v>
      </c>
    </row>
    <row r="55" spans="2:30">
      <c r="B55" s="480" t="str">
        <f>Commodities!K35</f>
        <v>TFGV_DST_00</v>
      </c>
      <c r="C55" s="480" t="s">
        <v>584</v>
      </c>
      <c r="D55" s="38">
        <v>1E-3</v>
      </c>
      <c r="E55" s="38">
        <v>1E-3</v>
      </c>
      <c r="F55" s="38">
        <v>1E-3</v>
      </c>
      <c r="G55" s="38">
        <v>1E-3</v>
      </c>
      <c r="H55" s="38">
        <v>1E-3</v>
      </c>
      <c r="I55" s="38">
        <v>1E-3</v>
      </c>
      <c r="J55" s="38">
        <v>1E-3</v>
      </c>
      <c r="K55" s="38">
        <v>1E-3</v>
      </c>
      <c r="L55" s="38">
        <v>1E-3</v>
      </c>
      <c r="M55" s="38">
        <v>1E-3</v>
      </c>
      <c r="N55" s="38">
        <v>1E-3</v>
      </c>
      <c r="O55" s="38">
        <v>1E-3</v>
      </c>
      <c r="P55" s="38">
        <v>1E-3</v>
      </c>
      <c r="Q55" s="38">
        <v>1E-3</v>
      </c>
      <c r="R55" s="38">
        <v>1E-3</v>
      </c>
      <c r="S55" s="38">
        <v>1E-3</v>
      </c>
      <c r="T55" s="38">
        <v>1E-3</v>
      </c>
      <c r="U55" s="38">
        <v>1E-3</v>
      </c>
      <c r="V55" s="38">
        <v>1E-3</v>
      </c>
      <c r="W55" s="38">
        <v>1E-3</v>
      </c>
      <c r="X55" s="38">
        <v>1E-3</v>
      </c>
      <c r="Y55" s="38">
        <v>1E-3</v>
      </c>
      <c r="Z55" s="38">
        <v>1E-3</v>
      </c>
      <c r="AA55" s="38">
        <v>1E-3</v>
      </c>
      <c r="AB55" s="38">
        <v>1E-3</v>
      </c>
      <c r="AC55" s="38">
        <v>1E-3</v>
      </c>
      <c r="AD55" s="38">
        <v>1E-3</v>
      </c>
    </row>
    <row r="56" spans="2:30">
      <c r="B56" s="480" t="str">
        <f>Commodities!K36</f>
        <v>TFRAIL_DST_00</v>
      </c>
      <c r="C56" s="480" t="s">
        <v>584</v>
      </c>
      <c r="D56" s="38">
        <v>1E-3</v>
      </c>
      <c r="E56" s="38">
        <v>1E-3</v>
      </c>
      <c r="F56" s="38">
        <v>1E-3</v>
      </c>
      <c r="G56" s="38">
        <v>1E-3</v>
      </c>
      <c r="H56" s="38">
        <v>1E-3</v>
      </c>
      <c r="I56" s="38">
        <v>1E-3</v>
      </c>
      <c r="J56" s="38">
        <v>1E-3</v>
      </c>
      <c r="K56" s="38">
        <v>1E-3</v>
      </c>
      <c r="L56" s="38">
        <v>1E-3</v>
      </c>
      <c r="M56" s="38">
        <v>1E-3</v>
      </c>
      <c r="N56" s="38">
        <v>1E-3</v>
      </c>
      <c r="O56" s="38">
        <v>1E-3</v>
      </c>
      <c r="P56" s="38">
        <v>1E-3</v>
      </c>
      <c r="Q56" s="38">
        <v>1E-3</v>
      </c>
      <c r="R56" s="38">
        <v>1E-3</v>
      </c>
      <c r="S56" s="38">
        <v>1E-3</v>
      </c>
      <c r="T56" s="38">
        <v>1E-3</v>
      </c>
      <c r="U56" s="38">
        <v>1E-3</v>
      </c>
      <c r="V56" s="38">
        <v>1E-3</v>
      </c>
      <c r="W56" s="38">
        <v>1E-3</v>
      </c>
      <c r="X56" s="38">
        <v>1E-3</v>
      </c>
      <c r="Y56" s="38">
        <v>1E-3</v>
      </c>
      <c r="Z56" s="38">
        <v>1E-3</v>
      </c>
      <c r="AA56" s="38">
        <v>1E-3</v>
      </c>
      <c r="AB56" s="38">
        <v>1E-3</v>
      </c>
      <c r="AC56" s="38">
        <v>1E-3</v>
      </c>
      <c r="AD56" s="38">
        <v>1E-3</v>
      </c>
    </row>
    <row r="57" spans="2:30" s="459" customFormat="1">
      <c r="B57" s="480" t="str">
        <f>Commodities!K38</f>
        <v>TTUR_00</v>
      </c>
      <c r="C57" s="480" t="s">
        <v>584</v>
      </c>
      <c r="D57" s="135">
        <v>1</v>
      </c>
      <c r="E57" s="135">
        <v>1</v>
      </c>
      <c r="F57" s="135">
        <v>1</v>
      </c>
      <c r="G57" s="135">
        <v>1</v>
      </c>
      <c r="H57" s="135">
        <v>1</v>
      </c>
      <c r="I57" s="135">
        <v>1</v>
      </c>
      <c r="J57" s="135">
        <v>1</v>
      </c>
      <c r="K57" s="135">
        <v>1</v>
      </c>
      <c r="L57" s="135">
        <v>1</v>
      </c>
      <c r="M57" s="135">
        <v>1</v>
      </c>
      <c r="N57" s="135">
        <v>1</v>
      </c>
      <c r="O57" s="135">
        <v>1</v>
      </c>
      <c r="P57" s="135">
        <v>1</v>
      </c>
      <c r="Q57" s="135">
        <v>1</v>
      </c>
      <c r="R57" s="135">
        <v>1</v>
      </c>
      <c r="S57" s="135">
        <v>1</v>
      </c>
      <c r="T57" s="135">
        <v>1</v>
      </c>
      <c r="U57" s="135">
        <v>1</v>
      </c>
      <c r="V57" s="135">
        <v>1</v>
      </c>
      <c r="W57" s="135">
        <v>1</v>
      </c>
      <c r="X57" s="135">
        <v>1</v>
      </c>
      <c r="Y57" s="135">
        <v>1</v>
      </c>
      <c r="Z57" s="135">
        <v>1</v>
      </c>
      <c r="AA57" s="135">
        <v>1</v>
      </c>
      <c r="AB57" s="135">
        <v>1</v>
      </c>
      <c r="AC57" s="135">
        <v>1</v>
      </c>
      <c r="AD57" s="135">
        <v>1</v>
      </c>
    </row>
    <row r="58" spans="2:30" s="459" customFormat="1">
      <c r="B58" s="480" t="str">
        <f>Commodities!K39</f>
        <v>TNAV_00</v>
      </c>
      <c r="C58" s="480" t="s">
        <v>584</v>
      </c>
      <c r="D58" s="135">
        <v>1</v>
      </c>
      <c r="E58" s="135">
        <v>1</v>
      </c>
      <c r="F58" s="135">
        <v>1</v>
      </c>
      <c r="G58" s="135">
        <v>1</v>
      </c>
      <c r="H58" s="135">
        <v>1</v>
      </c>
      <c r="I58" s="135">
        <v>1</v>
      </c>
      <c r="J58" s="135">
        <v>1</v>
      </c>
      <c r="K58" s="135">
        <v>1</v>
      </c>
      <c r="L58" s="135">
        <v>1</v>
      </c>
      <c r="M58" s="135">
        <v>1</v>
      </c>
      <c r="N58" s="135">
        <v>1</v>
      </c>
      <c r="O58" s="135">
        <v>1</v>
      </c>
      <c r="P58" s="135">
        <v>1</v>
      </c>
      <c r="Q58" s="135">
        <v>1</v>
      </c>
      <c r="R58" s="135">
        <v>1</v>
      </c>
      <c r="S58" s="135">
        <v>1</v>
      </c>
      <c r="T58" s="135">
        <v>1</v>
      </c>
      <c r="U58" s="135">
        <v>1</v>
      </c>
      <c r="V58" s="135">
        <v>1</v>
      </c>
      <c r="W58" s="135">
        <v>1</v>
      </c>
      <c r="X58" s="135">
        <v>1</v>
      </c>
      <c r="Y58" s="135">
        <v>1</v>
      </c>
      <c r="Z58" s="135">
        <v>1</v>
      </c>
      <c r="AA58" s="135">
        <v>1</v>
      </c>
      <c r="AB58" s="135">
        <v>1</v>
      </c>
      <c r="AC58" s="135">
        <v>1</v>
      </c>
      <c r="AD58" s="135">
        <v>1</v>
      </c>
    </row>
    <row r="59" spans="2:30" s="459" customFormat="1">
      <c r="B59" s="480" t="str">
        <f>Commodities!K40</f>
        <v>TOTH_00</v>
      </c>
      <c r="C59" s="480" t="s">
        <v>584</v>
      </c>
      <c r="D59" s="135">
        <v>1</v>
      </c>
      <c r="E59" s="135">
        <v>1</v>
      </c>
      <c r="F59" s="135">
        <v>1</v>
      </c>
      <c r="G59" s="135">
        <v>1</v>
      </c>
      <c r="H59" s="135">
        <v>1</v>
      </c>
      <c r="I59" s="135">
        <v>1</v>
      </c>
      <c r="J59" s="135">
        <v>1</v>
      </c>
      <c r="K59" s="135">
        <v>1</v>
      </c>
      <c r="L59" s="135">
        <v>1</v>
      </c>
      <c r="M59" s="135">
        <v>1</v>
      </c>
      <c r="N59" s="135">
        <v>1</v>
      </c>
      <c r="O59" s="135">
        <v>1</v>
      </c>
      <c r="P59" s="135">
        <v>1</v>
      </c>
      <c r="Q59" s="135">
        <v>1</v>
      </c>
      <c r="R59" s="135">
        <v>1</v>
      </c>
      <c r="S59" s="135">
        <v>1</v>
      </c>
      <c r="T59" s="135">
        <v>1</v>
      </c>
      <c r="U59" s="135">
        <v>1</v>
      </c>
      <c r="V59" s="135">
        <v>1</v>
      </c>
      <c r="W59" s="135">
        <v>1</v>
      </c>
      <c r="X59" s="135">
        <v>1</v>
      </c>
      <c r="Y59" s="135">
        <v>1</v>
      </c>
      <c r="Z59" s="135">
        <v>1</v>
      </c>
      <c r="AA59" s="135">
        <v>1</v>
      </c>
      <c r="AB59" s="135">
        <v>1</v>
      </c>
      <c r="AC59" s="135">
        <v>1</v>
      </c>
      <c r="AD59" s="135">
        <v>1</v>
      </c>
    </row>
    <row r="60" spans="2:30" s="459" customFormat="1">
      <c r="B60" s="480" t="str">
        <f>Commodities!K42</f>
        <v>TAVI_DOM_00</v>
      </c>
      <c r="C60" s="480" t="s">
        <v>584</v>
      </c>
      <c r="D60" s="135">
        <v>1</v>
      </c>
      <c r="E60" s="135">
        <v>1</v>
      </c>
      <c r="F60" s="135">
        <v>1</v>
      </c>
      <c r="G60" s="135">
        <v>1</v>
      </c>
      <c r="H60" s="135">
        <v>1</v>
      </c>
      <c r="I60" s="135">
        <v>1</v>
      </c>
      <c r="J60" s="135">
        <v>1</v>
      </c>
      <c r="K60" s="135">
        <v>1</v>
      </c>
      <c r="L60" s="135">
        <v>1</v>
      </c>
      <c r="M60" s="135">
        <v>1</v>
      </c>
      <c r="N60" s="135">
        <v>1</v>
      </c>
      <c r="O60" s="135">
        <v>1</v>
      </c>
      <c r="P60" s="135">
        <v>1</v>
      </c>
      <c r="Q60" s="135">
        <v>1</v>
      </c>
      <c r="R60" s="135">
        <v>1</v>
      </c>
      <c r="S60" s="135">
        <v>1</v>
      </c>
      <c r="T60" s="135">
        <v>1</v>
      </c>
      <c r="U60" s="135">
        <v>1</v>
      </c>
      <c r="V60" s="135">
        <v>1</v>
      </c>
      <c r="W60" s="135">
        <v>1</v>
      </c>
      <c r="X60" s="135">
        <v>1</v>
      </c>
      <c r="Y60" s="135">
        <v>1</v>
      </c>
      <c r="Z60" s="135">
        <v>1</v>
      </c>
      <c r="AA60" s="135">
        <v>1</v>
      </c>
      <c r="AB60" s="135">
        <v>1</v>
      </c>
      <c r="AC60" s="135">
        <v>1</v>
      </c>
      <c r="AD60" s="135">
        <v>1</v>
      </c>
    </row>
    <row r="61" spans="2:30" s="459" customFormat="1">
      <c r="B61" s="496" t="str">
        <f>Commodities!K43</f>
        <v>TAVI_INT_00</v>
      </c>
      <c r="C61" s="496" t="s">
        <v>584</v>
      </c>
      <c r="D61" s="508">
        <v>1</v>
      </c>
      <c r="E61" s="508">
        <v>1</v>
      </c>
      <c r="F61" s="508">
        <v>1</v>
      </c>
      <c r="G61" s="508">
        <v>1</v>
      </c>
      <c r="H61" s="508">
        <v>1</v>
      </c>
      <c r="I61" s="508">
        <v>1</v>
      </c>
      <c r="J61" s="508">
        <v>1</v>
      </c>
      <c r="K61" s="508">
        <v>1</v>
      </c>
      <c r="L61" s="508">
        <v>1</v>
      </c>
      <c r="M61" s="508">
        <v>1</v>
      </c>
      <c r="N61" s="508">
        <v>1</v>
      </c>
      <c r="O61" s="508">
        <v>1</v>
      </c>
      <c r="P61" s="508">
        <v>1</v>
      </c>
      <c r="Q61" s="508">
        <v>1</v>
      </c>
      <c r="R61" s="508">
        <v>1</v>
      </c>
      <c r="S61" s="508">
        <v>1</v>
      </c>
      <c r="T61" s="508">
        <v>1</v>
      </c>
      <c r="U61" s="508">
        <v>1</v>
      </c>
      <c r="V61" s="508">
        <v>1</v>
      </c>
      <c r="W61" s="508">
        <v>1</v>
      </c>
      <c r="X61" s="508">
        <v>1</v>
      </c>
      <c r="Y61" s="508">
        <v>1</v>
      </c>
      <c r="Z61" s="508">
        <v>1</v>
      </c>
      <c r="AA61" s="508">
        <v>1</v>
      </c>
      <c r="AB61" s="508">
        <v>1</v>
      </c>
      <c r="AC61" s="508">
        <v>1</v>
      </c>
      <c r="AD61" s="508">
        <v>1</v>
      </c>
    </row>
    <row r="62" spans="2:30">
      <c r="B62" s="461"/>
      <c r="C62" s="461"/>
      <c r="D62" s="459"/>
      <c r="E62" s="459"/>
      <c r="F62" s="459"/>
      <c r="G62" s="459"/>
      <c r="H62" s="459"/>
      <c r="I62" s="459"/>
      <c r="J62" s="459"/>
      <c r="K62" s="459"/>
      <c r="L62" s="459"/>
      <c r="M62" s="459"/>
      <c r="N62" s="459"/>
      <c r="O62" s="459"/>
      <c r="P62" s="459"/>
      <c r="Q62" s="459"/>
      <c r="R62" s="459"/>
      <c r="S62" s="459"/>
      <c r="T62" s="459"/>
      <c r="U62" s="459"/>
      <c r="V62" s="459"/>
      <c r="W62" s="459"/>
      <c r="X62" s="459"/>
      <c r="Y62" s="459"/>
      <c r="Z62" s="459"/>
      <c r="AA62" s="459"/>
      <c r="AB62" s="459"/>
      <c r="AC62" s="459"/>
      <c r="AD62" s="459"/>
    </row>
    <row r="63" spans="2:30">
      <c r="B63" s="461"/>
      <c r="C63" s="461"/>
      <c r="D63" s="459"/>
      <c r="E63" s="459"/>
      <c r="F63" s="459"/>
      <c r="G63" s="459"/>
      <c r="H63" s="459"/>
      <c r="I63" s="459"/>
      <c r="J63" s="459"/>
      <c r="K63" s="459"/>
      <c r="L63" s="459"/>
      <c r="M63" s="459"/>
      <c r="N63" s="459"/>
      <c r="O63" s="459"/>
      <c r="P63" s="459"/>
      <c r="Q63" s="459"/>
      <c r="R63" s="459"/>
      <c r="S63" s="459"/>
      <c r="T63" s="459"/>
      <c r="U63" s="459"/>
      <c r="V63" s="459"/>
      <c r="W63" s="459"/>
      <c r="X63" s="459"/>
      <c r="Y63" s="459"/>
      <c r="Z63" s="459"/>
      <c r="AA63" s="459"/>
      <c r="AB63" s="459"/>
      <c r="AC63" s="459"/>
      <c r="AD63" s="459"/>
    </row>
    <row r="64" spans="2:30">
      <c r="B64" s="459"/>
      <c r="D64" s="459"/>
      <c r="E64" s="459"/>
      <c r="F64" s="459"/>
      <c r="G64" s="459"/>
      <c r="H64" s="459"/>
      <c r="I64" s="459"/>
      <c r="J64" s="459"/>
      <c r="K64" s="459"/>
      <c r="L64" s="459"/>
      <c r="M64" s="459"/>
      <c r="N64" s="459"/>
      <c r="O64" s="459"/>
      <c r="P64" s="459"/>
      <c r="Q64" s="459"/>
      <c r="R64" s="459"/>
      <c r="S64" s="459"/>
      <c r="T64" s="459"/>
      <c r="U64" s="459"/>
      <c r="V64" s="459"/>
      <c r="W64" s="459"/>
      <c r="X64" s="459"/>
      <c r="Y64" s="459"/>
      <c r="Z64" s="459"/>
      <c r="AA64" s="459"/>
      <c r="AB64" s="459"/>
      <c r="AC64" s="459"/>
      <c r="AD64" s="459"/>
    </row>
    <row r="65" spans="2:33">
      <c r="B65" s="459"/>
      <c r="D65" s="459"/>
      <c r="E65" s="459"/>
      <c r="F65" s="459"/>
      <c r="G65" s="459"/>
      <c r="H65" s="459"/>
      <c r="I65" s="459"/>
      <c r="J65" s="459"/>
      <c r="K65" s="459"/>
      <c r="L65" s="459"/>
      <c r="M65" s="459"/>
      <c r="N65" s="459"/>
      <c r="O65" s="459"/>
      <c r="P65" s="459"/>
      <c r="Q65" s="459"/>
      <c r="R65" s="459"/>
      <c r="S65" s="459"/>
      <c r="T65" s="459"/>
      <c r="U65" s="459"/>
      <c r="V65" s="459"/>
      <c r="W65" s="459"/>
      <c r="X65" s="459"/>
      <c r="Y65" s="459"/>
      <c r="Z65" s="459"/>
      <c r="AA65" s="459"/>
      <c r="AB65" s="459"/>
      <c r="AC65" s="459"/>
      <c r="AD65" s="459"/>
    </row>
    <row r="66" spans="2:33">
      <c r="B66" s="459"/>
      <c r="D66" s="459"/>
      <c r="E66" s="459"/>
      <c r="F66" s="459"/>
      <c r="G66" s="459"/>
      <c r="H66" s="459"/>
      <c r="I66" s="459"/>
      <c r="J66" s="459"/>
      <c r="K66" s="459"/>
      <c r="L66" s="459"/>
      <c r="M66" s="459"/>
      <c r="N66" s="459"/>
      <c r="O66" s="459"/>
      <c r="P66" s="459"/>
      <c r="Q66" s="459"/>
      <c r="R66" s="459"/>
      <c r="S66" s="459"/>
      <c r="T66" s="459"/>
      <c r="U66" s="459"/>
      <c r="V66" s="459"/>
      <c r="W66" s="459"/>
      <c r="X66" s="459"/>
      <c r="Y66" s="459"/>
      <c r="Z66" s="459"/>
      <c r="AA66" s="459"/>
      <c r="AB66" s="459"/>
      <c r="AC66" s="459"/>
      <c r="AD66" s="459"/>
    </row>
    <row r="67" spans="2:33">
      <c r="B67" s="459" t="s">
        <v>917</v>
      </c>
      <c r="D67" s="459"/>
      <c r="E67" s="459"/>
      <c r="F67" s="459"/>
      <c r="G67" s="459"/>
      <c r="H67" s="459"/>
      <c r="I67" s="459"/>
      <c r="J67" s="459"/>
      <c r="K67" s="459"/>
      <c r="L67" s="459"/>
      <c r="M67" s="459"/>
      <c r="N67" s="459"/>
      <c r="O67" s="459"/>
      <c r="P67" s="459"/>
      <c r="Q67" s="459"/>
      <c r="R67" s="459"/>
      <c r="S67" s="459"/>
      <c r="T67" s="459"/>
      <c r="U67" s="459"/>
      <c r="V67" s="459"/>
      <c r="W67" s="459"/>
      <c r="X67" s="459"/>
      <c r="Y67" s="459"/>
      <c r="Z67" s="459"/>
      <c r="AA67" s="459"/>
      <c r="AB67" s="459"/>
      <c r="AC67" s="459"/>
      <c r="AD67" s="459"/>
    </row>
    <row r="68" spans="2:33" ht="15" thickBot="1">
      <c r="B68" s="41" t="s">
        <v>70</v>
      </c>
      <c r="C68" s="41" t="s">
        <v>96</v>
      </c>
      <c r="D68" s="41" t="str">
        <f t="shared" ref="D68:AD68" si="8">D3</f>
        <v>IE</v>
      </c>
      <c r="E68" s="41" t="str">
        <f t="shared" si="8"/>
        <v>IE-CW</v>
      </c>
      <c r="F68" s="41" t="str">
        <f t="shared" si="8"/>
        <v>IE-D</v>
      </c>
      <c r="G68" s="41" t="str">
        <f t="shared" si="8"/>
        <v>IE-KE</v>
      </c>
      <c r="H68" s="41" t="str">
        <f t="shared" si="8"/>
        <v>IE-KK</v>
      </c>
      <c r="I68" s="41" t="str">
        <f t="shared" si="8"/>
        <v>IE-LS</v>
      </c>
      <c r="J68" s="41" t="str">
        <f t="shared" si="8"/>
        <v>IE-LD</v>
      </c>
      <c r="K68" s="41" t="str">
        <f t="shared" si="8"/>
        <v>IE-LH</v>
      </c>
      <c r="L68" s="41" t="str">
        <f t="shared" si="8"/>
        <v>IE-MH</v>
      </c>
      <c r="M68" s="41" t="str">
        <f t="shared" si="8"/>
        <v>IE-OY</v>
      </c>
      <c r="N68" s="41" t="str">
        <f t="shared" si="8"/>
        <v>IE-WH</v>
      </c>
      <c r="O68" s="41" t="str">
        <f t="shared" si="8"/>
        <v>IE-WX</v>
      </c>
      <c r="P68" s="41" t="str">
        <f t="shared" si="8"/>
        <v>IE-WW</v>
      </c>
      <c r="Q68" s="41" t="str">
        <f t="shared" si="8"/>
        <v>IE-CE</v>
      </c>
      <c r="R68" s="41" t="str">
        <f t="shared" si="8"/>
        <v>IE-CO</v>
      </c>
      <c r="S68" s="41" t="str">
        <f t="shared" si="8"/>
        <v>IE-KY</v>
      </c>
      <c r="T68" s="41" t="str">
        <f t="shared" si="8"/>
        <v>IE-LK</v>
      </c>
      <c r="U68" s="41" t="str">
        <f t="shared" si="8"/>
        <v>IE-TA</v>
      </c>
      <c r="V68" s="41" t="str">
        <f t="shared" si="8"/>
        <v>IE-WD</v>
      </c>
      <c r="W68" s="41" t="str">
        <f t="shared" si="8"/>
        <v>IE-G</v>
      </c>
      <c r="X68" s="41" t="str">
        <f t="shared" si="8"/>
        <v>IE-LM</v>
      </c>
      <c r="Y68" s="41" t="str">
        <f t="shared" si="8"/>
        <v>IE-MO</v>
      </c>
      <c r="Z68" s="41" t="str">
        <f t="shared" si="8"/>
        <v>IE-RN</v>
      </c>
      <c r="AA68" s="41" t="str">
        <f t="shared" si="8"/>
        <v>IE-SO</v>
      </c>
      <c r="AB68" s="41" t="str">
        <f t="shared" si="8"/>
        <v>IE-CN</v>
      </c>
      <c r="AC68" s="41" t="str">
        <f t="shared" si="8"/>
        <v>IE-DL</v>
      </c>
      <c r="AD68" s="41" t="str">
        <f t="shared" si="8"/>
        <v>IE-MN</v>
      </c>
      <c r="AE68" s="459" t="s">
        <v>585</v>
      </c>
      <c r="AG68" s="459"/>
    </row>
    <row r="69" spans="2:33">
      <c r="B69" s="459" t="str">
        <f t="shared" ref="B69:B88" si="9">B6</f>
        <v>TMOT_GSL_00</v>
      </c>
      <c r="C69" s="459" t="s">
        <v>854</v>
      </c>
      <c r="D69" s="5">
        <v>2.7309999999999999</v>
      </c>
      <c r="E69" s="5">
        <v>2.637</v>
      </c>
      <c r="F69" s="5">
        <v>2.798</v>
      </c>
      <c r="G69" s="5">
        <v>2.7280000000000002</v>
      </c>
      <c r="H69" s="5">
        <v>2.6520000000000001</v>
      </c>
      <c r="I69" s="5">
        <v>2.71</v>
      </c>
      <c r="J69" s="5">
        <v>2.669</v>
      </c>
      <c r="K69" s="5">
        <v>2.758</v>
      </c>
      <c r="L69" s="5">
        <v>2.722</v>
      </c>
      <c r="M69" s="5">
        <v>2.6560000000000001</v>
      </c>
      <c r="N69" s="5">
        <v>2.706</v>
      </c>
      <c r="O69" s="5">
        <v>2.657</v>
      </c>
      <c r="P69" s="5">
        <v>2.72</v>
      </c>
      <c r="Q69" s="5">
        <v>2.726</v>
      </c>
      <c r="R69" s="5">
        <v>2.6880000000000002</v>
      </c>
      <c r="S69" s="5">
        <v>2.68</v>
      </c>
      <c r="T69" s="5">
        <v>2.7</v>
      </c>
      <c r="U69" s="5">
        <v>2.694</v>
      </c>
      <c r="V69" s="5">
        <v>2.6480000000000001</v>
      </c>
      <c r="W69" s="5">
        <v>2.7010000000000001</v>
      </c>
      <c r="X69" s="5">
        <v>2.7250000000000001</v>
      </c>
      <c r="Y69" s="5">
        <v>2.718</v>
      </c>
      <c r="Z69" s="5">
        <v>2.7290000000000001</v>
      </c>
      <c r="AA69" s="5">
        <v>2.6480000000000001</v>
      </c>
      <c r="AB69" s="5">
        <v>2.7109999999999999</v>
      </c>
      <c r="AC69" s="5">
        <v>2.7930000000000001</v>
      </c>
      <c r="AD69" s="5">
        <v>2.7800000000000002</v>
      </c>
      <c r="AE69" s="459" t="s">
        <v>586</v>
      </c>
      <c r="AG69" s="459"/>
    </row>
    <row r="70" spans="2:33">
      <c r="B70" s="459" t="str">
        <f t="shared" si="9"/>
        <v>TCAR_ICE_GSL_00</v>
      </c>
      <c r="C70" s="459" t="s">
        <v>854</v>
      </c>
      <c r="D70" s="5">
        <v>12.817</v>
      </c>
      <c r="E70" s="5">
        <v>13.538</v>
      </c>
      <c r="F70" s="5">
        <v>11.021000000000001</v>
      </c>
      <c r="G70" s="5">
        <v>13.529</v>
      </c>
      <c r="H70" s="5">
        <v>13.763999999999999</v>
      </c>
      <c r="I70" s="5">
        <v>14.083</v>
      </c>
      <c r="J70" s="5">
        <v>14.022</v>
      </c>
      <c r="K70" s="5">
        <v>13.183</v>
      </c>
      <c r="L70" s="5">
        <v>13.941000000000001</v>
      </c>
      <c r="M70" s="5">
        <v>14.13</v>
      </c>
      <c r="N70" s="5">
        <v>13.906000000000001</v>
      </c>
      <c r="O70" s="5">
        <v>13.939</v>
      </c>
      <c r="P70" s="5">
        <v>13.411</v>
      </c>
      <c r="Q70" s="5">
        <v>14.196999999999999</v>
      </c>
      <c r="R70" s="5">
        <v>13.069000000000001</v>
      </c>
      <c r="S70" s="5">
        <v>13.894</v>
      </c>
      <c r="T70" s="5">
        <v>13.465999999999999</v>
      </c>
      <c r="U70" s="5">
        <v>14.237</v>
      </c>
      <c r="V70" s="5">
        <v>13.135999999999999</v>
      </c>
      <c r="W70" s="5">
        <v>13.557</v>
      </c>
      <c r="X70" s="5">
        <v>14.583</v>
      </c>
      <c r="Y70" s="5">
        <v>13.987</v>
      </c>
      <c r="Z70" s="5">
        <v>15.377000000000001</v>
      </c>
      <c r="AA70" s="5">
        <v>13.425000000000001</v>
      </c>
      <c r="AB70" s="5">
        <v>14.218</v>
      </c>
      <c r="AC70" s="5">
        <v>13.877000000000001</v>
      </c>
      <c r="AD70" s="5">
        <v>13.781000000000001</v>
      </c>
      <c r="AE70" s="459" t="s">
        <v>501</v>
      </c>
      <c r="AG70" s="459"/>
    </row>
    <row r="71" spans="2:33">
      <c r="B71" s="459" t="str">
        <f t="shared" si="9"/>
        <v>TCAR_ICE_DST_00</v>
      </c>
      <c r="C71" s="459" t="s">
        <v>854</v>
      </c>
      <c r="D71" s="5">
        <v>20.617000000000001</v>
      </c>
      <c r="E71" s="5">
        <v>21.731000000000002</v>
      </c>
      <c r="F71" s="5">
        <v>18.106000000000002</v>
      </c>
      <c r="G71" s="5">
        <v>20.908999999999999</v>
      </c>
      <c r="H71" s="5">
        <v>21.75</v>
      </c>
      <c r="I71" s="5">
        <v>22.298999999999999</v>
      </c>
      <c r="J71" s="5">
        <v>22.722999999999999</v>
      </c>
      <c r="K71" s="5">
        <v>20.613</v>
      </c>
      <c r="L71" s="5">
        <v>21.196999999999999</v>
      </c>
      <c r="M71" s="5">
        <v>22.055</v>
      </c>
      <c r="N71" s="5">
        <v>22.035</v>
      </c>
      <c r="O71" s="5">
        <v>21.408000000000001</v>
      </c>
      <c r="P71" s="5">
        <v>20.399999999999999</v>
      </c>
      <c r="Q71" s="5">
        <v>22.021000000000001</v>
      </c>
      <c r="R71" s="5">
        <v>20.07</v>
      </c>
      <c r="S71" s="5">
        <v>20.986000000000001</v>
      </c>
      <c r="T71" s="5">
        <v>21.373999999999999</v>
      </c>
      <c r="U71" s="5">
        <v>22.268999999999998</v>
      </c>
      <c r="V71" s="5">
        <v>20.774999999999999</v>
      </c>
      <c r="W71" s="5">
        <v>21.388000000000002</v>
      </c>
      <c r="X71" s="5">
        <v>22.28</v>
      </c>
      <c r="Y71" s="5">
        <v>21.443000000000001</v>
      </c>
      <c r="Z71" s="5">
        <v>23.317</v>
      </c>
      <c r="AA71" s="5">
        <v>21.324000000000002</v>
      </c>
      <c r="AB71" s="5">
        <v>21.887</v>
      </c>
      <c r="AC71" s="5">
        <v>20.55</v>
      </c>
      <c r="AD71" s="5">
        <v>21.584</v>
      </c>
      <c r="AE71" s="459" t="s">
        <v>501</v>
      </c>
      <c r="AG71" s="459"/>
    </row>
    <row r="72" spans="2:33">
      <c r="B72" s="459" t="str">
        <f t="shared" si="9"/>
        <v>TCAR_ICE_DF_00</v>
      </c>
      <c r="C72" s="459" t="s">
        <v>854</v>
      </c>
      <c r="D72" s="5">
        <v>13.444000000000001</v>
      </c>
      <c r="E72" s="5">
        <v>14.090999999999999</v>
      </c>
      <c r="F72" s="5">
        <v>12.847</v>
      </c>
      <c r="G72" s="5">
        <v>13.913</v>
      </c>
      <c r="H72" s="5">
        <v>14.358000000000001</v>
      </c>
      <c r="I72" s="5">
        <v>14.586</v>
      </c>
      <c r="J72" s="5">
        <v>14.004</v>
      </c>
      <c r="K72" s="5">
        <v>13.414</v>
      </c>
      <c r="L72" s="5">
        <v>14.103</v>
      </c>
      <c r="M72" s="5">
        <v>14.503</v>
      </c>
      <c r="N72" s="5">
        <v>14.009</v>
      </c>
      <c r="O72" s="5">
        <v>14.132</v>
      </c>
      <c r="P72" s="5">
        <v>13.914999999999999</v>
      </c>
      <c r="Q72" s="5">
        <v>14.077999999999999</v>
      </c>
      <c r="R72" s="5">
        <v>13.355</v>
      </c>
      <c r="S72" s="5">
        <v>13.78</v>
      </c>
      <c r="T72" s="5">
        <v>13.922000000000001</v>
      </c>
      <c r="U72" s="5">
        <v>13.884</v>
      </c>
      <c r="V72" s="5">
        <v>13.941000000000001</v>
      </c>
      <c r="W72" s="5">
        <v>13.930999999999999</v>
      </c>
      <c r="X72" s="5">
        <v>14.143000000000001</v>
      </c>
      <c r="Y72" s="5">
        <v>14.191000000000001</v>
      </c>
      <c r="Z72" s="5">
        <v>14.154</v>
      </c>
      <c r="AA72" s="5">
        <v>13.852</v>
      </c>
      <c r="AB72" s="5">
        <v>14.061999999999999</v>
      </c>
      <c r="AC72" s="5">
        <v>14.304</v>
      </c>
      <c r="AD72" s="5">
        <v>13.791</v>
      </c>
      <c r="AE72" s="459" t="s">
        <v>501</v>
      </c>
      <c r="AG72" s="459"/>
    </row>
    <row r="73" spans="2:33">
      <c r="B73" s="459" t="str">
        <f t="shared" si="9"/>
        <v>TCAR_ICE_E85_00</v>
      </c>
      <c r="C73" s="459" t="s">
        <v>854</v>
      </c>
      <c r="D73" s="5">
        <v>13.444000000000001</v>
      </c>
      <c r="E73" s="5">
        <v>14.090999999999999</v>
      </c>
      <c r="F73" s="5">
        <v>12.847</v>
      </c>
      <c r="G73" s="5">
        <v>13.913</v>
      </c>
      <c r="H73" s="5">
        <v>14.358000000000001</v>
      </c>
      <c r="I73" s="5">
        <v>14.586</v>
      </c>
      <c r="J73" s="5">
        <v>14.004</v>
      </c>
      <c r="K73" s="5">
        <v>13.414</v>
      </c>
      <c r="L73" s="5">
        <v>14.103</v>
      </c>
      <c r="M73" s="5">
        <v>14.503</v>
      </c>
      <c r="N73" s="5">
        <v>14.009</v>
      </c>
      <c r="O73" s="5">
        <v>14.132</v>
      </c>
      <c r="P73" s="5">
        <v>13.914999999999999</v>
      </c>
      <c r="Q73" s="5">
        <v>14.077999999999999</v>
      </c>
      <c r="R73" s="5">
        <v>13.355</v>
      </c>
      <c r="S73" s="5">
        <v>13.78</v>
      </c>
      <c r="T73" s="5">
        <v>13.922000000000001</v>
      </c>
      <c r="U73" s="5">
        <v>13.884</v>
      </c>
      <c r="V73" s="5">
        <v>13.941000000000001</v>
      </c>
      <c r="W73" s="5">
        <v>13.930999999999999</v>
      </c>
      <c r="X73" s="5">
        <v>14.143000000000001</v>
      </c>
      <c r="Y73" s="5">
        <v>14.191000000000001</v>
      </c>
      <c r="Z73" s="5">
        <v>14.154</v>
      </c>
      <c r="AA73" s="5">
        <v>13.852</v>
      </c>
      <c r="AB73" s="5">
        <v>14.061999999999999</v>
      </c>
      <c r="AC73" s="5">
        <v>14.304</v>
      </c>
      <c r="AD73" s="5">
        <v>13.791</v>
      </c>
      <c r="AE73" s="459" t="s">
        <v>501</v>
      </c>
      <c r="AG73" s="459"/>
    </row>
    <row r="74" spans="2:33">
      <c r="B74" s="459" t="str">
        <f t="shared" si="9"/>
        <v>TCAR_HEV_GSL_00</v>
      </c>
      <c r="C74" s="459" t="s">
        <v>854</v>
      </c>
      <c r="D74" s="5">
        <f>D70</f>
        <v>12.817</v>
      </c>
      <c r="E74" s="5">
        <f t="shared" ref="E74:AD74" si="10">E70</f>
        <v>13.538</v>
      </c>
      <c r="F74" s="5">
        <f t="shared" si="10"/>
        <v>11.021000000000001</v>
      </c>
      <c r="G74" s="5">
        <f t="shared" si="10"/>
        <v>13.529</v>
      </c>
      <c r="H74" s="5">
        <f t="shared" si="10"/>
        <v>13.763999999999999</v>
      </c>
      <c r="I74" s="5">
        <f t="shared" si="10"/>
        <v>14.083</v>
      </c>
      <c r="J74" s="5">
        <f t="shared" si="10"/>
        <v>14.022</v>
      </c>
      <c r="K74" s="5">
        <f t="shared" si="10"/>
        <v>13.183</v>
      </c>
      <c r="L74" s="5">
        <f t="shared" si="10"/>
        <v>13.941000000000001</v>
      </c>
      <c r="M74" s="5">
        <f t="shared" si="10"/>
        <v>14.13</v>
      </c>
      <c r="N74" s="5">
        <f t="shared" si="10"/>
        <v>13.906000000000001</v>
      </c>
      <c r="O74" s="5">
        <f t="shared" si="10"/>
        <v>13.939</v>
      </c>
      <c r="P74" s="5">
        <f t="shared" si="10"/>
        <v>13.411</v>
      </c>
      <c r="Q74" s="5">
        <f t="shared" si="10"/>
        <v>14.196999999999999</v>
      </c>
      <c r="R74" s="5">
        <f t="shared" si="10"/>
        <v>13.069000000000001</v>
      </c>
      <c r="S74" s="5">
        <f t="shared" si="10"/>
        <v>13.894</v>
      </c>
      <c r="T74" s="5">
        <f t="shared" si="10"/>
        <v>13.465999999999999</v>
      </c>
      <c r="U74" s="5">
        <f t="shared" si="10"/>
        <v>14.237</v>
      </c>
      <c r="V74" s="5">
        <f t="shared" si="10"/>
        <v>13.135999999999999</v>
      </c>
      <c r="W74" s="5">
        <f t="shared" si="10"/>
        <v>13.557</v>
      </c>
      <c r="X74" s="5">
        <f t="shared" si="10"/>
        <v>14.583</v>
      </c>
      <c r="Y74" s="5">
        <f t="shared" si="10"/>
        <v>13.987</v>
      </c>
      <c r="Z74" s="5">
        <f t="shared" si="10"/>
        <v>15.377000000000001</v>
      </c>
      <c r="AA74" s="5">
        <f t="shared" si="10"/>
        <v>13.425000000000001</v>
      </c>
      <c r="AB74" s="5">
        <f t="shared" si="10"/>
        <v>14.218</v>
      </c>
      <c r="AC74" s="5">
        <f t="shared" si="10"/>
        <v>13.877000000000001</v>
      </c>
      <c r="AD74" s="5">
        <f t="shared" si="10"/>
        <v>13.781000000000001</v>
      </c>
      <c r="AE74" s="459" t="s">
        <v>501</v>
      </c>
      <c r="AG74" s="459"/>
    </row>
    <row r="75" spans="2:33">
      <c r="B75" s="459" t="str">
        <f t="shared" si="9"/>
        <v>TCAR_HEV_DST_00</v>
      </c>
      <c r="C75" s="459" t="s">
        <v>854</v>
      </c>
      <c r="D75" s="5">
        <f>D71</f>
        <v>20.617000000000001</v>
      </c>
      <c r="E75" s="5">
        <f t="shared" ref="E75:AD75" si="11">E71</f>
        <v>21.731000000000002</v>
      </c>
      <c r="F75" s="5">
        <f t="shared" si="11"/>
        <v>18.106000000000002</v>
      </c>
      <c r="G75" s="5">
        <f t="shared" si="11"/>
        <v>20.908999999999999</v>
      </c>
      <c r="H75" s="5">
        <f t="shared" si="11"/>
        <v>21.75</v>
      </c>
      <c r="I75" s="5">
        <f t="shared" si="11"/>
        <v>22.298999999999999</v>
      </c>
      <c r="J75" s="5">
        <f t="shared" si="11"/>
        <v>22.722999999999999</v>
      </c>
      <c r="K75" s="5">
        <f t="shared" si="11"/>
        <v>20.613</v>
      </c>
      <c r="L75" s="5">
        <f t="shared" si="11"/>
        <v>21.196999999999999</v>
      </c>
      <c r="M75" s="5">
        <f t="shared" si="11"/>
        <v>22.055</v>
      </c>
      <c r="N75" s="5">
        <f t="shared" si="11"/>
        <v>22.035</v>
      </c>
      <c r="O75" s="5">
        <f t="shared" si="11"/>
        <v>21.408000000000001</v>
      </c>
      <c r="P75" s="5">
        <f t="shared" si="11"/>
        <v>20.399999999999999</v>
      </c>
      <c r="Q75" s="5">
        <f t="shared" si="11"/>
        <v>22.021000000000001</v>
      </c>
      <c r="R75" s="5">
        <f t="shared" si="11"/>
        <v>20.07</v>
      </c>
      <c r="S75" s="5">
        <f t="shared" si="11"/>
        <v>20.986000000000001</v>
      </c>
      <c r="T75" s="5">
        <f t="shared" si="11"/>
        <v>21.373999999999999</v>
      </c>
      <c r="U75" s="5">
        <f t="shared" si="11"/>
        <v>22.268999999999998</v>
      </c>
      <c r="V75" s="5">
        <f t="shared" si="11"/>
        <v>20.774999999999999</v>
      </c>
      <c r="W75" s="5">
        <f t="shared" si="11"/>
        <v>21.388000000000002</v>
      </c>
      <c r="X75" s="5">
        <f t="shared" si="11"/>
        <v>22.28</v>
      </c>
      <c r="Y75" s="5">
        <f t="shared" si="11"/>
        <v>21.443000000000001</v>
      </c>
      <c r="Z75" s="5">
        <f t="shared" si="11"/>
        <v>23.317</v>
      </c>
      <c r="AA75" s="5">
        <f t="shared" si="11"/>
        <v>21.324000000000002</v>
      </c>
      <c r="AB75" s="5">
        <f t="shared" si="11"/>
        <v>21.887</v>
      </c>
      <c r="AC75" s="5">
        <f t="shared" si="11"/>
        <v>20.55</v>
      </c>
      <c r="AD75" s="5">
        <f t="shared" si="11"/>
        <v>21.584</v>
      </c>
      <c r="AE75" s="459" t="s">
        <v>501</v>
      </c>
      <c r="AG75" s="459"/>
    </row>
    <row r="76" spans="2:33">
      <c r="B76" s="459" t="str">
        <f t="shared" si="9"/>
        <v>TCAR_PHEV_GSL_00</v>
      </c>
      <c r="C76" s="459" t="s">
        <v>854</v>
      </c>
      <c r="D76" s="5">
        <f t="shared" ref="D76:AD76" si="12">D74</f>
        <v>12.817</v>
      </c>
      <c r="E76" s="5">
        <f t="shared" si="12"/>
        <v>13.538</v>
      </c>
      <c r="F76" s="5">
        <f t="shared" si="12"/>
        <v>11.021000000000001</v>
      </c>
      <c r="G76" s="5">
        <f t="shared" si="12"/>
        <v>13.529</v>
      </c>
      <c r="H76" s="5">
        <f t="shared" si="12"/>
        <v>13.763999999999999</v>
      </c>
      <c r="I76" s="5">
        <f t="shared" si="12"/>
        <v>14.083</v>
      </c>
      <c r="J76" s="5">
        <f t="shared" si="12"/>
        <v>14.022</v>
      </c>
      <c r="K76" s="5">
        <f t="shared" si="12"/>
        <v>13.183</v>
      </c>
      <c r="L76" s="5">
        <f t="shared" si="12"/>
        <v>13.941000000000001</v>
      </c>
      <c r="M76" s="5">
        <f t="shared" si="12"/>
        <v>14.13</v>
      </c>
      <c r="N76" s="5">
        <f t="shared" si="12"/>
        <v>13.906000000000001</v>
      </c>
      <c r="O76" s="5">
        <f t="shared" si="12"/>
        <v>13.939</v>
      </c>
      <c r="P76" s="5">
        <f t="shared" si="12"/>
        <v>13.411</v>
      </c>
      <c r="Q76" s="5">
        <f t="shared" si="12"/>
        <v>14.196999999999999</v>
      </c>
      <c r="R76" s="5">
        <f t="shared" si="12"/>
        <v>13.069000000000001</v>
      </c>
      <c r="S76" s="5">
        <f t="shared" si="12"/>
        <v>13.894</v>
      </c>
      <c r="T76" s="5">
        <f t="shared" si="12"/>
        <v>13.465999999999999</v>
      </c>
      <c r="U76" s="5">
        <f t="shared" si="12"/>
        <v>14.237</v>
      </c>
      <c r="V76" s="5">
        <f t="shared" si="12"/>
        <v>13.135999999999999</v>
      </c>
      <c r="W76" s="5">
        <f t="shared" si="12"/>
        <v>13.557</v>
      </c>
      <c r="X76" s="5">
        <f t="shared" si="12"/>
        <v>14.583</v>
      </c>
      <c r="Y76" s="5">
        <f t="shared" si="12"/>
        <v>13.987</v>
      </c>
      <c r="Z76" s="5">
        <f t="shared" si="12"/>
        <v>15.377000000000001</v>
      </c>
      <c r="AA76" s="5">
        <f t="shared" si="12"/>
        <v>13.425000000000001</v>
      </c>
      <c r="AB76" s="5">
        <f t="shared" si="12"/>
        <v>14.218</v>
      </c>
      <c r="AC76" s="5">
        <f t="shared" si="12"/>
        <v>13.877000000000001</v>
      </c>
      <c r="AD76" s="5">
        <f t="shared" si="12"/>
        <v>13.781000000000001</v>
      </c>
      <c r="AE76" s="459" t="s">
        <v>501</v>
      </c>
      <c r="AG76" s="459"/>
    </row>
    <row r="77" spans="2:33">
      <c r="B77" s="459" t="str">
        <f t="shared" si="9"/>
        <v>TCAR_PHEV_DST_00</v>
      </c>
      <c r="C77" s="459" t="s">
        <v>854</v>
      </c>
      <c r="D77" s="5">
        <f>D71</f>
        <v>20.617000000000001</v>
      </c>
      <c r="E77" s="5">
        <f t="shared" ref="E77:AD77" si="13">E71</f>
        <v>21.731000000000002</v>
      </c>
      <c r="F77" s="5">
        <f t="shared" si="13"/>
        <v>18.106000000000002</v>
      </c>
      <c r="G77" s="5">
        <f t="shared" si="13"/>
        <v>20.908999999999999</v>
      </c>
      <c r="H77" s="5">
        <f t="shared" si="13"/>
        <v>21.75</v>
      </c>
      <c r="I77" s="5">
        <f t="shared" si="13"/>
        <v>22.298999999999999</v>
      </c>
      <c r="J77" s="5">
        <f t="shared" si="13"/>
        <v>22.722999999999999</v>
      </c>
      <c r="K77" s="5">
        <f t="shared" si="13"/>
        <v>20.613</v>
      </c>
      <c r="L77" s="5">
        <f t="shared" si="13"/>
        <v>21.196999999999999</v>
      </c>
      <c r="M77" s="5">
        <f t="shared" si="13"/>
        <v>22.055</v>
      </c>
      <c r="N77" s="5">
        <f t="shared" si="13"/>
        <v>22.035</v>
      </c>
      <c r="O77" s="5">
        <f t="shared" si="13"/>
        <v>21.408000000000001</v>
      </c>
      <c r="P77" s="5">
        <f t="shared" si="13"/>
        <v>20.399999999999999</v>
      </c>
      <c r="Q77" s="5">
        <f t="shared" si="13"/>
        <v>22.021000000000001</v>
      </c>
      <c r="R77" s="5">
        <f t="shared" si="13"/>
        <v>20.07</v>
      </c>
      <c r="S77" s="5">
        <f t="shared" si="13"/>
        <v>20.986000000000001</v>
      </c>
      <c r="T77" s="5">
        <f t="shared" si="13"/>
        <v>21.373999999999999</v>
      </c>
      <c r="U77" s="5">
        <f t="shared" si="13"/>
        <v>22.268999999999998</v>
      </c>
      <c r="V77" s="5">
        <f t="shared" si="13"/>
        <v>20.774999999999999</v>
      </c>
      <c r="W77" s="5">
        <f t="shared" si="13"/>
        <v>21.388000000000002</v>
      </c>
      <c r="X77" s="5">
        <f t="shared" si="13"/>
        <v>22.28</v>
      </c>
      <c r="Y77" s="5">
        <f t="shared" si="13"/>
        <v>21.443000000000001</v>
      </c>
      <c r="Z77" s="5">
        <f t="shared" si="13"/>
        <v>23.317</v>
      </c>
      <c r="AA77" s="5">
        <f t="shared" si="13"/>
        <v>21.324000000000002</v>
      </c>
      <c r="AB77" s="5">
        <f t="shared" si="13"/>
        <v>21.887</v>
      </c>
      <c r="AC77" s="5">
        <f t="shared" si="13"/>
        <v>20.55</v>
      </c>
      <c r="AD77" s="5">
        <f t="shared" si="13"/>
        <v>21.584</v>
      </c>
      <c r="AE77" s="459" t="s">
        <v>501</v>
      </c>
      <c r="AG77" s="459"/>
    </row>
    <row r="78" spans="2:33">
      <c r="B78" s="459" t="str">
        <f t="shared" si="9"/>
        <v>TCAR_BEV_00</v>
      </c>
      <c r="C78" s="459" t="s">
        <v>854</v>
      </c>
      <c r="D78" s="5">
        <f>D73</f>
        <v>13.444000000000001</v>
      </c>
      <c r="E78" s="5">
        <f t="shared" ref="E78:AD78" si="14">E73</f>
        <v>14.090999999999999</v>
      </c>
      <c r="F78" s="5">
        <f t="shared" si="14"/>
        <v>12.847</v>
      </c>
      <c r="G78" s="5">
        <f t="shared" si="14"/>
        <v>13.913</v>
      </c>
      <c r="H78" s="5">
        <f t="shared" si="14"/>
        <v>14.358000000000001</v>
      </c>
      <c r="I78" s="5">
        <f t="shared" si="14"/>
        <v>14.586</v>
      </c>
      <c r="J78" s="5">
        <f t="shared" si="14"/>
        <v>14.004</v>
      </c>
      <c r="K78" s="5">
        <f t="shared" si="14"/>
        <v>13.414</v>
      </c>
      <c r="L78" s="5">
        <f t="shared" si="14"/>
        <v>14.103</v>
      </c>
      <c r="M78" s="5">
        <f t="shared" si="14"/>
        <v>14.503</v>
      </c>
      <c r="N78" s="5">
        <f t="shared" si="14"/>
        <v>14.009</v>
      </c>
      <c r="O78" s="5">
        <f t="shared" si="14"/>
        <v>14.132</v>
      </c>
      <c r="P78" s="5">
        <f t="shared" si="14"/>
        <v>13.914999999999999</v>
      </c>
      <c r="Q78" s="5">
        <f t="shared" si="14"/>
        <v>14.077999999999999</v>
      </c>
      <c r="R78" s="5">
        <f t="shared" si="14"/>
        <v>13.355</v>
      </c>
      <c r="S78" s="5">
        <f t="shared" si="14"/>
        <v>13.78</v>
      </c>
      <c r="T78" s="5">
        <f t="shared" si="14"/>
        <v>13.922000000000001</v>
      </c>
      <c r="U78" s="5">
        <f t="shared" si="14"/>
        <v>13.884</v>
      </c>
      <c r="V78" s="5">
        <f t="shared" si="14"/>
        <v>13.941000000000001</v>
      </c>
      <c r="W78" s="5">
        <f t="shared" si="14"/>
        <v>13.930999999999999</v>
      </c>
      <c r="X78" s="5">
        <f t="shared" si="14"/>
        <v>14.143000000000001</v>
      </c>
      <c r="Y78" s="5">
        <f t="shared" si="14"/>
        <v>14.191000000000001</v>
      </c>
      <c r="Z78" s="5">
        <f t="shared" si="14"/>
        <v>14.154</v>
      </c>
      <c r="AA78" s="5">
        <f t="shared" si="14"/>
        <v>13.852</v>
      </c>
      <c r="AB78" s="5">
        <f t="shared" si="14"/>
        <v>14.061999999999999</v>
      </c>
      <c r="AC78" s="5">
        <f t="shared" si="14"/>
        <v>14.304</v>
      </c>
      <c r="AD78" s="5">
        <f t="shared" si="14"/>
        <v>13.791</v>
      </c>
      <c r="AE78" s="459" t="s">
        <v>501</v>
      </c>
      <c r="AG78" s="459"/>
    </row>
    <row r="79" spans="2:33">
      <c r="B79" s="459" t="str">
        <f t="shared" si="9"/>
        <v>TTAXI_ICE_GSL_00</v>
      </c>
      <c r="C79" s="459" t="s">
        <v>854</v>
      </c>
      <c r="D79" s="5">
        <v>35.606999999999999</v>
      </c>
      <c r="E79" s="5">
        <v>22.277000000000001</v>
      </c>
      <c r="F79" s="5">
        <v>35.493000000000002</v>
      </c>
      <c r="G79" s="5">
        <v>41.204999999999998</v>
      </c>
      <c r="H79" s="5">
        <v>41.378</v>
      </c>
      <c r="I79" s="5">
        <v>32.383000000000003</v>
      </c>
      <c r="J79" s="5">
        <v>41.290999999999997</v>
      </c>
      <c r="K79" s="5">
        <v>36.228999999999999</v>
      </c>
      <c r="L79" s="5">
        <v>41.643999999999998</v>
      </c>
      <c r="M79" s="5">
        <v>27.047000000000001</v>
      </c>
      <c r="N79" s="5">
        <v>44.625</v>
      </c>
      <c r="O79" s="5">
        <v>32.718000000000004</v>
      </c>
      <c r="P79" s="5">
        <v>31.013000000000002</v>
      </c>
      <c r="Q79" s="5">
        <v>37.658999999999999</v>
      </c>
      <c r="R79" s="5">
        <v>34.145000000000003</v>
      </c>
      <c r="S79" s="5">
        <v>31.021999999999998</v>
      </c>
      <c r="T79" s="5">
        <v>37.139000000000003</v>
      </c>
      <c r="U79" s="5">
        <v>33.700000000000003</v>
      </c>
      <c r="V79" s="5">
        <v>29.905999999999999</v>
      </c>
      <c r="W79" s="5">
        <v>36.619999999999997</v>
      </c>
      <c r="X79" s="5">
        <v>28.806999999999999</v>
      </c>
      <c r="Y79" s="5">
        <v>32.491999999999997</v>
      </c>
      <c r="Z79" s="5">
        <v>24.44</v>
      </c>
      <c r="AA79" s="5">
        <v>27.395</v>
      </c>
      <c r="AB79" s="5">
        <v>35.872999999999998</v>
      </c>
      <c r="AC79" s="5">
        <v>34.793999999999997</v>
      </c>
      <c r="AD79" s="5">
        <v>13.925000000000001</v>
      </c>
      <c r="AE79" s="459" t="s">
        <v>587</v>
      </c>
      <c r="AG79" s="459"/>
    </row>
    <row r="80" spans="2:33">
      <c r="B80" s="459" t="str">
        <f t="shared" si="9"/>
        <v>TTAXI_ICE_DST_00</v>
      </c>
      <c r="C80" s="459" t="s">
        <v>854</v>
      </c>
      <c r="D80" s="5">
        <v>39.924999999999997</v>
      </c>
      <c r="E80" s="5">
        <v>36.674999999999997</v>
      </c>
      <c r="F80" s="5">
        <v>38.923999999999999</v>
      </c>
      <c r="G80" s="5">
        <v>42.279000000000003</v>
      </c>
      <c r="H80" s="5">
        <v>41.710999999999999</v>
      </c>
      <c r="I80" s="5">
        <v>41.725000000000001</v>
      </c>
      <c r="J80" s="5">
        <v>45.546999999999997</v>
      </c>
      <c r="K80" s="5">
        <v>42.713000000000001</v>
      </c>
      <c r="L80" s="5">
        <v>43.365000000000002</v>
      </c>
      <c r="M80" s="5">
        <v>38.703000000000003</v>
      </c>
      <c r="N80" s="5">
        <v>41.908000000000001</v>
      </c>
      <c r="O80" s="5">
        <v>38.863999999999997</v>
      </c>
      <c r="P80" s="5">
        <v>39.012</v>
      </c>
      <c r="Q80" s="5">
        <v>40.003999999999998</v>
      </c>
      <c r="R80" s="5">
        <v>40.366</v>
      </c>
      <c r="S80" s="5">
        <v>39.216999999999999</v>
      </c>
      <c r="T80" s="5">
        <v>40.262</v>
      </c>
      <c r="U80" s="5">
        <v>40.31</v>
      </c>
      <c r="V80" s="5">
        <v>39.709000000000003</v>
      </c>
      <c r="W80" s="5">
        <v>40.692999999999998</v>
      </c>
      <c r="X80" s="5">
        <v>42.972000000000001</v>
      </c>
      <c r="Y80" s="5">
        <v>38.369</v>
      </c>
      <c r="Z80" s="5">
        <v>39.170999999999999</v>
      </c>
      <c r="AA80" s="5">
        <v>40.359000000000002</v>
      </c>
      <c r="AB80" s="5">
        <v>44.034999999999997</v>
      </c>
      <c r="AC80" s="5">
        <v>40.661000000000001</v>
      </c>
      <c r="AD80" s="5">
        <v>42.5</v>
      </c>
      <c r="AE80" s="459" t="s">
        <v>587</v>
      </c>
      <c r="AG80" s="459"/>
    </row>
    <row r="81" spans="2:33">
      <c r="B81" s="459" t="str">
        <f t="shared" si="9"/>
        <v>TTAXI_HEV_GSL_00</v>
      </c>
      <c r="C81" s="459" t="s">
        <v>854</v>
      </c>
      <c r="D81" s="5">
        <v>41.210999999999999</v>
      </c>
      <c r="E81" s="5">
        <v>46.207999999999998</v>
      </c>
      <c r="F81" s="5">
        <v>40.334000000000003</v>
      </c>
      <c r="G81" s="5">
        <v>46.970999999999997</v>
      </c>
      <c r="H81" s="5">
        <v>42.451000000000001</v>
      </c>
      <c r="I81" s="5">
        <v>40.606000000000002</v>
      </c>
      <c r="J81" s="5">
        <v>0</v>
      </c>
      <c r="K81" s="5">
        <v>42.247</v>
      </c>
      <c r="L81" s="5">
        <v>47.298000000000002</v>
      </c>
      <c r="M81" s="5">
        <v>39.761000000000003</v>
      </c>
      <c r="N81" s="5">
        <v>49.19</v>
      </c>
      <c r="O81" s="5">
        <v>41.015000000000001</v>
      </c>
      <c r="P81" s="5">
        <v>39.994999999999997</v>
      </c>
      <c r="Q81" s="5">
        <v>37.396999999999998</v>
      </c>
      <c r="R81" s="5">
        <v>45.326999999999998</v>
      </c>
      <c r="S81" s="5">
        <v>35.898000000000003</v>
      </c>
      <c r="T81" s="5">
        <v>45.386000000000003</v>
      </c>
      <c r="U81" s="5">
        <v>38.015000000000001</v>
      </c>
      <c r="V81" s="5">
        <v>60.183999999999997</v>
      </c>
      <c r="W81" s="5">
        <v>40.619999999999997</v>
      </c>
      <c r="X81" s="5">
        <v>0</v>
      </c>
      <c r="Y81" s="5">
        <v>54.843000000000004</v>
      </c>
      <c r="Z81" s="5">
        <v>0</v>
      </c>
      <c r="AA81" s="5">
        <v>25.759</v>
      </c>
      <c r="AB81" s="5">
        <v>42.872999999999998</v>
      </c>
      <c r="AC81" s="5">
        <v>59.003999999999998</v>
      </c>
      <c r="AD81" s="5">
        <v>0</v>
      </c>
      <c r="AE81" s="459" t="s">
        <v>587</v>
      </c>
      <c r="AG81" s="459"/>
    </row>
    <row r="82" spans="2:33">
      <c r="B82" s="459" t="str">
        <f t="shared" si="9"/>
        <v>TBUS_ICE_DST_00</v>
      </c>
      <c r="C82" s="459" t="s">
        <v>854</v>
      </c>
      <c r="D82" s="5">
        <v>36.094999999999999</v>
      </c>
      <c r="E82" s="5">
        <v>29.084</v>
      </c>
      <c r="F82" s="5">
        <v>42.320999999999998</v>
      </c>
      <c r="G82" s="5">
        <v>33.158999999999999</v>
      </c>
      <c r="H82" s="5">
        <v>36.375999999999998</v>
      </c>
      <c r="I82" s="5">
        <v>27.684999999999999</v>
      </c>
      <c r="J82" s="5">
        <v>29.504999999999999</v>
      </c>
      <c r="K82" s="5">
        <v>36.526000000000003</v>
      </c>
      <c r="L82" s="5">
        <v>29.387</v>
      </c>
      <c r="M82" s="5">
        <v>31.809000000000001</v>
      </c>
      <c r="N82" s="5">
        <v>32.343000000000004</v>
      </c>
      <c r="O82" s="5">
        <v>33.917999999999999</v>
      </c>
      <c r="P82" s="5">
        <v>35.256999999999998</v>
      </c>
      <c r="Q82" s="5">
        <v>30.913</v>
      </c>
      <c r="R82" s="5">
        <v>32.386000000000003</v>
      </c>
      <c r="S82" s="5">
        <v>35.008000000000003</v>
      </c>
      <c r="T82" s="5">
        <v>34.691000000000003</v>
      </c>
      <c r="U82" s="5">
        <v>32.432000000000002</v>
      </c>
      <c r="V82" s="5">
        <v>31.053999999999998</v>
      </c>
      <c r="W82" s="5">
        <v>35.097999999999999</v>
      </c>
      <c r="X82" s="5">
        <v>22.18</v>
      </c>
      <c r="Y82" s="5">
        <v>37.491999999999997</v>
      </c>
      <c r="Z82" s="5">
        <v>31.65</v>
      </c>
      <c r="AA82" s="5">
        <v>34.908000000000001</v>
      </c>
      <c r="AB82" s="5">
        <v>39.076999999999998</v>
      </c>
      <c r="AC82" s="5">
        <v>32.835999999999999</v>
      </c>
      <c r="AD82" s="5">
        <v>45.258000000000003</v>
      </c>
      <c r="AE82" s="459" t="s">
        <v>624</v>
      </c>
      <c r="AG82" s="459"/>
    </row>
    <row r="83" spans="2:33">
      <c r="B83" s="459" t="str">
        <f t="shared" si="9"/>
        <v>TLRAIL_ELC_00</v>
      </c>
      <c r="C83" s="459" t="s">
        <v>854</v>
      </c>
      <c r="D83" s="723">
        <v>55.691000000000003</v>
      </c>
      <c r="E83" s="5">
        <f>D83</f>
        <v>55.691000000000003</v>
      </c>
      <c r="F83" s="5">
        <f t="shared" ref="F83:F85" si="15">E83</f>
        <v>55.691000000000003</v>
      </c>
      <c r="G83" s="5">
        <f t="shared" ref="G83:G85" si="16">F83</f>
        <v>55.691000000000003</v>
      </c>
      <c r="H83" s="5">
        <f t="shared" ref="H83:H85" si="17">G83</f>
        <v>55.691000000000003</v>
      </c>
      <c r="I83" s="5">
        <f t="shared" ref="I83:I85" si="18">H83</f>
        <v>55.691000000000003</v>
      </c>
      <c r="J83" s="5">
        <f t="shared" ref="J83:J85" si="19">I83</f>
        <v>55.691000000000003</v>
      </c>
      <c r="K83" s="5">
        <f t="shared" ref="K83:K85" si="20">J83</f>
        <v>55.691000000000003</v>
      </c>
      <c r="L83" s="5">
        <f t="shared" ref="L83:L85" si="21">K83</f>
        <v>55.691000000000003</v>
      </c>
      <c r="M83" s="5">
        <f t="shared" ref="M83:M85" si="22">L83</f>
        <v>55.691000000000003</v>
      </c>
      <c r="N83" s="5">
        <f t="shared" ref="N83:N85" si="23">M83</f>
        <v>55.691000000000003</v>
      </c>
      <c r="O83" s="5">
        <f t="shared" ref="O83:O85" si="24">N83</f>
        <v>55.691000000000003</v>
      </c>
      <c r="P83" s="5">
        <f t="shared" ref="P83:P85" si="25">O83</f>
        <v>55.691000000000003</v>
      </c>
      <c r="Q83" s="5">
        <f t="shared" ref="Q83:Q85" si="26">P83</f>
        <v>55.691000000000003</v>
      </c>
      <c r="R83" s="5">
        <f t="shared" ref="R83:R85" si="27">Q83</f>
        <v>55.691000000000003</v>
      </c>
      <c r="S83" s="5">
        <f t="shared" ref="S83:S85" si="28">R83</f>
        <v>55.691000000000003</v>
      </c>
      <c r="T83" s="5">
        <f t="shared" ref="T83:T85" si="29">S83</f>
        <v>55.691000000000003</v>
      </c>
      <c r="U83" s="5">
        <f t="shared" ref="U83:U85" si="30">T83</f>
        <v>55.691000000000003</v>
      </c>
      <c r="V83" s="5">
        <f t="shared" ref="V83:V85" si="31">U83</f>
        <v>55.691000000000003</v>
      </c>
      <c r="W83" s="5">
        <f t="shared" ref="W83:W85" si="32">V83</f>
        <v>55.691000000000003</v>
      </c>
      <c r="X83" s="5">
        <f t="shared" ref="X83:X85" si="33">W83</f>
        <v>55.691000000000003</v>
      </c>
      <c r="Y83" s="5">
        <f t="shared" ref="Y83:Y85" si="34">X83</f>
        <v>55.691000000000003</v>
      </c>
      <c r="Z83" s="5">
        <f t="shared" ref="Z83:Z85" si="35">Y83</f>
        <v>55.691000000000003</v>
      </c>
      <c r="AA83" s="5">
        <f t="shared" ref="AA83:AA85" si="36">Z83</f>
        <v>55.691000000000003</v>
      </c>
      <c r="AB83" s="5">
        <f t="shared" ref="AB83:AB85" si="37">AA83</f>
        <v>55.691000000000003</v>
      </c>
      <c r="AC83" s="5">
        <f t="shared" ref="AC83:AC85" si="38">AB83</f>
        <v>55.691000000000003</v>
      </c>
      <c r="AD83" s="5">
        <f t="shared" ref="AD83:AD85" si="39">AC83</f>
        <v>55.691000000000003</v>
      </c>
      <c r="AE83" s="461" t="s">
        <v>642</v>
      </c>
      <c r="AG83" s="459"/>
    </row>
    <row r="84" spans="2:33">
      <c r="B84" s="459" t="str">
        <f t="shared" si="9"/>
        <v>THRAIL_ELC_00</v>
      </c>
      <c r="C84" s="459" t="s">
        <v>854</v>
      </c>
      <c r="D84" s="723">
        <v>158.476</v>
      </c>
      <c r="E84" s="5">
        <f t="shared" ref="E84:E85" si="40">D84</f>
        <v>158.476</v>
      </c>
      <c r="F84" s="5">
        <f t="shared" si="15"/>
        <v>158.476</v>
      </c>
      <c r="G84" s="5">
        <f t="shared" si="16"/>
        <v>158.476</v>
      </c>
      <c r="H84" s="5">
        <f t="shared" si="17"/>
        <v>158.476</v>
      </c>
      <c r="I84" s="5">
        <f t="shared" si="18"/>
        <v>158.476</v>
      </c>
      <c r="J84" s="5">
        <f t="shared" si="19"/>
        <v>158.476</v>
      </c>
      <c r="K84" s="5">
        <f t="shared" si="20"/>
        <v>158.476</v>
      </c>
      <c r="L84" s="5">
        <f t="shared" si="21"/>
        <v>158.476</v>
      </c>
      <c r="M84" s="5">
        <f t="shared" si="22"/>
        <v>158.476</v>
      </c>
      <c r="N84" s="5">
        <f t="shared" si="23"/>
        <v>158.476</v>
      </c>
      <c r="O84" s="5">
        <f t="shared" si="24"/>
        <v>158.476</v>
      </c>
      <c r="P84" s="5">
        <f t="shared" si="25"/>
        <v>158.476</v>
      </c>
      <c r="Q84" s="5">
        <f t="shared" si="26"/>
        <v>158.476</v>
      </c>
      <c r="R84" s="5">
        <f t="shared" si="27"/>
        <v>158.476</v>
      </c>
      <c r="S84" s="5">
        <f t="shared" si="28"/>
        <v>158.476</v>
      </c>
      <c r="T84" s="5">
        <f t="shared" si="29"/>
        <v>158.476</v>
      </c>
      <c r="U84" s="5">
        <f t="shared" si="30"/>
        <v>158.476</v>
      </c>
      <c r="V84" s="5">
        <f t="shared" si="31"/>
        <v>158.476</v>
      </c>
      <c r="W84" s="5">
        <f t="shared" si="32"/>
        <v>158.476</v>
      </c>
      <c r="X84" s="5">
        <f t="shared" si="33"/>
        <v>158.476</v>
      </c>
      <c r="Y84" s="5">
        <f t="shared" si="34"/>
        <v>158.476</v>
      </c>
      <c r="Z84" s="5">
        <f t="shared" si="35"/>
        <v>158.476</v>
      </c>
      <c r="AA84" s="5">
        <f t="shared" si="36"/>
        <v>158.476</v>
      </c>
      <c r="AB84" s="5">
        <f t="shared" si="37"/>
        <v>158.476</v>
      </c>
      <c r="AC84" s="5">
        <f t="shared" si="38"/>
        <v>158.476</v>
      </c>
      <c r="AD84" s="5">
        <f t="shared" si="39"/>
        <v>158.476</v>
      </c>
      <c r="AE84" s="461" t="s">
        <v>642</v>
      </c>
      <c r="AG84" s="459"/>
    </row>
    <row r="85" spans="2:33">
      <c r="B85" s="459" t="str">
        <f t="shared" si="9"/>
        <v>THRAIL_DST_00</v>
      </c>
      <c r="C85" s="459" t="s">
        <v>854</v>
      </c>
      <c r="D85" s="723">
        <v>73.884</v>
      </c>
      <c r="E85" s="5">
        <f t="shared" si="40"/>
        <v>73.884</v>
      </c>
      <c r="F85" s="5">
        <f t="shared" si="15"/>
        <v>73.884</v>
      </c>
      <c r="G85" s="5">
        <f t="shared" si="16"/>
        <v>73.884</v>
      </c>
      <c r="H85" s="5">
        <f t="shared" si="17"/>
        <v>73.884</v>
      </c>
      <c r="I85" s="5">
        <f t="shared" si="18"/>
        <v>73.884</v>
      </c>
      <c r="J85" s="5">
        <f t="shared" si="19"/>
        <v>73.884</v>
      </c>
      <c r="K85" s="5">
        <f t="shared" si="20"/>
        <v>73.884</v>
      </c>
      <c r="L85" s="5">
        <f t="shared" si="21"/>
        <v>73.884</v>
      </c>
      <c r="M85" s="5">
        <f t="shared" si="22"/>
        <v>73.884</v>
      </c>
      <c r="N85" s="5">
        <f t="shared" si="23"/>
        <v>73.884</v>
      </c>
      <c r="O85" s="5">
        <f t="shared" si="24"/>
        <v>73.884</v>
      </c>
      <c r="P85" s="5">
        <f t="shared" si="25"/>
        <v>73.884</v>
      </c>
      <c r="Q85" s="5">
        <f t="shared" si="26"/>
        <v>73.884</v>
      </c>
      <c r="R85" s="5">
        <f t="shared" si="27"/>
        <v>73.884</v>
      </c>
      <c r="S85" s="5">
        <f t="shared" si="28"/>
        <v>73.884</v>
      </c>
      <c r="T85" s="5">
        <f t="shared" si="29"/>
        <v>73.884</v>
      </c>
      <c r="U85" s="5">
        <f t="shared" si="30"/>
        <v>73.884</v>
      </c>
      <c r="V85" s="5">
        <f t="shared" si="31"/>
        <v>73.884</v>
      </c>
      <c r="W85" s="5">
        <f t="shared" si="32"/>
        <v>73.884</v>
      </c>
      <c r="X85" s="5">
        <f t="shared" si="33"/>
        <v>73.884</v>
      </c>
      <c r="Y85" s="5">
        <f t="shared" si="34"/>
        <v>73.884</v>
      </c>
      <c r="Z85" s="5">
        <f t="shared" si="35"/>
        <v>73.884</v>
      </c>
      <c r="AA85" s="5">
        <f t="shared" si="36"/>
        <v>73.884</v>
      </c>
      <c r="AB85" s="5">
        <f t="shared" si="37"/>
        <v>73.884</v>
      </c>
      <c r="AC85" s="5">
        <f t="shared" si="38"/>
        <v>73.884</v>
      </c>
      <c r="AD85" s="5">
        <f t="shared" si="39"/>
        <v>73.884</v>
      </c>
      <c r="AE85" s="461" t="s">
        <v>642</v>
      </c>
      <c r="AG85" s="459"/>
    </row>
    <row r="86" spans="2:33">
      <c r="B86" s="459" t="str">
        <f t="shared" si="9"/>
        <v>TFGV_GSL_00</v>
      </c>
      <c r="C86" s="459" t="s">
        <v>854</v>
      </c>
      <c r="D86" s="723">
        <v>16.637</v>
      </c>
      <c r="E86" s="5">
        <v>18.2</v>
      </c>
      <c r="F86" s="5">
        <v>17.184999999999999</v>
      </c>
      <c r="G86" s="5">
        <v>18.103999999999999</v>
      </c>
      <c r="H86" s="5">
        <v>13.529</v>
      </c>
      <c r="I86" s="5">
        <v>14.763999999999999</v>
      </c>
      <c r="J86" s="5">
        <v>16.236000000000001</v>
      </c>
      <c r="K86" s="5">
        <v>20.882999999999999</v>
      </c>
      <c r="L86" s="5">
        <v>16.834</v>
      </c>
      <c r="M86" s="5">
        <v>18.277000000000001</v>
      </c>
      <c r="N86" s="5">
        <v>17.556999999999999</v>
      </c>
      <c r="O86" s="5">
        <v>18.234000000000002</v>
      </c>
      <c r="P86" s="5">
        <v>13.991</v>
      </c>
      <c r="Q86" s="5">
        <v>16.218</v>
      </c>
      <c r="R86" s="5">
        <v>15.417999999999999</v>
      </c>
      <c r="S86" s="5">
        <v>16.893000000000001</v>
      </c>
      <c r="T86" s="5">
        <v>21.984999999999999</v>
      </c>
      <c r="U86" s="5">
        <v>17.042999999999999</v>
      </c>
      <c r="V86" s="5">
        <v>15.646000000000001</v>
      </c>
      <c r="W86" s="5">
        <v>15.837999999999999</v>
      </c>
      <c r="X86" s="5">
        <v>17.187999999999999</v>
      </c>
      <c r="Y86" s="5">
        <v>15.44</v>
      </c>
      <c r="Z86" s="5">
        <v>19.148</v>
      </c>
      <c r="AA86" s="5">
        <v>17.276</v>
      </c>
      <c r="AB86" s="5">
        <v>15.121</v>
      </c>
      <c r="AC86" s="5">
        <v>16.215</v>
      </c>
      <c r="AD86" s="5">
        <v>18.088000000000001</v>
      </c>
      <c r="AE86" s="459" t="s">
        <v>624</v>
      </c>
      <c r="AG86" s="459"/>
    </row>
    <row r="87" spans="2:33">
      <c r="B87" s="459" t="str">
        <f t="shared" si="9"/>
        <v>TFGV_DST_00</v>
      </c>
      <c r="C87" s="459" t="s">
        <v>854</v>
      </c>
      <c r="D87" s="724">
        <v>22.277000000000001</v>
      </c>
      <c r="E87" s="557">
        <v>22.292000000000002</v>
      </c>
      <c r="F87" s="557">
        <v>23.773</v>
      </c>
      <c r="G87" s="557">
        <v>23.483000000000001</v>
      </c>
      <c r="H87" s="557">
        <v>23.015000000000001</v>
      </c>
      <c r="I87" s="557">
        <v>23.285</v>
      </c>
      <c r="J87" s="557">
        <v>22.283999999999999</v>
      </c>
      <c r="K87" s="557">
        <v>23.105</v>
      </c>
      <c r="L87" s="557">
        <v>24.164000000000001</v>
      </c>
      <c r="M87" s="557">
        <v>21.367999999999999</v>
      </c>
      <c r="N87" s="557">
        <v>21.434999999999999</v>
      </c>
      <c r="O87" s="557">
        <v>23.907</v>
      </c>
      <c r="P87" s="557">
        <v>21.22</v>
      </c>
      <c r="Q87" s="557">
        <v>20.978000000000002</v>
      </c>
      <c r="R87" s="557">
        <v>21.184999999999999</v>
      </c>
      <c r="S87" s="557">
        <v>20.532</v>
      </c>
      <c r="T87" s="557">
        <v>23.594000000000001</v>
      </c>
      <c r="U87" s="557">
        <v>21.67</v>
      </c>
      <c r="V87" s="557">
        <v>19.98</v>
      </c>
      <c r="W87" s="557">
        <v>21.087</v>
      </c>
      <c r="X87" s="557">
        <v>20.648</v>
      </c>
      <c r="Y87" s="557">
        <v>20.27</v>
      </c>
      <c r="Z87" s="557">
        <v>21.571000000000002</v>
      </c>
      <c r="AA87" s="557">
        <v>20.076000000000001</v>
      </c>
      <c r="AB87" s="557">
        <v>22.175999999999998</v>
      </c>
      <c r="AC87" s="557">
        <v>19.757999999999999</v>
      </c>
      <c r="AD87" s="557">
        <v>25.042999999999999</v>
      </c>
      <c r="AE87" s="459" t="s">
        <v>624</v>
      </c>
      <c r="AG87" s="459"/>
    </row>
    <row r="88" spans="2:33">
      <c r="B88" s="458" t="str">
        <f t="shared" si="9"/>
        <v>TFRAIL_DST_00</v>
      </c>
      <c r="C88" s="458" t="s">
        <v>854</v>
      </c>
      <c r="D88" s="725">
        <v>39.363999999999997</v>
      </c>
      <c r="E88" s="602">
        <f>D88</f>
        <v>39.363999999999997</v>
      </c>
      <c r="F88" s="602">
        <f t="shared" ref="F88" si="41">E88</f>
        <v>39.363999999999997</v>
      </c>
      <c r="G88" s="602">
        <f t="shared" ref="G88" si="42">F88</f>
        <v>39.363999999999997</v>
      </c>
      <c r="H88" s="602">
        <f t="shared" ref="H88" si="43">G88</f>
        <v>39.363999999999997</v>
      </c>
      <c r="I88" s="602">
        <f t="shared" ref="I88" si="44">H88</f>
        <v>39.363999999999997</v>
      </c>
      <c r="J88" s="602">
        <f t="shared" ref="J88" si="45">I88</f>
        <v>39.363999999999997</v>
      </c>
      <c r="K88" s="602">
        <f t="shared" ref="K88" si="46">J88</f>
        <v>39.363999999999997</v>
      </c>
      <c r="L88" s="602">
        <f t="shared" ref="L88" si="47">K88</f>
        <v>39.363999999999997</v>
      </c>
      <c r="M88" s="602">
        <f t="shared" ref="M88" si="48">L88</f>
        <v>39.363999999999997</v>
      </c>
      <c r="N88" s="602">
        <f t="shared" ref="N88" si="49">M88</f>
        <v>39.363999999999997</v>
      </c>
      <c r="O88" s="602">
        <f t="shared" ref="O88" si="50">N88</f>
        <v>39.363999999999997</v>
      </c>
      <c r="P88" s="602">
        <f t="shared" ref="P88" si="51">O88</f>
        <v>39.363999999999997</v>
      </c>
      <c r="Q88" s="602">
        <f t="shared" ref="Q88" si="52">P88</f>
        <v>39.363999999999997</v>
      </c>
      <c r="R88" s="602">
        <f t="shared" ref="R88" si="53">Q88</f>
        <v>39.363999999999997</v>
      </c>
      <c r="S88" s="602">
        <f t="shared" ref="S88" si="54">R88</f>
        <v>39.363999999999997</v>
      </c>
      <c r="T88" s="602">
        <f t="shared" ref="T88" si="55">S88</f>
        <v>39.363999999999997</v>
      </c>
      <c r="U88" s="602">
        <f t="shared" ref="U88" si="56">T88</f>
        <v>39.363999999999997</v>
      </c>
      <c r="V88" s="602">
        <f t="shared" ref="V88" si="57">U88</f>
        <v>39.363999999999997</v>
      </c>
      <c r="W88" s="602">
        <f t="shared" ref="W88" si="58">V88</f>
        <v>39.363999999999997</v>
      </c>
      <c r="X88" s="602">
        <f t="shared" ref="X88" si="59">W88</f>
        <v>39.363999999999997</v>
      </c>
      <c r="Y88" s="602">
        <f t="shared" ref="Y88" si="60">X88</f>
        <v>39.363999999999997</v>
      </c>
      <c r="Z88" s="602">
        <f t="shared" ref="Z88" si="61">Y88</f>
        <v>39.363999999999997</v>
      </c>
      <c r="AA88" s="602">
        <f t="shared" ref="AA88" si="62">Z88</f>
        <v>39.363999999999997</v>
      </c>
      <c r="AB88" s="602">
        <f t="shared" ref="AB88" si="63">AA88</f>
        <v>39.363999999999997</v>
      </c>
      <c r="AC88" s="602">
        <f t="shared" ref="AC88" si="64">AB88</f>
        <v>39.363999999999997</v>
      </c>
      <c r="AD88" s="602">
        <f t="shared" ref="AD88" si="65">AC88</f>
        <v>39.363999999999997</v>
      </c>
      <c r="AE88" s="459"/>
      <c r="AG88" s="459"/>
    </row>
    <row r="96" spans="2:33" ht="18">
      <c r="B96" s="650" t="s">
        <v>918</v>
      </c>
    </row>
    <row r="97" spans="2:30" ht="15" thickBot="1">
      <c r="B97" s="41" t="s">
        <v>70</v>
      </c>
      <c r="C97" s="41" t="s">
        <v>96</v>
      </c>
      <c r="D97" s="460" t="str">
        <f t="shared" ref="D97:AD97" si="66">D3</f>
        <v>IE</v>
      </c>
      <c r="E97" s="460" t="str">
        <f t="shared" si="66"/>
        <v>IE-CW</v>
      </c>
      <c r="F97" s="460" t="str">
        <f t="shared" si="66"/>
        <v>IE-D</v>
      </c>
      <c r="G97" s="460" t="str">
        <f t="shared" si="66"/>
        <v>IE-KE</v>
      </c>
      <c r="H97" s="460" t="str">
        <f t="shared" si="66"/>
        <v>IE-KK</v>
      </c>
      <c r="I97" s="460" t="str">
        <f t="shared" si="66"/>
        <v>IE-LS</v>
      </c>
      <c r="J97" s="460" t="str">
        <f t="shared" si="66"/>
        <v>IE-LD</v>
      </c>
      <c r="K97" s="460" t="str">
        <f t="shared" si="66"/>
        <v>IE-LH</v>
      </c>
      <c r="L97" s="460" t="str">
        <f t="shared" si="66"/>
        <v>IE-MH</v>
      </c>
      <c r="M97" s="460" t="str">
        <f t="shared" si="66"/>
        <v>IE-OY</v>
      </c>
      <c r="N97" s="460" t="str">
        <f t="shared" si="66"/>
        <v>IE-WH</v>
      </c>
      <c r="O97" s="460" t="str">
        <f t="shared" si="66"/>
        <v>IE-WX</v>
      </c>
      <c r="P97" s="460" t="str">
        <f t="shared" si="66"/>
        <v>IE-WW</v>
      </c>
      <c r="Q97" s="460" t="str">
        <f t="shared" si="66"/>
        <v>IE-CE</v>
      </c>
      <c r="R97" s="460" t="str">
        <f t="shared" si="66"/>
        <v>IE-CO</v>
      </c>
      <c r="S97" s="460" t="str">
        <f t="shared" si="66"/>
        <v>IE-KY</v>
      </c>
      <c r="T97" s="460" t="str">
        <f t="shared" si="66"/>
        <v>IE-LK</v>
      </c>
      <c r="U97" s="460" t="str">
        <f t="shared" si="66"/>
        <v>IE-TA</v>
      </c>
      <c r="V97" s="460" t="str">
        <f t="shared" si="66"/>
        <v>IE-WD</v>
      </c>
      <c r="W97" s="460" t="str">
        <f t="shared" si="66"/>
        <v>IE-G</v>
      </c>
      <c r="X97" s="460" t="str">
        <f t="shared" si="66"/>
        <v>IE-LM</v>
      </c>
      <c r="Y97" s="460" t="str">
        <f t="shared" si="66"/>
        <v>IE-MO</v>
      </c>
      <c r="Z97" s="460" t="str">
        <f t="shared" si="66"/>
        <v>IE-RN</v>
      </c>
      <c r="AA97" s="460" t="str">
        <f t="shared" si="66"/>
        <v>IE-SO</v>
      </c>
      <c r="AB97" s="460" t="str">
        <f t="shared" si="66"/>
        <v>IE-CN</v>
      </c>
      <c r="AC97" s="460" t="str">
        <f t="shared" si="66"/>
        <v>IE-DL</v>
      </c>
      <c r="AD97" s="460" t="str">
        <f t="shared" si="66"/>
        <v>IE-MN</v>
      </c>
    </row>
    <row r="98" spans="2:30">
      <c r="B98" s="459" t="str">
        <f>B6</f>
        <v>TMOT_GSL_00</v>
      </c>
      <c r="C98" s="459" t="s">
        <v>919</v>
      </c>
      <c r="D98" s="10">
        <f>Stock!E50*AF!D69*ACT2FLO!D10*AF!D37</f>
        <v>0.1197193932</v>
      </c>
      <c r="E98" s="10">
        <f>Stock!F50*AF!E69*ACT2FLO!E10*AF!E37</f>
        <v>1.6330940999999999E-3</v>
      </c>
      <c r="F98" s="10">
        <f>Stock!G50*AF!F69*ACT2FLO!F10*AF!F37</f>
        <v>3.8829524800000001E-2</v>
      </c>
      <c r="G98" s="10">
        <f>Stock!H50*AF!G69*ACT2FLO!G10*AF!G37</f>
        <v>6.505734400000001E-3</v>
      </c>
      <c r="H98" s="10">
        <f>Stock!I50*AF!H69*ACT2FLO!H10*AF!H37</f>
        <v>2.5437984E-3</v>
      </c>
      <c r="I98" s="10">
        <f>Stock!J50*AF!I69*ACT2FLO!I10*AF!I37</f>
        <v>1.5292530000000002E-3</v>
      </c>
      <c r="J98" s="10">
        <f>Stock!K50*AF!J69*ACT2FLO!J10*AF!J37</f>
        <v>6.2534670000000006E-4</v>
      </c>
      <c r="K98" s="10">
        <f>Stock!L50*AF!K69*ACT2FLO!K10*AF!K37</f>
        <v>2.5938990000000002E-3</v>
      </c>
      <c r="L98" s="10">
        <f>Stock!M50*AF!L69*ACT2FLO!L10*AF!L37</f>
        <v>5.0422328000000001E-3</v>
      </c>
      <c r="M98" s="10">
        <f>Stock!N50*AF!M69*ACT2FLO!M10*AF!M37</f>
        <v>1.9545504000000003E-3</v>
      </c>
      <c r="N98" s="10">
        <f>Stock!O50*AF!N69*ACT2FLO!N10*AF!N37</f>
        <v>1.7978664000000001E-3</v>
      </c>
      <c r="O98" s="10">
        <f>Stock!P50*AF!O69*ACT2FLO!O10*AF!O37</f>
        <v>4.4015862000000008E-3</v>
      </c>
      <c r="P98" s="10">
        <f>Stock!Q50*AF!P69*ACT2FLO!P10*AF!P37</f>
        <v>4.6495680000000015E-3</v>
      </c>
      <c r="Q98" s="10">
        <f>Stock!R50*AF!Q69*ACT2FLO!Q10*AF!Q37</f>
        <v>2.7707064000000005E-3</v>
      </c>
      <c r="R98" s="10">
        <f>Stock!S50*AF!R69*ACT2FLO!R10*AF!R37</f>
        <v>1.6120473600000004E-2</v>
      </c>
      <c r="S98" s="10">
        <f>Stock!T50*AF!S69*ACT2FLO!S10*AF!S37</f>
        <v>3.1307760000000005E-3</v>
      </c>
      <c r="T98" s="10">
        <f>Stock!U50*AF!T69*ACT2FLO!T10*AF!T37</f>
        <v>4.4223300000000012E-3</v>
      </c>
      <c r="U98" s="10">
        <f>Stock!V50*AF!U69*ACT2FLO!U10*AF!U37</f>
        <v>4.1843208000000003E-3</v>
      </c>
      <c r="V98" s="10">
        <f>Stock!W50*AF!V69*ACT2FLO!V10*AF!V37</f>
        <v>3.7662504000000002E-3</v>
      </c>
      <c r="W98" s="10">
        <f>Stock!X50*AF!W69*ACT2FLO!W10*AF!W37</f>
        <v>4.3318638000000003E-3</v>
      </c>
      <c r="X98" s="10">
        <f>Stock!Y50*AF!X69*ACT2FLO!X10*AF!X37</f>
        <v>4.7960000000000006E-4</v>
      </c>
      <c r="Y98" s="10">
        <f>Stock!Z50*AF!Y69*ACT2FLO!Y10*AF!Y37</f>
        <v>1.8088290000000003E-3</v>
      </c>
      <c r="Z98" s="10">
        <f>Stock!AA50*AF!Z69*ACT2FLO!Z10*AF!Z37</f>
        <v>8.8556050000000014E-4</v>
      </c>
      <c r="AA98" s="10">
        <f>Stock!AB50*AF!AA69*ACT2FLO!AA10*AF!AA37</f>
        <v>1.1651200000000002E-3</v>
      </c>
      <c r="AB98" s="10">
        <f>Stock!AC50*AF!AB69*ACT2FLO!AB10*AF!AB37</f>
        <v>1.3359808000000001E-3</v>
      </c>
      <c r="AC98" s="10">
        <f>Stock!AD50*AF!AC69*ACT2FLO!AC10*AF!AC37</f>
        <v>2.2612128000000006E-3</v>
      </c>
      <c r="AD98" s="10">
        <f>Stock!AE50*AF!AD69*ACT2FLO!AD10*AF!AD37</f>
        <v>9.2045800000000008E-4</v>
      </c>
    </row>
    <row r="99" spans="2:30">
      <c r="B99" s="459" t="str">
        <f t="shared" ref="B99:B117" si="67">B7</f>
        <v>TCAR_ICE_GSL_00</v>
      </c>
      <c r="C99" s="459" t="s">
        <v>919</v>
      </c>
      <c r="D99" s="10">
        <f>Stock!E52*AF!D70*ACT2FLO!D11*AF!D38</f>
        <v>18.106909533018577</v>
      </c>
      <c r="E99" s="10">
        <f>Stock!F52*AF!E70*ACT2FLO!E11*AF!E38</f>
        <v>0.2180668061497526</v>
      </c>
      <c r="F99" s="10">
        <f>Stock!G52*AF!F70*ACT2FLO!F11*AF!F38</f>
        <v>4.9233031702123737</v>
      </c>
      <c r="G99" s="10">
        <f>Stock!H52*AF!G70*ACT2FLO!G11*AF!G38</f>
        <v>0.89867525711270679</v>
      </c>
      <c r="H99" s="10">
        <f>Stock!I52*AF!H70*ACT2FLO!H11*AF!H38</f>
        <v>0.35621826432787701</v>
      </c>
      <c r="I99" s="10">
        <f>Stock!J52*AF!I70*ACT2FLO!I11*AF!I38</f>
        <v>0.26035967063828375</v>
      </c>
      <c r="J99" s="10">
        <f>Stock!K52*AF!J70*ACT2FLO!J11*AF!J38</f>
        <v>0.12142540026648706</v>
      </c>
      <c r="K99" s="10">
        <f>Stock!L52*AF!K70*ACT2FLO!K11*AF!K38</f>
        <v>0.40758491177739253</v>
      </c>
      <c r="L99" s="10">
        <f>Stock!M52*AF!L70*ACT2FLO!L11*AF!L38</f>
        <v>0.71169733840297489</v>
      </c>
      <c r="M99" s="10">
        <f>Stock!N52*AF!M70*ACT2FLO!M11*AF!M38</f>
        <v>0.25829816876126876</v>
      </c>
      <c r="N99" s="10">
        <f>Stock!O52*AF!N70*ACT2FLO!N11*AF!N38</f>
        <v>0.2991226507134559</v>
      </c>
      <c r="O99" s="10">
        <f>Stock!P52*AF!O70*ACT2FLO!O11*AF!O38</f>
        <v>0.60802543695906919</v>
      </c>
      <c r="P99" s="10">
        <f>Stock!Q52*AF!P70*ACT2FLO!P11*AF!P38</f>
        <v>0.65724766249917688</v>
      </c>
      <c r="Q99" s="10">
        <f>Stock!R52*AF!Q70*ACT2FLO!Q11*AF!Q38</f>
        <v>0.50957748114378698</v>
      </c>
      <c r="R99" s="10">
        <f>Stock!S52*AF!R70*ACT2FLO!R11*AF!R38</f>
        <v>2.3638367240963061</v>
      </c>
      <c r="S99" s="10">
        <f>Stock!T52*AF!S70*ACT2FLO!S11*AF!S38</f>
        <v>0.65770096693205482</v>
      </c>
      <c r="T99" s="10">
        <f>Stock!U52*AF!T70*ACT2FLO!T11*AF!T38</f>
        <v>0.8065904350240175</v>
      </c>
      <c r="U99" s="10">
        <f>Stock!V52*AF!U70*ACT2FLO!U11*AF!U38</f>
        <v>0.65539351143153579</v>
      </c>
      <c r="V99" s="10">
        <f>Stock!W52*AF!V70*ACT2FLO!V11*AF!V38</f>
        <v>0.5322909619003956</v>
      </c>
      <c r="W99" s="10">
        <f>Stock!X52*AF!W70*ACT2FLO!W11*AF!W38</f>
        <v>0.92681031385224144</v>
      </c>
      <c r="X99" s="10">
        <f>Stock!Y52*AF!X70*ACT2FLO!X11*AF!X38</f>
        <v>0.10794145802976565</v>
      </c>
      <c r="Y99" s="10">
        <f>Stock!Z52*AF!Y70*ACT2FLO!Y11*AF!Y38</f>
        <v>0.46754381486504826</v>
      </c>
      <c r="Z99" s="10">
        <f>Stock!AA52*AF!Z70*ACT2FLO!Z11*AF!Z38</f>
        <v>0.27464659706446604</v>
      </c>
      <c r="AA99" s="10">
        <f>Stock!AB52*AF!AA70*ACT2FLO!AA11*AF!AA38</f>
        <v>0.23557582545621453</v>
      </c>
      <c r="AB99" s="10">
        <f>Stock!AC52*AF!AB70*ACT2FLO!AB11*AF!AB38</f>
        <v>0.22418342078047424</v>
      </c>
      <c r="AC99" s="10">
        <f>Stock!AD52*AF!AC70*ACT2FLO!AC11*AF!AC38</f>
        <v>0.46374261412430856</v>
      </c>
      <c r="AD99" s="10">
        <f>Stock!AE52*AF!AD70*ACT2FLO!AD11*AF!AD38</f>
        <v>0.1614070747496574</v>
      </c>
    </row>
    <row r="100" spans="2:30">
      <c r="B100" s="459" t="str">
        <f t="shared" si="67"/>
        <v>TCAR_ICE_DST_00</v>
      </c>
      <c r="C100" s="459" t="s">
        <v>919</v>
      </c>
      <c r="D100" s="10">
        <f>Stock!E53*AF!D71*ACT2FLO!D12*AF!D39</f>
        <v>34.741372332081305</v>
      </c>
      <c r="E100" s="10">
        <f>Stock!F53*AF!E71*ACT2FLO!E12*AF!E39</f>
        <v>0.56367215826992334</v>
      </c>
      <c r="F100" s="10">
        <f>Stock!G53*AF!F71*ACT2FLO!F12*AF!F39</f>
        <v>6.0973032808917331</v>
      </c>
      <c r="G100" s="10">
        <f>Stock!H53*AF!G71*ACT2FLO!G12*AF!G39</f>
        <v>1.7730201152173173</v>
      </c>
      <c r="H100" s="10">
        <f>Stock!I53*AF!H71*ACT2FLO!H12*AF!H39</f>
        <v>0.86560465907990058</v>
      </c>
      <c r="I100" s="10">
        <f>Stock!J53*AF!I71*ACT2FLO!I12*AF!I39</f>
        <v>0.73387771001437219</v>
      </c>
      <c r="J100" s="10">
        <f>Stock!K53*AF!J71*ACT2FLO!J12*AF!J39</f>
        <v>0.38208656018117776</v>
      </c>
      <c r="K100" s="10">
        <f>Stock!L53*AF!K71*ACT2FLO!K12*AF!K39</f>
        <v>0.92101499942692677</v>
      </c>
      <c r="L100" s="10">
        <f>Stock!M53*AF!L71*ACT2FLO!L12*AF!L39</f>
        <v>1.6579702443091546</v>
      </c>
      <c r="M100" s="10">
        <f>Stock!N53*AF!M71*ACT2FLO!M12*AF!M39</f>
        <v>0.71686405345360538</v>
      </c>
      <c r="N100" s="10">
        <f>Stock!O53*AF!N71*ACT2FLO!N12*AF!N39</f>
        <v>0.85850336309646769</v>
      </c>
      <c r="O100" s="10">
        <f>Stock!P53*AF!O71*ACT2FLO!O12*AF!O39</f>
        <v>1.436417932136778</v>
      </c>
      <c r="P100" s="10">
        <f>Stock!Q53*AF!P71*ACT2FLO!P12*AF!P39</f>
        <v>1.0407944140734382</v>
      </c>
      <c r="Q100" s="10">
        <f>Stock!R53*AF!Q71*ACT2FLO!Q12*AF!Q39</f>
        <v>1.0705664058910511</v>
      </c>
      <c r="R100" s="10">
        <f>Stock!S53*AF!R71*ACT2FLO!R12*AF!R39</f>
        <v>3.9615302847675804</v>
      </c>
      <c r="S100" s="10">
        <f>Stock!T53*AF!S71*ACT2FLO!S12*AF!S39</f>
        <v>1.228876703300243</v>
      </c>
      <c r="T100" s="10">
        <f>Stock!U53*AF!T71*ACT2FLO!T12*AF!T39</f>
        <v>1.5260443384910798</v>
      </c>
      <c r="U100" s="10">
        <f>Stock!V53*AF!U71*ACT2FLO!U12*AF!U39</f>
        <v>1.5853264979762327</v>
      </c>
      <c r="V100" s="10">
        <f>Stock!W53*AF!V71*ACT2FLO!V12*AF!V39</f>
        <v>0.9197913097643502</v>
      </c>
      <c r="W100" s="10">
        <f>Stock!X53*AF!W71*ACT2FLO!W12*AF!W39</f>
        <v>2.116889456726248</v>
      </c>
      <c r="X100" s="10">
        <f>Stock!Y53*AF!X71*ACT2FLO!X12*AF!X39</f>
        <v>0.31427002615290101</v>
      </c>
      <c r="Y100" s="10">
        <f>Stock!Z53*AF!Y71*ACT2FLO!Y12*AF!Y39</f>
        <v>1.2155497579760115</v>
      </c>
      <c r="Z100" s="10">
        <f>Stock!AA53*AF!Z71*ACT2FLO!Z12*AF!Z39</f>
        <v>0.70441238326113909</v>
      </c>
      <c r="AA100" s="10">
        <f>Stock!AB53*AF!AA71*ACT2FLO!AA12*AF!AA39</f>
        <v>0.54064340354244822</v>
      </c>
      <c r="AB100" s="10">
        <f>Stock!AC53*AF!AB71*ACT2FLO!AB12*AF!AB39</f>
        <v>0.6821766580222447</v>
      </c>
      <c r="AC100" s="10">
        <f>Stock!AD53*AF!AC71*ACT2FLO!AC12*AF!AC39</f>
        <v>1.2609269131605734</v>
      </c>
      <c r="AD100" s="10">
        <f>Stock!AE53*AF!AD71*ACT2FLO!AD12*AF!AD39</f>
        <v>0.56787787168272141</v>
      </c>
    </row>
    <row r="101" spans="2:30">
      <c r="B101" s="459" t="str">
        <f t="shared" si="67"/>
        <v>TCAR_ICE_DF_00</v>
      </c>
      <c r="C101" s="459" t="s">
        <v>919</v>
      </c>
      <c r="D101" s="10">
        <f>Stock!E54*AF!D72*ACT2FLO!D13*AF!D40</f>
        <v>1.3439263951670231E-3</v>
      </c>
      <c r="E101" s="10">
        <f>Stock!F54*AF!E72*ACT2FLO!E13*AF!E40</f>
        <v>0</v>
      </c>
      <c r="F101" s="10">
        <f>Stock!G54*AF!F72*ACT2FLO!F13*AF!F40</f>
        <v>5.3670041694669395E-4</v>
      </c>
      <c r="G101" s="10">
        <f>Stock!H54*AF!G72*ACT2FLO!G13*AF!G40</f>
        <v>2.0758356317148401E-5</v>
      </c>
      <c r="H101" s="10">
        <f>Stock!I54*AF!H72*ACT2FLO!H13*AF!H40</f>
        <v>2.1422301444808215E-5</v>
      </c>
      <c r="I101" s="10">
        <f>Stock!J54*AF!I72*ACT2FLO!I13*AF!I40</f>
        <v>0</v>
      </c>
      <c r="J101" s="10">
        <f>Stock!K54*AF!J72*ACT2FLO!J13*AF!J40</f>
        <v>4.1788258731452048E-5</v>
      </c>
      <c r="K101" s="10">
        <f>Stock!L54*AF!K72*ACT2FLO!K13*AF!K40</f>
        <v>2.0013842567255704E-5</v>
      </c>
      <c r="L101" s="10">
        <f>Stock!M54*AF!L72*ACT2FLO!L13*AF!L40</f>
        <v>4.2083677012972596E-5</v>
      </c>
      <c r="M101" s="10">
        <f>Stock!N54*AF!M72*ACT2FLO!M13*AF!M40</f>
        <v>6.4915929346856155E-5</v>
      </c>
      <c r="N101" s="10">
        <f>Stock!O54*AF!N72*ACT2FLO!N13*AF!N40</f>
        <v>2.0901589423340182E-5</v>
      </c>
      <c r="O101" s="10">
        <f>Stock!P54*AF!O72*ACT2FLO!O13*AF!O40</f>
        <v>6.3255320521945197E-5</v>
      </c>
      <c r="P101" s="10">
        <f>Stock!Q54*AF!P72*ACT2FLO!P13*AF!P40</f>
        <v>1.0380670170097029E-4</v>
      </c>
      <c r="Q101" s="10">
        <f>Stock!R54*AF!Q72*ACT2FLO!Q13*AF!Q40</f>
        <v>2.1004538218415522E-5</v>
      </c>
      <c r="R101" s="10">
        <f>Stock!S54*AF!R72*ACT2FLO!R13*AF!R40</f>
        <v>9.9629069437043359E-5</v>
      </c>
      <c r="S101" s="10">
        <f>Stock!T54*AF!S72*ACT2FLO!S13*AF!S40</f>
        <v>6.1679756353835605E-5</v>
      </c>
      <c r="T101" s="10">
        <f>Stock!U54*AF!T72*ACT2FLO!T13*AF!T40</f>
        <v>4.1543568841707758E-5</v>
      </c>
      <c r="U101" s="10">
        <f>Stock!V54*AF!U72*ACT2FLO!U13*AF!U40</f>
        <v>0</v>
      </c>
      <c r="V101" s="10">
        <f>Stock!W54*AF!V72*ACT2FLO!V13*AF!V40</f>
        <v>0</v>
      </c>
      <c r="W101" s="10">
        <f>Stock!X54*AF!W72*ACT2FLO!W13*AF!W40</f>
        <v>1.454964876719155E-4</v>
      </c>
      <c r="X101" s="10">
        <f>Stock!Y54*AF!X72*ACT2FLO!X13*AF!X40</f>
        <v>0</v>
      </c>
      <c r="Y101" s="10">
        <f>Stock!Z54*AF!Y72*ACT2FLO!Y13*AF!Y40</f>
        <v>0</v>
      </c>
      <c r="Z101" s="10">
        <f>Stock!AA54*AF!Z72*ACT2FLO!Z13*AF!Z40</f>
        <v>0</v>
      </c>
      <c r="AA101" s="10">
        <f>Stock!AB54*AF!AA72*ACT2FLO!AA13*AF!AA40</f>
        <v>0</v>
      </c>
      <c r="AB101" s="10">
        <f>Stock!AC54*AF!AB72*ACT2FLO!AB13*AF!AB40</f>
        <v>0</v>
      </c>
      <c r="AC101" s="10">
        <f>Stock!AD54*AF!AC72*ACT2FLO!AC13*AF!AC40</f>
        <v>4.2683465645150677E-5</v>
      </c>
      <c r="AD101" s="10">
        <f>Stock!AE54*AF!AD72*ACT2FLO!AD13*AF!AD40</f>
        <v>0</v>
      </c>
    </row>
    <row r="102" spans="2:30">
      <c r="B102" s="459" t="str">
        <f t="shared" si="67"/>
        <v>TCAR_ICE_E85_00</v>
      </c>
      <c r="C102" s="459" t="s">
        <v>919</v>
      </c>
      <c r="D102" s="10">
        <f>Stock!E55*AF!D73*ACT2FLO!D14*AF!D41</f>
        <v>0.17107982424447071</v>
      </c>
      <c r="E102" s="10">
        <f>Stock!F55*AF!E73*ACT2FLO!E14*AF!E41</f>
        <v>2.0603455680848078E-3</v>
      </c>
      <c r="F102" s="10">
        <f>Stock!G55*AF!F73*ACT2FLO!F14*AF!F41</f>
        <v>5.0794860889597816E-3</v>
      </c>
      <c r="G102" s="10">
        <f>Stock!H55*AF!G73*ACT2FLO!G14*AF!G41</f>
        <v>5.8330981251187002E-3</v>
      </c>
      <c r="H102" s="10">
        <f>Stock!I55*AF!H73*ACT2FLO!H14*AF!H41</f>
        <v>1.2296401029319915E-2</v>
      </c>
      <c r="I102" s="10">
        <f>Stock!J55*AF!I73*ACT2FLO!I14*AF!I41</f>
        <v>2.6985475289296981E-3</v>
      </c>
      <c r="J102" s="10">
        <f>Stock!K55*AF!J73*ACT2FLO!J14*AF!J41</f>
        <v>6.6025448795694244E-3</v>
      </c>
      <c r="K102" s="10">
        <f>Stock!L55*AF!K73*ACT2FLO!K14*AF!K41</f>
        <v>8.2056754525748393E-4</v>
      </c>
      <c r="L102" s="10">
        <f>Stock!M55*AF!L73*ACT2FLO!L14*AF!L41</f>
        <v>1.746472596038363E-3</v>
      </c>
      <c r="M102" s="10">
        <f>Stock!N55*AF!M73*ACT2FLO!M14*AF!M41</f>
        <v>1.146848085127792E-3</v>
      </c>
      <c r="N102" s="10">
        <f>Stock!O55*AF!N73*ACT2FLO!N14*AF!N41</f>
        <v>5.4344132500684468E-3</v>
      </c>
      <c r="O102" s="10">
        <f>Stock!P55*AF!O73*ACT2FLO!O14*AF!O41</f>
        <v>3.7320639107947659E-3</v>
      </c>
      <c r="P102" s="10">
        <f>Stock!Q55*AF!P73*ACT2FLO!P14*AF!P41</f>
        <v>6.5398222071611284E-3</v>
      </c>
      <c r="Q102" s="10">
        <f>Stock!R55*AF!Q73*ACT2FLO!Q14*AF!Q41</f>
        <v>4.305930334775181E-3</v>
      </c>
      <c r="R102" s="10">
        <f>Stock!S55*AF!R73*ACT2FLO!R14*AF!R41</f>
        <v>2.3153795737168879E-2</v>
      </c>
      <c r="S102" s="10">
        <f>Stock!T55*AF!S73*ACT2FLO!S14*AF!S41</f>
        <v>7.1959715746141538E-3</v>
      </c>
      <c r="T102" s="10">
        <f>Stock!U55*AF!T73*ACT2FLO!T14*AF!T41</f>
        <v>6.8546888588817798E-4</v>
      </c>
      <c r="U102" s="10">
        <f>Stock!V55*AF!U73*ACT2FLO!U14*AF!U41</f>
        <v>1.5536315987239723E-3</v>
      </c>
      <c r="V102" s="10">
        <f>Stock!W55*AF!V73*ACT2FLO!V14*AF!V41</f>
        <v>4.7632303745113761E-3</v>
      </c>
      <c r="W102" s="10">
        <f>Stock!X55*AF!W73*ACT2FLO!W14*AF!W41</f>
        <v>5.4581968089492866E-2</v>
      </c>
      <c r="X102" s="10">
        <f>Stock!Y55*AF!X73*ACT2FLO!X14*AF!X41</f>
        <v>2.2578625295117507E-3</v>
      </c>
      <c r="Y102" s="10">
        <f>Stock!Z55*AF!Y73*ACT2FLO!Y14*AF!Y41</f>
        <v>5.2297644735623721E-3</v>
      </c>
      <c r="Z102" s="10">
        <f>Stock!AA55*AF!Z73*ACT2FLO!Z14*AF!Z41</f>
        <v>1.795024143002808E-3</v>
      </c>
      <c r="AA102" s="10">
        <f>Stock!AB55*AF!AA73*ACT2FLO!AA14*AF!AA41</f>
        <v>1.5500507710691778E-3</v>
      </c>
      <c r="AB102" s="10">
        <f>Stock!AC55*AF!AB73*ACT2FLO!AB14*AF!AB41</f>
        <v>1.9092406090985704E-3</v>
      </c>
      <c r="AC102" s="10">
        <f>Stock!AD55*AF!AC73*ACT2FLO!AC14*AF!AC41</f>
        <v>3.9482205721764379E-3</v>
      </c>
      <c r="AD102" s="10">
        <f>Stock!AE55*AF!AD73*ACT2FLO!AD14*AF!AD41</f>
        <v>9.712028190163341E-3</v>
      </c>
    </row>
    <row r="103" spans="2:30">
      <c r="B103" s="459" t="str">
        <f t="shared" si="67"/>
        <v>TCAR_HEV_GSL_00</v>
      </c>
      <c r="C103" s="459" t="s">
        <v>919</v>
      </c>
      <c r="D103" s="10">
        <f>Stock!E56*AF!D74*ACT2FLO!D15*AF!D42</f>
        <v>0.56986872830614188</v>
      </c>
      <c r="E103" s="10">
        <f>Stock!F56*AF!E74*ACT2FLO!E15*AF!E42</f>
        <v>4.1407646591977848E-3</v>
      </c>
      <c r="F103" s="10">
        <f>Stock!G56*AF!F74*ACT2FLO!F15*AF!F42</f>
        <v>1.8235796023371189E-2</v>
      </c>
      <c r="G103" s="10">
        <f>Stock!H56*AF!G74*ACT2FLO!G15*AF!G42</f>
        <v>1.1546062466442087E-2</v>
      </c>
      <c r="H103" s="10">
        <f>Stock!I56*AF!H74*ACT2FLO!H15*AF!H42</f>
        <v>2.9325474545152101E-2</v>
      </c>
      <c r="I103" s="10">
        <f>Stock!J56*AF!I74*ACT2FLO!I15*AF!I42</f>
        <v>7.6693793707508324E-3</v>
      </c>
      <c r="J103" s="10">
        <f>Stock!K56*AF!J74*ACT2FLO!J15*AF!J42</f>
        <v>1.6841393386375275E-2</v>
      </c>
      <c r="K103" s="10">
        <f>Stock!L56*AF!K74*ACT2FLO!K15*AF!K42</f>
        <v>3.127400876971595E-3</v>
      </c>
      <c r="L103" s="10">
        <f>Stock!M56*AF!L74*ACT2FLO!L15*AF!L42</f>
        <v>9.5056606163829646E-3</v>
      </c>
      <c r="M103" s="10">
        <f>Stock!N56*AF!M74*ACT2FLO!M15*AF!M42</f>
        <v>3.3942217736340412E-3</v>
      </c>
      <c r="N103" s="10">
        <f>Stock!O56*AF!N74*ACT2FLO!N15*AF!N42</f>
        <v>8.6726273148522263E-3</v>
      </c>
      <c r="O103" s="10">
        <f>Stock!P56*AF!O74*ACT2FLO!O15*AF!O42</f>
        <v>1.01490085249701E-2</v>
      </c>
      <c r="P103" s="10">
        <f>Stock!Q56*AF!P74*ACT2FLO!P15*AF!P42</f>
        <v>1.2325769784135321E-2</v>
      </c>
      <c r="Q103" s="10">
        <f>Stock!R56*AF!Q74*ACT2FLO!Q15*AF!Q42</f>
        <v>1.0421587094099148E-2</v>
      </c>
      <c r="R103" s="10">
        <f>Stock!S56*AF!R74*ACT2FLO!R15*AF!R42</f>
        <v>5.7112859775613568E-2</v>
      </c>
      <c r="S103" s="10">
        <f>Stock!T56*AF!S74*ACT2FLO!S15*AF!S42</f>
        <v>3.4474003467330899E-2</v>
      </c>
      <c r="T103" s="10">
        <f>Stock!U56*AF!T74*ACT2FLO!T15*AF!T42</f>
        <v>1.8082284449798625E-3</v>
      </c>
      <c r="U103" s="10">
        <f>Stock!V56*AF!U74*ACT2FLO!U15*AF!U42</f>
        <v>5.7990026777989655E-3</v>
      </c>
      <c r="V103" s="10">
        <f>Stock!W56*AF!V74*ACT2FLO!V15*AF!V42</f>
        <v>1.1073470800608397E-2</v>
      </c>
      <c r="W103" s="10">
        <f>Stock!X56*AF!W74*ACT2FLO!W15*AF!W42</f>
        <v>0.27446287971761374</v>
      </c>
      <c r="X103" s="10">
        <f>Stock!Y56*AF!X74*ACT2FLO!X15*AF!X42</f>
        <v>6.6797072394956776E-3</v>
      </c>
      <c r="Y103" s="10">
        <f>Stock!Z56*AF!Y74*ACT2FLO!Y15*AF!Y42</f>
        <v>1.2166490094015492E-2</v>
      </c>
      <c r="Z103" s="10">
        <f>Stock!AA56*AF!Z74*ACT2FLO!Z15*AF!Z42</f>
        <v>7.9611034317408503E-3</v>
      </c>
      <c r="AA103" s="10">
        <f>Stock!AB56*AF!AA74*ACT2FLO!AA15*AF!AA42</f>
        <v>5.308017493911815E-3</v>
      </c>
      <c r="AB103" s="10">
        <f>Stock!AC56*AF!AB74*ACT2FLO!AB15*AF!AB42</f>
        <v>5.4306354768926379E-3</v>
      </c>
      <c r="AC103" s="10">
        <f>Stock!AD56*AF!AC74*ACT2FLO!AC15*AF!AC42</f>
        <v>1.1863760956033073E-2</v>
      </c>
      <c r="AD103" s="10">
        <f>Stock!AE56*AF!AD74*ACT2FLO!AD15*AF!AD42</f>
        <v>2.2720358929728842E-2</v>
      </c>
    </row>
    <row r="104" spans="2:30">
      <c r="B104" s="459" t="str">
        <f t="shared" si="67"/>
        <v>TCAR_HEV_DST_00</v>
      </c>
      <c r="C104" s="459" t="s">
        <v>919</v>
      </c>
      <c r="D104" s="10">
        <f>Stock!E57*AF!D75*ACT2FLO!D16*AF!D43</f>
        <v>2.3778099610678605E-2</v>
      </c>
      <c r="E104" s="10">
        <f>Stock!F57*AF!E75*ACT2FLO!E16*AF!E43</f>
        <v>4.5392063363698166E-4</v>
      </c>
      <c r="F104" s="10">
        <f>Stock!G57*AF!F75*ACT2FLO!F16*AF!F43</f>
        <v>8.914739008685069E-4</v>
      </c>
      <c r="G104" s="10">
        <f>Stock!H57*AF!G75*ACT2FLO!G16*AF!G43</f>
        <v>5.9273290968661413E-4</v>
      </c>
      <c r="H104" s="10">
        <f>Stock!I57*AF!H75*ACT2FLO!H16*AF!H43</f>
        <v>1.3954037767277393E-3</v>
      </c>
      <c r="I104" s="10">
        <f>Stock!J57*AF!I75*ACT2FLO!I16*AF!I43</f>
        <v>5.3232583916175337E-4</v>
      </c>
      <c r="J104" s="10">
        <f>Stock!K57*AF!J75*ACT2FLO!J16*AF!J43</f>
        <v>8.1367146799895878E-4</v>
      </c>
      <c r="K104" s="10">
        <f>Stock!L57*AF!K75*ACT2FLO!K16*AF!K43</f>
        <v>2.4603866816093144E-4</v>
      </c>
      <c r="L104" s="10">
        <f>Stock!M57*AF!L75*ACT2FLO!L16*AF!L43</f>
        <v>4.1114018724284698E-4</v>
      </c>
      <c r="M104" s="10">
        <f>Stock!N57*AF!M75*ACT2FLO!M16*AF!M43</f>
        <v>3.2906314136038807E-4</v>
      </c>
      <c r="N104" s="10">
        <f>Stock!O57*AF!N75*ACT2FLO!N16*AF!N43</f>
        <v>7.5615889982839023E-4</v>
      </c>
      <c r="O104" s="10">
        <f>Stock!P57*AF!O75*ACT2FLO!O16*AF!O43</f>
        <v>5.1105572289227399E-4</v>
      </c>
      <c r="P104" s="10">
        <f>Stock!Q57*AF!P75*ACT2FLO!P16*AF!P43</f>
        <v>5.1742959611780813E-4</v>
      </c>
      <c r="Q104" s="10">
        <f>Stock!R57*AF!Q75*ACT2FLO!Q16*AF!Q43</f>
        <v>4.2712261467541321E-4</v>
      </c>
      <c r="R104" s="10">
        <f>Stock!S57*AF!R75*ACT2FLO!R16*AF!R43</f>
        <v>2.1260716596885614E-3</v>
      </c>
      <c r="S104" s="10">
        <f>Stock!T57*AF!S75*ACT2FLO!S16*AF!S43</f>
        <v>1.0019633221802374E-3</v>
      </c>
      <c r="T104" s="10">
        <f>Stock!U57*AF!T75*ACT2FLO!T16*AF!T43</f>
        <v>6.3780508577981733E-5</v>
      </c>
      <c r="U104" s="10">
        <f>Stock!V57*AF!U75*ACT2FLO!U16*AF!U43</f>
        <v>1.3290241840769861E-4</v>
      </c>
      <c r="V104" s="10">
        <f>Stock!W57*AF!V75*ACT2FLO!V16*AF!V43</f>
        <v>4.0295501202859576E-4</v>
      </c>
      <c r="W104" s="10">
        <f>Stock!X57*AF!W75*ACT2FLO!W16*AF!W43</f>
        <v>9.1584978832391136E-3</v>
      </c>
      <c r="X104" s="10">
        <f>Stock!Y57*AF!X75*ACT2FLO!X16*AF!X43</f>
        <v>5.3187226765881272E-4</v>
      </c>
      <c r="Y104" s="10">
        <f>Stock!Z57*AF!Y75*ACT2FLO!Y16*AF!Y43</f>
        <v>5.4388445242912553E-4</v>
      </c>
      <c r="Z104" s="10">
        <f>Stock!AA57*AF!Z75*ACT2FLO!Z16*AF!Z43</f>
        <v>3.8268155945636747E-4</v>
      </c>
      <c r="AA104" s="10">
        <f>Stock!AB57*AF!AA75*ACT2FLO!AA16*AF!AA43</f>
        <v>1.5907826856424658E-4</v>
      </c>
      <c r="AB104" s="10">
        <f>Stock!AC57*AF!AB75*ACT2FLO!AB16*AF!AB43</f>
        <v>5.2249049920325113E-4</v>
      </c>
      <c r="AC104" s="10">
        <f>Stock!AD57*AF!AC75*ACT2FLO!AC16*AF!AC43</f>
        <v>3.6793004153013695E-4</v>
      </c>
      <c r="AD104" s="10">
        <f>Stock!AE57*AF!AD75*ACT2FLO!AD16*AF!AD43</f>
        <v>1.2237359149338445E-3</v>
      </c>
    </row>
    <row r="105" spans="2:30">
      <c r="B105" s="459" t="str">
        <f t="shared" si="67"/>
        <v>TCAR_PHEV_GSL_00</v>
      </c>
      <c r="C105" s="459" t="s">
        <v>919</v>
      </c>
      <c r="D105" s="10">
        <f>Stock!E58*AF!D76*ACT2FLO!D17*AF!D44</f>
        <v>5.2760665147538438E-2</v>
      </c>
      <c r="E105" s="10">
        <f>Stock!F58*AF!E76*ACT2FLO!E17*AF!E44</f>
        <v>3.029827799413013E-4</v>
      </c>
      <c r="F105" s="10">
        <f>Stock!G58*AF!F76*ACT2FLO!F17*AF!F44</f>
        <v>1.7923370302501893E-3</v>
      </c>
      <c r="G105" s="10">
        <f>Stock!H58*AF!G76*ACT2FLO!G17*AF!G44</f>
        <v>6.6611898844858215E-4</v>
      </c>
      <c r="H105" s="10">
        <f>Stock!I58*AF!H76*ACT2FLO!H17*AF!H44</f>
        <v>3.0804069900369859E-3</v>
      </c>
      <c r="I105" s="10">
        <f>Stock!J58*AF!I76*ACT2FLO!I17*AF!I44</f>
        <v>5.0428795862471234E-4</v>
      </c>
      <c r="J105" s="10">
        <f>Stock!K58*AF!J76*ACT2FLO!J17*AF!J44</f>
        <v>1.1297332209493972E-3</v>
      </c>
      <c r="K105" s="10">
        <f>Stock!L58*AF!K76*ACT2FLO!K17*AF!K44</f>
        <v>3.5404538229867117E-4</v>
      </c>
      <c r="L105" s="10">
        <f>Stock!M58*AF!L76*ACT2FLO!L17*AF!L44</f>
        <v>4.7840305071511637E-4</v>
      </c>
      <c r="M105" s="10">
        <f>Stock!N58*AF!M76*ACT2FLO!M17*AF!M44</f>
        <v>2.108212281760274E-4</v>
      </c>
      <c r="N105" s="10">
        <f>Stock!O58*AF!N76*ACT2FLO!N17*AF!N44</f>
        <v>6.639331915676346E-4</v>
      </c>
      <c r="O105" s="10">
        <f>Stock!P58*AF!O76*ACT2FLO!O17*AF!O44</f>
        <v>7.2790020158597021E-4</v>
      </c>
      <c r="P105" s="10">
        <f>Stock!Q58*AF!P76*ACT2FLO!P17*AF!P44</f>
        <v>8.4039339437286297E-4</v>
      </c>
      <c r="Q105" s="10">
        <f>Stock!R58*AF!Q76*ACT2FLO!Q17*AF!Q44</f>
        <v>7.8373724081639933E-4</v>
      </c>
      <c r="R105" s="10">
        <f>Stock!S58*AF!R76*ACT2FLO!R17*AF!R44</f>
        <v>5.1087638310722957E-3</v>
      </c>
      <c r="S105" s="10">
        <f>Stock!T58*AF!S76*ACT2FLO!S17*AF!S44</f>
        <v>3.1509612309286203E-3</v>
      </c>
      <c r="T105" s="10">
        <f>Stock!U58*AF!T76*ACT2FLO!T17*AF!T44</f>
        <v>6.0274281499328749E-5</v>
      </c>
      <c r="U105" s="10">
        <f>Stock!V58*AF!U76*ACT2FLO!U17*AF!U44</f>
        <v>4.8856066516255012E-4</v>
      </c>
      <c r="V105" s="10">
        <f>Stock!W58*AF!V76*ACT2FLO!V17*AF!V44</f>
        <v>7.8396253455634691E-4</v>
      </c>
      <c r="W105" s="10">
        <f>Stock!X58*AF!W76*ACT2FLO!W17*AF!W44</f>
        <v>2.8924896307479381E-2</v>
      </c>
      <c r="X105" s="10">
        <f>Stock!Y58*AF!X76*ACT2FLO!X17*AF!X44</f>
        <v>3.6988606863656848E-4</v>
      </c>
      <c r="Y105" s="10">
        <f>Stock!Z58*AF!Y76*ACT2FLO!Y17*AF!Y44</f>
        <v>9.8083196298238105E-4</v>
      </c>
      <c r="Z105" s="10">
        <f>Stock!AA58*AF!Z76*ACT2FLO!Z17*AF!Z44</f>
        <v>4.1296790135831495E-4</v>
      </c>
      <c r="AA105" s="10">
        <f>Stock!AB58*AF!AA76*ACT2FLO!AA17*AF!AA44</f>
        <v>3.2048407510410962E-4</v>
      </c>
      <c r="AB105" s="10">
        <f>Stock!AC58*AF!AB76*ACT2FLO!AB17*AF!AB44</f>
        <v>5.0912207595868485E-4</v>
      </c>
      <c r="AC105" s="10">
        <f>Stock!AD58*AF!AC76*ACT2FLO!AC17*AF!AC44</f>
        <v>7.6607182438607991E-4</v>
      </c>
      <c r="AD105" s="10">
        <f>Stock!AE58*AF!AD76*ACT2FLO!AD17*AF!AD44</f>
        <v>2.2206323659825474E-3</v>
      </c>
    </row>
    <row r="106" spans="2:30">
      <c r="B106" s="459" t="str">
        <f t="shared" si="67"/>
        <v>TCAR_PHEV_DST_00</v>
      </c>
      <c r="C106" s="459" t="s">
        <v>919</v>
      </c>
      <c r="D106" s="10">
        <f>Stock!E59*AF!D77*ACT2FLO!D18*AF!D45</f>
        <v>7.6902003915519431E-4</v>
      </c>
      <c r="E106" s="10">
        <f>Stock!F59*AF!E77*ACT2FLO!E18*AF!E45</f>
        <v>0</v>
      </c>
      <c r="F106" s="10">
        <f>Stock!G59*AF!F77*ACT2FLO!F18*AF!F45</f>
        <v>2.9715796695616893E-4</v>
      </c>
      <c r="G106" s="10">
        <f>Stock!H59*AF!G77*ACT2FLO!G18*AF!G45</f>
        <v>6.2392937861748855E-5</v>
      </c>
      <c r="H106" s="10">
        <f>Stock!I59*AF!H77*ACT2FLO!H18*AF!H45</f>
        <v>0</v>
      </c>
      <c r="I106" s="10">
        <f>Stock!J59*AF!I77*ACT2FLO!I18*AF!I45</f>
        <v>0</v>
      </c>
      <c r="J106" s="10">
        <f>Stock!K59*AF!J77*ACT2FLO!J18*AF!J45</f>
        <v>3.3902977833289954E-5</v>
      </c>
      <c r="K106" s="10">
        <f>Stock!L59*AF!K77*ACT2FLO!K18*AF!K45</f>
        <v>0</v>
      </c>
      <c r="L106" s="10">
        <f>Stock!M59*AF!L77*ACT2FLO!L18*AF!L45</f>
        <v>3.1626168249449771E-5</v>
      </c>
      <c r="M106" s="10">
        <f>Stock!N59*AF!M77*ACT2FLO!M18*AF!M45</f>
        <v>0</v>
      </c>
      <c r="N106" s="10">
        <f>Stock!O59*AF!N77*ACT2FLO!N18*AF!N45</f>
        <v>0</v>
      </c>
      <c r="O106" s="10">
        <f>Stock!P59*AF!O77*ACT2FLO!O18*AF!O45</f>
        <v>3.1940982680767124E-5</v>
      </c>
      <c r="P106" s="10">
        <f>Stock!Q59*AF!P77*ACT2FLO!P18*AF!P45</f>
        <v>3.0437035065753419E-5</v>
      </c>
      <c r="Q106" s="10">
        <f>Stock!R59*AF!Q77*ACT2FLO!Q18*AF!Q45</f>
        <v>6.5711171488525103E-5</v>
      </c>
      <c r="R106" s="10">
        <f>Stock!S59*AF!R77*ACT2FLO!R18*AF!R45</f>
        <v>5.9889342526438354E-5</v>
      </c>
      <c r="S106" s="10">
        <f>Stock!T59*AF!S77*ACT2FLO!S18*AF!S45</f>
        <v>0</v>
      </c>
      <c r="T106" s="10">
        <f>Stock!U59*AF!T77*ACT2FLO!T18*AF!T45</f>
        <v>0</v>
      </c>
      <c r="U106" s="10">
        <f>Stock!V59*AF!U77*ACT2FLO!U18*AF!U45</f>
        <v>3.3225604601924652E-5</v>
      </c>
      <c r="V106" s="10">
        <f>Stock!W59*AF!V77*ACT2FLO!V18*AF!V45</f>
        <v>0</v>
      </c>
      <c r="W106" s="10">
        <f>Stock!X59*AF!W77*ACT2FLO!W18*AF!W45</f>
        <v>0</v>
      </c>
      <c r="X106" s="10">
        <f>Stock!Y59*AF!X77*ACT2FLO!X18*AF!X45</f>
        <v>0</v>
      </c>
      <c r="Y106" s="10">
        <f>Stock!Z59*AF!Y77*ACT2FLO!Y18*AF!Y45</f>
        <v>0</v>
      </c>
      <c r="Z106" s="10">
        <f>Stock!AA59*AF!Z77*ACT2FLO!Z18*AF!Z45</f>
        <v>0</v>
      </c>
      <c r="AA106" s="10">
        <f>Stock!AB59*AF!AA77*ACT2FLO!AA18*AF!AA45</f>
        <v>3.1815653712849314E-5</v>
      </c>
      <c r="AB106" s="10">
        <f>Stock!AC59*AF!AB77*ACT2FLO!AB18*AF!AB45</f>
        <v>0</v>
      </c>
      <c r="AC106" s="10">
        <f>Stock!AD59*AF!AC77*ACT2FLO!AC18*AF!AC45</f>
        <v>3.0660836794178079E-5</v>
      </c>
      <c r="AD106" s="10">
        <f>Stock!AE59*AF!AD77*ACT2FLO!AD18*AF!AD45</f>
        <v>3.2203576708785385E-5</v>
      </c>
    </row>
    <row r="107" spans="2:30">
      <c r="B107" s="459" t="str">
        <f t="shared" si="67"/>
        <v>TCAR_BEV_00</v>
      </c>
      <c r="C107" s="459" t="s">
        <v>919</v>
      </c>
      <c r="D107" s="10">
        <f>Stock!E60*AF!D78*ACT2FLO!D19*AF!D46</f>
        <v>9.0865471195621092E-2</v>
      </c>
      <c r="E107" s="10">
        <f>Stock!F60*AF!E78*ACT2FLO!E19*AF!E46</f>
        <v>9.6710098093776692E-4</v>
      </c>
      <c r="F107" s="10">
        <f>Stock!G60*AF!F78*ACT2FLO!F19*AF!F46</f>
        <v>3.2125353528666398E-2</v>
      </c>
      <c r="G107" s="10">
        <f>Stock!H60*AF!G78*ACT2FLO!G19*AF!G46</f>
        <v>6.0614400446073321E-3</v>
      </c>
      <c r="H107" s="10">
        <f>Stock!I60*AF!H78*ACT2FLO!H19*AF!H46</f>
        <v>1.1568042780196438E-3</v>
      </c>
      <c r="I107" s="10">
        <f>Stock!J60*AF!I78*ACT2FLO!I19*AF!I46</f>
        <v>1.218698884032767E-3</v>
      </c>
      <c r="J107" s="10">
        <f>Stock!K60*AF!J78*ACT2FLO!J19*AF!J46</f>
        <v>5.0145910477742458E-4</v>
      </c>
      <c r="K107" s="10">
        <f>Stock!L60*AF!K78*ACT2FLO!K19*AF!K46</f>
        <v>2.0614257844273373E-3</v>
      </c>
      <c r="L107" s="10">
        <f>Stock!M60*AF!L78*ACT2FLO!L19*AF!L46</f>
        <v>5.0289994030502253E-3</v>
      </c>
      <c r="M107" s="10">
        <f>Stock!N60*AF!M78*ACT2FLO!M19*AF!M46</f>
        <v>6.2752065035294295E-4</v>
      </c>
      <c r="N107" s="10">
        <f>Stock!O60*AF!N78*ACT2FLO!N19*AF!N46</f>
        <v>2.0483557634873376E-3</v>
      </c>
      <c r="O107" s="10">
        <f>Stock!P60*AF!O78*ACT2FLO!O19*AF!O46</f>
        <v>2.973000064531424E-3</v>
      </c>
      <c r="P107" s="10">
        <f>Stock!Q60*AF!P78*ACT2FLO!P19*AF!P46</f>
        <v>5.3356644674298738E-3</v>
      </c>
      <c r="Q107" s="10">
        <f>Stock!R60*AF!Q78*ACT2FLO!Q19*AF!Q46</f>
        <v>2.2474855893704609E-3</v>
      </c>
      <c r="R107" s="10">
        <f>Stock!S60*AF!R78*ACT2FLO!R19*AF!R46</f>
        <v>1.024186833812806E-2</v>
      </c>
      <c r="S107" s="10">
        <f>Stock!T60*AF!S78*ACT2FLO!S19*AF!S46</f>
        <v>2.014872040891963E-3</v>
      </c>
      <c r="T107" s="10">
        <f>Stock!U60*AF!T78*ACT2FLO!T19*AF!T46</f>
        <v>2.5549294837650272E-3</v>
      </c>
      <c r="U107" s="10">
        <f>Stock!V60*AF!U78*ACT2FLO!U19*AF!U46</f>
        <v>1.9472182704007121E-3</v>
      </c>
      <c r="V107" s="10">
        <f>Stock!W60*AF!V78*ACT2FLO!V19*AF!V46</f>
        <v>2.0800132639787671E-3</v>
      </c>
      <c r="W107" s="10">
        <f>Stock!X60*AF!W78*ACT2FLO!W19*AF!W46</f>
        <v>4.739028455599534E-3</v>
      </c>
      <c r="X107" s="10">
        <f>Stock!Y60*AF!X78*ACT2FLO!X19*AF!X46</f>
        <v>3.5872582244579219E-4</v>
      </c>
      <c r="Y107" s="10">
        <f>Stock!Z60*AF!Y78*ACT2FLO!Y19*AF!Y46</f>
        <v>1.2280418601887352E-3</v>
      </c>
      <c r="Z107" s="10">
        <f>Stock!AA60*AF!Z78*ACT2FLO!Z19*AF!Z46</f>
        <v>6.3353793282452042E-4</v>
      </c>
      <c r="AA107" s="10">
        <f>Stock!AB60*AF!AA78*ACT2FLO!AA19*AF!AA46</f>
        <v>5.9935296481341551E-4</v>
      </c>
      <c r="AB107" s="10">
        <f>Stock!AC60*AF!AB78*ACT2FLO!AB19*AF!AB46</f>
        <v>7.3432331119175796E-4</v>
      </c>
      <c r="AC107" s="10">
        <f>Stock!AD60*AF!AC78*ACT2FLO!AC19*AF!AC46</f>
        <v>1.0884283739513423E-3</v>
      </c>
      <c r="AD107" s="10">
        <f>Stock!AE60*AF!AD78*ACT2FLO!AD19*AF!AD46</f>
        <v>6.378662582522533E-4</v>
      </c>
    </row>
    <row r="108" spans="2:30">
      <c r="B108" s="459" t="str">
        <f t="shared" si="67"/>
        <v>TTAXI_ICE_GSL_00</v>
      </c>
      <c r="C108" s="459" t="s">
        <v>919</v>
      </c>
      <c r="D108" s="10">
        <f>Stock!E62*AF!D79*ACT2FLO!D20*AF!D47</f>
        <v>0.132815135733613</v>
      </c>
      <c r="E108" s="10">
        <f>Stock!F62*AF!E79*ACT2FLO!E20*AF!E47</f>
        <v>3.3237540694107306E-4</v>
      </c>
      <c r="F108" s="10">
        <f>Stock!G62*AF!F79*ACT2FLO!F20*AF!F47</f>
        <v>8.3617468703171244E-2</v>
      </c>
      <c r="G108" s="10">
        <f>Stock!H62*AF!G79*ACT2FLO!G20*AF!G47</f>
        <v>4.3649617706759914E-3</v>
      </c>
      <c r="H108" s="10">
        <f>Stock!I62*AF!H79*ACT2FLO!H20*AF!H47</f>
        <v>6.1736452791703194E-4</v>
      </c>
      <c r="I108" s="10">
        <f>Stock!J62*AF!I79*ACT2FLO!I20*AF!I47</f>
        <v>5.7978970972605488E-4</v>
      </c>
      <c r="J108" s="10">
        <f>Stock!K62*AF!J79*ACT2FLO!J20*AF!J47</f>
        <v>2.4642659115686755E-4</v>
      </c>
      <c r="K108" s="10">
        <f>Stock!L62*AF!K79*ACT2FLO!K20*AF!K47</f>
        <v>2.5945961021110134E-3</v>
      </c>
      <c r="L108" s="10">
        <f>Stock!M62*AF!L79*ACT2FLO!L20*AF!L47</f>
        <v>5.9026661463937435E-3</v>
      </c>
      <c r="M108" s="10">
        <f>Stock!N62*AF!M79*ACT2FLO!M20*AF!M47</f>
        <v>5.6496209921215966E-4</v>
      </c>
      <c r="N108" s="10">
        <f>Stock!O62*AF!N79*ACT2FLO!N20*AF!N47</f>
        <v>9.3213419888869852E-4</v>
      </c>
      <c r="O108" s="10">
        <f>Stock!P62*AF!O79*ACT2FLO!O20*AF!O47</f>
        <v>8.2986576106776713E-4</v>
      </c>
      <c r="P108" s="10">
        <f>Stock!Q62*AF!P79*ACT2FLO!P20*AF!P47</f>
        <v>1.4344243540843401E-3</v>
      </c>
      <c r="Q108" s="10">
        <f>Stock!R62*AF!Q79*ACT2FLO!Q20*AF!Q47</f>
        <v>2.4722571252849585E-3</v>
      </c>
      <c r="R108" s="10">
        <f>Stock!S62*AF!R79*ACT2FLO!R20*AF!R47</f>
        <v>8.3549362853188591E-3</v>
      </c>
      <c r="S108" s="10">
        <f>Stock!T62*AF!S79*ACT2FLO!S20*AF!S47</f>
        <v>1.2959850809154151E-3</v>
      </c>
      <c r="T108" s="10">
        <f>Stock!U62*AF!T79*ACT2FLO!T20*AF!T47</f>
        <v>6.9264769933027968E-3</v>
      </c>
      <c r="U108" s="10">
        <f>Stock!V62*AF!U79*ACT2FLO!U20*AF!U47</f>
        <v>6.0336945983287672E-4</v>
      </c>
      <c r="V108" s="10">
        <f>Stock!W62*AF!V79*ACT2FLO!V20*AF!V47</f>
        <v>1.9632842504785568E-3</v>
      </c>
      <c r="W108" s="10">
        <f>Stock!X62*AF!W79*ACT2FLO!W20*AF!W47</f>
        <v>6.2833081260984004E-3</v>
      </c>
      <c r="X108" s="10">
        <f>Stock!Y62*AF!X79*ACT2FLO!X20*AF!X47</f>
        <v>0</v>
      </c>
      <c r="Y108" s="10">
        <f>Stock!Z62*AF!Y79*ACT2FLO!Y20*AF!Y47</f>
        <v>9.6956876799652951E-4</v>
      </c>
      <c r="Z108" s="10">
        <f>Stock!AA62*AF!Z79*ACT2FLO!Z20*AF!Z47</f>
        <v>1.0939428485397259E-4</v>
      </c>
      <c r="AA108" s="10">
        <f>Stock!AB62*AF!AA79*ACT2FLO!AA20*AF!AA47</f>
        <v>4.9048386801547937E-4</v>
      </c>
      <c r="AB108" s="10">
        <f>Stock!AC62*AF!AB79*ACT2FLO!AB20*AF!AB47</f>
        <v>3.7466050550962778E-4</v>
      </c>
      <c r="AC108" s="10">
        <f>Stock!AD62*AF!AC79*ACT2FLO!AC20*AF!AC47</f>
        <v>8.8252183173152029E-4</v>
      </c>
      <c r="AD108" s="10">
        <f>Stock!AE62*AF!AD79*ACT2FLO!AD20*AF!AD47</f>
        <v>8.3105041821689501E-5</v>
      </c>
    </row>
    <row r="109" spans="2:30">
      <c r="B109" s="459" t="str">
        <f t="shared" si="67"/>
        <v>TTAXI_ICE_DST_00</v>
      </c>
      <c r="C109" s="459" t="s">
        <v>919</v>
      </c>
      <c r="D109" s="10">
        <f>Stock!E63*AF!D80*ACT2FLO!D21*AF!D48</f>
        <v>1.0402457641362053</v>
      </c>
      <c r="E109" s="10">
        <f>Stock!F63*AF!E80*ACT2FLO!E21*AF!E48</f>
        <v>8.0437698221748274E-3</v>
      </c>
      <c r="F109" s="10">
        <f>Stock!G63*AF!F80*ACT2FLO!F21*AF!F48</f>
        <v>0.49445103116594963</v>
      </c>
      <c r="G109" s="10">
        <f>Stock!H63*AF!G80*ACT2FLO!G21*AF!G48</f>
        <v>4.5102739949248384E-2</v>
      </c>
      <c r="H109" s="10">
        <f>Stock!I63*AF!H80*ACT2FLO!H21*AF!H48</f>
        <v>1.2695591696276407E-2</v>
      </c>
      <c r="I109" s="10">
        <f>Stock!J63*AF!I80*ACT2FLO!I21*AF!I48</f>
        <v>1.2450836158025114E-2</v>
      </c>
      <c r="J109" s="10">
        <f>Stock!K63*AF!J80*ACT2FLO!J21*AF!J48</f>
        <v>5.6404018529220244E-3</v>
      </c>
      <c r="K109" s="10">
        <f>Stock!L63*AF!K80*ACT2FLO!K21*AF!K48</f>
        <v>3.2373970392738781E-2</v>
      </c>
      <c r="L109" s="10">
        <f>Stock!M63*AF!L80*ACT2FLO!L21*AF!L48</f>
        <v>5.3831298300056986E-2</v>
      </c>
      <c r="M109" s="10">
        <f>Stock!N63*AF!M80*ACT2FLO!M21*AF!M48</f>
        <v>8.661798295219519E-3</v>
      </c>
      <c r="N109" s="10">
        <f>Stock!O63*AF!N80*ACT2FLO!N21*AF!N48</f>
        <v>1.6194549694790145E-2</v>
      </c>
      <c r="O109" s="10">
        <f>Stock!P63*AF!O80*ACT2FLO!O21*AF!O48</f>
        <v>1.4496383955826482E-2</v>
      </c>
      <c r="P109" s="10">
        <f>Stock!Q63*AF!P80*ACT2FLO!P21*AF!P48</f>
        <v>1.8335001361535753E-2</v>
      </c>
      <c r="Q109" s="10">
        <f>Stock!R63*AF!Q80*ACT2FLO!Q21*AF!Q48</f>
        <v>1.7965615116759329E-2</v>
      </c>
      <c r="R109" s="10">
        <f>Stock!S63*AF!R80*ACT2FLO!R21*AF!R48</f>
        <v>9.2628414106859985E-2</v>
      </c>
      <c r="S109" s="10">
        <f>Stock!T63*AF!S80*ACT2FLO!S21*AF!S48</f>
        <v>2.5511326128417264E-2</v>
      </c>
      <c r="T109" s="10">
        <f>Stock!U63*AF!T80*ACT2FLO!T21*AF!T48</f>
        <v>2.9254756182992957E-2</v>
      </c>
      <c r="U109" s="10">
        <f>Stock!V63*AF!U80*ACT2FLO!U21*AF!U48</f>
        <v>1.4494459260962029E-2</v>
      </c>
      <c r="V109" s="10">
        <f>Stock!W63*AF!V80*ACT2FLO!V21*AF!V48</f>
        <v>1.5522526816745721E-2</v>
      </c>
      <c r="W109" s="10">
        <f>Stock!X63*AF!W80*ACT2FLO!W21*AF!W48</f>
        <v>4.9907257266619535E-2</v>
      </c>
      <c r="X109" s="10">
        <f>Stock!Y63*AF!X80*ACT2FLO!X21*AF!X48</f>
        <v>4.1674567453412322E-3</v>
      </c>
      <c r="Y109" s="10">
        <f>Stock!Z63*AF!Y80*ACT2FLO!Y21*AF!Y48</f>
        <v>1.5456687332266232E-2</v>
      </c>
      <c r="Z109" s="10">
        <f>Stock!AA63*AF!Z80*ACT2FLO!Z21*AF!Z48</f>
        <v>7.5392222535451432E-3</v>
      </c>
      <c r="AA109" s="10">
        <f>Stock!AB63*AF!AA80*ACT2FLO!AA21*AF!AA48</f>
        <v>9.3334944227404446E-3</v>
      </c>
      <c r="AB109" s="10">
        <f>Stock!AC63*AF!AB80*ACT2FLO!AB21*AF!AB48</f>
        <v>1.0315014203034848E-2</v>
      </c>
      <c r="AC109" s="10">
        <f>Stock!AD63*AF!AC80*ACT2FLO!AC21*AF!AC48</f>
        <v>2.1112004824381993E-2</v>
      </c>
      <c r="AD109" s="10">
        <f>Stock!AE63*AF!AD80*ACT2FLO!AD21*AF!AD48</f>
        <v>4.755786729023972E-3</v>
      </c>
    </row>
    <row r="110" spans="2:30">
      <c r="B110" s="459" t="str">
        <f t="shared" si="67"/>
        <v>TTAXI_HEV_GSL_00</v>
      </c>
      <c r="C110" s="459" t="s">
        <v>919</v>
      </c>
      <c r="D110" s="10">
        <f>Stock!E64*AF!D81*ACT2FLO!D22*AF!D49</f>
        <v>8.300783727097695E-2</v>
      </c>
      <c r="E110" s="10">
        <f>Stock!F64*AF!E81*ACT2FLO!E22*AF!E49</f>
        <v>2.757714737879086E-4</v>
      </c>
      <c r="F110" s="10">
        <f>Stock!G64*AF!F81*ACT2FLO!F22*AF!F49</f>
        <v>6.3488626363770298E-2</v>
      </c>
      <c r="G110" s="10">
        <f>Stock!H64*AF!G81*ACT2FLO!G22*AF!G49</f>
        <v>2.5930071098391977E-3</v>
      </c>
      <c r="H110" s="10">
        <f>Stock!I64*AF!H81*ACT2FLO!H22*AF!H49</f>
        <v>6.3337381155700908E-5</v>
      </c>
      <c r="I110" s="10">
        <f>Stock!J64*AF!I81*ACT2FLO!I22*AF!I49</f>
        <v>9.6935391833724192E-4</v>
      </c>
      <c r="J110" s="10">
        <f>Stock!K64*AF!J81*ACT2FLO!J22*AF!J49</f>
        <v>0</v>
      </c>
      <c r="K110" s="10">
        <f>Stock!L64*AF!K81*ACT2FLO!K22*AF!K49</f>
        <v>1.5758252701260844E-3</v>
      </c>
      <c r="L110" s="10">
        <f>Stock!M64*AF!L81*ACT2FLO!L22*AF!L49</f>
        <v>3.5990272113500133E-3</v>
      </c>
      <c r="M110" s="10">
        <f>Stock!N64*AF!M81*ACT2FLO!M22*AF!M49</f>
        <v>1.7797161047785614E-4</v>
      </c>
      <c r="N110" s="10">
        <f>Stock!O64*AF!N81*ACT2FLO!N22*AF!N49</f>
        <v>4.403522808483561E-4</v>
      </c>
      <c r="O110" s="10">
        <f>Stock!P64*AF!O81*ACT2FLO!O22*AF!O49</f>
        <v>1.8358455782674656E-4</v>
      </c>
      <c r="P110" s="10">
        <f>Stock!Q64*AF!P81*ACT2FLO!P22*AF!P49</f>
        <v>7.7574901112316191E-4</v>
      </c>
      <c r="Q110" s="10">
        <f>Stock!R64*AF!Q81*ACT2FLO!Q22*AF!Q49</f>
        <v>3.905772844351894E-4</v>
      </c>
      <c r="R110" s="10">
        <f>Stock!S64*AF!R81*ACT2FLO!R22*AF!R49</f>
        <v>3.3137919084727874E-3</v>
      </c>
      <c r="S110" s="10">
        <f>Stock!T64*AF!S81*ACT2FLO!S22*AF!S49</f>
        <v>2.1424091858635616E-4</v>
      </c>
      <c r="T110" s="10">
        <f>Stock!U64*AF!T81*ACT2FLO!T22*AF!T49</f>
        <v>2.8440902689588219E-3</v>
      </c>
      <c r="U110" s="10">
        <f>Stock!V64*AF!U81*ACT2FLO!U22*AF!U49</f>
        <v>1.7015645412126712E-4</v>
      </c>
      <c r="V110" s="10">
        <f>Stock!W64*AF!V81*ACT2FLO!V22*AF!V49</f>
        <v>8.979522149006391E-5</v>
      </c>
      <c r="W110" s="10">
        <f>Stock!X64*AF!W81*ACT2FLO!W22*AF!W49</f>
        <v>1.454532193377534E-3</v>
      </c>
      <c r="X110" s="10">
        <f>Stock!Y64*AF!X81*ACT2FLO!X22*AF!X49</f>
        <v>0</v>
      </c>
      <c r="Y110" s="10">
        <f>Stock!Z64*AF!Y81*ACT2FLO!Y22*AF!Y49</f>
        <v>1.6365277589324657E-4</v>
      </c>
      <c r="Z110" s="10">
        <f>Stock!AA64*AF!Z81*ACT2FLO!Z22*AF!Z49</f>
        <v>0</v>
      </c>
      <c r="AA110" s="10">
        <f>Stock!AB64*AF!AA81*ACT2FLO!AA22*AF!AA49</f>
        <v>7.6865449633210035E-5</v>
      </c>
      <c r="AB110" s="10">
        <f>Stock!AC64*AF!AB81*ACT2FLO!AB22*AF!AB49</f>
        <v>6.39670100183356E-5</v>
      </c>
      <c r="AC110" s="10">
        <f>Stock!AD64*AF!AC81*ACT2FLO!AC22*AF!AC49</f>
        <v>8.8034647893123284E-5</v>
      </c>
      <c r="AD110" s="10">
        <f>Stock!AE64*AF!AD81*ACT2FLO!AD22*AF!AD49</f>
        <v>0</v>
      </c>
    </row>
    <row r="111" spans="2:30">
      <c r="B111" s="459" t="str">
        <f t="shared" si="67"/>
        <v>TBUS_ICE_DST_00</v>
      </c>
      <c r="C111" s="459" t="s">
        <v>919</v>
      </c>
      <c r="D111" s="10">
        <f>Stock!E66*AF!D82*ACT2FLO!D23*AF!D50</f>
        <v>10.519481681250003</v>
      </c>
      <c r="E111" s="10">
        <f>Stock!F66*AF!E82*ACT2FLO!E23*AF!E50</f>
        <v>0.11808831099999999</v>
      </c>
      <c r="F111" s="10">
        <f>Stock!G66*AF!F82*ACT2FLO!F23*AF!F50</f>
        <v>3.5358560684999998</v>
      </c>
      <c r="G111" s="10">
        <f>Stock!H66*AF!G82*ACT2FLO!G23*AF!G50</f>
        <v>0.45269495775000002</v>
      </c>
      <c r="H111" s="10">
        <f>Stock!I66*AF!H82*ACT2FLO!H23*AF!H50</f>
        <v>0.29241756999999996</v>
      </c>
      <c r="I111" s="10">
        <f>Stock!J66*AF!I82*ACT2FLO!I23*AF!I50</f>
        <v>0.1493744175</v>
      </c>
      <c r="J111" s="10">
        <f>Stock!K66*AF!J82*ACT2FLO!J23*AF!J50</f>
        <v>8.4421181249999991E-2</v>
      </c>
      <c r="K111" s="10">
        <f>Stock!L66*AF!K82*ACT2FLO!K23*AF!K50</f>
        <v>0.22892670500000004</v>
      </c>
      <c r="L111" s="10">
        <f>Stock!M66*AF!L82*ACT2FLO!L23*AF!L50</f>
        <v>0.30109920200000001</v>
      </c>
      <c r="M111" s="10">
        <f>Stock!N66*AF!M82*ACT2FLO!M23*AF!M50</f>
        <v>0.18289379775</v>
      </c>
      <c r="N111" s="10">
        <f>Stock!O66*AF!N82*ACT2FLO!N23*AF!N50</f>
        <v>0.14101548000000003</v>
      </c>
      <c r="O111" s="10">
        <f>Stock!P66*AF!O82*ACT2FLO!O23*AF!O50</f>
        <v>0.26711272949999998</v>
      </c>
      <c r="P111" s="10">
        <f>Stock!Q66*AF!P82*ACT2FLO!P23*AF!P50</f>
        <v>0.24114906574999997</v>
      </c>
      <c r="Q111" s="10">
        <f>Stock!R66*AF!Q82*ACT2FLO!Q23*AF!Q50</f>
        <v>0.20048626149999998</v>
      </c>
      <c r="R111" s="10">
        <f>Stock!S66*AF!R82*ACT2FLO!R23*AF!R50</f>
        <v>0.79161909450000012</v>
      </c>
      <c r="S111" s="10">
        <f>Stock!T66*AF!S82*ACT2FLO!S23*AF!S50</f>
        <v>0.49987923200000006</v>
      </c>
      <c r="T111" s="10">
        <f>Stock!U66*AF!T82*ACT2FLO!T23*AF!T50</f>
        <v>0.29683354150000002</v>
      </c>
      <c r="U111" s="10">
        <f>Stock!V66*AF!U82*ACT2FLO!U23*AF!U50</f>
        <v>0.34555485200000002</v>
      </c>
      <c r="V111" s="10">
        <f>Stock!W66*AF!V82*ACT2FLO!V23*AF!V50</f>
        <v>0.1514736485</v>
      </c>
      <c r="W111" s="10">
        <f>Stock!X66*AF!W82*ACT2FLO!W23*AF!W50</f>
        <v>0.57002661799999998</v>
      </c>
      <c r="X111" s="10">
        <f>Stock!Y66*AF!X82*ACT2FLO!X23*AF!X50</f>
        <v>5.9836094999999999E-2</v>
      </c>
      <c r="Y111" s="10">
        <f>Stock!Z66*AF!Y82*ACT2FLO!Y23*AF!Y50</f>
        <v>0.34838503700000001</v>
      </c>
      <c r="Z111" s="10">
        <f>Stock!AA66*AF!Z82*ACT2FLO!Z23*AF!Z50</f>
        <v>0.108670275</v>
      </c>
      <c r="AA111" s="10">
        <f>Stock!AB66*AF!AA82*ACT2FLO!AA23*AF!AA50</f>
        <v>0.11319791700000001</v>
      </c>
      <c r="AB111" s="10">
        <f>Stock!AC66*AF!AB82*ACT2FLO!AB23*AF!AB50</f>
        <v>0.20658056049999998</v>
      </c>
      <c r="AC111" s="10">
        <f>Stock!AD66*AF!AC82*ACT2FLO!AC23*AF!AC50</f>
        <v>0.55923812500000003</v>
      </c>
      <c r="AD111" s="10">
        <f>Stock!AE66*AF!AD82*ACT2FLO!AD23*AF!AD50</f>
        <v>0.27255499050000004</v>
      </c>
    </row>
    <row r="112" spans="2:30">
      <c r="B112" s="459" t="str">
        <f t="shared" si="67"/>
        <v>TLRAIL_ELC_00</v>
      </c>
      <c r="C112" s="459" t="s">
        <v>919</v>
      </c>
      <c r="D112" s="10">
        <f>Stock!E68*AF!D83*ACT2FLO!D24*AF!D51</f>
        <v>0.31718342830155838</v>
      </c>
      <c r="E112" s="10">
        <f>Stock!F68*AF!E83*ACT2FLO!E24*AF!E51</f>
        <v>0</v>
      </c>
      <c r="F112" s="10">
        <f>Stock!G68*AF!F83*ACT2FLO!F24*AF!F51</f>
        <v>0.31718342830155838</v>
      </c>
      <c r="G112" s="10">
        <f>Stock!H68*AF!G83*ACT2FLO!G24*AF!G51</f>
        <v>0</v>
      </c>
      <c r="H112" s="10">
        <f>Stock!I68*AF!H83*ACT2FLO!H24*AF!H51</f>
        <v>0</v>
      </c>
      <c r="I112" s="10">
        <f>Stock!J68*AF!I83*ACT2FLO!I24*AF!I51</f>
        <v>0</v>
      </c>
      <c r="J112" s="10">
        <f>Stock!K68*AF!J83*ACT2FLO!J24*AF!J51</f>
        <v>0</v>
      </c>
      <c r="K112" s="10">
        <f>Stock!L68*AF!K83*ACT2FLO!K24*AF!K51</f>
        <v>0</v>
      </c>
      <c r="L112" s="10">
        <f>Stock!M68*AF!L83*ACT2FLO!L24*AF!L51</f>
        <v>0</v>
      </c>
      <c r="M112" s="10">
        <f>Stock!N68*AF!M83*ACT2FLO!M24*AF!M51</f>
        <v>0</v>
      </c>
      <c r="N112" s="10">
        <f>Stock!O68*AF!N83*ACT2FLO!N24*AF!N51</f>
        <v>0</v>
      </c>
      <c r="O112" s="10">
        <f>Stock!P68*AF!O83*ACT2FLO!O24*AF!O51</f>
        <v>0</v>
      </c>
      <c r="P112" s="10">
        <f>Stock!Q68*AF!P83*ACT2FLO!P24*AF!P51</f>
        <v>0</v>
      </c>
      <c r="Q112" s="10">
        <f>Stock!R68*AF!Q83*ACT2FLO!Q24*AF!Q51</f>
        <v>0</v>
      </c>
      <c r="R112" s="10">
        <f>Stock!S68*AF!R83*ACT2FLO!R24*AF!R51</f>
        <v>0</v>
      </c>
      <c r="S112" s="10">
        <f>Stock!T68*AF!S83*ACT2FLO!S24*AF!S51</f>
        <v>0</v>
      </c>
      <c r="T112" s="10">
        <f>Stock!U68*AF!T83*ACT2FLO!T24*AF!T51</f>
        <v>0</v>
      </c>
      <c r="U112" s="10">
        <f>Stock!V68*AF!U83*ACT2FLO!U24*AF!U51</f>
        <v>0</v>
      </c>
      <c r="V112" s="10">
        <f>Stock!W68*AF!V83*ACT2FLO!V24*AF!V51</f>
        <v>0</v>
      </c>
      <c r="W112" s="10">
        <f>Stock!X68*AF!W83*ACT2FLO!W24*AF!W51</f>
        <v>0</v>
      </c>
      <c r="X112" s="10">
        <f>Stock!Y68*AF!X83*ACT2FLO!X24*AF!X51</f>
        <v>0</v>
      </c>
      <c r="Y112" s="10">
        <f>Stock!Z68*AF!Y83*ACT2FLO!Y24*AF!Y51</f>
        <v>0</v>
      </c>
      <c r="Z112" s="10">
        <f>Stock!AA68*AF!Z83*ACT2FLO!Z24*AF!Z51</f>
        <v>0</v>
      </c>
      <c r="AA112" s="10">
        <f>Stock!AB68*AF!AA83*ACT2FLO!AA24*AF!AA51</f>
        <v>0</v>
      </c>
      <c r="AB112" s="10">
        <f>Stock!AC68*AF!AB83*ACT2FLO!AB24*AF!AB51</f>
        <v>0</v>
      </c>
      <c r="AC112" s="10">
        <f>Stock!AD68*AF!AC83*ACT2FLO!AC24*AF!AC51</f>
        <v>0</v>
      </c>
      <c r="AD112" s="10">
        <f>Stock!AE68*AF!AD83*ACT2FLO!AD24*AF!AD51</f>
        <v>0</v>
      </c>
    </row>
    <row r="113" spans="2:30">
      <c r="B113" s="459" t="str">
        <f t="shared" si="67"/>
        <v>THRAIL_ELC_00</v>
      </c>
      <c r="C113" s="459" t="s">
        <v>919</v>
      </c>
      <c r="D113" s="10">
        <f>Stock!E69*AF!D84*ACT2FLO!D25*AF!D52</f>
        <v>0.64293853613072993</v>
      </c>
      <c r="E113" s="10">
        <f>Stock!F69*AF!E84*ACT2FLO!E25*AF!E52</f>
        <v>0</v>
      </c>
      <c r="F113" s="10">
        <f>Stock!G69*AF!F84*ACT2FLO!F25*AF!F52</f>
        <v>0.64293853613072993</v>
      </c>
      <c r="G113" s="10">
        <f>Stock!H69*AF!G84*ACT2FLO!G25*AF!G52</f>
        <v>0</v>
      </c>
      <c r="H113" s="10">
        <f>Stock!I69*AF!H84*ACT2FLO!H25*AF!H52</f>
        <v>0</v>
      </c>
      <c r="I113" s="10">
        <f>Stock!J69*AF!I84*ACT2FLO!I25*AF!I52</f>
        <v>0</v>
      </c>
      <c r="J113" s="10">
        <f>Stock!K69*AF!J84*ACT2FLO!J25*AF!J52</f>
        <v>0</v>
      </c>
      <c r="K113" s="10">
        <f>Stock!L69*AF!K84*ACT2FLO!K25*AF!K52</f>
        <v>0</v>
      </c>
      <c r="L113" s="10">
        <f>Stock!M69*AF!L84*ACT2FLO!L25*AF!L52</f>
        <v>0</v>
      </c>
      <c r="M113" s="10">
        <f>Stock!N69*AF!M84*ACT2FLO!M25*AF!M52</f>
        <v>0</v>
      </c>
      <c r="N113" s="10">
        <f>Stock!O69*AF!N84*ACT2FLO!N25*AF!N52</f>
        <v>0</v>
      </c>
      <c r="O113" s="10">
        <f>Stock!P69*AF!O84*ACT2FLO!O25*AF!O52</f>
        <v>0</v>
      </c>
      <c r="P113" s="10">
        <f>Stock!Q69*AF!P84*ACT2FLO!P25*AF!P52</f>
        <v>0</v>
      </c>
      <c r="Q113" s="10">
        <f>Stock!R69*AF!Q84*ACT2FLO!Q25*AF!Q52</f>
        <v>0</v>
      </c>
      <c r="R113" s="10">
        <f>Stock!S69*AF!R84*ACT2FLO!R25*AF!R52</f>
        <v>0</v>
      </c>
      <c r="S113" s="10">
        <f>Stock!T69*AF!S84*ACT2FLO!S25*AF!S52</f>
        <v>0</v>
      </c>
      <c r="T113" s="10">
        <f>Stock!U69*AF!T84*ACT2FLO!T25*AF!T52</f>
        <v>0</v>
      </c>
      <c r="U113" s="10">
        <f>Stock!V69*AF!U84*ACT2FLO!U25*AF!U52</f>
        <v>0</v>
      </c>
      <c r="V113" s="10">
        <f>Stock!W69*AF!V84*ACT2FLO!V25*AF!V52</f>
        <v>0</v>
      </c>
      <c r="W113" s="10">
        <f>Stock!X69*AF!W84*ACT2FLO!W25*AF!W52</f>
        <v>0</v>
      </c>
      <c r="X113" s="10">
        <f>Stock!Y69*AF!X84*ACT2FLO!X25*AF!X52</f>
        <v>0</v>
      </c>
      <c r="Y113" s="10">
        <f>Stock!Z69*AF!Y84*ACT2FLO!Y25*AF!Y52</f>
        <v>0</v>
      </c>
      <c r="Z113" s="10">
        <f>Stock!AA69*AF!Z84*ACT2FLO!Z25*AF!Z52</f>
        <v>0</v>
      </c>
      <c r="AA113" s="10">
        <f>Stock!AB69*AF!AA84*ACT2FLO!AA25*AF!AA52</f>
        <v>0</v>
      </c>
      <c r="AB113" s="10">
        <f>Stock!AC69*AF!AB84*ACT2FLO!AB25*AF!AB52</f>
        <v>0</v>
      </c>
      <c r="AC113" s="10">
        <f>Stock!AD69*AF!AC84*ACT2FLO!AC25*AF!AC52</f>
        <v>0</v>
      </c>
      <c r="AD113" s="10">
        <f>Stock!AE69*AF!AD84*ACT2FLO!AD25*AF!AD52</f>
        <v>0</v>
      </c>
    </row>
    <row r="114" spans="2:30">
      <c r="B114" s="459" t="str">
        <f t="shared" si="67"/>
        <v>THRAIL_DST_00</v>
      </c>
      <c r="C114" s="459" t="s">
        <v>919</v>
      </c>
      <c r="D114" s="10">
        <f>Stock!E70*AF!D85*ACT2FLO!D26*AF!D53</f>
        <v>1.2767155199999995</v>
      </c>
      <c r="E114" s="10">
        <f>Stock!F70*AF!E85*ACT2FLO!E26*AF!E53</f>
        <v>1.5264180732683506E-2</v>
      </c>
      <c r="F114" s="10">
        <f>Stock!G70*AF!F85*ACT2FLO!F26*AF!F53</f>
        <v>0.36124378711107558</v>
      </c>
      <c r="G114" s="10">
        <f>Stock!H70*AF!G85*ACT2FLO!G26*AF!G53</f>
        <v>5.9656103241498823E-2</v>
      </c>
      <c r="H114" s="10">
        <f>Stock!I70*AF!H85*ACT2FLO!H26*AF!H53</f>
        <v>2.6605339395518336E-2</v>
      </c>
      <c r="I114" s="10">
        <f>Stock!J70*AF!I85*ACT2FLO!I26*AF!I53</f>
        <v>2.2708324237969767E-2</v>
      </c>
      <c r="J114" s="10">
        <f>Stock!K70*AF!J85*ACT2FLO!J26*AF!J53</f>
        <v>1.0958562128275364E-2</v>
      </c>
      <c r="K114" s="10">
        <f>Stock!L70*AF!K85*ACT2FLO!K26*AF!K53</f>
        <v>3.4555411184416164E-2</v>
      </c>
      <c r="L114" s="10">
        <f>Stock!M70*AF!L85*ACT2FLO!L26*AF!L53</f>
        <v>5.2293734048084066E-2</v>
      </c>
      <c r="M114" s="10">
        <f>Stock!N70*AF!M85*ACT2FLO!M26*AF!M53</f>
        <v>2.0902318451850258E-2</v>
      </c>
      <c r="N114" s="10">
        <f>Stock!O70*AF!N85*ACT2FLO!N26*AF!N53</f>
        <v>2.3800346442076774E-2</v>
      </c>
      <c r="O114" s="10">
        <f>Stock!P70*AF!O85*ACT2FLO!O26*AF!O53</f>
        <v>4.0142339416476505E-2</v>
      </c>
      <c r="P114" s="10">
        <f>Stock!Q70*AF!P85*ACT2FLO!P26*AF!P53</f>
        <v>3.8185922519013003E-2</v>
      </c>
      <c r="Q114" s="10">
        <f>Stock!R70*AF!Q85*ACT2FLO!Q26*AF!Q53</f>
        <v>3.1856322667660655E-2</v>
      </c>
      <c r="R114" s="10">
        <f>Stock!S70*AF!R85*ACT2FLO!R26*AF!R53</f>
        <v>0.1455496955313432</v>
      </c>
      <c r="S114" s="10">
        <f>Stock!T70*AF!S85*ACT2FLO!S26*AF!S53</f>
        <v>3.9602092733128702E-2</v>
      </c>
      <c r="T114" s="10">
        <f>Stock!U70*AF!T85*ACT2FLO!T26*AF!T53</f>
        <v>5.2254857735882849E-2</v>
      </c>
      <c r="U114" s="10">
        <f>Stock!V70*AF!U85*ACT2FLO!U26*AF!U53</f>
        <v>4.2778153383718334E-2</v>
      </c>
      <c r="V114" s="10">
        <f>Stock!W70*AF!V85*ACT2FLO!V26*AF!V53</f>
        <v>3.1148237560602809E-2</v>
      </c>
      <c r="W114" s="10">
        <f>Stock!X70*AF!W85*ACT2FLO!W26*AF!W53</f>
        <v>6.9188574993234747E-2</v>
      </c>
      <c r="X114" s="10">
        <f>Stock!Y70*AF!X85*ACT2FLO!X26*AF!X53</f>
        <v>8.5913968839687778E-3</v>
      </c>
      <c r="Y114" s="10">
        <f>Stock!Z70*AF!Y85*ACT2FLO!Y26*AF!Y53</f>
        <v>3.4990557768571746E-2</v>
      </c>
      <c r="Z114" s="10">
        <f>Stock!AA70*AF!Z85*ACT2FLO!Z26*AF!Z53</f>
        <v>1.7305053066997901E-2</v>
      </c>
      <c r="AA114" s="10">
        <f>Stock!AB70*AF!AA85*ACT2FLO!AA26*AF!AA53</f>
        <v>1.7570752552455802E-2</v>
      </c>
      <c r="AB114" s="10">
        <f>Stock!AC70*AF!AB85*ACT2FLO!AB26*AF!AB53</f>
        <v>2.0423737643028506E-2</v>
      </c>
      <c r="AC114" s="10">
        <f>Stock!AD70*AF!AC85*ACT2FLO!AC26*AF!AC53</f>
        <v>4.2681364771962209E-2</v>
      </c>
      <c r="AD114" s="10">
        <f>Stock!AE70*AF!AD85*ACT2FLO!AD26*AF!AD53</f>
        <v>1.6458353798505406E-2</v>
      </c>
    </row>
    <row r="115" spans="2:30">
      <c r="B115" s="459" t="str">
        <f t="shared" si="67"/>
        <v>TFGV_GSL_00</v>
      </c>
      <c r="C115" s="459" t="s">
        <v>920</v>
      </c>
      <c r="D115" s="661">
        <f>Stock!E72*AF!D86*ACT2FLO!D28*AF!D54</f>
        <v>2.164840342288684E-2</v>
      </c>
      <c r="E115" s="661">
        <f>Stock!F72*AF!E86*ACT2FLO!E28*AF!E54</f>
        <v>2.5104853698103112E-4</v>
      </c>
      <c r="F115" s="661">
        <f>Stock!G72*AF!F86*ACT2FLO!F28*AF!F54</f>
        <v>7.1005950188682936E-3</v>
      </c>
      <c r="G115" s="661">
        <f>Stock!H72*AF!G86*ACT2FLO!G28*AF!G54</f>
        <v>1.1318313351552107E-3</v>
      </c>
      <c r="H115" s="661">
        <f>Stock!I72*AF!H86*ACT2FLO!H28*AF!H54</f>
        <v>3.3301705254797927E-4</v>
      </c>
      <c r="I115" s="661">
        <f>Stock!J72*AF!I86*ACT2FLO!I28*AF!I54</f>
        <v>4.8921550474853928E-4</v>
      </c>
      <c r="J115" s="661">
        <f>Stock!K72*AF!J86*ACT2FLO!J28*AF!J54</f>
        <v>1.5734746924047689E-4</v>
      </c>
      <c r="K115" s="661">
        <f>Stock!L72*AF!K86*ACT2FLO!K28*AF!K54</f>
        <v>4.6546858356875286E-4</v>
      </c>
      <c r="L115" s="661">
        <f>Stock!M72*AF!L86*ACT2FLO!L28*AF!L54</f>
        <v>4.1863551197704896E-4</v>
      </c>
      <c r="M115" s="661">
        <f>Stock!N72*AF!M86*ACT2FLO!M28*AF!M54</f>
        <v>2.6736490627490362E-4</v>
      </c>
      <c r="N115" s="661">
        <f>Stock!O72*AF!N86*ACT2FLO!N28*AF!N54</f>
        <v>3.2706359479432929E-4</v>
      </c>
      <c r="O115" s="661">
        <f>Stock!P72*AF!O86*ACT2FLO!O28*AF!O54</f>
        <v>7.1531727141522659E-4</v>
      </c>
      <c r="P115" s="661">
        <f>Stock!Q72*AF!P86*ACT2FLO!P28*AF!P54</f>
        <v>9.9340854232264609E-4</v>
      </c>
      <c r="Q115" s="661">
        <f>Stock!R72*AF!Q86*ACT2FLO!Q28*AF!Q54</f>
        <v>3.9812702174187698E-4</v>
      </c>
      <c r="R115" s="661">
        <f>Stock!S72*AF!R86*ACT2FLO!R28*AF!R54</f>
        <v>3.7348926178985406E-3</v>
      </c>
      <c r="S115" s="661">
        <f>Stock!T72*AF!S86*ACT2FLO!S28*AF!S54</f>
        <v>6.4037517197439219E-4</v>
      </c>
      <c r="T115" s="661">
        <f>Stock!U72*AF!T86*ACT2FLO!T28*AF!T54</f>
        <v>4.7632045115647369E-4</v>
      </c>
      <c r="U115" s="661">
        <f>Stock!V72*AF!U86*ACT2FLO!U28*AF!U54</f>
        <v>6.2158256394188643E-4</v>
      </c>
      <c r="V115" s="661">
        <f>Stock!W72*AF!V86*ACT2FLO!V28*AF!V54</f>
        <v>1.0456178102605427E-3</v>
      </c>
      <c r="W115" s="661">
        <f>Stock!X72*AF!W86*ACT2FLO!W28*AF!W54</f>
        <v>9.8286724218005369E-4</v>
      </c>
      <c r="X115" s="661">
        <f>Stock!Y72*AF!X86*ACT2FLO!X28*AF!X54</f>
        <v>3.9627410446305597E-5</v>
      </c>
      <c r="Y115" s="661">
        <f>Stock!Z72*AF!Y86*ACT2FLO!Y28*AF!Y54</f>
        <v>3.3124339209564897E-4</v>
      </c>
      <c r="Z115" s="661">
        <f>Stock!AA72*AF!Z86*ACT2FLO!Z28*AF!Z54</f>
        <v>2.9397476737982311E-4</v>
      </c>
      <c r="AA115" s="661">
        <f>Stock!AB72*AF!AA86*ACT2FLO!AA28*AF!AA54</f>
        <v>2.1206319861742935E-4</v>
      </c>
      <c r="AB115" s="661">
        <f>Stock!AC72*AF!AB86*ACT2FLO!AB28*AF!AB54</f>
        <v>1.1406919710170519E-4</v>
      </c>
      <c r="AC115" s="661">
        <f>Stock!AD72*AF!AC86*ACT2FLO!AC28*AF!AC54</f>
        <v>6.522739233586031E-4</v>
      </c>
      <c r="AD115" s="661">
        <f>Stock!AE72*AF!AD86*ACT2FLO!AD28*AF!AD54</f>
        <v>1.6860860044126054E-4</v>
      </c>
    </row>
    <row r="116" spans="2:30">
      <c r="B116" s="459" t="str">
        <f t="shared" si="67"/>
        <v>TFGV_DST_00</v>
      </c>
      <c r="C116" s="459" t="s">
        <v>920</v>
      </c>
      <c r="D116" s="661">
        <f>Stock!E73*AF!D87*ACT2FLO!D29*AF!D55</f>
        <v>11.515802048368899</v>
      </c>
      <c r="E116" s="661">
        <f>Stock!F73*AF!E87*ACT2FLO!E29*AF!E55</f>
        <v>0.17831523487375972</v>
      </c>
      <c r="F116" s="661">
        <f>Stock!G73*AF!F87*ACT2FLO!F29*AF!F55</f>
        <v>2.623322070130198</v>
      </c>
      <c r="G116" s="661">
        <f>Stock!H73*AF!G87*ACT2FLO!G29*AF!G55</f>
        <v>0.48064362064018096</v>
      </c>
      <c r="H116" s="661">
        <f>Stock!I73*AF!H87*ACT2FLO!H29*AF!H55</f>
        <v>0.30992171647472655</v>
      </c>
      <c r="I116" s="661">
        <f>Stock!J73*AF!I87*ACT2FLO!I29*AF!I55</f>
        <v>0.22096146847160858</v>
      </c>
      <c r="J116" s="661">
        <f>Stock!K73*AF!J87*ACT2FLO!J29*AF!J55</f>
        <v>0.10611747951238656</v>
      </c>
      <c r="K116" s="661">
        <f>Stock!L73*AF!K87*ACT2FLO!K29*AF!K55</f>
        <v>0.27905891042039888</v>
      </c>
      <c r="L116" s="661">
        <f>Stock!M73*AF!L87*ACT2FLO!L29*AF!L55</f>
        <v>0.42241903134100711</v>
      </c>
      <c r="M116" s="661">
        <f>Stock!N73*AF!M87*ACT2FLO!M29*AF!M55</f>
        <v>0.20364689151443421</v>
      </c>
      <c r="N116" s="661">
        <f>Stock!O73*AF!N87*ACT2FLO!N29*AF!N55</f>
        <v>0.23091271539294689</v>
      </c>
      <c r="O116" s="661">
        <f>Stock!P73*AF!O87*ACT2FLO!O29*AF!O55</f>
        <v>0.46762781773028461</v>
      </c>
      <c r="P116" s="661">
        <f>Stock!Q73*AF!P87*ACT2FLO!P29*AF!P55</f>
        <v>0.30756171487156758</v>
      </c>
      <c r="Q116" s="661">
        <f>Stock!R73*AF!Q87*ACT2FLO!Q29*AF!Q55</f>
        <v>0.30319313261881986</v>
      </c>
      <c r="R116" s="661">
        <f>Stock!S73*AF!R87*ACT2FLO!R29*AF!R55</f>
        <v>1.6214858766547695</v>
      </c>
      <c r="S116" s="661">
        <f>Stock!T73*AF!S87*ACT2FLO!S29*AF!S55</f>
        <v>0.44101171768980063</v>
      </c>
      <c r="T116" s="661">
        <f>Stock!U73*AF!T87*ACT2FLO!T29*AF!T55</f>
        <v>0.49785335754809434</v>
      </c>
      <c r="U116" s="661">
        <f>Stock!V73*AF!U87*ACT2FLO!U29*AF!U55</f>
        <v>0.4079011218426794</v>
      </c>
      <c r="V116" s="661">
        <f>Stock!W73*AF!V87*ACT2FLO!V29*AF!V55</f>
        <v>0.36194388636097385</v>
      </c>
      <c r="W116" s="661">
        <f>Stock!X73*AF!W87*ACT2FLO!W29*AF!W55</f>
        <v>0.60416017185261139</v>
      </c>
      <c r="X116" s="661">
        <f>Stock!Y73*AF!X87*ACT2FLO!X29*AF!X55</f>
        <v>8.0951514074208059E-2</v>
      </c>
      <c r="Y116" s="661">
        <f>Stock!Z73*AF!Y87*ACT2FLO!Y29*AF!Y55</f>
        <v>0.30538912043715088</v>
      </c>
      <c r="Z116" s="661">
        <f>Stock!AA73*AF!Z87*ACT2FLO!Z29*AF!Z55</f>
        <v>0.15066075123414382</v>
      </c>
      <c r="AA116" s="661">
        <f>Stock!AB73*AF!AA87*ACT2FLO!AA29*AF!AA55</f>
        <v>0.16530194580376426</v>
      </c>
      <c r="AB116" s="661">
        <f>Stock!AC73*AF!AB87*ACT2FLO!AB29*AF!AB55</f>
        <v>0.19221669821120285</v>
      </c>
      <c r="AC116" s="661">
        <f>Stock!AD73*AF!AC87*ACT2FLO!AC29*AF!AC55</f>
        <v>0.40030345925711147</v>
      </c>
      <c r="AD116" s="661">
        <f>Stock!AE73*AF!AD87*ACT2FLO!AD29*AF!AD55</f>
        <v>0.15479026354501751</v>
      </c>
    </row>
    <row r="117" spans="2:30">
      <c r="B117" s="458" t="str">
        <f t="shared" si="67"/>
        <v>TFRAIL_DST_00</v>
      </c>
      <c r="C117" s="458" t="s">
        <v>920</v>
      </c>
      <c r="D117" s="662">
        <f>Stock!E74*AF!D88*ACT2FLO!D30*AF!D56</f>
        <v>9.0838999999999989E-2</v>
      </c>
      <c r="E117" s="662">
        <f>Stock!F74*AF!E88*ACT2FLO!E30*AF!E56</f>
        <v>0</v>
      </c>
      <c r="F117" s="662">
        <f>Stock!G74*AF!F88*ACT2FLO!F30*AF!F56</f>
        <v>9.0838999999999989E-2</v>
      </c>
      <c r="G117" s="662">
        <f>Stock!H74*AF!G88*ACT2FLO!G30*AF!G56</f>
        <v>0</v>
      </c>
      <c r="H117" s="662">
        <f>Stock!I74*AF!H88*ACT2FLO!H30*AF!H56</f>
        <v>0</v>
      </c>
      <c r="I117" s="662">
        <f>Stock!J74*AF!I88*ACT2FLO!I30*AF!I56</f>
        <v>0</v>
      </c>
      <c r="J117" s="662">
        <f>Stock!K74*AF!J88*ACT2FLO!J30*AF!J56</f>
        <v>0</v>
      </c>
      <c r="K117" s="662">
        <f>Stock!L74*AF!K88*ACT2FLO!K30*AF!K56</f>
        <v>0</v>
      </c>
      <c r="L117" s="662">
        <f>Stock!M74*AF!L88*ACT2FLO!L30*AF!L56</f>
        <v>9.0838999999999989E-2</v>
      </c>
      <c r="M117" s="662">
        <f>Stock!N74*AF!M88*ACT2FLO!M30*AF!M56</f>
        <v>0</v>
      </c>
      <c r="N117" s="662">
        <f>Stock!O74*AF!N88*ACT2FLO!N30*AF!N56</f>
        <v>0</v>
      </c>
      <c r="O117" s="662">
        <f>Stock!P74*AF!O88*ACT2FLO!O30*AF!O56</f>
        <v>0</v>
      </c>
      <c r="P117" s="662">
        <f>Stock!Q74*AF!P88*ACT2FLO!P30*AF!P56</f>
        <v>0</v>
      </c>
      <c r="Q117" s="662">
        <f>Stock!R74*AF!Q88*ACT2FLO!Q30*AF!Q56</f>
        <v>0</v>
      </c>
      <c r="R117" s="662">
        <f>Stock!S74*AF!R88*ACT2FLO!R30*AF!R56</f>
        <v>0</v>
      </c>
      <c r="S117" s="662">
        <f>Stock!T74*AF!S88*ACT2FLO!S30*AF!S56</f>
        <v>0</v>
      </c>
      <c r="T117" s="662">
        <f>Stock!U74*AF!T88*ACT2FLO!T30*AF!T56</f>
        <v>0</v>
      </c>
      <c r="U117" s="662">
        <f>Stock!V74*AF!U88*ACT2FLO!U30*AF!U56</f>
        <v>0</v>
      </c>
      <c r="V117" s="662">
        <f>Stock!W74*AF!V88*ACT2FLO!V30*AF!V56</f>
        <v>9.0838999999999989E-2</v>
      </c>
      <c r="W117" s="662">
        <f>Stock!X74*AF!W88*ACT2FLO!W30*AF!W56</f>
        <v>0</v>
      </c>
      <c r="X117" s="662">
        <f>Stock!Y74*AF!X88*ACT2FLO!X30*AF!X56</f>
        <v>0</v>
      </c>
      <c r="Y117" s="662">
        <f>Stock!Z74*AF!Y88*ACT2FLO!Y30*AF!Y56</f>
        <v>9.0838999999999989E-2</v>
      </c>
      <c r="Z117" s="662">
        <f>Stock!AA74*AF!Z88*ACT2FLO!Z30*AF!Z56</f>
        <v>0</v>
      </c>
      <c r="AA117" s="662">
        <f>Stock!AB74*AF!AA88*ACT2FLO!AA30*AF!AA56</f>
        <v>0</v>
      </c>
      <c r="AB117" s="662">
        <f>Stock!AC74*AF!AB88*ACT2FLO!AB30*AF!AB56</f>
        <v>0</v>
      </c>
      <c r="AC117" s="662">
        <f>Stock!AD74*AF!AC88*ACT2FLO!AC30*AF!AC56</f>
        <v>0</v>
      </c>
      <c r="AD117" s="662">
        <f>Stock!AE74*AF!AD88*ACT2FLO!AD30*AF!AD56</f>
        <v>0</v>
      </c>
    </row>
  </sheetData>
  <phoneticPr fontId="37" type="noConversion"/>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2.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Primary</vt:lpstr>
      <vt:lpstr>Secondary</vt:lpstr>
      <vt:lpstr>Commodities</vt:lpstr>
      <vt:lpstr>Blending</vt:lpstr>
      <vt:lpstr>Stock</vt:lpstr>
      <vt:lpstr>Demands</vt:lpstr>
      <vt:lpstr>On-Road Fac.</vt:lpstr>
      <vt:lpstr>ACT2FLO</vt:lpstr>
      <vt:lpstr>Efficiency</vt:lpstr>
      <vt:lpstr>AF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vahid Aryanpur</cp:lastModifiedBy>
  <dcterms:created xsi:type="dcterms:W3CDTF">2015-07-22T10:23:34Z</dcterms:created>
  <dcterms:modified xsi:type="dcterms:W3CDTF">2020-11-17T07:41:23Z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831127405166625</vt:r8>
  </property>
</Properties>
</file>