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49B0962E-D299-408B-8F3B-4F123DF66483}" xr6:coauthVersionLast="46" xr6:coauthVersionMax="46" xr10:uidLastSave="{00000000-0000-0000-0000-000000000000}"/>
  <bookViews>
    <workbookView xWindow="-108" yWindow="-108" windowWidth="23256" windowHeight="12576" firstSheet="4" activeTab="9"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450" i="43" l="1"/>
  <c r="Q30" i="58" s="1"/>
  <c r="Q451" i="43"/>
  <c r="R31" i="58" s="1"/>
  <c r="O451" i="43"/>
  <c r="P31" i="58" s="1"/>
  <c r="S451" i="43"/>
  <c r="T31" i="58" s="1"/>
  <c r="X450" i="43"/>
  <c r="Y30" i="58" s="1"/>
  <c r="J451" i="43"/>
  <c r="K31" i="58" s="1"/>
  <c r="AC451" i="43"/>
  <c r="AD31" i="58" s="1"/>
  <c r="C480" i="43"/>
  <c r="C481" i="43"/>
  <c r="D480" i="43"/>
  <c r="E480" i="43"/>
  <c r="F480" i="43"/>
  <c r="G480" i="43"/>
  <c r="H480" i="43"/>
  <c r="I480" i="43"/>
  <c r="J480" i="43"/>
  <c r="K480" i="43"/>
  <c r="L480" i="43"/>
  <c r="M480" i="43"/>
  <c r="N480" i="43"/>
  <c r="O480" i="43"/>
  <c r="P480" i="43"/>
  <c r="Q480" i="43"/>
  <c r="R480" i="43"/>
  <c r="S480" i="43"/>
  <c r="T480" i="43"/>
  <c r="U480" i="43"/>
  <c r="V480" i="43"/>
  <c r="W480" i="43"/>
  <c r="X480" i="43"/>
  <c r="Y480" i="43"/>
  <c r="Z480" i="43"/>
  <c r="AA480" i="43"/>
  <c r="AB480" i="43"/>
  <c r="AC480" i="43"/>
  <c r="D481" i="43"/>
  <c r="E481" i="43"/>
  <c r="F481" i="43"/>
  <c r="G481" i="43"/>
  <c r="H481" i="43"/>
  <c r="I481" i="43"/>
  <c r="J481" i="43"/>
  <c r="K481" i="43"/>
  <c r="L481" i="43"/>
  <c r="M481" i="43"/>
  <c r="N481" i="43"/>
  <c r="O481" i="43"/>
  <c r="P481" i="43"/>
  <c r="Q481" i="43"/>
  <c r="R481" i="43"/>
  <c r="S481" i="43"/>
  <c r="T481" i="43"/>
  <c r="U481" i="43"/>
  <c r="V481" i="43"/>
  <c r="W481" i="43"/>
  <c r="X481" i="43"/>
  <c r="Y481" i="43"/>
  <c r="Z481" i="43"/>
  <c r="AA481" i="43"/>
  <c r="AB481" i="43"/>
  <c r="AC481" i="43"/>
  <c r="L457" i="43"/>
  <c r="D442" i="43"/>
  <c r="D451" i="43" s="1"/>
  <c r="E31" i="58" s="1"/>
  <c r="E442" i="43"/>
  <c r="E451" i="43" s="1"/>
  <c r="F31" i="58" s="1"/>
  <c r="F442" i="43"/>
  <c r="F451" i="43" s="1"/>
  <c r="G31" i="58" s="1"/>
  <c r="G442" i="43"/>
  <c r="G451" i="43" s="1"/>
  <c r="H31" i="58" s="1"/>
  <c r="H442" i="43"/>
  <c r="H451" i="43" s="1"/>
  <c r="I31" i="58" s="1"/>
  <c r="I442" i="43"/>
  <c r="I451" i="43" s="1"/>
  <c r="J31" i="58" s="1"/>
  <c r="J442" i="43"/>
  <c r="K442" i="43"/>
  <c r="K451" i="43" s="1"/>
  <c r="L31" i="58" s="1"/>
  <c r="L442" i="43"/>
  <c r="L451" i="43" s="1"/>
  <c r="M31" i="58" s="1"/>
  <c r="M442" i="43"/>
  <c r="M451" i="43" s="1"/>
  <c r="N31" i="58" s="1"/>
  <c r="N442" i="43"/>
  <c r="N451" i="43" s="1"/>
  <c r="O31" i="58" s="1"/>
  <c r="O442" i="43"/>
  <c r="P442" i="43"/>
  <c r="P451" i="43" s="1"/>
  <c r="Q31" i="58" s="1"/>
  <c r="Q442" i="43"/>
  <c r="R442" i="43"/>
  <c r="R451" i="43" s="1"/>
  <c r="S31" i="58" s="1"/>
  <c r="S442" i="43"/>
  <c r="T442" i="43"/>
  <c r="T451" i="43" s="1"/>
  <c r="U31" i="58" s="1"/>
  <c r="U442" i="43"/>
  <c r="U451" i="43" s="1"/>
  <c r="V31" i="58" s="1"/>
  <c r="V442" i="43"/>
  <c r="V451" i="43" s="1"/>
  <c r="W31" i="58" s="1"/>
  <c r="W442" i="43"/>
  <c r="W451" i="43" s="1"/>
  <c r="X31" i="58" s="1"/>
  <c r="X442" i="43"/>
  <c r="X451" i="43" s="1"/>
  <c r="Y31" i="58" s="1"/>
  <c r="Y442" i="43"/>
  <c r="Y451" i="43" s="1"/>
  <c r="Z31" i="58" s="1"/>
  <c r="Z442" i="43"/>
  <c r="Z451" i="43" s="1"/>
  <c r="AA31" i="58" s="1"/>
  <c r="AA442" i="43"/>
  <c r="AA451" i="43" s="1"/>
  <c r="AB31" i="58" s="1"/>
  <c r="AB442" i="43"/>
  <c r="AB451" i="43" s="1"/>
  <c r="AC31" i="58" s="1"/>
  <c r="AC442" i="43"/>
  <c r="C442" i="43"/>
  <c r="C451" i="43" s="1"/>
  <c r="D31" i="58" s="1"/>
  <c r="D441" i="43"/>
  <c r="D450" i="43" s="1"/>
  <c r="E30" i="58" s="1"/>
  <c r="E441" i="43"/>
  <c r="E450" i="43" s="1"/>
  <c r="F30" i="58" s="1"/>
  <c r="F441" i="43"/>
  <c r="F450" i="43" s="1"/>
  <c r="G30" i="58" s="1"/>
  <c r="G441" i="43"/>
  <c r="G450" i="43" s="1"/>
  <c r="H30" i="58" s="1"/>
  <c r="H441" i="43"/>
  <c r="H450" i="43" s="1"/>
  <c r="I30" i="58" s="1"/>
  <c r="I441" i="43"/>
  <c r="I450" i="43" s="1"/>
  <c r="J30" i="58" s="1"/>
  <c r="J441" i="43"/>
  <c r="J450" i="43" s="1"/>
  <c r="K30" i="58" s="1"/>
  <c r="K441" i="43"/>
  <c r="K450" i="43" s="1"/>
  <c r="L30" i="58" s="1"/>
  <c r="L441" i="43"/>
  <c r="L450" i="43" s="1"/>
  <c r="M30" i="58" s="1"/>
  <c r="M441" i="43"/>
  <c r="M450" i="43" s="1"/>
  <c r="N30" i="58" s="1"/>
  <c r="N441" i="43"/>
  <c r="N450" i="43" s="1"/>
  <c r="O30" i="58" s="1"/>
  <c r="O441" i="43"/>
  <c r="O450" i="43" s="1"/>
  <c r="P30" i="58" s="1"/>
  <c r="P441" i="43"/>
  <c r="Q441" i="43"/>
  <c r="Q450" i="43" s="1"/>
  <c r="R30" i="58" s="1"/>
  <c r="R441" i="43"/>
  <c r="R450" i="43" s="1"/>
  <c r="S30" i="58" s="1"/>
  <c r="S441" i="43"/>
  <c r="S450" i="43" s="1"/>
  <c r="T30" i="58" s="1"/>
  <c r="T441" i="43"/>
  <c r="T450" i="43" s="1"/>
  <c r="U30" i="58" s="1"/>
  <c r="U441" i="43"/>
  <c r="U450" i="43" s="1"/>
  <c r="V30" i="58" s="1"/>
  <c r="V441" i="43"/>
  <c r="V450" i="43" s="1"/>
  <c r="W30" i="58" s="1"/>
  <c r="W441" i="43"/>
  <c r="W450" i="43" s="1"/>
  <c r="X30" i="58" s="1"/>
  <c r="X441" i="43"/>
  <c r="Y441" i="43"/>
  <c r="Y450" i="43" s="1"/>
  <c r="Z30" i="58" s="1"/>
  <c r="Z441" i="43"/>
  <c r="Z450" i="43" s="1"/>
  <c r="AA30" i="58" s="1"/>
  <c r="AA441" i="43"/>
  <c r="AA450" i="43" s="1"/>
  <c r="AB30" i="58" s="1"/>
  <c r="AB441" i="43"/>
  <c r="AB450" i="43" s="1"/>
  <c r="AC30" i="58" s="1"/>
  <c r="AC441" i="43"/>
  <c r="AC450" i="43" s="1"/>
  <c r="AD30" i="58" s="1"/>
  <c r="C441" i="43"/>
  <c r="C450" i="43" s="1"/>
  <c r="D30" i="58" s="1"/>
  <c r="C440" i="43"/>
  <c r="C449" i="43" s="1"/>
  <c r="E71" i="58"/>
  <c r="BM92" i="59"/>
  <c r="BN92" i="59"/>
  <c r="BO92" i="59"/>
  <c r="BP92" i="59"/>
  <c r="BQ92" i="59"/>
  <c r="BR92" i="59"/>
  <c r="BS92" i="59"/>
  <c r="BT92" i="59"/>
  <c r="BU92" i="59"/>
  <c r="BV92" i="59"/>
  <c r="BW92" i="59"/>
  <c r="BX92" i="59"/>
  <c r="BY92" i="59"/>
  <c r="BZ92" i="59"/>
  <c r="CA92" i="59"/>
  <c r="CB92" i="59"/>
  <c r="CC92" i="59"/>
  <c r="CD92" i="59"/>
  <c r="CE92" i="59"/>
  <c r="CF92" i="59"/>
  <c r="CG92" i="59"/>
  <c r="CH92" i="59"/>
  <c r="CI92" i="59"/>
  <c r="CJ92" i="59"/>
  <c r="CK92" i="59"/>
  <c r="CL92" i="59"/>
  <c r="BL92" i="59"/>
  <c r="BK94" i="59"/>
  <c r="BK95" i="59"/>
  <c r="BK96" i="59"/>
  <c r="BK97" i="59"/>
  <c r="BK93" i="59"/>
  <c r="E32" i="58"/>
  <c r="F32" i="58"/>
  <c r="G32" i="58"/>
  <c r="H32" i="58"/>
  <c r="I32" i="58"/>
  <c r="J32" i="58"/>
  <c r="K32" i="58"/>
  <c r="L32" i="58"/>
  <c r="M32" i="58"/>
  <c r="N32" i="58"/>
  <c r="O32" i="58"/>
  <c r="P32" i="58"/>
  <c r="Q32" i="58"/>
  <c r="R32" i="58"/>
  <c r="S32" i="58"/>
  <c r="T32" i="58"/>
  <c r="U32" i="58"/>
  <c r="V32" i="58"/>
  <c r="W32" i="58"/>
  <c r="X32" i="58"/>
  <c r="Y32" i="58"/>
  <c r="Z32" i="58"/>
  <c r="AA32" i="58"/>
  <c r="AB32" i="58"/>
  <c r="AC32" i="58"/>
  <c r="AD32" i="58"/>
  <c r="D32" i="58"/>
  <c r="BL97" i="59" s="1"/>
  <c r="F461" i="43"/>
  <c r="L459" i="43" s="1"/>
  <c r="F459" i="43"/>
  <c r="L458" i="43" s="1"/>
  <c r="F457" i="43"/>
  <c r="E70" i="58" s="1"/>
  <c r="E458" i="43"/>
  <c r="E462" i="43"/>
  <c r="E461" i="43"/>
  <c r="E460" i="43"/>
  <c r="E459" i="43"/>
  <c r="D645" i="43"/>
  <c r="F645" i="43"/>
  <c r="G645" i="43"/>
  <c r="H645" i="43"/>
  <c r="I645" i="43"/>
  <c r="J645" i="43"/>
  <c r="L645" i="43"/>
  <c r="M645" i="43"/>
  <c r="N645" i="43"/>
  <c r="O645" i="43"/>
  <c r="P645" i="43"/>
  <c r="Q645" i="43"/>
  <c r="R645" i="43"/>
  <c r="S645" i="43"/>
  <c r="T645" i="43"/>
  <c r="V645" i="43"/>
  <c r="W645" i="43"/>
  <c r="Y645" i="43"/>
  <c r="Z645" i="43"/>
  <c r="AA645" i="43"/>
  <c r="AB645" i="43"/>
  <c r="AC645" i="43"/>
  <c r="D34" i="58"/>
  <c r="C470" i="43"/>
  <c r="C642" i="43" s="1"/>
  <c r="C17" i="68"/>
  <c r="J18" i="68"/>
  <c r="K18" i="68"/>
  <c r="L18" i="68"/>
  <c r="M18" i="68"/>
  <c r="I18" i="68"/>
  <c r="E19" i="68"/>
  <c r="D18" i="68"/>
  <c r="D17" i="68"/>
  <c r="C14" i="68"/>
  <c r="D12" i="65"/>
  <c r="B11" i="65"/>
  <c r="M12" i="65"/>
  <c r="M13" i="65"/>
  <c r="AM55" i="56"/>
  <c r="C18" i="43"/>
  <c r="X18" i="43" s="1"/>
  <c r="X645"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D29" i="58" l="1"/>
  <c r="D28" i="58"/>
  <c r="D449" i="43"/>
  <c r="D440" i="43"/>
  <c r="D443" i="43" s="1"/>
  <c r="C443" i="43"/>
  <c r="E73" i="58"/>
  <c r="F70" i="58"/>
  <c r="E72" i="58"/>
  <c r="C645" i="43"/>
  <c r="C479" i="43"/>
  <c r="B12" i="65"/>
  <c r="L12" i="65" s="1"/>
  <c r="K18" i="43"/>
  <c r="K645" i="43" s="1"/>
  <c r="E18" i="43"/>
  <c r="E645" i="43" s="1"/>
  <c r="U18" i="43"/>
  <c r="U645" i="43" s="1"/>
  <c r="E29" i="58" l="1"/>
  <c r="E28" i="58"/>
  <c r="F73" i="58"/>
  <c r="F72" i="58"/>
  <c r="G70" i="58"/>
  <c r="A25" i="60"/>
  <c r="A60" i="60" s="1"/>
  <c r="A26" i="60"/>
  <c r="A61" i="60" s="1"/>
  <c r="B28" i="58"/>
  <c r="C28" i="58"/>
  <c r="B29" i="58"/>
  <c r="C29" i="58"/>
  <c r="B30" i="58"/>
  <c r="C30" i="58"/>
  <c r="B31" i="58"/>
  <c r="C31" i="58"/>
  <c r="A71" i="58"/>
  <c r="A29" i="58" s="1"/>
  <c r="A72" i="58"/>
  <c r="A30" i="58" s="1"/>
  <c r="G73" i="58" l="1"/>
  <c r="F71" i="58"/>
  <c r="E440" i="43" s="1"/>
  <c r="G72" i="58"/>
  <c r="H70" i="58"/>
  <c r="D190" i="59"/>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D76" i="59"/>
  <c r="D75" i="59"/>
  <c r="D74" i="59"/>
  <c r="E443" i="43" l="1"/>
  <c r="E449" i="43"/>
  <c r="H73" i="58"/>
  <c r="I73" i="58"/>
  <c r="I70" i="58"/>
  <c r="H72" i="58"/>
  <c r="G71" i="58"/>
  <c r="F440" i="43" s="1"/>
  <c r="E75" i="59"/>
  <c r="BL94" i="59" s="1"/>
  <c r="E77" i="59"/>
  <c r="BL96" i="59" s="1"/>
  <c r="E76" i="59"/>
  <c r="BL95" i="59" s="1"/>
  <c r="C76" i="59"/>
  <c r="A75" i="59"/>
  <c r="A128" i="59" s="1"/>
  <c r="C75" i="59"/>
  <c r="A76" i="59"/>
  <c r="A129" i="59" s="1"/>
  <c r="B33" i="59"/>
  <c r="C33" i="59"/>
  <c r="B34" i="59"/>
  <c r="C34" i="59"/>
  <c r="F443" i="43" l="1"/>
  <c r="F449" i="43"/>
  <c r="F29" i="58"/>
  <c r="F28" i="58"/>
  <c r="H71" i="58"/>
  <c r="G440" i="43" s="1"/>
  <c r="J73" i="58"/>
  <c r="I72" i="58"/>
  <c r="J70" i="58"/>
  <c r="C472" i="43"/>
  <c r="C644" i="43" s="1"/>
  <c r="C471" i="43"/>
  <c r="C643" i="43" s="1"/>
  <c r="D463" i="43"/>
  <c r="E463" i="43" s="1"/>
  <c r="C463" i="43"/>
  <c r="G443" i="43" l="1"/>
  <c r="G449" i="43"/>
  <c r="G28" i="58"/>
  <c r="G29" i="58"/>
  <c r="J72" i="58"/>
  <c r="K70" i="58"/>
  <c r="K73" i="58"/>
  <c r="I71" i="58"/>
  <c r="H440" i="43" s="1"/>
  <c r="C473" i="43"/>
  <c r="N4" i="69"/>
  <c r="M4" i="69"/>
  <c r="L4" i="69"/>
  <c r="K4" i="69"/>
  <c r="J4" i="69"/>
  <c r="I4" i="69"/>
  <c r="H4" i="69"/>
  <c r="G4" i="69"/>
  <c r="F4" i="69"/>
  <c r="E4" i="69"/>
  <c r="D4" i="69"/>
  <c r="C4" i="69"/>
  <c r="B8" i="69"/>
  <c r="B7" i="69"/>
  <c r="B6" i="69"/>
  <c r="B5" i="69"/>
  <c r="H28" i="58" l="1"/>
  <c r="H29" i="58"/>
  <c r="H443" i="43"/>
  <c r="H449" i="43"/>
  <c r="L70" i="58"/>
  <c r="J71" i="58"/>
  <c r="I440" i="43" s="1"/>
  <c r="L73" i="58"/>
  <c r="K72" i="58"/>
  <c r="C646" i="43"/>
  <c r="C652" i="43" s="1"/>
  <c r="D13" i="65"/>
  <c r="B13" i="65" s="1"/>
  <c r="I443" i="43" l="1"/>
  <c r="I449" i="43"/>
  <c r="I28" i="58"/>
  <c r="I29" i="58"/>
  <c r="L72" i="58"/>
  <c r="M73" i="58"/>
  <c r="K71" i="58"/>
  <c r="J440" i="43" s="1"/>
  <c r="M70" i="58"/>
  <c r="C655" i="43"/>
  <c r="C653" i="43"/>
  <c r="C654" i="43"/>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J443" i="43" l="1"/>
  <c r="J449" i="43"/>
  <c r="J28" i="58"/>
  <c r="J29" i="58"/>
  <c r="L71" i="58"/>
  <c r="K440" i="43" s="1"/>
  <c r="N70" i="58"/>
  <c r="N73" i="58"/>
  <c r="M72" i="58"/>
  <c r="C656" i="43"/>
  <c r="B151" i="59"/>
  <c r="B163" i="59" s="1"/>
  <c r="A151" i="59"/>
  <c r="A149" i="59"/>
  <c r="K443" i="43" l="1"/>
  <c r="K449" i="43"/>
  <c r="K28" i="58"/>
  <c r="K29" i="58"/>
  <c r="O73" i="58"/>
  <c r="N72" i="58"/>
  <c r="M71" i="58"/>
  <c r="L440" i="43" s="1"/>
  <c r="O70" i="58"/>
  <c r="D149" i="59"/>
  <c r="B149" i="59"/>
  <c r="B161" i="59" s="1"/>
  <c r="L28" i="58" l="1"/>
  <c r="L29" i="58"/>
  <c r="L443" i="43"/>
  <c r="L449" i="43"/>
  <c r="P70" i="58"/>
  <c r="N71" i="58"/>
  <c r="M440" i="43" s="1"/>
  <c r="O72" i="58"/>
  <c r="P73" i="58"/>
  <c r="BM76" i="59"/>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M443" i="43" l="1"/>
  <c r="M449" i="43"/>
  <c r="M29" i="58"/>
  <c r="M28" i="58"/>
  <c r="Q73" i="58"/>
  <c r="O71" i="58"/>
  <c r="N440" i="43" s="1"/>
  <c r="Q70" i="58"/>
  <c r="P72" i="58"/>
  <c r="F6" i="61"/>
  <c r="F7" i="61"/>
  <c r="F8" i="61"/>
  <c r="F9" i="61"/>
  <c r="F10" i="61"/>
  <c r="F16" i="61"/>
  <c r="F17" i="61"/>
  <c r="F18" i="61"/>
  <c r="F19" i="61"/>
  <c r="N443" i="43" l="1"/>
  <c r="N449" i="43"/>
  <c r="N29" i="58"/>
  <c r="N28" i="58"/>
  <c r="Q72" i="58"/>
  <c r="P71" i="58"/>
  <c r="O440" i="43" s="1"/>
  <c r="R70" i="58"/>
  <c r="R73" i="58"/>
  <c r="AH74" i="59"/>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O443" i="43" l="1"/>
  <c r="O449" i="43"/>
  <c r="O28" i="58"/>
  <c r="O29" i="58"/>
  <c r="Q71" i="58"/>
  <c r="P440" i="43" s="1"/>
  <c r="S73" i="58"/>
  <c r="R72" i="58"/>
  <c r="S70" i="58"/>
  <c r="C126"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P443" i="43" l="1"/>
  <c r="P449" i="43"/>
  <c r="P28" i="58"/>
  <c r="P29" i="58"/>
  <c r="T70" i="58"/>
  <c r="S72" i="58"/>
  <c r="T73" i="58"/>
  <c r="R71" i="58"/>
  <c r="Q440" i="43" s="1"/>
  <c r="M15" i="68"/>
  <c r="L15" i="68"/>
  <c r="K15" i="68"/>
  <c r="J15" i="68"/>
  <c r="I15" i="68"/>
  <c r="M12" i="68"/>
  <c r="L12" i="68"/>
  <c r="K12" i="68"/>
  <c r="J12" i="68"/>
  <c r="I12" i="68"/>
  <c r="M9" i="68"/>
  <c r="L9" i="68"/>
  <c r="K9" i="68"/>
  <c r="J9" i="68"/>
  <c r="I9" i="68"/>
  <c r="J6" i="68"/>
  <c r="K6" i="68"/>
  <c r="L6" i="68"/>
  <c r="M6" i="68"/>
  <c r="I6" i="68"/>
  <c r="Q28" i="58" l="1"/>
  <c r="Q29" i="58"/>
  <c r="Q443" i="43"/>
  <c r="Q449" i="43"/>
  <c r="U73" i="58"/>
  <c r="U70" i="58"/>
  <c r="S71" i="58"/>
  <c r="R440" i="43" s="1"/>
  <c r="T72" i="58"/>
  <c r="E16" i="68"/>
  <c r="D14" i="68"/>
  <c r="D15" i="68"/>
  <c r="R443" i="43" l="1"/>
  <c r="R449" i="43"/>
  <c r="R28" i="58"/>
  <c r="R29" i="58"/>
  <c r="V70" i="58"/>
  <c r="U72" i="58"/>
  <c r="T71" i="58"/>
  <c r="S440" i="43" s="1"/>
  <c r="V73" i="58"/>
  <c r="E149" i="59"/>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S443" i="43" l="1"/>
  <c r="S449" i="43"/>
  <c r="S29" i="58"/>
  <c r="S28" i="58"/>
  <c r="V72" i="58"/>
  <c r="W73" i="58"/>
  <c r="U71" i="58"/>
  <c r="T440" i="43" s="1"/>
  <c r="W70" i="58"/>
  <c r="E150" i="59"/>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T443" i="43" l="1"/>
  <c r="T449" i="43"/>
  <c r="T28" i="58"/>
  <c r="T29" i="58"/>
  <c r="X70" i="58"/>
  <c r="X73" i="58"/>
  <c r="V71" i="58"/>
  <c r="U440" i="43" s="1"/>
  <c r="W72" i="58"/>
  <c r="F150" i="59"/>
  <c r="F151" i="59" s="1"/>
  <c r="AG55" i="68"/>
  <c r="AH55" i="68" s="1"/>
  <c r="AI55" i="68" s="1"/>
  <c r="AJ55" i="68" s="1"/>
  <c r="AK55" i="68" s="1"/>
  <c r="AL55" i="68" s="1"/>
  <c r="AM55" i="68" s="1"/>
  <c r="AN55" i="68" s="1"/>
  <c r="AO55" i="68" s="1"/>
  <c r="AP55" i="68" s="1"/>
  <c r="M5" i="68" s="1"/>
  <c r="L5" i="68"/>
  <c r="J8" i="68"/>
  <c r="L8" i="68"/>
  <c r="U443" i="43" l="1"/>
  <c r="U449" i="43"/>
  <c r="U28" i="58"/>
  <c r="U29" i="58"/>
  <c r="X72" i="58"/>
  <c r="Y73" i="58"/>
  <c r="Y70" i="58"/>
  <c r="W71" i="58"/>
  <c r="V440" i="43" s="1"/>
  <c r="G150" i="59"/>
  <c r="H150" i="59"/>
  <c r="G151" i="59"/>
  <c r="M7" i="65"/>
  <c r="M8" i="65"/>
  <c r="M9" i="65"/>
  <c r="M10" i="65"/>
  <c r="M11" i="65"/>
  <c r="M14" i="65"/>
  <c r="M15" i="65"/>
  <c r="M16" i="65"/>
  <c r="M17" i="65"/>
  <c r="M18" i="65"/>
  <c r="M6" i="65"/>
  <c r="L13" i="65"/>
  <c r="V29" i="58" l="1"/>
  <c r="V28" i="58"/>
  <c r="V443" i="43"/>
  <c r="V449" i="43"/>
  <c r="Z73" i="58"/>
  <c r="X71" i="58"/>
  <c r="W440" i="43" s="1"/>
  <c r="Y72" i="58"/>
  <c r="Z70" i="58"/>
  <c r="I150" i="59"/>
  <c r="H151" i="59"/>
  <c r="F78" i="59"/>
  <c r="H78" i="59"/>
  <c r="I78" i="59"/>
  <c r="J78" i="59"/>
  <c r="K78" i="59"/>
  <c r="L78" i="59"/>
  <c r="N78" i="59"/>
  <c r="O78" i="59"/>
  <c r="P78" i="59"/>
  <c r="Q78" i="59"/>
  <c r="R78" i="59"/>
  <c r="S78" i="59"/>
  <c r="T78" i="59"/>
  <c r="U78" i="59"/>
  <c r="V78" i="59"/>
  <c r="X78" i="59"/>
  <c r="Y78" i="59"/>
  <c r="AA78" i="59"/>
  <c r="AB78" i="59"/>
  <c r="AC78" i="59"/>
  <c r="AD78" i="59"/>
  <c r="AE78" i="59"/>
  <c r="W29" i="58" l="1"/>
  <c r="W28" i="58"/>
  <c r="W443" i="43"/>
  <c r="W449" i="43"/>
  <c r="Z72" i="58"/>
  <c r="AA70" i="58"/>
  <c r="Y71" i="58"/>
  <c r="X440" i="43" s="1"/>
  <c r="AA73" i="58"/>
  <c r="J150" i="59"/>
  <c r="I151" i="59"/>
  <c r="BL76" i="59"/>
  <c r="X443" i="43" l="1"/>
  <c r="X449" i="43"/>
  <c r="X28" i="58"/>
  <c r="X29" i="58"/>
  <c r="Z71" i="58"/>
  <c r="Y440" i="43" s="1"/>
  <c r="AB73" i="58"/>
  <c r="AB70" i="58"/>
  <c r="AA72" i="58"/>
  <c r="K150" i="59"/>
  <c r="J151" i="59"/>
  <c r="B7" i="43"/>
  <c r="Y443" i="43" l="1"/>
  <c r="Y449" i="43"/>
  <c r="Y28" i="58"/>
  <c r="Y29" i="58"/>
  <c r="AC73" i="58"/>
  <c r="AA71" i="58"/>
  <c r="Z440" i="43" s="1"/>
  <c r="AB72" i="58"/>
  <c r="AC70" i="58"/>
  <c r="L150" i="59"/>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28" i="58" l="1"/>
  <c r="Z29" i="58"/>
  <c r="Z443" i="43"/>
  <c r="Z449" i="43"/>
  <c r="AC72" i="58"/>
  <c r="AB71" i="58"/>
  <c r="AA440" i="43" s="1"/>
  <c r="AD70" i="58"/>
  <c r="AD73" i="58"/>
  <c r="M150" i="59"/>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AA443" i="43" l="1"/>
  <c r="AA449" i="43"/>
  <c r="AA28" i="58"/>
  <c r="AA29" i="58"/>
  <c r="AD72" i="58"/>
  <c r="AC71" i="58"/>
  <c r="AB440" i="43" s="1"/>
  <c r="N150" i="59"/>
  <c r="M151" i="59"/>
  <c r="D58" i="60"/>
  <c r="AB443" i="43" l="1"/>
  <c r="AB449" i="43"/>
  <c r="AB28" i="58"/>
  <c r="AB29" i="58"/>
  <c r="AD71" i="58"/>
  <c r="O150" i="59"/>
  <c r="N151" i="59"/>
  <c r="D64" i="60"/>
  <c r="D65" i="60"/>
  <c r="D66" i="60"/>
  <c r="D67" i="60"/>
  <c r="D68" i="60"/>
  <c r="AC28" i="58" l="1"/>
  <c r="AC29" i="58"/>
  <c r="AC440" i="43"/>
  <c r="P150" i="59"/>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AC443" i="43" l="1"/>
  <c r="AC449" i="43"/>
  <c r="Q150" i="59"/>
  <c r="P151" i="59"/>
  <c r="D309" i="43"/>
  <c r="B311" i="43"/>
  <c r="D311" i="43" s="1"/>
  <c r="B320" i="43"/>
  <c r="D318" i="43" s="1"/>
  <c r="B303" i="43"/>
  <c r="D300" i="43" s="1"/>
  <c r="C302" i="43"/>
  <c r="C301" i="43"/>
  <c r="C300" i="43"/>
  <c r="C318" i="43" s="1"/>
  <c r="C292" i="43"/>
  <c r="C291" i="43"/>
  <c r="C290" i="43"/>
  <c r="AD29" i="58" l="1"/>
  <c r="AD28" i="58"/>
  <c r="B292" i="43"/>
  <c r="D292" i="43" s="1"/>
  <c r="R150" i="59"/>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5" i="65"/>
  <c r="C15" i="65"/>
  <c r="B15" i="65" s="1"/>
  <c r="L15" i="65" s="1"/>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L11" i="65" s="1"/>
  <c r="D14" i="65"/>
  <c r="B14" i="65" s="1"/>
  <c r="L14" i="65" s="1"/>
  <c r="D16" i="65"/>
  <c r="D17" i="65"/>
  <c r="D18" i="65"/>
  <c r="D6" i="65"/>
  <c r="AC150" i="59" l="1"/>
  <c r="AB151" i="59"/>
  <c r="M31" i="64"/>
  <c r="N31" i="64"/>
  <c r="N32" i="64"/>
  <c r="N33" i="64"/>
  <c r="D31" i="64"/>
  <c r="C16" i="65" s="1"/>
  <c r="B16" i="65" s="1"/>
  <c r="L16" i="65" s="1"/>
  <c r="D32" i="64"/>
  <c r="C17" i="65" s="1"/>
  <c r="B17" i="65" s="1"/>
  <c r="L17" i="65" s="1"/>
  <c r="C18" i="65"/>
  <c r="B18" i="65" s="1"/>
  <c r="L18" i="65" s="1"/>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N9" i="64"/>
  <c r="D28" i="64"/>
  <c r="D29" i="64"/>
  <c r="N11" i="64"/>
  <c r="D30" i="64"/>
  <c r="N12" i="64"/>
  <c r="N15" i="64"/>
  <c r="N5" i="64"/>
  <c r="D23" i="64"/>
  <c r="C6" i="65" s="1"/>
  <c r="B6" i="65" l="1"/>
  <c r="L6" i="65" s="1"/>
  <c r="G24" i="60"/>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95" i="43"/>
  <c r="B696" i="43"/>
  <c r="B697" i="43"/>
  <c r="D697" i="43"/>
  <c r="C696" i="43"/>
  <c r="D696" i="43"/>
  <c r="E696" i="43"/>
  <c r="F696" i="43"/>
  <c r="G696" i="43"/>
  <c r="C697" i="43"/>
  <c r="E697" i="43"/>
  <c r="F697" i="43"/>
  <c r="G697" i="43"/>
  <c r="D695" i="43"/>
  <c r="E695" i="43"/>
  <c r="F695" i="43"/>
  <c r="G695" i="43"/>
  <c r="C695" i="43"/>
  <c r="C714" i="43"/>
  <c r="D714" i="43"/>
  <c r="E714" i="43"/>
  <c r="F714" i="43"/>
  <c r="G714" i="43"/>
  <c r="C715" i="43"/>
  <c r="D715" i="43"/>
  <c r="E715" i="43"/>
  <c r="F715" i="43"/>
  <c r="G715" i="43"/>
  <c r="C716" i="43"/>
  <c r="D716" i="43"/>
  <c r="E716" i="43"/>
  <c r="F716" i="43"/>
  <c r="G716" i="43"/>
  <c r="B715" i="43"/>
  <c r="B724" i="43" s="1"/>
  <c r="B716" i="43"/>
  <c r="B725" i="43" s="1"/>
  <c r="B714" i="43"/>
  <c r="B723" i="43" s="1"/>
  <c r="C679" i="43"/>
  <c r="C678" i="43"/>
  <c r="A679" i="43"/>
  <c r="A678" i="43"/>
  <c r="A666" i="43"/>
  <c r="A667" i="43"/>
  <c r="A665" i="43"/>
  <c r="C42" i="59"/>
  <c r="C43" i="59"/>
  <c r="B43" i="59"/>
  <c r="B42" i="59"/>
  <c r="J66" i="58" l="1"/>
  <c r="I121" i="61"/>
  <c r="AM70" i="59"/>
  <c r="AM84" i="59" s="1"/>
  <c r="J68" i="58"/>
  <c r="E67" i="58"/>
  <c r="E122" i="61" s="1"/>
  <c r="M20" i="61"/>
  <c r="N22" i="61"/>
  <c r="N91" i="61"/>
  <c r="N21" i="61" s="1"/>
  <c r="N97" i="61"/>
  <c r="N27" i="61" s="1"/>
  <c r="F698" i="43"/>
  <c r="X678" i="43" s="1"/>
  <c r="X11" i="43" s="1"/>
  <c r="J27" i="60"/>
  <c r="K24" i="60"/>
  <c r="J28" i="60"/>
  <c r="N90" i="61"/>
  <c r="O92" i="61"/>
  <c r="F725" i="43"/>
  <c r="C698" i="43"/>
  <c r="Q678" i="43" s="1"/>
  <c r="Q11" i="43" s="1"/>
  <c r="G725" i="43"/>
  <c r="C725" i="43"/>
  <c r="E698" i="43"/>
  <c r="R678" i="43" s="1"/>
  <c r="R11" i="43" s="1"/>
  <c r="D725" i="43"/>
  <c r="F723" i="43"/>
  <c r="D698" i="43"/>
  <c r="E678" i="43" s="1"/>
  <c r="E11" i="43" s="1"/>
  <c r="G723" i="43"/>
  <c r="C11" i="43"/>
  <c r="C12" i="43"/>
  <c r="E723" i="43"/>
  <c r="G698" i="43"/>
  <c r="P678" i="43" s="1"/>
  <c r="P11" i="43" s="1"/>
  <c r="C724" i="43"/>
  <c r="E725" i="43"/>
  <c r="G724" i="43"/>
  <c r="D723" i="43"/>
  <c r="F724" i="43"/>
  <c r="C723" i="43"/>
  <c r="E724" i="43"/>
  <c r="D724"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726" i="43"/>
  <c r="X679" i="43" s="1"/>
  <c r="X12" i="43" s="1"/>
  <c r="E726" i="43"/>
  <c r="R679" i="43" s="1"/>
  <c r="R12" i="43" s="1"/>
  <c r="D726" i="43"/>
  <c r="E679" i="43" s="1"/>
  <c r="E12" i="43" s="1"/>
  <c r="G726" i="43"/>
  <c r="P679" i="43" s="1"/>
  <c r="P12" i="43" s="1"/>
  <c r="C726" i="43"/>
  <c r="Q679"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66" i="43"/>
  <c r="C667" i="43"/>
  <c r="C665" i="43"/>
  <c r="B664" i="43"/>
  <c r="B677" i="43" s="1"/>
  <c r="H594" i="43"/>
  <c r="E625" i="43" s="1"/>
  <c r="C594" i="43"/>
  <c r="D594" i="43"/>
  <c r="E594" i="43"/>
  <c r="F594" i="43"/>
  <c r="G594" i="43"/>
  <c r="I594" i="43"/>
  <c r="J594" i="43"/>
  <c r="K594" i="43"/>
  <c r="L594" i="43"/>
  <c r="C595" i="43"/>
  <c r="D595" i="43"/>
  <c r="E595" i="43"/>
  <c r="F595" i="43"/>
  <c r="G595" i="43"/>
  <c r="H595" i="43"/>
  <c r="I595" i="43"/>
  <c r="J595" i="43"/>
  <c r="K595" i="43"/>
  <c r="L595" i="43"/>
  <c r="C596" i="43"/>
  <c r="D596" i="43"/>
  <c r="E596" i="43"/>
  <c r="F596" i="43"/>
  <c r="G596" i="43"/>
  <c r="H596" i="43"/>
  <c r="I596" i="43"/>
  <c r="J596" i="43"/>
  <c r="K596" i="43"/>
  <c r="L596" i="43"/>
  <c r="C597" i="43"/>
  <c r="D597" i="43"/>
  <c r="E597" i="43"/>
  <c r="F597" i="43"/>
  <c r="G597" i="43"/>
  <c r="H597" i="43"/>
  <c r="I597" i="43"/>
  <c r="J597" i="43"/>
  <c r="K597" i="43"/>
  <c r="L597" i="43"/>
  <c r="C598" i="43"/>
  <c r="D598" i="43"/>
  <c r="E598" i="43"/>
  <c r="F598" i="43"/>
  <c r="G598" i="43"/>
  <c r="H598" i="43"/>
  <c r="I598" i="43"/>
  <c r="J598" i="43"/>
  <c r="K598" i="43"/>
  <c r="L598" i="43"/>
  <c r="C599" i="43"/>
  <c r="D599" i="43"/>
  <c r="E599" i="43"/>
  <c r="F599" i="43"/>
  <c r="G599" i="43"/>
  <c r="H599" i="43"/>
  <c r="I599" i="43"/>
  <c r="J599" i="43"/>
  <c r="K599" i="43"/>
  <c r="L599" i="43"/>
  <c r="C600" i="43"/>
  <c r="D600" i="43"/>
  <c r="E600" i="43"/>
  <c r="F600" i="43"/>
  <c r="G600" i="43"/>
  <c r="H600" i="43"/>
  <c r="I600" i="43"/>
  <c r="J600" i="43"/>
  <c r="K600" i="43"/>
  <c r="L600" i="43"/>
  <c r="C601" i="43"/>
  <c r="D601" i="43"/>
  <c r="E601" i="43"/>
  <c r="F601" i="43"/>
  <c r="G601" i="43"/>
  <c r="H601" i="43"/>
  <c r="I601" i="43"/>
  <c r="J601" i="43"/>
  <c r="K601" i="43"/>
  <c r="L601" i="43"/>
  <c r="C602" i="43"/>
  <c r="D602" i="43"/>
  <c r="E602" i="43"/>
  <c r="F602" i="43"/>
  <c r="G602" i="43"/>
  <c r="H602" i="43"/>
  <c r="I602" i="43"/>
  <c r="J602" i="43"/>
  <c r="K602" i="43"/>
  <c r="L602" i="43"/>
  <c r="C603" i="43"/>
  <c r="D603" i="43"/>
  <c r="E603" i="43"/>
  <c r="F603" i="43"/>
  <c r="G603" i="43"/>
  <c r="H603" i="43"/>
  <c r="I603" i="43"/>
  <c r="J603" i="43"/>
  <c r="K603" i="43"/>
  <c r="L603" i="43"/>
  <c r="C604" i="43"/>
  <c r="D604" i="43"/>
  <c r="E604" i="43"/>
  <c r="F604" i="43"/>
  <c r="G604" i="43"/>
  <c r="H604" i="43"/>
  <c r="I604" i="43"/>
  <c r="J604" i="43"/>
  <c r="K604" i="43"/>
  <c r="L604" i="43"/>
  <c r="B595" i="43"/>
  <c r="B596" i="43"/>
  <c r="B597" i="43"/>
  <c r="B598" i="43"/>
  <c r="B599" i="43"/>
  <c r="B600" i="43"/>
  <c r="B601" i="43"/>
  <c r="B602" i="43"/>
  <c r="B603" i="43"/>
  <c r="B604" i="43"/>
  <c r="B594" i="43"/>
  <c r="E624" i="43"/>
  <c r="D624" i="43"/>
  <c r="F624" i="43"/>
  <c r="G624" i="43"/>
  <c r="H624" i="43"/>
  <c r="I624" i="43"/>
  <c r="J624" i="43"/>
  <c r="K624" i="43"/>
  <c r="L624" i="43"/>
  <c r="M624" i="43"/>
  <c r="N624" i="43"/>
  <c r="O624" i="43"/>
  <c r="P624" i="43"/>
  <c r="Q624" i="43"/>
  <c r="R624" i="43"/>
  <c r="S624" i="43"/>
  <c r="T624" i="43"/>
  <c r="U624" i="43"/>
  <c r="V624" i="43"/>
  <c r="W624" i="43"/>
  <c r="X624" i="43"/>
  <c r="Y624" i="43"/>
  <c r="Z624" i="43"/>
  <c r="AA624" i="43"/>
  <c r="AB624" i="43"/>
  <c r="AC624" i="43"/>
  <c r="E523" i="43"/>
  <c r="E522" i="43"/>
  <c r="A73" i="58"/>
  <c r="A31" i="58" s="1"/>
  <c r="A74" i="58"/>
  <c r="A32" i="58" s="1"/>
  <c r="A70" i="58"/>
  <c r="A28" i="58" s="1"/>
  <c r="E74" i="58"/>
  <c r="F74" i="58" l="1"/>
  <c r="BM54" i="59"/>
  <c r="BM68" i="59" s="1"/>
  <c r="AP70" i="59"/>
  <c r="AP84" i="59" s="1"/>
  <c r="M66" i="58"/>
  <c r="L121" i="61"/>
  <c r="AK71" i="59"/>
  <c r="G122" i="61"/>
  <c r="H67" i="58"/>
  <c r="M68" i="58"/>
  <c r="P20" i="61"/>
  <c r="Q22" i="61"/>
  <c r="Q91" i="61"/>
  <c r="Q21" i="61" s="1"/>
  <c r="Q97" i="61"/>
  <c r="Q27" i="61" s="1"/>
  <c r="N24" i="60"/>
  <c r="M28" i="60"/>
  <c r="M27" i="60"/>
  <c r="R92" i="61"/>
  <c r="Q90" i="61"/>
  <c r="Y625" i="43"/>
  <c r="W625" i="43"/>
  <c r="O625" i="43"/>
  <c r="C8" i="43"/>
  <c r="C10" i="43"/>
  <c r="T625" i="43"/>
  <c r="AC625" i="43"/>
  <c r="V625" i="43"/>
  <c r="J625" i="43"/>
  <c r="M625" i="43"/>
  <c r="G625" i="43"/>
  <c r="AB625" i="43"/>
  <c r="F625" i="43"/>
  <c r="Z625" i="43"/>
  <c r="Q625" i="43"/>
  <c r="H625" i="43"/>
  <c r="X625" i="43"/>
  <c r="I625" i="43"/>
  <c r="R625" i="43"/>
  <c r="K625" i="43"/>
  <c r="S625" i="43"/>
  <c r="AA625" i="43"/>
  <c r="P625" i="43"/>
  <c r="L625" i="43"/>
  <c r="D625" i="43"/>
  <c r="U625" i="43"/>
  <c r="N625" i="43"/>
  <c r="C9" i="43"/>
  <c r="A27" i="60"/>
  <c r="A62" i="60" s="1"/>
  <c r="A28" i="60"/>
  <c r="A63" i="60" s="1"/>
  <c r="A24" i="60"/>
  <c r="A59" i="60" s="1"/>
  <c r="AQ70" i="59" l="1"/>
  <c r="AQ84" i="59" s="1"/>
  <c r="N66" i="58"/>
  <c r="M121" i="61"/>
  <c r="G74"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22" i="43"/>
  <c r="F522" i="43"/>
  <c r="G522" i="43"/>
  <c r="H522" i="43"/>
  <c r="I522" i="43"/>
  <c r="J522" i="43"/>
  <c r="K522" i="43"/>
  <c r="L522" i="43"/>
  <c r="M522" i="43"/>
  <c r="N522" i="43"/>
  <c r="O522" i="43"/>
  <c r="P522" i="43"/>
  <c r="Q522" i="43"/>
  <c r="R522" i="43"/>
  <c r="S522" i="43"/>
  <c r="T522" i="43"/>
  <c r="U522" i="43"/>
  <c r="V522" i="43"/>
  <c r="W522" i="43"/>
  <c r="X522" i="43"/>
  <c r="Y522" i="43"/>
  <c r="Z522" i="43"/>
  <c r="AA522" i="43"/>
  <c r="AB522" i="43"/>
  <c r="AC522"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BQ54" i="59"/>
  <c r="BQ68" i="59" s="1"/>
  <c r="AT70" i="59"/>
  <c r="AT84" i="59" s="1"/>
  <c r="P121" i="61"/>
  <c r="Q66" i="58"/>
  <c r="C190" i="59"/>
  <c r="E74" i="59"/>
  <c r="BL93" i="59" s="1"/>
  <c r="D523"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27" i="43"/>
  <c r="H527" i="43"/>
  <c r="P527" i="43"/>
  <c r="X527" i="43"/>
  <c r="J527" i="43"/>
  <c r="R527" i="43"/>
  <c r="L527" i="43"/>
  <c r="T527" i="43"/>
  <c r="AB527" i="43"/>
  <c r="T523" i="43"/>
  <c r="L523" i="43"/>
  <c r="AC523" i="43"/>
  <c r="Z523" i="43"/>
  <c r="R523" i="43"/>
  <c r="J523" i="43"/>
  <c r="S523" i="43"/>
  <c r="Z527" i="43"/>
  <c r="Y523" i="43"/>
  <c r="Q523" i="43"/>
  <c r="I523" i="43"/>
  <c r="AA523" i="43"/>
  <c r="K523" i="43"/>
  <c r="X523" i="43"/>
  <c r="P523" i="43"/>
  <c r="H523" i="43"/>
  <c r="M523" i="43"/>
  <c r="O523" i="43"/>
  <c r="U523" i="43"/>
  <c r="AB523" i="43"/>
  <c r="W523" i="43"/>
  <c r="V523" i="43"/>
  <c r="F523" i="43"/>
  <c r="C189" i="59"/>
  <c r="Y527" i="43"/>
  <c r="W527" i="43"/>
  <c r="O527" i="43"/>
  <c r="G527" i="43"/>
  <c r="D527" i="43"/>
  <c r="V527" i="43"/>
  <c r="N527" i="43"/>
  <c r="M527" i="43"/>
  <c r="AC527" i="43"/>
  <c r="U527" i="43"/>
  <c r="E527" i="43"/>
  <c r="AA527" i="43"/>
  <c r="S527" i="43"/>
  <c r="K527" i="43"/>
  <c r="Q527" i="43"/>
  <c r="I527" i="43"/>
  <c r="N523" i="43"/>
  <c r="G523"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BR54" i="59"/>
  <c r="BR68" i="59" s="1"/>
  <c r="B92" i="43"/>
  <c r="AP71" i="59"/>
  <c r="M67" i="58"/>
  <c r="L122" i="61"/>
  <c r="R68" i="58"/>
  <c r="V22" i="61"/>
  <c r="U20" i="61"/>
  <c r="V97" i="61"/>
  <c r="V27" i="61" s="1"/>
  <c r="V91" i="61"/>
  <c r="V21" i="61" s="1"/>
  <c r="R28" i="60"/>
  <c r="S24" i="60"/>
  <c r="R27" i="60"/>
  <c r="V90" i="61"/>
  <c r="W92" i="61"/>
  <c r="B91" i="43"/>
  <c r="C625" i="43"/>
  <c r="C527" i="43"/>
  <c r="C523" i="43"/>
  <c r="H175" i="59"/>
  <c r="J56" i="59" s="1"/>
  <c r="L74" i="58" l="1"/>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22" i="43"/>
  <c r="C624" i="43"/>
  <c r="Y426" i="43"/>
  <c r="Y404" i="43"/>
  <c r="Q426" i="43"/>
  <c r="Q404" i="43"/>
  <c r="X426" i="43"/>
  <c r="X404" i="43"/>
  <c r="P426" i="43"/>
  <c r="P404" i="43"/>
  <c r="H426" i="43"/>
  <c r="H404" i="43"/>
  <c r="I426" i="43"/>
  <c r="I404" i="43"/>
  <c r="W426" i="43"/>
  <c r="W404" i="43"/>
  <c r="O426" i="43"/>
  <c r="O404" i="43"/>
  <c r="G426" i="43"/>
  <c r="G404" i="43"/>
  <c r="V426" i="43"/>
  <c r="V404" i="43"/>
  <c r="N426" i="43"/>
  <c r="N404" i="43"/>
  <c r="AC426" i="43"/>
  <c r="AC404" i="43"/>
  <c r="U426" i="43"/>
  <c r="U404" i="43"/>
  <c r="M426" i="43"/>
  <c r="M404" i="43"/>
  <c r="E426" i="43"/>
  <c r="E404" i="43"/>
  <c r="AB426" i="43"/>
  <c r="AB404" i="43"/>
  <c r="T426" i="43"/>
  <c r="T404" i="43"/>
  <c r="L426" i="43"/>
  <c r="L404" i="43"/>
  <c r="D426" i="43"/>
  <c r="D404" i="43"/>
  <c r="C426" i="43"/>
  <c r="C404" i="43"/>
  <c r="AA426" i="43"/>
  <c r="AA404" i="43"/>
  <c r="S426" i="43"/>
  <c r="S404" i="43"/>
  <c r="K426" i="43"/>
  <c r="K404" i="43"/>
  <c r="F426" i="43"/>
  <c r="F404" i="43"/>
  <c r="Z426" i="43"/>
  <c r="Z404" i="43"/>
  <c r="R426" i="43"/>
  <c r="R404" i="43"/>
  <c r="J426" i="43"/>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W469" i="43" l="1"/>
  <c r="W439" i="43"/>
  <c r="W448" i="43" s="1"/>
  <c r="R469" i="43"/>
  <c r="R439" i="43"/>
  <c r="R448" i="43" s="1"/>
  <c r="L469" i="43"/>
  <c r="L439" i="43"/>
  <c r="L448" i="43" s="1"/>
  <c r="M469" i="43"/>
  <c r="M641" i="43" s="1"/>
  <c r="M651" i="43" s="1"/>
  <c r="M439" i="43"/>
  <c r="M448" i="43" s="1"/>
  <c r="V469" i="43"/>
  <c r="V478" i="43" s="1"/>
  <c r="V439" i="43"/>
  <c r="V448" i="43" s="1"/>
  <c r="I469" i="43"/>
  <c r="I478" i="43" s="1"/>
  <c r="I439" i="43"/>
  <c r="I448" i="43" s="1"/>
  <c r="Q469" i="43"/>
  <c r="Q439" i="43"/>
  <c r="Q448" i="43" s="1"/>
  <c r="D469" i="43"/>
  <c r="D641" i="43" s="1"/>
  <c r="D651" i="43" s="1"/>
  <c r="D439" i="43"/>
  <c r="D448" i="43" s="1"/>
  <c r="S469" i="43"/>
  <c r="S439" i="43"/>
  <c r="S448" i="43" s="1"/>
  <c r="K469" i="43"/>
  <c r="K439" i="43"/>
  <c r="K448" i="43" s="1"/>
  <c r="Z469" i="43"/>
  <c r="Z439" i="43"/>
  <c r="Z448" i="43" s="1"/>
  <c r="AA469" i="43"/>
  <c r="AA478" i="43" s="1"/>
  <c r="AA439" i="43"/>
  <c r="AA448" i="43" s="1"/>
  <c r="T469" i="43"/>
  <c r="T478" i="43" s="1"/>
  <c r="T439" i="43"/>
  <c r="T448" i="43" s="1"/>
  <c r="U469" i="43"/>
  <c r="U478" i="43" s="1"/>
  <c r="U439" i="43"/>
  <c r="U448" i="43" s="1"/>
  <c r="G469" i="43"/>
  <c r="G439" i="43"/>
  <c r="G448" i="43" s="1"/>
  <c r="H469" i="43"/>
  <c r="H478" i="43" s="1"/>
  <c r="H439" i="43"/>
  <c r="H448" i="43" s="1"/>
  <c r="Y469" i="43"/>
  <c r="Y439" i="43"/>
  <c r="Y448" i="43" s="1"/>
  <c r="N469" i="43"/>
  <c r="N439" i="43"/>
  <c r="N448" i="43" s="1"/>
  <c r="E469" i="43"/>
  <c r="E439" i="43"/>
  <c r="E448" i="43" s="1"/>
  <c r="F469" i="43"/>
  <c r="F641" i="43" s="1"/>
  <c r="F651" i="43" s="1"/>
  <c r="F439" i="43"/>
  <c r="F448" i="43" s="1"/>
  <c r="C469" i="43"/>
  <c r="C641" i="43" s="1"/>
  <c r="C651" i="43" s="1"/>
  <c r="C439" i="43"/>
  <c r="C448" i="43" s="1"/>
  <c r="AB469" i="43"/>
  <c r="AB478" i="43" s="1"/>
  <c r="AB439" i="43"/>
  <c r="AB448" i="43" s="1"/>
  <c r="AC469" i="43"/>
  <c r="AC439" i="43"/>
  <c r="AC448" i="43" s="1"/>
  <c r="O469" i="43"/>
  <c r="O641" i="43" s="1"/>
  <c r="O651" i="43" s="1"/>
  <c r="O439" i="43"/>
  <c r="O448" i="43" s="1"/>
  <c r="P469" i="43"/>
  <c r="P478" i="43" s="1"/>
  <c r="P439" i="43"/>
  <c r="P448" i="43" s="1"/>
  <c r="J469" i="43"/>
  <c r="J641" i="43" s="1"/>
  <c r="J651" i="43" s="1"/>
  <c r="J439" i="43"/>
  <c r="J448" i="43" s="1"/>
  <c r="X469" i="43"/>
  <c r="X439" i="43"/>
  <c r="X448" i="43" s="1"/>
  <c r="M478" i="43"/>
  <c r="Q478" i="43"/>
  <c r="Q641" i="43"/>
  <c r="Q651" i="43" s="1"/>
  <c r="R478" i="43"/>
  <c r="R641" i="43"/>
  <c r="R651" i="43" s="1"/>
  <c r="V641" i="43"/>
  <c r="V651" i="43" s="1"/>
  <c r="Z478" i="43"/>
  <c r="Z641" i="43"/>
  <c r="Z651" i="43" s="1"/>
  <c r="G478" i="43"/>
  <c r="G641" i="43"/>
  <c r="G651" i="43" s="1"/>
  <c r="Y478" i="43"/>
  <c r="Y641" i="43"/>
  <c r="Y651" i="43" s="1"/>
  <c r="L478" i="43"/>
  <c r="L641" i="43"/>
  <c r="L651" i="43" s="1"/>
  <c r="S478" i="43"/>
  <c r="S641" i="43"/>
  <c r="S651" i="43" s="1"/>
  <c r="C478" i="43"/>
  <c r="AC478" i="43"/>
  <c r="AC641" i="43"/>
  <c r="AC651" i="43" s="1"/>
  <c r="O478" i="43"/>
  <c r="P641" i="43"/>
  <c r="P651" i="43" s="1"/>
  <c r="J478" i="43"/>
  <c r="K478" i="43"/>
  <c r="K641" i="43"/>
  <c r="K651" i="43" s="1"/>
  <c r="E478" i="43"/>
  <c r="E641" i="43"/>
  <c r="E651" i="43" s="1"/>
  <c r="N478" i="43"/>
  <c r="N641" i="43"/>
  <c r="N651" i="43" s="1"/>
  <c r="W478" i="43"/>
  <c r="W641" i="43"/>
  <c r="W651" i="43" s="1"/>
  <c r="X478" i="43"/>
  <c r="X641" i="43"/>
  <c r="X651" i="43" s="1"/>
  <c r="Y121" i="61"/>
  <c r="BC70" i="59"/>
  <c r="BC84" i="59" s="1"/>
  <c r="Z66" i="58"/>
  <c r="S74"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21" i="43"/>
  <c r="H623" i="43" s="1"/>
  <c r="H633" i="43" s="1"/>
  <c r="AA521" i="43"/>
  <c r="AA623" i="43" s="1"/>
  <c r="AA633" i="43" s="1"/>
  <c r="F413" i="43"/>
  <c r="C413" i="43"/>
  <c r="AB521" i="43"/>
  <c r="AB664" i="43" s="1"/>
  <c r="AB677" i="43" s="1"/>
  <c r="AC413" i="43"/>
  <c r="O413" i="43"/>
  <c r="P413" i="43"/>
  <c r="T521" i="43"/>
  <c r="T623" i="43" s="1"/>
  <c r="T633" i="43" s="1"/>
  <c r="K413" i="43"/>
  <c r="D413" i="43"/>
  <c r="E413" i="43"/>
  <c r="N413" i="43"/>
  <c r="W413" i="43"/>
  <c r="X413" i="43"/>
  <c r="U413" i="43"/>
  <c r="G413" i="43"/>
  <c r="R413" i="43"/>
  <c r="S413" i="43"/>
  <c r="L413" i="43"/>
  <c r="M521" i="43"/>
  <c r="M664" i="43" s="1"/>
  <c r="M677" i="43" s="1"/>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21" i="43"/>
  <c r="Y623" i="43" s="1"/>
  <c r="Y633" i="43" s="1"/>
  <c r="AA413" i="43"/>
  <c r="U521" i="43"/>
  <c r="U623" i="43" s="1"/>
  <c r="U633" i="43" s="1"/>
  <c r="T413" i="43"/>
  <c r="AC521" i="43"/>
  <c r="AC623" i="43" s="1"/>
  <c r="AC633" i="43" s="1"/>
  <c r="Z521" i="43"/>
  <c r="Z623" i="43" s="1"/>
  <c r="Z633" i="43" s="1"/>
  <c r="G521" i="43"/>
  <c r="G664" i="43" s="1"/>
  <c r="G677" i="43" s="1"/>
  <c r="O521" i="43"/>
  <c r="O623" i="43" s="1"/>
  <c r="O633" i="43" s="1"/>
  <c r="F521" i="43"/>
  <c r="F623" i="43" s="1"/>
  <c r="F633" i="43" s="1"/>
  <c r="AB413" i="43"/>
  <c r="E521" i="43"/>
  <c r="E623" i="43" s="1"/>
  <c r="E633" i="43" s="1"/>
  <c r="C521" i="43"/>
  <c r="C623" i="43" s="1"/>
  <c r="C633" i="43" s="1"/>
  <c r="P521" i="43"/>
  <c r="P664" i="43" s="1"/>
  <c r="P677" i="43" s="1"/>
  <c r="I521" i="43"/>
  <c r="I664" i="43" s="1"/>
  <c r="I677" i="43" s="1"/>
  <c r="M413" i="43"/>
  <c r="V521" i="43"/>
  <c r="Q521" i="43"/>
  <c r="L521" i="43"/>
  <c r="AC626" i="43"/>
  <c r="AC627" i="43" s="1"/>
  <c r="U626" i="43"/>
  <c r="U627" i="43" s="1"/>
  <c r="M626" i="43"/>
  <c r="M627" i="43" s="1"/>
  <c r="E626" i="43"/>
  <c r="E627" i="43" s="1"/>
  <c r="F626" i="43"/>
  <c r="F627" i="43" s="1"/>
  <c r="V626" i="43"/>
  <c r="V627" i="43" s="1"/>
  <c r="N626" i="43"/>
  <c r="N627" i="43" s="1"/>
  <c r="D626" i="43"/>
  <c r="AB626" i="43"/>
  <c r="AB627" i="43" s="1"/>
  <c r="Y626" i="43"/>
  <c r="Y627" i="43" s="1"/>
  <c r="K626" i="43"/>
  <c r="K627" i="43" s="1"/>
  <c r="X626" i="43"/>
  <c r="X627" i="43" s="1"/>
  <c r="O626" i="43"/>
  <c r="O627" i="43" s="1"/>
  <c r="AA626" i="43"/>
  <c r="AA627" i="43" s="1"/>
  <c r="H626" i="43"/>
  <c r="H627" i="43" s="1"/>
  <c r="Z626" i="43"/>
  <c r="Z627" i="43" s="1"/>
  <c r="T626" i="43"/>
  <c r="T627" i="43" s="1"/>
  <c r="G626" i="43"/>
  <c r="G627" i="43" s="1"/>
  <c r="W626" i="43"/>
  <c r="W627" i="43" s="1"/>
  <c r="S626" i="43"/>
  <c r="S627" i="43" s="1"/>
  <c r="R626" i="43"/>
  <c r="R627" i="43" s="1"/>
  <c r="L626" i="43"/>
  <c r="L627" i="43" s="1"/>
  <c r="P626" i="43"/>
  <c r="P627" i="43" s="1"/>
  <c r="J626" i="43"/>
  <c r="J627" i="43" s="1"/>
  <c r="I626" i="43"/>
  <c r="I627" i="43" s="1"/>
  <c r="Q626" i="43"/>
  <c r="Q627" i="43" s="1"/>
  <c r="E524" i="43"/>
  <c r="E525" i="43" s="1"/>
  <c r="E7" i="43" s="1"/>
  <c r="D524" i="43"/>
  <c r="D525" i="43" s="1"/>
  <c r="D7" i="43" s="1"/>
  <c r="AA524" i="43"/>
  <c r="AA525" i="43" s="1"/>
  <c r="Q524" i="43"/>
  <c r="Q525" i="43" s="1"/>
  <c r="Z524" i="43"/>
  <c r="Z525" i="43" s="1"/>
  <c r="M524" i="43"/>
  <c r="M525" i="43" s="1"/>
  <c r="X524" i="43"/>
  <c r="X525" i="43" s="1"/>
  <c r="T524" i="43"/>
  <c r="T525" i="43" s="1"/>
  <c r="Y524" i="43"/>
  <c r="Y525" i="43" s="1"/>
  <c r="K524" i="43"/>
  <c r="K525" i="43" s="1"/>
  <c r="W524" i="43"/>
  <c r="W525" i="43" s="1"/>
  <c r="V524" i="43"/>
  <c r="V525" i="43" s="1"/>
  <c r="R524" i="43"/>
  <c r="R525" i="43" s="1"/>
  <c r="G524" i="43"/>
  <c r="G525" i="43" s="1"/>
  <c r="L524" i="43"/>
  <c r="L525" i="43" s="1"/>
  <c r="O524" i="43"/>
  <c r="O525" i="43" s="1"/>
  <c r="J524" i="43"/>
  <c r="J525" i="43" s="1"/>
  <c r="I524" i="43"/>
  <c r="I525" i="43" s="1"/>
  <c r="P524" i="43"/>
  <c r="P525" i="43" s="1"/>
  <c r="U524" i="43"/>
  <c r="U525" i="43" s="1"/>
  <c r="N524" i="43"/>
  <c r="N525" i="43" s="1"/>
  <c r="AC524" i="43"/>
  <c r="AC525" i="43" s="1"/>
  <c r="S524" i="43"/>
  <c r="S525" i="43" s="1"/>
  <c r="H524" i="43"/>
  <c r="H525" i="43" s="1"/>
  <c r="AB524" i="43"/>
  <c r="AB525" i="43" s="1"/>
  <c r="F524" i="43"/>
  <c r="F525" i="43" s="1"/>
  <c r="D521" i="43"/>
  <c r="X521" i="43"/>
  <c r="J521" i="43"/>
  <c r="K521" i="43"/>
  <c r="N521" i="43"/>
  <c r="W521" i="43"/>
  <c r="R521" i="43"/>
  <c r="S521" i="43"/>
  <c r="E367" i="43"/>
  <c r="D107" i="61"/>
  <c r="E55" i="59"/>
  <c r="E66" i="59"/>
  <c r="E54" i="59"/>
  <c r="E64" i="59"/>
  <c r="E65" i="59"/>
  <c r="D239" i="59"/>
  <c r="D245" i="59"/>
  <c r="D246" i="59"/>
  <c r="D237" i="59"/>
  <c r="D238" i="59"/>
  <c r="D240" i="59"/>
  <c r="D241" i="59"/>
  <c r="D242" i="59"/>
  <c r="D243" i="59"/>
  <c r="E65" i="58"/>
  <c r="E52" i="58"/>
  <c r="D478" i="43" l="1"/>
  <c r="I641" i="43"/>
  <c r="I651" i="43" s="1"/>
  <c r="T641" i="43"/>
  <c r="T651" i="43" s="1"/>
  <c r="U641" i="43"/>
  <c r="U651" i="43" s="1"/>
  <c r="AB641" i="43"/>
  <c r="AB651" i="43" s="1"/>
  <c r="F478" i="43"/>
  <c r="H641" i="43"/>
  <c r="H651" i="43" s="1"/>
  <c r="AA641" i="43"/>
  <c r="AA651" i="43" s="1"/>
  <c r="AB623" i="43"/>
  <c r="AB633" i="43" s="1"/>
  <c r="M623" i="43"/>
  <c r="M633" i="43" s="1"/>
  <c r="H7" i="43"/>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CA54" i="59"/>
  <c r="CA68" i="59" s="1"/>
  <c r="Z121" i="61"/>
  <c r="BD70" i="59"/>
  <c r="BD84" i="59" s="1"/>
  <c r="AA66" i="58"/>
  <c r="D144" i="43"/>
  <c r="D344" i="43" s="1"/>
  <c r="D363" i="43" s="1"/>
  <c r="AI52" i="59"/>
  <c r="AI80" i="59" s="1"/>
  <c r="E107" i="61"/>
  <c r="D153" i="43"/>
  <c r="D353" i="43" s="1"/>
  <c r="D380" i="43" s="1"/>
  <c r="AI68" i="59"/>
  <c r="AI83" i="59" s="1"/>
  <c r="E120" i="61"/>
  <c r="BM75" i="59"/>
  <c r="BM83" i="59" s="1"/>
  <c r="AA664" i="43"/>
  <c r="AA677" i="43" s="1"/>
  <c r="AL115" i="59"/>
  <c r="AL128" i="59" s="1"/>
  <c r="AL141" i="59" s="1"/>
  <c r="AL153" i="59" s="1"/>
  <c r="AL164" i="59" s="1"/>
  <c r="AY89" i="59"/>
  <c r="AY100" i="59" s="1"/>
  <c r="AR89" i="59"/>
  <c r="AR100" i="59" s="1"/>
  <c r="AQ115" i="59"/>
  <c r="AQ128" i="59" s="1"/>
  <c r="AQ141" i="59" s="1"/>
  <c r="AQ153" i="59" s="1"/>
  <c r="AQ164" i="59" s="1"/>
  <c r="H664" i="43"/>
  <c r="H677" i="43" s="1"/>
  <c r="T664" i="43"/>
  <c r="T677" i="43" s="1"/>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106" i="61"/>
  <c r="D132" i="61" s="1"/>
  <c r="D39" i="61"/>
  <c r="D75" i="61"/>
  <c r="AA27" i="60"/>
  <c r="AB24" i="60"/>
  <c r="G20" i="60"/>
  <c r="F55" i="60"/>
  <c r="AA28" i="60"/>
  <c r="I23" i="60"/>
  <c r="G21" i="60"/>
  <c r="F56" i="60"/>
  <c r="G22" i="60"/>
  <c r="F57" i="60"/>
  <c r="U664" i="43"/>
  <c r="U677" i="43" s="1"/>
  <c r="C525" i="43"/>
  <c r="H635" i="43"/>
  <c r="H636" i="43" s="1"/>
  <c r="O635" i="43"/>
  <c r="O636" i="43" s="1"/>
  <c r="T635" i="43"/>
  <c r="T636" i="43" s="1"/>
  <c r="S635" i="43"/>
  <c r="S636" i="43" s="1"/>
  <c r="L635" i="43"/>
  <c r="L636" i="43" s="1"/>
  <c r="X635" i="43"/>
  <c r="X636" i="43" s="1"/>
  <c r="AC635" i="43"/>
  <c r="AC636" i="43" s="1"/>
  <c r="G635" i="43"/>
  <c r="G636" i="43" s="1"/>
  <c r="M635" i="43"/>
  <c r="M636" i="43" s="1"/>
  <c r="N635" i="43"/>
  <c r="N636" i="43" s="1"/>
  <c r="R635" i="43"/>
  <c r="R636" i="43" s="1"/>
  <c r="Z635" i="43"/>
  <c r="Z636" i="43" s="1"/>
  <c r="U635" i="43"/>
  <c r="U636" i="43" s="1"/>
  <c r="V635" i="43"/>
  <c r="V636" i="43" s="1"/>
  <c r="Q635" i="43"/>
  <c r="Q636" i="43" s="1"/>
  <c r="P635" i="43"/>
  <c r="P636" i="43" s="1"/>
  <c r="W635" i="43"/>
  <c r="W636" i="43" s="1"/>
  <c r="AA635" i="43"/>
  <c r="AA636" i="43" s="1"/>
  <c r="F635" i="43"/>
  <c r="F636" i="43" s="1"/>
  <c r="I635" i="43"/>
  <c r="I636" i="43" s="1"/>
  <c r="K635" i="43"/>
  <c r="K636" i="43" s="1"/>
  <c r="D635" i="43"/>
  <c r="D636" i="43" s="1"/>
  <c r="AB635" i="43"/>
  <c r="AB636" i="43" s="1"/>
  <c r="J635" i="43"/>
  <c r="J636" i="43" s="1"/>
  <c r="Y635" i="43"/>
  <c r="Y636" i="43" s="1"/>
  <c r="E635" i="43"/>
  <c r="E636" i="43" s="1"/>
  <c r="Y664" i="43"/>
  <c r="Y677" i="43" s="1"/>
  <c r="Z664" i="43"/>
  <c r="Z677" i="43" s="1"/>
  <c r="G623" i="43"/>
  <c r="G633" i="43" s="1"/>
  <c r="AC664" i="43"/>
  <c r="AC677" i="43" s="1"/>
  <c r="O664" i="43"/>
  <c r="O677" i="43" s="1"/>
  <c r="P623" i="43"/>
  <c r="P633" i="43" s="1"/>
  <c r="F664" i="43"/>
  <c r="F677" i="43" s="1"/>
  <c r="E664" i="43"/>
  <c r="E677" i="43" s="1"/>
  <c r="I623" i="43"/>
  <c r="I633" i="43" s="1"/>
  <c r="C664" i="43"/>
  <c r="C677" i="43" s="1"/>
  <c r="X623" i="43"/>
  <c r="X633" i="43" s="1"/>
  <c r="X664" i="43"/>
  <c r="X677" i="43" s="1"/>
  <c r="V623" i="43"/>
  <c r="V633" i="43" s="1"/>
  <c r="V664" i="43"/>
  <c r="V677" i="43" s="1"/>
  <c r="W623" i="43"/>
  <c r="W633" i="43" s="1"/>
  <c r="W664" i="43"/>
  <c r="W677" i="43" s="1"/>
  <c r="L623" i="43"/>
  <c r="L633" i="43" s="1"/>
  <c r="L664" i="43"/>
  <c r="L677" i="43" s="1"/>
  <c r="N623" i="43"/>
  <c r="N633" i="43" s="1"/>
  <c r="N664" i="43"/>
  <c r="N677" i="43" s="1"/>
  <c r="D623" i="43"/>
  <c r="D633" i="43" s="1"/>
  <c r="D664" i="43"/>
  <c r="D677" i="43" s="1"/>
  <c r="S623" i="43"/>
  <c r="S633" i="43" s="1"/>
  <c r="S664" i="43"/>
  <c r="S677" i="43" s="1"/>
  <c r="R623" i="43"/>
  <c r="R633" i="43" s="1"/>
  <c r="R664" i="43"/>
  <c r="R677" i="43" s="1"/>
  <c r="K623" i="43"/>
  <c r="K633" i="43" s="1"/>
  <c r="K664" i="43"/>
  <c r="K677" i="43" s="1"/>
  <c r="J623" i="43"/>
  <c r="J633" i="43" s="1"/>
  <c r="J664" i="43"/>
  <c r="J677" i="43" s="1"/>
  <c r="Q623" i="43"/>
  <c r="Q633" i="43" s="1"/>
  <c r="Q664" i="43"/>
  <c r="Q677" i="43" s="1"/>
  <c r="C524" i="43"/>
  <c r="C626" i="43"/>
  <c r="C627" i="43" s="1"/>
  <c r="D627"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D352" i="43" l="1"/>
  <c r="D366" i="43" s="1"/>
  <c r="BM77" i="59"/>
  <c r="BW77" i="59"/>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E344" i="43" s="1"/>
  <c r="E363" i="43" s="1"/>
  <c r="AJ52" i="59"/>
  <c r="AJ80" i="59" s="1"/>
  <c r="F107" i="61"/>
  <c r="D345" i="43"/>
  <c r="D377" i="43" s="1"/>
  <c r="U74" i="58"/>
  <c r="CB54" i="59"/>
  <c r="CB68" i="59" s="1"/>
  <c r="D354" i="43"/>
  <c r="AJ68" i="59"/>
  <c r="AJ83" i="59" s="1"/>
  <c r="F120" i="61"/>
  <c r="E526" i="43"/>
  <c r="D526" i="43"/>
  <c r="D470" i="43" s="1"/>
  <c r="D642" i="43" s="1"/>
  <c r="BN77" i="59"/>
  <c r="BN83" i="59"/>
  <c r="BM85" i="59"/>
  <c r="BM86" i="59"/>
  <c r="B79" i="43"/>
  <c r="B77" i="43"/>
  <c r="B82" i="43"/>
  <c r="B81" i="43"/>
  <c r="B83" i="43"/>
  <c r="B78" i="43"/>
  <c r="AB68" i="58"/>
  <c r="AZ71" i="59"/>
  <c r="W67" i="58"/>
  <c r="V122" i="61"/>
  <c r="AB28" i="60"/>
  <c r="H22" i="60"/>
  <c r="G57" i="60"/>
  <c r="H20" i="60"/>
  <c r="G55" i="60"/>
  <c r="H21" i="60"/>
  <c r="G56" i="60"/>
  <c r="AC24" i="60"/>
  <c r="J23" i="60"/>
  <c r="AB27" i="60"/>
  <c r="B105" i="43"/>
  <c r="D101" i="43" s="1"/>
  <c r="C635" i="43"/>
  <c r="C636" i="43" s="1"/>
  <c r="M95" i="58"/>
  <c r="D64" i="58" s="1"/>
  <c r="K526" i="43"/>
  <c r="Z526" i="43"/>
  <c r="G526" i="43"/>
  <c r="T526" i="43"/>
  <c r="R526" i="43"/>
  <c r="H526" i="43"/>
  <c r="W526" i="43"/>
  <c r="X526" i="43"/>
  <c r="F526" i="43"/>
  <c r="M526" i="43"/>
  <c r="P526" i="43"/>
  <c r="AC526" i="43"/>
  <c r="Q526" i="43"/>
  <c r="U526" i="43"/>
  <c r="N526" i="43"/>
  <c r="AA526" i="43"/>
  <c r="Y526" i="43"/>
  <c r="J526" i="43"/>
  <c r="V526" i="43"/>
  <c r="L526" i="43"/>
  <c r="O526" i="43"/>
  <c r="AB526" i="43"/>
  <c r="I526" i="43"/>
  <c r="S526" i="43"/>
  <c r="G65" i="58"/>
  <c r="E153" i="43"/>
  <c r="G52" i="58"/>
  <c r="E345" i="43" l="1"/>
  <c r="E377" i="43" s="1"/>
  <c r="CG85" i="59"/>
  <c r="CG87" i="59" s="1"/>
  <c r="CG88" i="59" s="1"/>
  <c r="CI86" i="59"/>
  <c r="CI87" i="59" s="1"/>
  <c r="CI88" i="59" s="1"/>
  <c r="BX86" i="59"/>
  <c r="BX87" i="59" s="1"/>
  <c r="BX88" i="59" s="1"/>
  <c r="CK85" i="59"/>
  <c r="CK87" i="59" s="1"/>
  <c r="CK88" i="59" s="1"/>
  <c r="BV86" i="59"/>
  <c r="BV87" i="59" s="1"/>
  <c r="BV88" i="59" s="1"/>
  <c r="CJ86" i="59"/>
  <c r="CJ87" i="59" s="1"/>
  <c r="CJ88" i="59" s="1"/>
  <c r="CD86" i="59"/>
  <c r="CD87" i="59" s="1"/>
  <c r="CD88" i="59" s="1"/>
  <c r="CL86" i="59"/>
  <c r="CL87" i="59" s="1"/>
  <c r="CL88" i="59" s="1"/>
  <c r="CH85" i="59"/>
  <c r="CH87" i="59" s="1"/>
  <c r="CH88" i="59" s="1"/>
  <c r="BR86" i="59"/>
  <c r="BR87" i="59" s="1"/>
  <c r="BR88" i="59" s="1"/>
  <c r="CB86" i="59"/>
  <c r="CB87" i="59" s="1"/>
  <c r="CB88" i="59" s="1"/>
  <c r="CA86" i="59"/>
  <c r="CA87" i="59" s="1"/>
  <c r="CA88" i="59" s="1"/>
  <c r="BT86" i="59"/>
  <c r="BT87" i="59" s="1"/>
  <c r="BT88" i="59" s="1"/>
  <c r="CC86" i="59"/>
  <c r="CC87" i="59" s="1"/>
  <c r="CC88" i="59" s="1"/>
  <c r="CF85" i="59"/>
  <c r="CF87" i="59" s="1"/>
  <c r="CF88" i="59" s="1"/>
  <c r="BW86" i="59"/>
  <c r="BW87" i="59" s="1"/>
  <c r="BW88" i="59" s="1"/>
  <c r="BZ86" i="59"/>
  <c r="BZ87" i="59" s="1"/>
  <c r="BZ88" i="59" s="1"/>
  <c r="BQ85" i="59"/>
  <c r="BQ87" i="59" s="1"/>
  <c r="BQ88" i="59" s="1"/>
  <c r="BO86" i="59"/>
  <c r="BO87" i="59" s="1"/>
  <c r="BO88" i="59" s="1"/>
  <c r="BP85" i="59"/>
  <c r="BP87" i="59" s="1"/>
  <c r="BP88" i="59" s="1"/>
  <c r="BU86" i="59"/>
  <c r="BU87" i="59" s="1"/>
  <c r="BU88" i="59" s="1"/>
  <c r="BS86" i="59"/>
  <c r="BS87" i="59" s="1"/>
  <c r="BS88" i="59" s="1"/>
  <c r="CE86" i="59"/>
  <c r="CE87" i="59" s="1"/>
  <c r="CE88" i="59" s="1"/>
  <c r="BY86" i="59"/>
  <c r="BY87" i="59" s="1"/>
  <c r="BY88" i="59" s="1"/>
  <c r="BL83" i="59"/>
  <c r="BL86" i="59" s="1"/>
  <c r="BL77" i="59"/>
  <c r="V74" i="58"/>
  <c r="CC54" i="59"/>
  <c r="CC68" i="59" s="1"/>
  <c r="C151" i="43"/>
  <c r="D119" i="61"/>
  <c r="AH66" i="59"/>
  <c r="F144" i="43"/>
  <c r="F345" i="43" s="1"/>
  <c r="F377" i="43" s="1"/>
  <c r="AK52" i="59"/>
  <c r="AK80" i="59" s="1"/>
  <c r="G107" i="61"/>
  <c r="BF70" i="59"/>
  <c r="BF84" i="59" s="1"/>
  <c r="AC66" i="58"/>
  <c r="AB121" i="61"/>
  <c r="AK68" i="59"/>
  <c r="AK83" i="59" s="1"/>
  <c r="G120" i="61"/>
  <c r="U470" i="43"/>
  <c r="U642" i="43" s="1"/>
  <c r="U472" i="43"/>
  <c r="U644" i="43" s="1"/>
  <c r="U471" i="43"/>
  <c r="U643" i="43" s="1"/>
  <c r="AA470" i="43"/>
  <c r="AA642" i="43" s="1"/>
  <c r="AA472" i="43"/>
  <c r="AA644" i="43" s="1"/>
  <c r="AA471" i="43"/>
  <c r="AA643" i="43" s="1"/>
  <c r="AB470" i="43"/>
  <c r="AB642" i="43" s="1"/>
  <c r="AB472" i="43"/>
  <c r="AB644" i="43" s="1"/>
  <c r="AB471" i="43"/>
  <c r="AB643" i="43" s="1"/>
  <c r="O472" i="43"/>
  <c r="O644" i="43" s="1"/>
  <c r="O470" i="43"/>
  <c r="O642" i="43" s="1"/>
  <c r="O471" i="43"/>
  <c r="O643" i="43" s="1"/>
  <c r="Q471" i="43"/>
  <c r="Q643" i="43" s="1"/>
  <c r="Q470" i="43"/>
  <c r="Q642" i="43" s="1"/>
  <c r="Q472" i="43"/>
  <c r="Q644" i="43" s="1"/>
  <c r="R471" i="43"/>
  <c r="R643" i="43" s="1"/>
  <c r="R470" i="43"/>
  <c r="R642" i="43" s="1"/>
  <c r="R472" i="43"/>
  <c r="R644" i="43" s="1"/>
  <c r="T470" i="43"/>
  <c r="T642" i="43" s="1"/>
  <c r="T472" i="43"/>
  <c r="T644" i="43" s="1"/>
  <c r="T471" i="43"/>
  <c r="T643" i="43" s="1"/>
  <c r="AC470" i="43"/>
  <c r="AC642" i="43" s="1"/>
  <c r="AC472" i="43"/>
  <c r="AC644" i="43" s="1"/>
  <c r="AC471" i="43"/>
  <c r="AC643" i="43" s="1"/>
  <c r="V471" i="43"/>
  <c r="V643" i="43" s="1"/>
  <c r="V470" i="43"/>
  <c r="V642" i="43" s="1"/>
  <c r="V472" i="43"/>
  <c r="V644" i="43" s="1"/>
  <c r="P470" i="43"/>
  <c r="P642" i="43" s="1"/>
  <c r="P472" i="43"/>
  <c r="P644" i="43" s="1"/>
  <c r="P471" i="43"/>
  <c r="P643" i="43" s="1"/>
  <c r="G470" i="43"/>
  <c r="G642" i="43" s="1"/>
  <c r="G471" i="43"/>
  <c r="G643" i="43" s="1"/>
  <c r="G472" i="43"/>
  <c r="G644" i="43" s="1"/>
  <c r="L470" i="43"/>
  <c r="L642" i="43" s="1"/>
  <c r="L471" i="43"/>
  <c r="L643" i="43" s="1"/>
  <c r="L472" i="43"/>
  <c r="L644" i="43" s="1"/>
  <c r="J470" i="43"/>
  <c r="J642" i="43" s="1"/>
  <c r="J472" i="43"/>
  <c r="J644" i="43" s="1"/>
  <c r="J471" i="43"/>
  <c r="J643" i="43" s="1"/>
  <c r="Z470" i="43"/>
  <c r="Z642" i="43" s="1"/>
  <c r="Z471" i="43"/>
  <c r="Z643" i="43" s="1"/>
  <c r="Z472" i="43"/>
  <c r="Z644" i="43" s="1"/>
  <c r="S470" i="43"/>
  <c r="S642" i="43" s="1"/>
  <c r="S472" i="43"/>
  <c r="S644" i="43" s="1"/>
  <c r="S471" i="43"/>
  <c r="S643" i="43" s="1"/>
  <c r="X471" i="43"/>
  <c r="X643" i="43" s="1"/>
  <c r="X472" i="43"/>
  <c r="X644" i="43" s="1"/>
  <c r="X470" i="43"/>
  <c r="X642" i="43" s="1"/>
  <c r="H470" i="43"/>
  <c r="H642" i="43" s="1"/>
  <c r="H471" i="43"/>
  <c r="H643" i="43" s="1"/>
  <c r="H472" i="43"/>
  <c r="H644" i="43" s="1"/>
  <c r="M470" i="43"/>
  <c r="M642" i="43" s="1"/>
  <c r="M472" i="43"/>
  <c r="M644" i="43" s="1"/>
  <c r="M471" i="43"/>
  <c r="M643" i="43" s="1"/>
  <c r="Y471" i="43"/>
  <c r="Y643" i="43" s="1"/>
  <c r="Y472" i="43"/>
  <c r="Y644" i="43" s="1"/>
  <c r="Y470" i="43"/>
  <c r="Y642" i="43" s="1"/>
  <c r="F471" i="43"/>
  <c r="F643" i="43" s="1"/>
  <c r="F470" i="43"/>
  <c r="F642" i="43" s="1"/>
  <c r="F472" i="43"/>
  <c r="F644" i="43" s="1"/>
  <c r="K470" i="43"/>
  <c r="K642" i="43" s="1"/>
  <c r="K471" i="43"/>
  <c r="K643" i="43" s="1"/>
  <c r="K472" i="43"/>
  <c r="K644" i="43" s="1"/>
  <c r="D471" i="43"/>
  <c r="D643" i="43" s="1"/>
  <c r="D472" i="43"/>
  <c r="D644" i="43" s="1"/>
  <c r="D479" i="43"/>
  <c r="I472" i="43"/>
  <c r="I644" i="43" s="1"/>
  <c r="I470" i="43"/>
  <c r="I642" i="43" s="1"/>
  <c r="I471" i="43"/>
  <c r="I643" i="43" s="1"/>
  <c r="N472" i="43"/>
  <c r="N644" i="43" s="1"/>
  <c r="N470" i="43"/>
  <c r="N642" i="43" s="1"/>
  <c r="N471" i="43"/>
  <c r="N643" i="43" s="1"/>
  <c r="W471" i="43"/>
  <c r="W643" i="43" s="1"/>
  <c r="W470" i="43"/>
  <c r="W642" i="43" s="1"/>
  <c r="W472" i="43"/>
  <c r="W644" i="43" s="1"/>
  <c r="E470" i="43"/>
  <c r="E642" i="43" s="1"/>
  <c r="E472" i="43"/>
  <c r="E644" i="43" s="1"/>
  <c r="E471" i="43"/>
  <c r="E643" i="43" s="1"/>
  <c r="BN85" i="59"/>
  <c r="BN86" i="59"/>
  <c r="BM87" i="59"/>
  <c r="BM88" i="59" s="1"/>
  <c r="D125" i="61"/>
  <c r="D124" i="61"/>
  <c r="BA71" i="59"/>
  <c r="W122" i="61"/>
  <c r="X67" i="58"/>
  <c r="AC68" i="58"/>
  <c r="E352" i="43"/>
  <c r="E366" i="43" s="1"/>
  <c r="E353" i="43"/>
  <c r="E380" i="43" s="1"/>
  <c r="E354" i="43"/>
  <c r="I21" i="60"/>
  <c r="H56" i="60"/>
  <c r="AC27" i="60"/>
  <c r="I20" i="60"/>
  <c r="H55" i="60"/>
  <c r="K23" i="60"/>
  <c r="I22" i="60"/>
  <c r="H57" i="60"/>
  <c r="AD24" i="60"/>
  <c r="AC28" i="60"/>
  <c r="B84" i="43"/>
  <c r="D75" i="43" s="1"/>
  <c r="C526" i="43"/>
  <c r="D61" i="58"/>
  <c r="D58" i="58"/>
  <c r="D57" i="58"/>
  <c r="D54" i="58"/>
  <c r="D53" i="58"/>
  <c r="D62" i="58"/>
  <c r="D59" i="58"/>
  <c r="D56" i="58"/>
  <c r="D63" i="58"/>
  <c r="D55" i="58"/>
  <c r="D60" i="58"/>
  <c r="H65" i="58"/>
  <c r="F153" i="43"/>
  <c r="H52" i="58"/>
  <c r="E64" i="58"/>
  <c r="E62" i="58"/>
  <c r="AB646" i="43" l="1"/>
  <c r="AB655" i="43" s="1"/>
  <c r="BT53" i="59"/>
  <c r="CG53" i="59"/>
  <c r="G479" i="43"/>
  <c r="CL53" i="59"/>
  <c r="BZ53" i="59"/>
  <c r="K479" i="43"/>
  <c r="BW53" i="59"/>
  <c r="BS53" i="59"/>
  <c r="AC479" i="43"/>
  <c r="Q479" i="43"/>
  <c r="BY53" i="59"/>
  <c r="CB53" i="59"/>
  <c r="P479" i="43"/>
  <c r="CC53" i="59"/>
  <c r="AA479" i="43"/>
  <c r="BU53" i="59"/>
  <c r="X125" i="61"/>
  <c r="BR53" i="59"/>
  <c r="F479" i="43"/>
  <c r="BQ53" i="59"/>
  <c r="S479" i="43"/>
  <c r="T479" i="43"/>
  <c r="O479" i="43"/>
  <c r="CI53" i="59"/>
  <c r="L479" i="43"/>
  <c r="V479" i="43"/>
  <c r="CA53" i="59"/>
  <c r="BX53" i="59"/>
  <c r="CD53" i="59"/>
  <c r="W646" i="43"/>
  <c r="Y479" i="43"/>
  <c r="H479" i="43"/>
  <c r="BP53" i="59"/>
  <c r="R479" i="43"/>
  <c r="U479" i="43"/>
  <c r="BV53" i="59"/>
  <c r="J479" i="43"/>
  <c r="CJ53" i="59"/>
  <c r="CH53" i="59"/>
  <c r="X479" i="43"/>
  <c r="Z479" i="43"/>
  <c r="CK53" i="59"/>
  <c r="F344" i="43"/>
  <c r="F363" i="43" s="1"/>
  <c r="BL85" i="59"/>
  <c r="BL87" i="59" s="1"/>
  <c r="BL88" i="59" s="1"/>
  <c r="E473" i="43"/>
  <c r="E479" i="43"/>
  <c r="I473" i="43"/>
  <c r="I479" i="43"/>
  <c r="F473" i="43"/>
  <c r="M473" i="43"/>
  <c r="M479" i="43"/>
  <c r="T125" i="61"/>
  <c r="O473" i="43"/>
  <c r="V473" i="43"/>
  <c r="W473" i="43"/>
  <c r="W479" i="43"/>
  <c r="N473" i="43"/>
  <c r="N479" i="43"/>
  <c r="L125" i="61"/>
  <c r="AD125" i="61"/>
  <c r="AB473" i="43"/>
  <c r="AB479" i="43"/>
  <c r="O125" i="61"/>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G344" i="43" s="1"/>
  <c r="G363" i="43" s="1"/>
  <c r="AL52" i="59"/>
  <c r="AL80" i="59" s="1"/>
  <c r="H107" i="61"/>
  <c r="C149" i="43"/>
  <c r="AH64" i="59"/>
  <c r="AH82" i="59" s="1"/>
  <c r="D117" i="61"/>
  <c r="BG70" i="59"/>
  <c r="BG84" i="59" s="1"/>
  <c r="AD66" i="58"/>
  <c r="AC121" i="61"/>
  <c r="E53" i="58"/>
  <c r="AH54" i="59"/>
  <c r="D108" i="61"/>
  <c r="E54" i="58"/>
  <c r="AI55" i="59" s="1"/>
  <c r="AH55" i="59"/>
  <c r="D109" i="61"/>
  <c r="W74"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73" i="43"/>
  <c r="G473" i="43"/>
  <c r="J473" i="43"/>
  <c r="AC473" i="43"/>
  <c r="Q473" i="43"/>
  <c r="K473" i="43"/>
  <c r="P473" i="43"/>
  <c r="AA473" i="43"/>
  <c r="S473" i="43"/>
  <c r="L473" i="43"/>
  <c r="T473" i="43"/>
  <c r="D473" i="43"/>
  <c r="Z473" i="43"/>
  <c r="R473" i="43"/>
  <c r="Y473" i="43"/>
  <c r="H473" i="43"/>
  <c r="U473" i="43"/>
  <c r="BN87" i="59"/>
  <c r="BN88" i="59" s="1"/>
  <c r="BL53" i="59"/>
  <c r="BL52" i="59"/>
  <c r="AD68" i="58"/>
  <c r="BB71" i="59"/>
  <c r="Y67" i="58"/>
  <c r="X122" i="61"/>
  <c r="F352" i="43"/>
  <c r="F366" i="43" s="1"/>
  <c r="F354" i="43"/>
  <c r="F353" i="43"/>
  <c r="F380" i="43" s="1"/>
  <c r="J20" i="60"/>
  <c r="I55" i="60"/>
  <c r="AD27" i="60"/>
  <c r="L23" i="60"/>
  <c r="AD28" i="60"/>
  <c r="J22" i="60"/>
  <c r="I57" i="60"/>
  <c r="J21" i="60"/>
  <c r="I56" i="60"/>
  <c r="F54" i="58"/>
  <c r="F55" i="58"/>
  <c r="G55" i="58" s="1"/>
  <c r="E63" i="58"/>
  <c r="F53" i="58"/>
  <c r="F62" i="58"/>
  <c r="I65" i="58"/>
  <c r="G153" i="43"/>
  <c r="F64" i="58"/>
  <c r="D151" i="43"/>
  <c r="I52" i="58"/>
  <c r="H208" i="43"/>
  <c r="W655" i="43" l="1"/>
  <c r="W652" i="43"/>
  <c r="K125" i="61"/>
  <c r="AB654" i="43"/>
  <c r="Z646" i="43"/>
  <c r="Z655" i="43" s="1"/>
  <c r="R646" i="43"/>
  <c r="R655" i="43" s="1"/>
  <c r="H646" i="43"/>
  <c r="V646" i="43"/>
  <c r="V652" i="43" s="1"/>
  <c r="K646" i="43"/>
  <c r="K655" i="43" s="1"/>
  <c r="AB652" i="43"/>
  <c r="M646" i="43"/>
  <c r="M654" i="43" s="1"/>
  <c r="I125" i="61"/>
  <c r="X646" i="43"/>
  <c r="X655" i="43" s="1"/>
  <c r="Y646" i="43"/>
  <c r="Y655" i="43" s="1"/>
  <c r="L646" i="43"/>
  <c r="L655" i="43" s="1"/>
  <c r="S646" i="43"/>
  <c r="S655" i="43" s="1"/>
  <c r="W654" i="43"/>
  <c r="P646" i="43"/>
  <c r="P655" i="43" s="1"/>
  <c r="Q646" i="43"/>
  <c r="Q655" i="43" s="1"/>
  <c r="N646" i="43"/>
  <c r="N654" i="43" s="1"/>
  <c r="I646" i="43"/>
  <c r="U646" i="43"/>
  <c r="U655" i="43" s="1"/>
  <c r="O646" i="43"/>
  <c r="O654" i="43" s="1"/>
  <c r="AC646" i="43"/>
  <c r="AC655" i="43" s="1"/>
  <c r="E646" i="43"/>
  <c r="BN53" i="59"/>
  <c r="D646" i="43"/>
  <c r="D652" i="43" s="1"/>
  <c r="J646" i="43"/>
  <c r="J655" i="43" s="1"/>
  <c r="AB653" i="43"/>
  <c r="W653" i="43"/>
  <c r="T646" i="43"/>
  <c r="T655" i="43" s="1"/>
  <c r="F646" i="43"/>
  <c r="F653" i="43" s="1"/>
  <c r="AA646" i="43"/>
  <c r="AA655" i="43" s="1"/>
  <c r="G646" i="43"/>
  <c r="G655" i="43" s="1"/>
  <c r="N125" i="61"/>
  <c r="J125" i="61"/>
  <c r="U125" i="61"/>
  <c r="AB125" i="61"/>
  <c r="V125" i="61"/>
  <c r="S125" i="61"/>
  <c r="H125" i="61"/>
  <c r="Q125" i="61"/>
  <c r="BQ52" i="59"/>
  <c r="BQ67" i="59" s="1"/>
  <c r="BQ69" i="59" s="1"/>
  <c r="CF53" i="59"/>
  <c r="M125" i="61"/>
  <c r="F125" i="61"/>
  <c r="G345" i="43"/>
  <c r="G377" i="43" s="1"/>
  <c r="C152" i="43"/>
  <c r="E303" i="43" s="1"/>
  <c r="E300" i="43" s="1"/>
  <c r="C335" i="43" s="1"/>
  <c r="C365" i="43" s="1"/>
  <c r="AC125" i="61"/>
  <c r="P125" i="61"/>
  <c r="AA125" i="61"/>
  <c r="BM53" i="59"/>
  <c r="E125" i="61"/>
  <c r="Y125" i="61"/>
  <c r="R125" i="61"/>
  <c r="Z125" i="61"/>
  <c r="I124" i="61"/>
  <c r="E124" i="61"/>
  <c r="BM52" i="59"/>
  <c r="W125" i="61"/>
  <c r="CE53" i="59"/>
  <c r="L124" i="61"/>
  <c r="BT52" i="59"/>
  <c r="BT67" i="59" s="1"/>
  <c r="BT69" i="59" s="1"/>
  <c r="H124" i="61"/>
  <c r="BP52" i="59"/>
  <c r="BP67" i="59" s="1"/>
  <c r="BP69" i="59" s="1"/>
  <c r="W124" i="61"/>
  <c r="CE52" i="59"/>
  <c r="V124" i="61"/>
  <c r="CD52" i="59"/>
  <c r="CD67" i="59" s="1"/>
  <c r="CD69" i="59" s="1"/>
  <c r="Z124" i="61"/>
  <c r="CH52" i="59"/>
  <c r="CH67" i="59" s="1"/>
  <c r="T124" i="61"/>
  <c r="CB52" i="59"/>
  <c r="CB67" i="59" s="1"/>
  <c r="CB69" i="59" s="1"/>
  <c r="G125" i="61"/>
  <c r="BO53" i="59"/>
  <c r="S124" i="61"/>
  <c r="CA52" i="59"/>
  <c r="CA67" i="59" s="1"/>
  <c r="CA69" i="59" s="1"/>
  <c r="Q124" i="61"/>
  <c r="BY52" i="59"/>
  <c r="BY67" i="59" s="1"/>
  <c r="BY69" i="59" s="1"/>
  <c r="R124" i="61"/>
  <c r="BZ52" i="59"/>
  <c r="BZ67" i="59" s="1"/>
  <c r="BZ69" i="59" s="1"/>
  <c r="AA124" i="61"/>
  <c r="CI52" i="59"/>
  <c r="CI67" i="59" s="1"/>
  <c r="M124" i="61"/>
  <c r="BU52" i="59"/>
  <c r="BU67" i="59" s="1"/>
  <c r="BU69" i="59" s="1"/>
  <c r="P124" i="61"/>
  <c r="BX52" i="59"/>
  <c r="BX67" i="59" s="1"/>
  <c r="BX69" i="59" s="1"/>
  <c r="AB124" i="61"/>
  <c r="CJ52" i="59"/>
  <c r="CJ67" i="59" s="1"/>
  <c r="K124" i="61"/>
  <c r="BS52" i="59"/>
  <c r="BS67" i="59" s="1"/>
  <c r="BS69" i="59" s="1"/>
  <c r="AD124" i="61"/>
  <c r="CL52" i="59"/>
  <c r="CL67" i="59" s="1"/>
  <c r="Y124" i="61"/>
  <c r="CG52" i="59"/>
  <c r="CG67" i="59" s="1"/>
  <c r="U124" i="61"/>
  <c r="CC52" i="59"/>
  <c r="CC67" i="59" s="1"/>
  <c r="CC69" i="59" s="1"/>
  <c r="AI57" i="59"/>
  <c r="X74" i="58"/>
  <c r="CE54" i="59"/>
  <c r="CE68" i="59" s="1"/>
  <c r="F58" i="58"/>
  <c r="E113" i="61"/>
  <c r="AI59" i="59"/>
  <c r="AH81" i="59"/>
  <c r="F57" i="58"/>
  <c r="AI58" i="59"/>
  <c r="E112" i="61"/>
  <c r="AD121" i="61"/>
  <c r="BH70" i="59"/>
  <c r="BH84" i="59" s="1"/>
  <c r="H144" i="43"/>
  <c r="H344" i="43" s="1"/>
  <c r="H363" i="43" s="1"/>
  <c r="AM52" i="59"/>
  <c r="AM80" i="59" s="1"/>
  <c r="I107" i="61"/>
  <c r="E109" i="61"/>
  <c r="D145" i="43"/>
  <c r="D148" i="43" s="1"/>
  <c r="AI54" i="59"/>
  <c r="AI81" i="59" s="1"/>
  <c r="E108" i="61"/>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M23" i="60"/>
  <c r="K21" i="60"/>
  <c r="J56" i="60"/>
  <c r="K22" i="60"/>
  <c r="J57" i="60"/>
  <c r="K20" i="60"/>
  <c r="J55" i="60"/>
  <c r="G54" i="58"/>
  <c r="F63" i="58"/>
  <c r="G62" i="58"/>
  <c r="E145" i="43"/>
  <c r="H55" i="58"/>
  <c r="G64" i="58"/>
  <c r="J65" i="58"/>
  <c r="H153" i="43"/>
  <c r="J52" i="58"/>
  <c r="R654" i="43" l="1"/>
  <c r="S654" i="43"/>
  <c r="S653" i="43"/>
  <c r="U654" i="43"/>
  <c r="Q653" i="43"/>
  <c r="Q654" i="43"/>
  <c r="L654" i="43"/>
  <c r="G652" i="43"/>
  <c r="G654" i="43"/>
  <c r="H655" i="43"/>
  <c r="H654" i="43"/>
  <c r="F652" i="43"/>
  <c r="D653" i="43"/>
  <c r="E301" i="43"/>
  <c r="C336" i="43" s="1"/>
  <c r="C379" i="43" s="1"/>
  <c r="H653" i="43"/>
  <c r="D654" i="43"/>
  <c r="E302" i="43"/>
  <c r="P653" i="43"/>
  <c r="P654" i="43"/>
  <c r="AC652" i="43"/>
  <c r="T653" i="43"/>
  <c r="U653" i="43"/>
  <c r="X653" i="43"/>
  <c r="W656" i="43"/>
  <c r="Y652" i="43"/>
  <c r="AB656" i="43"/>
  <c r="X652" i="43"/>
  <c r="R653" i="43"/>
  <c r="G653" i="43"/>
  <c r="X654" i="43"/>
  <c r="I655" i="43"/>
  <c r="I652" i="43"/>
  <c r="N655" i="43"/>
  <c r="N652" i="43"/>
  <c r="P652" i="43"/>
  <c r="P656" i="43" s="1"/>
  <c r="K652" i="43"/>
  <c r="V655" i="43"/>
  <c r="V654" i="43"/>
  <c r="N653" i="43"/>
  <c r="K654" i="43"/>
  <c r="AA652" i="43"/>
  <c r="Z653" i="43"/>
  <c r="E655" i="43"/>
  <c r="E652" i="43"/>
  <c r="V653" i="43"/>
  <c r="J654" i="43"/>
  <c r="E654" i="43"/>
  <c r="Z652" i="43"/>
  <c r="F655" i="43"/>
  <c r="F654" i="43"/>
  <c r="Y653" i="43"/>
  <c r="U652" i="43"/>
  <c r="E653" i="43"/>
  <c r="S652" i="43"/>
  <c r="I653" i="43"/>
  <c r="AA653" i="43"/>
  <c r="H652" i="43"/>
  <c r="AC654" i="43"/>
  <c r="O655" i="43"/>
  <c r="O653" i="43"/>
  <c r="AA654" i="43"/>
  <c r="M655" i="43"/>
  <c r="M652" i="43"/>
  <c r="T654" i="43"/>
  <c r="J652" i="43"/>
  <c r="O652" i="43"/>
  <c r="Y654" i="43"/>
  <c r="I654" i="43"/>
  <c r="K653" i="43"/>
  <c r="T652" i="43"/>
  <c r="D655" i="43"/>
  <c r="M653" i="43"/>
  <c r="Z654" i="43"/>
  <c r="AC653" i="43"/>
  <c r="Q652" i="43"/>
  <c r="L652" i="43"/>
  <c r="J653" i="43"/>
  <c r="L653" i="43"/>
  <c r="R652" i="43"/>
  <c r="BO52" i="59"/>
  <c r="BO67" i="59" s="1"/>
  <c r="BO69" i="59" s="1"/>
  <c r="G124" i="61"/>
  <c r="BM67" i="59"/>
  <c r="BM69" i="59" s="1"/>
  <c r="CE67" i="59"/>
  <c r="CE69" i="59" s="1"/>
  <c r="BN52" i="59"/>
  <c r="BN67" i="59" s="1"/>
  <c r="BN69" i="59" s="1"/>
  <c r="F124" i="61"/>
  <c r="X124" i="61"/>
  <c r="CF52" i="59"/>
  <c r="CF67" i="59" s="1"/>
  <c r="O124" i="61"/>
  <c r="BW52" i="59"/>
  <c r="BW67" i="59" s="1"/>
  <c r="BW69" i="59" s="1"/>
  <c r="AC124" i="61"/>
  <c r="CK52" i="59"/>
  <c r="CK67" i="59" s="1"/>
  <c r="J124" i="61"/>
  <c r="BR52" i="59"/>
  <c r="BR67" i="59" s="1"/>
  <c r="BR69" i="59" s="1"/>
  <c r="N124" i="61"/>
  <c r="BV52" i="59"/>
  <c r="BV67" i="59" s="1"/>
  <c r="BV69" i="59" s="1"/>
  <c r="H345" i="43"/>
  <c r="H377" i="43" s="1"/>
  <c r="G57" i="58"/>
  <c r="AJ58" i="59"/>
  <c r="F112" i="61"/>
  <c r="Y74" i="58"/>
  <c r="CF54" i="59"/>
  <c r="CF68"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F300" i="43"/>
  <c r="F302" i="43"/>
  <c r="C337" i="43"/>
  <c r="C393" i="43" s="1"/>
  <c r="F320" i="43"/>
  <c r="L20" i="60"/>
  <c r="K55" i="60"/>
  <c r="L22" i="60"/>
  <c r="K57" i="60"/>
  <c r="L21" i="60"/>
  <c r="K56" i="60"/>
  <c r="N23" i="60"/>
  <c r="G63" i="58"/>
  <c r="H54" i="58"/>
  <c r="H62" i="58"/>
  <c r="I62" i="58" s="1"/>
  <c r="I55" i="58"/>
  <c r="H64" i="58"/>
  <c r="I53" i="58"/>
  <c r="K65" i="58"/>
  <c r="I153" i="43"/>
  <c r="K52" i="58"/>
  <c r="F301" i="43" l="1"/>
  <c r="V656" i="43"/>
  <c r="U656" i="43"/>
  <c r="Q656" i="43"/>
  <c r="S656" i="43"/>
  <c r="G656" i="43"/>
  <c r="D656" i="43"/>
  <c r="T656" i="43"/>
  <c r="L656" i="43"/>
  <c r="X656" i="43"/>
  <c r="F656" i="43"/>
  <c r="H656" i="43"/>
  <c r="K656" i="43"/>
  <c r="AA656" i="43"/>
  <c r="AC656" i="43"/>
  <c r="Y656" i="43"/>
  <c r="R656" i="43"/>
  <c r="N656" i="43"/>
  <c r="E656" i="43"/>
  <c r="J656" i="43"/>
  <c r="O656" i="43"/>
  <c r="Z656" i="43"/>
  <c r="M656" i="43"/>
  <c r="I656" i="43"/>
  <c r="I344" i="43"/>
  <c r="I363" i="43" s="1"/>
  <c r="CF69" i="59"/>
  <c r="H58" i="58"/>
  <c r="AK59" i="59"/>
  <c r="G113" i="61"/>
  <c r="Z74"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F337" i="43" l="1"/>
  <c r="J345" i="43"/>
  <c r="J377" i="43" s="1"/>
  <c r="I57" i="58"/>
  <c r="AL58" i="59"/>
  <c r="H112" i="61"/>
  <c r="AA74"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D338" i="43"/>
  <c r="E338" i="43"/>
  <c r="P23" i="60"/>
  <c r="N22" i="60"/>
  <c r="M57" i="60"/>
  <c r="N21" i="60"/>
  <c r="M56" i="60"/>
  <c r="N20" i="60"/>
  <c r="M55" i="60"/>
  <c r="J54" i="58"/>
  <c r="G150" i="43"/>
  <c r="G152" i="43" s="1"/>
  <c r="I63" i="58"/>
  <c r="K53" i="58"/>
  <c r="J64" i="58"/>
  <c r="M65" i="58"/>
  <c r="K153" i="43"/>
  <c r="M52" i="58"/>
  <c r="K62" i="58"/>
  <c r="L55" i="58"/>
  <c r="J346" i="43" l="1"/>
  <c r="K345" i="43"/>
  <c r="K377" i="43" s="1"/>
  <c r="AB74"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K346" i="43" l="1"/>
  <c r="L344" i="43"/>
  <c r="L363" i="43" s="1"/>
  <c r="K58" i="58"/>
  <c r="AN59" i="59"/>
  <c r="J113" i="61"/>
  <c r="K57" i="58"/>
  <c r="AN58" i="59"/>
  <c r="J112" i="61"/>
  <c r="M144" i="43"/>
  <c r="M345" i="43" s="1"/>
  <c r="M377" i="43" s="1"/>
  <c r="AR52" i="59"/>
  <c r="AR80" i="59" s="1"/>
  <c r="N107" i="61"/>
  <c r="AC74"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N345" i="43" s="1"/>
  <c r="N377" i="43" s="1"/>
  <c r="AS52" i="59"/>
  <c r="AS80" i="59" s="1"/>
  <c r="O107" i="61"/>
  <c r="K112" i="61"/>
  <c r="AO58" i="59"/>
  <c r="L57" i="58"/>
  <c r="AD74" i="58"/>
  <c r="CK54" i="59"/>
  <c r="CK68" i="59" s="1"/>
  <c r="CK69" i="59" s="1"/>
  <c r="L58" i="58"/>
  <c r="K113" i="61"/>
  <c r="AO59" i="59"/>
  <c r="AO81" i="59"/>
  <c r="M147" i="43"/>
  <c r="AR56" i="59"/>
  <c r="N110" i="61"/>
  <c r="M56" i="58"/>
  <c r="AP57" i="59"/>
  <c r="L111" i="61"/>
  <c r="M61" i="58"/>
  <c r="AP62" i="59"/>
  <c r="L116" i="61"/>
  <c r="L145" i="43"/>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L148" i="43" l="1"/>
  <c r="N344" i="43"/>
  <c r="N363" i="43" s="1"/>
  <c r="M346" i="43"/>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346" i="43" l="1"/>
  <c r="P345" i="43"/>
  <c r="P377" i="43" s="1"/>
  <c r="O58" i="58"/>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P346" i="43" l="1"/>
  <c r="Q344" i="43"/>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R344" i="43" l="1"/>
  <c r="R363" i="43" s="1"/>
  <c r="Q346" i="43"/>
  <c r="Q58" i="58"/>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S345" i="43" l="1"/>
  <c r="S377" i="43" s="1"/>
  <c r="AU58" i="59"/>
  <c r="Q112" i="61"/>
  <c r="R57" i="58"/>
  <c r="T144" i="43"/>
  <c r="T345" i="43" s="1"/>
  <c r="T377" i="43" s="1"/>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S346" i="43" l="1"/>
  <c r="T344" i="43"/>
  <c r="T363" i="43" s="1"/>
  <c r="R327" i="43"/>
  <c r="R378" i="43" s="1"/>
  <c r="R326" i="43"/>
  <c r="R364" i="43" s="1"/>
  <c r="U144" i="43"/>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W65" i="58"/>
  <c r="U153" i="43"/>
  <c r="S394" i="43"/>
  <c r="W55" i="58"/>
  <c r="T346" i="43" l="1"/>
  <c r="R392" i="43"/>
  <c r="V144" i="43"/>
  <c r="V345" i="43" s="1"/>
  <c r="V377" i="43" s="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T326" i="43" s="1"/>
  <c r="T364"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U346" i="43"/>
  <c r="Q336" i="43"/>
  <c r="Q379" i="43" s="1"/>
  <c r="Q337" i="43"/>
  <c r="Q335" i="43"/>
  <c r="Q365" i="43" s="1"/>
  <c r="P338" i="43"/>
  <c r="AA23" i="60"/>
  <c r="Y22" i="60"/>
  <c r="X57" i="60"/>
  <c r="Y20" i="60"/>
  <c r="X55" i="60"/>
  <c r="Y21" i="60"/>
  <c r="X56" i="60"/>
  <c r="V54" i="58"/>
  <c r="P393" i="43"/>
  <c r="V62" i="58"/>
  <c r="W53" i="58"/>
  <c r="X53" i="58" s="1"/>
  <c r="R150" i="43"/>
  <c r="R152" i="43" s="1"/>
  <c r="T63" i="58"/>
  <c r="X52" i="58"/>
  <c r="V64" i="58"/>
  <c r="T394" i="43"/>
  <c r="X65" i="58"/>
  <c r="V153" i="43"/>
  <c r="X55" i="58"/>
  <c r="T328" i="43" l="1"/>
  <c r="T327" i="43"/>
  <c r="T378" i="43" s="1"/>
  <c r="V344" i="43"/>
  <c r="V363" i="43" s="1"/>
  <c r="AX58" i="59"/>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T392" i="43"/>
  <c r="Z21" i="60"/>
  <c r="Y56" i="60"/>
  <c r="Z22" i="60"/>
  <c r="Y57" i="60"/>
  <c r="Z20" i="60"/>
  <c r="Y55" i="60"/>
  <c r="AB23" i="60"/>
  <c r="Q393" i="43"/>
  <c r="Y52" i="58"/>
  <c r="Z52" i="58" s="1"/>
  <c r="S150" i="43"/>
  <c r="S152" i="43" s="1"/>
  <c r="U63" i="58"/>
  <c r="W64" i="58"/>
  <c r="U394" i="43"/>
  <c r="Y65" i="58"/>
  <c r="W153" i="43"/>
  <c r="Y53" i="58"/>
  <c r="X54" i="58"/>
  <c r="X62" i="58"/>
  <c r="Y55" i="58"/>
  <c r="U326" i="43" l="1"/>
  <c r="U364" i="43" s="1"/>
  <c r="U327" i="43"/>
  <c r="U378" i="43" s="1"/>
  <c r="W345" i="43"/>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S337" i="43"/>
  <c r="S335" i="43"/>
  <c r="S365" i="43" s="1"/>
  <c r="S336" i="43"/>
  <c r="S379" i="43" s="1"/>
  <c r="R338" i="43"/>
  <c r="AA22" i="60"/>
  <c r="Z57" i="60"/>
  <c r="AC23" i="60"/>
  <c r="AA20" i="60"/>
  <c r="Z55" i="60"/>
  <c r="AA21" i="60"/>
  <c r="Z56" i="60"/>
  <c r="R393" i="43"/>
  <c r="T150" i="43"/>
  <c r="T152" i="43" s="1"/>
  <c r="V63" i="58"/>
  <c r="X64" i="58"/>
  <c r="Z65" i="58"/>
  <c r="X153" i="43"/>
  <c r="AA52" i="58"/>
  <c r="Y62" i="58"/>
  <c r="Y54" i="58"/>
  <c r="Z55" i="58"/>
  <c r="Z53" i="58"/>
  <c r="U392" i="43" l="1"/>
  <c r="X344" i="43"/>
  <c r="X363" i="43" s="1"/>
  <c r="W327" i="43"/>
  <c r="W378" i="43" s="1"/>
  <c r="W326" i="43"/>
  <c r="W364" i="43" s="1"/>
  <c r="W392"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Y346" i="43"/>
  <c r="T337" i="43"/>
  <c r="T336" i="43"/>
  <c r="T379" i="43" s="1"/>
  <c r="T335" i="43"/>
  <c r="T365" i="43" s="1"/>
  <c r="S338" i="43"/>
  <c r="AB21" i="60"/>
  <c r="AA56" i="60"/>
  <c r="AD23" i="60"/>
  <c r="AB20" i="60"/>
  <c r="AA55" i="60"/>
  <c r="AB22" i="60"/>
  <c r="AA57" i="60"/>
  <c r="S393" i="43"/>
  <c r="U150" i="43"/>
  <c r="U152" i="43" s="1"/>
  <c r="W63" i="58"/>
  <c r="Y64" i="58"/>
  <c r="AA65" i="58"/>
  <c r="Y153" i="43"/>
  <c r="W394" i="43"/>
  <c r="AB52" i="58"/>
  <c r="AA53" i="58"/>
  <c r="Z54" i="58"/>
  <c r="Z62" i="58"/>
  <c r="AA55" i="58"/>
  <c r="X346" i="43" l="1"/>
  <c r="V392" i="43"/>
  <c r="Z345" i="43"/>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Z346" i="43" l="1"/>
  <c r="AA344" i="43"/>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Z328" i="43" l="1"/>
  <c r="AB344" i="43"/>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326" i="43" l="1"/>
  <c r="AB364" i="43" s="1"/>
  <c r="AB58" i="58"/>
  <c r="BE59" i="59"/>
  <c r="AA113" i="61"/>
  <c r="AA112" i="61"/>
  <c r="BE58" i="59"/>
  <c r="AB57" i="58"/>
  <c r="AB327" i="43"/>
  <c r="AB378"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B392" i="43" l="1"/>
  <c r="AC394" i="43"/>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65" i="43"/>
  <c r="Q8" i="43" s="1"/>
  <c r="Q667" i="43"/>
  <c r="Q10" i="43" s="1"/>
  <c r="Q666" i="43"/>
  <c r="Q9" i="43" s="1"/>
  <c r="AB665" i="43"/>
  <c r="AB8" i="43" s="1"/>
  <c r="AB667" i="43"/>
  <c r="AB10" i="43" s="1"/>
  <c r="AB666" i="43"/>
  <c r="AB9" i="43" s="1"/>
  <c r="W665" i="43"/>
  <c r="W8" i="43" s="1"/>
  <c r="W667" i="43"/>
  <c r="W10" i="43" s="1"/>
  <c r="W666" i="43"/>
  <c r="W9" i="43" s="1"/>
  <c r="D665" i="43"/>
  <c r="D8" i="43" s="1"/>
  <c r="D667" i="43"/>
  <c r="D10" i="43" s="1"/>
  <c r="D666"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67" i="43"/>
  <c r="G10" i="43" s="1"/>
  <c r="I95" i="59"/>
  <c r="AL74" i="59" s="1"/>
  <c r="I96" i="59"/>
  <c r="AL75" i="59" s="1"/>
  <c r="G188" i="59"/>
  <c r="P96" i="59"/>
  <c r="AS75" i="59" s="1"/>
  <c r="P95" i="59"/>
  <c r="AS74" i="59" s="1"/>
  <c r="N188" i="59"/>
  <c r="E667" i="43"/>
  <c r="E10" i="43" s="1"/>
  <c r="E155" i="43"/>
  <c r="E396" i="43" s="1"/>
  <c r="X665" i="43"/>
  <c r="X8" i="43" s="1"/>
  <c r="X667" i="43"/>
  <c r="X10" i="43" s="1"/>
  <c r="X666" i="43"/>
  <c r="X9" i="43" s="1"/>
  <c r="T665" i="43"/>
  <c r="T8" i="43" s="1"/>
  <c r="T667" i="43"/>
  <c r="T10" i="43" s="1"/>
  <c r="T666" i="43"/>
  <c r="T9" i="43" s="1"/>
  <c r="AC666" i="43"/>
  <c r="AC9" i="43" s="1"/>
  <c r="AC667" i="43"/>
  <c r="AC10" i="43" s="1"/>
  <c r="AC665" i="43"/>
  <c r="AC8" i="43" s="1"/>
  <c r="U665" i="43"/>
  <c r="U8" i="43" s="1"/>
  <c r="U666" i="43"/>
  <c r="U9" i="43" s="1"/>
  <c r="U667" i="43"/>
  <c r="U10" i="43" s="1"/>
  <c r="M665" i="43"/>
  <c r="M8" i="43" s="1"/>
  <c r="M666" i="43"/>
  <c r="M9" i="43" s="1"/>
  <c r="M667" i="43"/>
  <c r="M10" i="43" s="1"/>
  <c r="F666" i="43"/>
  <c r="F9" i="43" s="1"/>
  <c r="F665" i="43"/>
  <c r="F8" i="43" s="1"/>
  <c r="F667" i="43"/>
  <c r="F10" i="43" s="1"/>
  <c r="Z665" i="43"/>
  <c r="Z8" i="43" s="1"/>
  <c r="Z667" i="43"/>
  <c r="Z10" i="43" s="1"/>
  <c r="Z666" i="43"/>
  <c r="Z9" i="43" s="1"/>
  <c r="G666" i="43"/>
  <c r="G9" i="43" s="1"/>
  <c r="G665" i="43"/>
  <c r="G8" i="43" s="1"/>
  <c r="E666" i="43"/>
  <c r="E9" i="43" s="1"/>
  <c r="E665" i="43"/>
  <c r="E8" i="43" s="1"/>
  <c r="Y665" i="43"/>
  <c r="Y8" i="43" s="1"/>
  <c r="Y666" i="43"/>
  <c r="Y9" i="43" s="1"/>
  <c r="Y667" i="43"/>
  <c r="Y10" i="43" s="1"/>
  <c r="AA665" i="43"/>
  <c r="AA8" i="43" s="1"/>
  <c r="AA666" i="43"/>
  <c r="AA9" i="43" s="1"/>
  <c r="AA667" i="43"/>
  <c r="AA10" i="43" s="1"/>
  <c r="O667" i="43"/>
  <c r="O10" i="43" s="1"/>
  <c r="O665" i="43"/>
  <c r="O8" i="43" s="1"/>
  <c r="O666" i="43"/>
  <c r="O9" i="43" s="1"/>
  <c r="N667" i="43"/>
  <c r="N10" i="43" s="1"/>
  <c r="N666" i="43"/>
  <c r="N9" i="43" s="1"/>
  <c r="N665" i="43"/>
  <c r="N8" i="43" s="1"/>
  <c r="V665" i="43"/>
  <c r="V8" i="43" s="1"/>
  <c r="V667" i="43"/>
  <c r="V10" i="43" s="1"/>
  <c r="V666" i="43"/>
  <c r="V9" i="43" s="1"/>
  <c r="S665" i="43"/>
  <c r="S8" i="43" s="1"/>
  <c r="S666" i="43"/>
  <c r="S9" i="43" s="1"/>
  <c r="S667" i="43"/>
  <c r="S10" i="43" s="1"/>
  <c r="R665" i="43"/>
  <c r="R8" i="43" s="1"/>
  <c r="R667" i="43"/>
  <c r="R10" i="43" s="1"/>
  <c r="R666" i="43"/>
  <c r="R9" i="43" s="1"/>
  <c r="I665" i="43"/>
  <c r="I8" i="43" s="1"/>
  <c r="I666" i="43"/>
  <c r="I9" i="43" s="1"/>
  <c r="I667" i="43"/>
  <c r="I10" i="43" s="1"/>
  <c r="L666" i="43"/>
  <c r="L9" i="43" s="1"/>
  <c r="L667" i="43"/>
  <c r="L10" i="43" s="1"/>
  <c r="L665" i="43"/>
  <c r="L8" i="43" s="1"/>
  <c r="H667" i="43"/>
  <c r="H10" i="43" s="1"/>
  <c r="H665" i="43"/>
  <c r="H8" i="43" s="1"/>
  <c r="H666" i="43"/>
  <c r="H9" i="43" s="1"/>
  <c r="K665" i="43"/>
  <c r="K8" i="43" s="1"/>
  <c r="K667" i="43"/>
  <c r="K10" i="43" s="1"/>
  <c r="K666" i="43"/>
  <c r="K9" i="43" s="1"/>
  <c r="P666" i="43"/>
  <c r="P9" i="43" s="1"/>
  <c r="P665" i="43"/>
  <c r="P8" i="43" s="1"/>
  <c r="P667" i="43"/>
  <c r="P10" i="43" s="1"/>
  <c r="J665" i="43"/>
  <c r="J8" i="43" s="1"/>
  <c r="J667" i="43"/>
  <c r="J10" i="43" s="1"/>
  <c r="J666"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AB24" i="43" l="1"/>
  <c r="Q26" i="43"/>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Q27" i="43" l="1"/>
  <c r="AN165" i="59"/>
  <c r="J10" i="58" s="1"/>
  <c r="AN90" i="59" s="1"/>
  <c r="AN101" i="59" s="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<sst xmlns="http://schemas.openxmlformats.org/spreadsheetml/2006/main" count="3398" uniqueCount="1167">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</sst>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 numFmtId="185" formatCode="0.000%"/>
    <numFmt numFmtId="186" formatCode="_(* #,##0.000_);_(* \(#,##0.000\);_(* &quot;-&quot;??_);_(@_)"/>
    <numFmt numFmtId="187" formatCode="_(* #,##0.0_);_(* \(#,##0.0\);_(* &quot;-&quot;??_);_(@_)"/>
  </numFmts>
  <fonts count="80">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
      <sz val="10"/>
      <name val="Arial"/>
    </font>
    <font>
      <vertAlign val="subscript"/>
      <sz val="11"/>
      <name val="Calibri"/>
      <family val="2"/>
    </font>
    <font>
      <i/>
      <sz val="10"/>
      <name val="Calibri"/>
      <family val="2"/>
    </font>
    <font>
      <sz val="12"/>
      <color rgb="FF0070C0"/>
      <name val="Calibri"/>
      <family val="2"/>
      <scheme val="minor"/>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17">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76"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cellStyleXfs>
  <cellXfs count="891">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169" fontId="10" fillId="0" borderId="0" xfId="2" applyNumberFormat="1" applyFont="1" applyFill="1"/>
    <xf numFmtId="0" fontId="73" fillId="20" borderId="0" xfId="0" applyFont="1" applyFill="1" applyAlignment="1">
      <alignment vertical="center"/>
    </xf>
    <xf numFmtId="0" fontId="0" fillId="20" borderId="0" xfId="0" applyFill="1" applyAlignment="1">
      <alignment vertical="center"/>
    </xf>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5" fillId="0" borderId="0" xfId="0" applyNumberFormat="1" applyFont="1"/>
    <xf numFmtId="170"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76" fillId="0" borderId="0" xfId="6" applyNumberFormat="1"/>
    <xf numFmtId="170" fontId="76" fillId="0" borderId="0" xfId="6"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4" xfId="0" applyNumberFormat="1" applyFont="1" applyBorder="1" applyAlignment="1">
      <alignment horizontal="right"/>
    </xf>
    <xf numFmtId="170" fontId="19" fillId="0" borderId="0" xfId="0" applyNumberFormat="1" applyFont="1" applyAlignment="1">
      <alignment horizontal="right"/>
    </xf>
    <xf numFmtId="0" fontId="2" fillId="0" borderId="144" xfId="0" applyFont="1" applyBorder="1" applyAlignment="1">
      <alignment horizontal="center"/>
    </xf>
    <xf numFmtId="187" fontId="0" fillId="0" borderId="0" xfId="0" applyNumberFormat="1" applyBorder="1"/>
    <xf numFmtId="170" fontId="19" fillId="0" borderId="144" xfId="0" applyNumberFormat="1" applyFont="1" applyBorder="1"/>
    <xf numFmtId="170" fontId="19" fillId="0" borderId="144"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5" borderId="144" xfId="0" applyFont="1" applyFill="1" applyBorder="1" applyAlignment="1" applyProtection="1">
      <alignment horizontal="left" vertical="center"/>
      <protection locked="0"/>
    </xf>
    <xf numFmtId="170" fontId="0" fillId="0" borderId="0" xfId="1" applyNumberFormat="1" applyFont="1"/>
    <xf numFmtId="0" fontId="79" fillId="0" borderId="0" xfId="0" applyFont="1"/>
    <xf numFmtId="170" fontId="0" fillId="0" borderId="144" xfId="1" applyNumberFormat="1" applyFont="1" applyBorder="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6" xfId="0" applyFont="1" applyBorder="1" applyAlignment="1">
      <alignment horizontal="left"/>
    </xf>
    <xf numFmtId="0" fontId="8" fillId="0" borderId="0" xfId="0" applyFont="1" applyBorder="1" applyAlignment="1">
      <alignment horizontal="left"/>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0" fontId="2" fillId="0" borderId="144" xfId="0" applyFont="1" applyBorder="1" applyAlignment="1">
      <alignment horizontal="center" vertical="center"/>
    </xf>
    <xf numFmtId="0" fontId="2" fillId="0" borderId="144" xfId="0" applyFont="1" applyBorder="1" applyAlignment="1">
      <alignment horizontal="center"/>
    </xf>
    <xf numFmtId="1" fontId="42" fillId="24" borderId="151" xfId="0" applyNumberFormat="1" applyFont="1" applyFill="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17">
    <cellStyle name="20% - Accent5" xfId="5" builtinId="46"/>
    <cellStyle name="20% - Accent5 2" xfId="12" xr:uid="{B5DE3F06-947D-4E71-B002-14F3F816B993}"/>
    <cellStyle name="20% - Accent5 3" xfId="16" xr:uid="{B76B6F52-541D-4E78-8B8F-2AEF4A49915A}"/>
    <cellStyle name="Accent1" xfId="3" builtinId="29"/>
    <cellStyle name="Comma" xfId="1" builtinId="3"/>
    <cellStyle name="Comma 2" xfId="10" xr:uid="{54BE786B-4621-46FA-A74C-BEDAAD35E265}"/>
    <cellStyle name="Comma 3" xfId="14" xr:uid="{5BCEFCC0-160D-4973-83B3-1FAA4AD7F6B3}"/>
    <cellStyle name="Hyperlink" xfId="4" builtinId="8"/>
    <cellStyle name="Normal" xfId="0" builtinId="0"/>
    <cellStyle name="Normal 2" xfId="8" xr:uid="{BC8FCB1E-322A-4ABF-A0AB-BA2B25BF3CA3}"/>
    <cellStyle name="Normal 3" xfId="9" xr:uid="{6F72998B-3D5F-4B28-895D-98E4A755B2DF}"/>
    <cellStyle name="Normal 4" xfId="13" xr:uid="{241D3432-770C-4729-ABDE-96104264D219}"/>
    <cellStyle name="Normal 5" xfId="6" xr:uid="{D8D65060-0FF7-4010-A6ED-E04FDC1976FA}"/>
    <cellStyle name="Percent" xfId="2" builtinId="5"/>
    <cellStyle name="Percent 2" xfId="11" xr:uid="{D134EC26-6B1A-4335-8CB8-655854CE3562}"/>
    <cellStyle name="Percent 3" xfId="15" xr:uid="{8B36675A-33AB-42E7-87B0-CF0272922FB8}"/>
    <cellStyle name="Percent 4" xfId="7" xr:uid="{B364B3E4-AF42-465C-BC64-7E051E343D4C}"/>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52" t="s">
        <v>221</v>
      </c>
      <c r="B17" s="852"/>
      <c r="C17" s="852"/>
      <c r="D17" s="852"/>
      <c r="E17" s="852"/>
      <c r="F17" s="852"/>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53" t="s">
        <v>223</v>
      </c>
      <c r="C20" s="853"/>
      <c r="D20" s="853"/>
      <c r="E20" s="853"/>
      <c r="F20" s="853"/>
      <c r="G20" s="52"/>
      <c r="H20" s="52"/>
      <c r="I20" s="53"/>
      <c r="J20" s="53"/>
      <c r="K20" s="53"/>
      <c r="L20" s="53"/>
      <c r="M20" s="53"/>
      <c r="N20" s="53"/>
    </row>
    <row r="21" spans="1:14" ht="17.25" customHeight="1">
      <c r="A21" s="51" t="s">
        <v>224</v>
      </c>
      <c r="B21" s="854" t="s">
        <v>227</v>
      </c>
      <c r="C21" s="854"/>
      <c r="D21" s="854"/>
      <c r="E21" s="854"/>
      <c r="F21" s="854"/>
      <c r="G21" s="52"/>
      <c r="H21" s="52"/>
      <c r="I21" s="53"/>
      <c r="J21" s="53"/>
      <c r="K21" s="53"/>
      <c r="L21" s="53"/>
      <c r="M21" s="53"/>
      <c r="N21" s="53"/>
    </row>
    <row r="22" spans="1:14" ht="17.25" customHeight="1">
      <c r="A22" s="51" t="s">
        <v>225</v>
      </c>
      <c r="B22" s="854" t="s">
        <v>226</v>
      </c>
      <c r="C22" s="854"/>
      <c r="D22" s="854"/>
      <c r="E22" s="854"/>
      <c r="F22" s="854"/>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877</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7" zoomScale="60" zoomScaleNormal="65" workbookViewId="0">
      <selection activeCell="AN55" sqref="AN55:AN56"/>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22.560835415583799</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22.531112229915799</v>
      </c>
      <c r="AA55" s="290">
        <f t="shared" si="21"/>
        <v>19.535749361877716</v>
      </c>
      <c r="AB55" s="291"/>
      <c r="AC55" s="153"/>
      <c r="AD55" s="153"/>
      <c r="AE55" s="153"/>
      <c r="AF55" s="153"/>
      <c r="AG55" s="153">
        <v>19.535749361877716</v>
      </c>
      <c r="AH55" s="340"/>
      <c r="AI55" s="153"/>
      <c r="AJ55" s="270"/>
      <c r="AK55" s="312"/>
      <c r="AL55" s="290"/>
      <c r="AM55" s="184">
        <f>C55+H55+L55+Z55+AA55+AJ55+AK55+AL55</f>
        <v>532.54008730241253</v>
      </c>
      <c r="AN55" s="817"/>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817"/>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979</v>
      </c>
      <c r="C5" s="716" t="s">
        <v>978</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910</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911</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907</v>
      </c>
      <c r="B10" s="677" t="s">
        <v>908</v>
      </c>
    </row>
    <row r="11" spans="1:30">
      <c r="A11" s="676" t="s">
        <v>881</v>
      </c>
      <c r="B11" s="676" t="s">
        <v>372</v>
      </c>
    </row>
    <row r="12" spans="1:30">
      <c r="A12" s="674" t="s">
        <v>882</v>
      </c>
      <c r="B12" s="674" t="s">
        <v>395</v>
      </c>
    </row>
    <row r="13" spans="1:30">
      <c r="A13" s="674" t="s">
        <v>883</v>
      </c>
      <c r="B13" s="674" t="s">
        <v>384</v>
      </c>
    </row>
    <row r="14" spans="1:30">
      <c r="A14" s="674" t="s">
        <v>884</v>
      </c>
      <c r="B14" s="674" t="s">
        <v>385</v>
      </c>
    </row>
    <row r="15" spans="1:30">
      <c r="A15" s="674" t="s">
        <v>885</v>
      </c>
      <c r="B15" s="674" t="s">
        <v>396</v>
      </c>
    </row>
    <row r="16" spans="1:30">
      <c r="A16" s="674" t="s">
        <v>886</v>
      </c>
      <c r="B16" s="674" t="s">
        <v>373</v>
      </c>
    </row>
    <row r="17" spans="1:2">
      <c r="A17" s="674" t="s">
        <v>887</v>
      </c>
      <c r="B17" s="674" t="s">
        <v>390</v>
      </c>
    </row>
    <row r="18" spans="1:2">
      <c r="A18" s="674" t="s">
        <v>888</v>
      </c>
      <c r="B18" s="674" t="s">
        <v>386</v>
      </c>
    </row>
    <row r="19" spans="1:2">
      <c r="A19" s="674" t="s">
        <v>889</v>
      </c>
      <c r="B19" s="674" t="s">
        <v>374</v>
      </c>
    </row>
    <row r="20" spans="1:2">
      <c r="A20" s="674" t="s">
        <v>890</v>
      </c>
      <c r="B20" s="674" t="s">
        <v>375</v>
      </c>
    </row>
    <row r="21" spans="1:2">
      <c r="A21" s="674" t="s">
        <v>891</v>
      </c>
      <c r="B21" s="674" t="s">
        <v>376</v>
      </c>
    </row>
    <row r="22" spans="1:2">
      <c r="A22" s="674" t="s">
        <v>892</v>
      </c>
      <c r="B22" s="674" t="s">
        <v>391</v>
      </c>
    </row>
    <row r="23" spans="1:2">
      <c r="A23" s="674" t="s">
        <v>893</v>
      </c>
      <c r="B23" s="674" t="s">
        <v>387</v>
      </c>
    </row>
    <row r="24" spans="1:2">
      <c r="A24" s="674" t="s">
        <v>894</v>
      </c>
      <c r="B24" s="674" t="s">
        <v>377</v>
      </c>
    </row>
    <row r="25" spans="1:2">
      <c r="A25" s="674" t="s">
        <v>895</v>
      </c>
      <c r="B25" s="674" t="s">
        <v>378</v>
      </c>
    </row>
    <row r="26" spans="1:2">
      <c r="A26" s="674" t="s">
        <v>896</v>
      </c>
      <c r="B26" s="674" t="s">
        <v>392</v>
      </c>
    </row>
    <row r="27" spans="1:2">
      <c r="A27" s="674" t="s">
        <v>897</v>
      </c>
      <c r="B27" s="674" t="s">
        <v>379</v>
      </c>
    </row>
    <row r="28" spans="1:2">
      <c r="A28" s="674" t="s">
        <v>898</v>
      </c>
      <c r="B28" s="674" t="s">
        <v>397</v>
      </c>
    </row>
    <row r="29" spans="1:2">
      <c r="A29" s="674" t="s">
        <v>899</v>
      </c>
      <c r="B29" s="674" t="s">
        <v>380</v>
      </c>
    </row>
    <row r="30" spans="1:2">
      <c r="A30" s="674" t="s">
        <v>900</v>
      </c>
      <c r="B30" s="674" t="s">
        <v>393</v>
      </c>
    </row>
    <row r="31" spans="1:2">
      <c r="A31" s="674" t="s">
        <v>901</v>
      </c>
      <c r="B31" s="674" t="s">
        <v>394</v>
      </c>
    </row>
    <row r="32" spans="1:2">
      <c r="A32" s="674" t="s">
        <v>902</v>
      </c>
      <c r="B32" s="674" t="s">
        <v>388</v>
      </c>
    </row>
    <row r="33" spans="1:2">
      <c r="A33" s="674" t="s">
        <v>903</v>
      </c>
      <c r="B33" s="674" t="s">
        <v>389</v>
      </c>
    </row>
    <row r="34" spans="1:2">
      <c r="A34" s="674" t="s">
        <v>904</v>
      </c>
      <c r="B34" s="674" t="s">
        <v>381</v>
      </c>
    </row>
    <row r="35" spans="1:2">
      <c r="A35" s="674" t="s">
        <v>905</v>
      </c>
      <c r="B35" s="674" t="s">
        <v>382</v>
      </c>
    </row>
    <row r="36" spans="1:2">
      <c r="A36" s="674" t="s">
        <v>906</v>
      </c>
      <c r="B36" s="674" t="s">
        <v>383</v>
      </c>
    </row>
    <row r="37" spans="1:2">
      <c r="A37" s="675" t="s">
        <v>909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814</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815</v>
      </c>
      <c r="M4" s="620" t="s">
        <v>469</v>
      </c>
      <c r="N4" s="620" t="s">
        <v>470</v>
      </c>
      <c r="O4" s="620" t="s">
        <v>64</v>
      </c>
      <c r="P4" s="620" t="s">
        <v>816</v>
      </c>
      <c r="Q4" s="620" t="s">
        <v>472</v>
      </c>
      <c r="R4" s="620" t="s">
        <v>473</v>
      </c>
      <c r="S4" s="620" t="s">
        <v>474</v>
      </c>
    </row>
    <row r="5" spans="1:19">
      <c r="A5" s="459"/>
      <c r="B5" s="459"/>
      <c r="C5" s="459"/>
      <c r="D5" s="459"/>
      <c r="E5" s="459"/>
      <c r="F5" s="459"/>
      <c r="G5" s="459"/>
      <c r="H5" s="459"/>
      <c r="I5" s="459"/>
      <c r="J5" s="459"/>
      <c r="K5" s="616" t="s">
        <v>85</v>
      </c>
      <c r="L5" s="26"/>
      <c r="M5" s="616" t="s">
        <v>858</v>
      </c>
      <c r="N5" s="616" t="str">
        <f>Commodities!C6</f>
        <v>Walking (TRA)</v>
      </c>
      <c r="O5" s="616" t="s">
        <v>88</v>
      </c>
      <c r="P5" s="616"/>
      <c r="Q5" s="616"/>
      <c r="R5" s="616"/>
      <c r="S5" s="616"/>
    </row>
    <row r="6" spans="1:19" s="459" customFormat="1">
      <c r="K6" s="616"/>
      <c r="L6" s="26"/>
      <c r="M6" s="616" t="s">
        <v>859</v>
      </c>
      <c r="N6" s="616" t="str">
        <f>Commodities!C7</f>
        <v>Cycling (TRA)</v>
      </c>
      <c r="O6" s="616" t="s">
        <v>88</v>
      </c>
      <c r="P6" s="616"/>
      <c r="Q6" s="616"/>
      <c r="R6" s="616"/>
      <c r="S6" s="616"/>
    </row>
    <row r="7" spans="1:19" s="459" customFormat="1">
      <c r="K7" s="616"/>
      <c r="L7" s="26"/>
      <c r="M7" s="616" t="s">
        <v>986</v>
      </c>
      <c r="N7" s="616" t="str">
        <f>Commodities!C8</f>
        <v>Gasoline (TRA)</v>
      </c>
      <c r="O7" s="616" t="s">
        <v>88</v>
      </c>
      <c r="P7" s="616"/>
      <c r="Q7" s="616"/>
      <c r="R7" s="616"/>
      <c r="S7" s="616"/>
    </row>
    <row r="8" spans="1:19" s="459" customFormat="1">
      <c r="K8" s="616"/>
      <c r="L8" s="26"/>
      <c r="M8" s="616" t="s">
        <v>987</v>
      </c>
      <c r="N8" s="616" t="str">
        <f>Commodities!C9</f>
        <v>Diesel (TRA)</v>
      </c>
      <c r="O8" s="616" t="s">
        <v>88</v>
      </c>
      <c r="P8" s="616"/>
      <c r="Q8" s="616"/>
      <c r="R8" s="616"/>
      <c r="S8" s="616"/>
    </row>
    <row r="9" spans="1:19" s="459" customFormat="1">
      <c r="K9" s="616"/>
      <c r="L9" s="26"/>
      <c r="M9" s="616" t="s">
        <v>988</v>
      </c>
      <c r="N9" s="616" t="str">
        <f>Commodities!C10</f>
        <v>BioEthanol (TRA)</v>
      </c>
      <c r="O9" s="616" t="s">
        <v>88</v>
      </c>
      <c r="P9" s="616"/>
      <c r="Q9" s="616"/>
      <c r="R9" s="616"/>
      <c r="S9" s="616"/>
    </row>
    <row r="10" spans="1:19" s="459" customFormat="1">
      <c r="K10" s="616"/>
      <c r="L10" s="26"/>
      <c r="M10" s="616" t="s">
        <v>989</v>
      </c>
      <c r="N10" s="616" t="str">
        <f>Commodities!C11</f>
        <v>BioDiesel (TRA)</v>
      </c>
      <c r="O10" s="616" t="s">
        <v>88</v>
      </c>
      <c r="P10" s="616"/>
      <c r="Q10" s="616"/>
      <c r="R10" s="616"/>
      <c r="S10" s="616"/>
    </row>
    <row r="11" spans="1:19" s="459" customFormat="1">
      <c r="K11" s="616"/>
      <c r="L11" s="26"/>
      <c r="M11" s="616" t="s">
        <v>476</v>
      </c>
      <c r="N11" s="616" t="str">
        <f>Commodities!C13</f>
        <v>CNG (TRA)</v>
      </c>
      <c r="O11" s="616" t="s">
        <v>88</v>
      </c>
      <c r="P11" s="616"/>
      <c r="Q11" s="616"/>
      <c r="R11" s="616"/>
      <c r="S11" s="616"/>
    </row>
    <row r="12" spans="1:19" s="459" customFormat="1">
      <c r="K12" s="616"/>
      <c r="L12" s="26"/>
      <c r="M12" s="616" t="s">
        <v>860</v>
      </c>
      <c r="N12" s="616" t="str">
        <f>Commodities!C14</f>
        <v>BioCNG (TRA)</v>
      </c>
      <c r="O12" s="616" t="s">
        <v>88</v>
      </c>
      <c r="P12" s="616"/>
      <c r="Q12" s="616"/>
      <c r="R12" s="616"/>
      <c r="S12" s="616"/>
    </row>
    <row r="13" spans="1:19" s="459" customFormat="1">
      <c r="M13" s="616" t="s">
        <v>990</v>
      </c>
      <c r="N13" s="616" t="str">
        <f>Commodities!C16</f>
        <v>LNG (TRA)</v>
      </c>
      <c r="O13" s="616" t="s">
        <v>88</v>
      </c>
    </row>
    <row r="14" spans="1:19" s="459" customFormat="1">
      <c r="K14" s="616"/>
      <c r="L14" s="26"/>
      <c r="M14" s="616" t="s">
        <v>861</v>
      </c>
      <c r="N14" s="616" t="str">
        <f>Commodities!C17</f>
        <v>Hydrogen (TRA)</v>
      </c>
      <c r="O14" s="616" t="s">
        <v>88</v>
      </c>
    </row>
    <row r="15" spans="1:19" s="459" customFormat="1">
      <c r="K15" s="647"/>
      <c r="L15" s="647"/>
      <c r="M15" s="647" t="s">
        <v>991</v>
      </c>
      <c r="N15" s="647" t="str">
        <f>Commodities!C18</f>
        <v>Kerosene (TRA)</v>
      </c>
      <c r="O15" s="647" t="s">
        <v>88</v>
      </c>
      <c r="P15" s="647"/>
      <c r="Q15" s="647"/>
      <c r="R15" s="647"/>
      <c r="S15" s="647"/>
    </row>
    <row r="16" spans="1:19" s="459" customFormat="1">
      <c r="K16" s="659"/>
      <c r="L16" s="659"/>
      <c r="M16" s="659" t="s">
        <v>992</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817</v>
      </c>
      <c r="H20" s="624" t="s">
        <v>818</v>
      </c>
      <c r="I20" s="624" t="s">
        <v>819</v>
      </c>
      <c r="J20" s="459"/>
      <c r="K20" s="617" t="s">
        <v>69</v>
      </c>
      <c r="L20" s="618" t="s">
        <v>814</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820</v>
      </c>
      <c r="H21" s="625" t="s">
        <v>821</v>
      </c>
      <c r="I21" s="625" t="s">
        <v>822</v>
      </c>
      <c r="J21" s="459"/>
      <c r="K21" s="620" t="s">
        <v>823</v>
      </c>
      <c r="L21" s="620" t="s">
        <v>815</v>
      </c>
      <c r="M21" s="620" t="s">
        <v>824</v>
      </c>
      <c r="N21" s="620" t="s">
        <v>80</v>
      </c>
      <c r="O21" s="620" t="s">
        <v>825</v>
      </c>
      <c r="P21" s="620" t="s">
        <v>826</v>
      </c>
      <c r="Q21" s="620" t="s">
        <v>827</v>
      </c>
      <c r="R21" s="620" t="s">
        <v>828</v>
      </c>
      <c r="S21" s="620" t="s">
        <v>829</v>
      </c>
    </row>
    <row r="22" spans="1:20" ht="15" thickBot="1">
      <c r="A22" s="459"/>
      <c r="B22" s="625" t="s">
        <v>830</v>
      </c>
      <c r="C22" s="626"/>
      <c r="D22" s="626"/>
      <c r="E22" s="626"/>
      <c r="F22" s="626"/>
      <c r="G22" s="626" t="s">
        <v>88</v>
      </c>
      <c r="H22" s="626" t="s">
        <v>840</v>
      </c>
      <c r="I22" s="626" t="s">
        <v>88</v>
      </c>
      <c r="J22" s="459"/>
      <c r="K22" s="620" t="s">
        <v>27</v>
      </c>
      <c r="L22" s="627"/>
      <c r="M22" s="627"/>
      <c r="N22" s="627"/>
      <c r="O22" s="627"/>
      <c r="P22" s="627"/>
      <c r="Q22" s="627"/>
      <c r="R22" s="627"/>
      <c r="S22" s="627"/>
    </row>
    <row r="23" spans="1:20">
      <c r="A23" s="459"/>
      <c r="B23" s="619" t="s">
        <v>831</v>
      </c>
      <c r="C23" s="619"/>
      <c r="D23" s="619" t="str">
        <f t="shared" ref="D23:D34" si="0">M5</f>
        <v>WLK</v>
      </c>
      <c r="E23" s="619"/>
      <c r="F23" s="619"/>
      <c r="G23" s="619"/>
      <c r="H23" s="619">
        <v>1</v>
      </c>
      <c r="I23" s="619"/>
      <c r="J23" s="459"/>
      <c r="K23" s="616" t="s">
        <v>841</v>
      </c>
      <c r="L23" s="616"/>
      <c r="M23" s="616" t="str">
        <f>B23</f>
        <v>MINWALK</v>
      </c>
      <c r="N23" s="616" t="str">
        <f>Commodities!C6</f>
        <v>Walking (TRA)</v>
      </c>
      <c r="O23" s="616" t="s">
        <v>88</v>
      </c>
      <c r="P23" s="616" t="s">
        <v>870</v>
      </c>
      <c r="Q23" s="616"/>
      <c r="R23" s="616"/>
      <c r="S23" s="616"/>
      <c r="T23" s="616"/>
    </row>
    <row r="24" spans="1:20">
      <c r="A24" s="459"/>
      <c r="B24" s="619" t="s">
        <v>832</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870</v>
      </c>
      <c r="Q24" s="616"/>
      <c r="R24" s="616"/>
      <c r="S24" s="616"/>
      <c r="T24" s="616"/>
    </row>
    <row r="25" spans="1:20">
      <c r="A25" s="459"/>
      <c r="B25" s="619" t="s">
        <v>833</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870</v>
      </c>
      <c r="Q25" s="616"/>
      <c r="R25" s="616"/>
      <c r="S25" s="616"/>
      <c r="T25" s="616"/>
    </row>
    <row r="26" spans="1:20">
      <c r="A26" s="459"/>
      <c r="B26" s="619" t="s">
        <v>834</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870</v>
      </c>
      <c r="Q26" s="616"/>
      <c r="R26" s="616"/>
      <c r="S26" s="616"/>
      <c r="T26" s="616"/>
    </row>
    <row r="27" spans="1:20">
      <c r="A27" s="459"/>
      <c r="B27" s="619" t="s">
        <v>835</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870</v>
      </c>
      <c r="Q27" s="616"/>
      <c r="R27" s="616"/>
      <c r="S27" s="616"/>
      <c r="T27" s="616"/>
    </row>
    <row r="28" spans="1:20">
      <c r="A28" s="459"/>
      <c r="B28" s="619" t="s">
        <v>836</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870</v>
      </c>
      <c r="Q28" s="616"/>
      <c r="R28" s="616"/>
      <c r="S28" s="616"/>
      <c r="T28" s="616"/>
    </row>
    <row r="29" spans="1:20">
      <c r="A29" s="459"/>
      <c r="B29" s="619" t="s">
        <v>837</v>
      </c>
      <c r="C29" s="619"/>
      <c r="D29" s="619" t="str">
        <f t="shared" si="0"/>
        <v>CNG</v>
      </c>
      <c r="E29" s="619"/>
      <c r="F29" s="619"/>
      <c r="G29" s="619"/>
      <c r="H29" s="619">
        <v>20</v>
      </c>
      <c r="I29" s="619"/>
      <c r="J29" s="459"/>
      <c r="K29" s="616"/>
      <c r="L29" s="616"/>
      <c r="M29" s="616" t="str">
        <f t="shared" si="1"/>
        <v>MINCNG</v>
      </c>
      <c r="N29" s="616" t="str">
        <f>Commodities!C13</f>
        <v>CNG (TRA)</v>
      </c>
      <c r="O29" s="616" t="s">
        <v>88</v>
      </c>
      <c r="P29" s="616" t="s">
        <v>870</v>
      </c>
      <c r="Q29" s="616"/>
      <c r="R29" s="616"/>
      <c r="S29" s="616"/>
      <c r="T29" s="616"/>
    </row>
    <row r="30" spans="1:20">
      <c r="A30" s="459"/>
      <c r="B30" s="619" t="s">
        <v>838</v>
      </c>
      <c r="C30" s="619"/>
      <c r="D30" s="619" t="str">
        <f t="shared" si="0"/>
        <v>BNG</v>
      </c>
      <c r="E30" s="619"/>
      <c r="F30" s="619"/>
      <c r="G30" s="619"/>
      <c r="H30" s="619">
        <v>40</v>
      </c>
      <c r="I30" s="619"/>
      <c r="J30" s="459"/>
      <c r="K30" s="616"/>
      <c r="L30" s="616"/>
      <c r="M30" s="616" t="str">
        <f t="shared" si="1"/>
        <v>MINBCNG</v>
      </c>
      <c r="N30" s="616" t="str">
        <f>Commodities!C14</f>
        <v>BioCNG (TRA)</v>
      </c>
      <c r="O30" s="616" t="s">
        <v>88</v>
      </c>
      <c r="P30" s="616" t="s">
        <v>870</v>
      </c>
      <c r="Q30" s="616"/>
      <c r="R30" s="616"/>
      <c r="S30" s="616"/>
      <c r="T30" s="616"/>
    </row>
    <row r="31" spans="1:20">
      <c r="A31" s="459"/>
      <c r="B31" s="619" t="s">
        <v>856</v>
      </c>
      <c r="C31" s="619"/>
      <c r="D31" s="619" t="str">
        <f t="shared" si="0"/>
        <v>GASLNG</v>
      </c>
      <c r="E31" s="619"/>
      <c r="F31" s="619"/>
      <c r="G31" s="619"/>
      <c r="H31" s="619">
        <v>80</v>
      </c>
      <c r="I31" s="619"/>
      <c r="J31" s="459"/>
      <c r="K31" s="616"/>
      <c r="L31" s="616"/>
      <c r="M31" s="616" t="str">
        <f>B31</f>
        <v>MINLNG</v>
      </c>
      <c r="N31" s="616" t="str">
        <f>Commodities!C16</f>
        <v>LNG (TRA)</v>
      </c>
      <c r="O31" s="616" t="s">
        <v>88</v>
      </c>
      <c r="P31" s="616" t="s">
        <v>870</v>
      </c>
      <c r="Q31" s="616"/>
      <c r="R31" s="616"/>
      <c r="S31" s="616"/>
      <c r="T31" s="616"/>
    </row>
    <row r="32" spans="1:20">
      <c r="A32" s="459"/>
      <c r="B32" s="619" t="s">
        <v>857</v>
      </c>
      <c r="C32" s="619"/>
      <c r="D32" s="619" t="str">
        <f t="shared" si="0"/>
        <v>H2</v>
      </c>
      <c r="E32" s="619"/>
      <c r="F32" s="619"/>
      <c r="G32" s="619"/>
      <c r="H32" s="619">
        <v>80</v>
      </c>
      <c r="I32" s="619"/>
      <c r="J32" s="459"/>
      <c r="K32" s="616"/>
      <c r="L32" s="616"/>
      <c r="M32" s="616" t="str">
        <f>B32</f>
        <v>MINH2</v>
      </c>
      <c r="N32" s="616" t="str">
        <f>Commodities!C17</f>
        <v>Hydrogen (TRA)</v>
      </c>
      <c r="O32" s="616" t="s">
        <v>88</v>
      </c>
      <c r="P32" s="616" t="s">
        <v>870</v>
      </c>
      <c r="Q32" s="616"/>
      <c r="R32" s="616"/>
      <c r="S32" s="616"/>
      <c r="T32" s="616"/>
    </row>
    <row r="33" spans="1:20">
      <c r="A33" s="459"/>
      <c r="B33" s="648" t="s">
        <v>839</v>
      </c>
      <c r="C33" s="648"/>
      <c r="D33" s="647" t="str">
        <f t="shared" si="0"/>
        <v>OILKER</v>
      </c>
      <c r="E33" s="648"/>
      <c r="F33" s="648"/>
      <c r="G33" s="648"/>
      <c r="H33" s="648">
        <v>20</v>
      </c>
      <c r="I33" s="648"/>
      <c r="J33" s="459"/>
      <c r="K33" s="647"/>
      <c r="L33" s="647"/>
      <c r="M33" s="647" t="str">
        <f>B33</f>
        <v>MINKEROSENE</v>
      </c>
      <c r="N33" s="647" t="str">
        <f>Commodities!C18</f>
        <v>Kerosene (TRA)</v>
      </c>
      <c r="O33" s="647" t="s">
        <v>88</v>
      </c>
      <c r="P33" s="647" t="s">
        <v>870</v>
      </c>
      <c r="Q33" s="647"/>
      <c r="R33" s="647"/>
      <c r="S33" s="647"/>
      <c r="T33" s="616"/>
    </row>
    <row r="34" spans="1:20">
      <c r="A34" s="459"/>
      <c r="B34" s="659" t="s">
        <v>872</v>
      </c>
      <c r="C34" s="661"/>
      <c r="D34" s="647" t="str">
        <f t="shared" si="0"/>
        <v>ELCC</v>
      </c>
      <c r="E34" s="661"/>
      <c r="F34" s="661"/>
      <c r="G34" s="661"/>
      <c r="H34" s="661">
        <v>40</v>
      </c>
      <c r="I34" s="661"/>
      <c r="J34" s="459"/>
      <c r="K34" s="659" t="s">
        <v>871</v>
      </c>
      <c r="L34" s="659"/>
      <c r="M34" s="659" t="str">
        <f>B34</f>
        <v>IMPELC</v>
      </c>
      <c r="N34" s="659" t="s">
        <v>873</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S19"/>
  <sheetViews>
    <sheetView zoomScale="85" zoomScaleNormal="85" workbookViewId="0">
      <selection activeCell="H23" sqref="H23"/>
    </sheetView>
  </sheetViews>
  <sheetFormatPr defaultColWidth="8.88671875" defaultRowHeight="14.4"/>
  <cols>
    <col min="1" max="1" width="3.33203125" style="459" customWidth="1"/>
    <col min="2" max="2" width="15.88671875" style="459" bestFit="1" customWidth="1"/>
    <col min="3" max="3" width="20.218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9">
      <c r="D2" s="621" t="s">
        <v>76</v>
      </c>
      <c r="E2" s="621"/>
      <c r="G2" s="621"/>
      <c r="J2" s="615" t="s">
        <v>60</v>
      </c>
      <c r="K2" s="615"/>
      <c r="L2" s="26"/>
      <c r="M2" s="26"/>
      <c r="N2" s="26"/>
      <c r="O2" s="26"/>
      <c r="P2" s="26"/>
      <c r="Q2" s="26"/>
      <c r="R2" s="26"/>
    </row>
    <row r="3" spans="2:19">
      <c r="B3" s="622" t="s">
        <v>70</v>
      </c>
      <c r="C3" s="623" t="s">
        <v>77</v>
      </c>
      <c r="D3" s="622" t="s">
        <v>78</v>
      </c>
      <c r="E3" s="649" t="s">
        <v>863</v>
      </c>
      <c r="F3" s="624" t="s">
        <v>874</v>
      </c>
      <c r="G3" s="624" t="s">
        <v>818</v>
      </c>
      <c r="H3" s="624" t="s">
        <v>819</v>
      </c>
      <c r="J3" s="617" t="s">
        <v>69</v>
      </c>
      <c r="K3" s="618" t="s">
        <v>814</v>
      </c>
      <c r="L3" s="617" t="s">
        <v>70</v>
      </c>
      <c r="M3" s="617" t="s">
        <v>71</v>
      </c>
      <c r="N3" s="617" t="s">
        <v>72</v>
      </c>
      <c r="O3" s="617" t="s">
        <v>73</v>
      </c>
      <c r="P3" s="617" t="s">
        <v>74</v>
      </c>
      <c r="Q3" s="617" t="s">
        <v>75</v>
      </c>
      <c r="R3" s="617" t="s">
        <v>0</v>
      </c>
    </row>
    <row r="4" spans="2:19" ht="32.4" thickBot="1">
      <c r="B4" s="625" t="s">
        <v>79</v>
      </c>
      <c r="C4" s="625" t="s">
        <v>81</v>
      </c>
      <c r="D4" s="625" t="s">
        <v>82</v>
      </c>
      <c r="E4" s="625" t="s">
        <v>805</v>
      </c>
      <c r="F4" s="625" t="s">
        <v>875</v>
      </c>
      <c r="G4" s="625" t="s">
        <v>821</v>
      </c>
      <c r="H4" s="625" t="s">
        <v>822</v>
      </c>
      <c r="J4" s="620" t="s">
        <v>823</v>
      </c>
      <c r="K4" s="620" t="s">
        <v>815</v>
      </c>
      <c r="L4" s="620" t="s">
        <v>824</v>
      </c>
      <c r="M4" s="620" t="s">
        <v>80</v>
      </c>
      <c r="N4" s="620" t="s">
        <v>825</v>
      </c>
      <c r="O4" s="620" t="s">
        <v>826</v>
      </c>
      <c r="P4" s="620" t="s">
        <v>827</v>
      </c>
      <c r="Q4" s="620" t="s">
        <v>828</v>
      </c>
      <c r="R4" s="620" t="s">
        <v>829</v>
      </c>
    </row>
    <row r="5" spans="2:19" ht="15" thickBot="1">
      <c r="B5" s="625" t="s">
        <v>830</v>
      </c>
      <c r="C5" s="626"/>
      <c r="D5" s="626"/>
      <c r="E5" s="626"/>
      <c r="F5" s="626" t="s">
        <v>876</v>
      </c>
      <c r="G5" s="626" t="s">
        <v>840</v>
      </c>
      <c r="H5" s="626" t="s">
        <v>88</v>
      </c>
      <c r="J5" s="620" t="s">
        <v>27</v>
      </c>
      <c r="K5" s="627"/>
      <c r="L5" s="627"/>
      <c r="M5" s="627"/>
      <c r="N5" s="627"/>
      <c r="O5" s="627"/>
      <c r="P5" s="627"/>
      <c r="Q5" s="627"/>
      <c r="R5" s="627"/>
    </row>
    <row r="6" spans="2:19" s="662" customFormat="1" ht="13.2">
      <c r="B6" s="616" t="str">
        <f>"FT-TRA"&amp;C6</f>
        <v>FT-TRAWLK</v>
      </c>
      <c r="C6" s="619" t="str">
        <f>Primary!D23</f>
        <v>WLK</v>
      </c>
      <c r="D6" s="616" t="str">
        <f>Commodities!B6</f>
        <v>TRAWLK</v>
      </c>
      <c r="E6" s="662">
        <v>1</v>
      </c>
      <c r="F6" s="662">
        <v>50</v>
      </c>
      <c r="G6" s="662">
        <v>0.01</v>
      </c>
      <c r="J6" s="616" t="s">
        <v>862</v>
      </c>
      <c r="K6" s="664"/>
      <c r="L6" s="664" t="str">
        <f t="shared" ref="L6:L12" si="0">B6</f>
        <v>FT-TRAWLK</v>
      </c>
      <c r="M6" s="665" t="str">
        <f>"TRA "&amp;Commodities!C6</f>
        <v>TRA Walking (TRA)</v>
      </c>
      <c r="N6" s="664" t="s">
        <v>88</v>
      </c>
      <c r="O6" s="664" t="s">
        <v>870</v>
      </c>
      <c r="P6" s="664"/>
      <c r="Q6" s="664"/>
      <c r="R6" s="664"/>
    </row>
    <row r="7" spans="2:19"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870</v>
      </c>
      <c r="P7" s="664"/>
      <c r="Q7" s="664"/>
      <c r="R7" s="664"/>
    </row>
    <row r="8" spans="2:19"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870</v>
      </c>
      <c r="P8" s="664"/>
      <c r="Q8" s="664"/>
      <c r="R8" s="664"/>
    </row>
    <row r="9" spans="2:19"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870</v>
      </c>
    </row>
    <row r="10" spans="2:19" s="662" customFormat="1" ht="13.2">
      <c r="B10" s="616" t="str">
        <f>"FT-"&amp;D10</f>
        <v>FT-TRAETH</v>
      </c>
      <c r="C10" s="619" t="s">
        <v>1112</v>
      </c>
      <c r="D10" s="616" t="str">
        <f>Commodities!B10</f>
        <v>TRAETH</v>
      </c>
      <c r="E10" s="662">
        <v>1</v>
      </c>
      <c r="F10" s="662">
        <v>50</v>
      </c>
      <c r="G10" s="662">
        <v>0.01</v>
      </c>
      <c r="J10" s="616"/>
      <c r="L10" s="664" t="str">
        <f t="shared" si="0"/>
        <v>FT-TRAETH</v>
      </c>
      <c r="M10" s="665" t="str">
        <f>"TRA "&amp;Commodities!C10</f>
        <v>TRA BioEthanol (TRA)</v>
      </c>
      <c r="N10" s="664" t="s">
        <v>88</v>
      </c>
      <c r="O10" s="664" t="s">
        <v>870</v>
      </c>
    </row>
    <row r="11" spans="2:19" s="662" customFormat="1" ht="13.2">
      <c r="B11" s="616" t="str">
        <f>"FT-"&amp;D11</f>
        <v>FT-TRABDL</v>
      </c>
      <c r="C11" s="619" t="s">
        <v>1113</v>
      </c>
      <c r="D11" s="616" t="str">
        <f>Commodities!B11</f>
        <v>TRABDL</v>
      </c>
      <c r="E11" s="662">
        <v>1</v>
      </c>
      <c r="F11" s="662">
        <v>50</v>
      </c>
      <c r="G11" s="662">
        <v>0.01</v>
      </c>
      <c r="J11" s="616"/>
      <c r="L11" s="664" t="str">
        <f t="shared" si="0"/>
        <v>FT-TRABDL</v>
      </c>
      <c r="M11" s="665" t="str">
        <f>"TRA "&amp;Commodities!C11</f>
        <v>TRA BioDiesel (TRA)</v>
      </c>
      <c r="N11" s="664" t="s">
        <v>88</v>
      </c>
      <c r="O11" s="664" t="s">
        <v>870</v>
      </c>
    </row>
    <row r="12" spans="2:19" s="662" customFormat="1" ht="13.2">
      <c r="B12" s="833" t="str">
        <f>"FT-"&amp;D12</f>
        <v>FT-TRABJK</v>
      </c>
      <c r="C12" s="834" t="s">
        <v>1149</v>
      </c>
      <c r="D12" s="833" t="str">
        <f>Commodities!B12</f>
        <v>TRABJK</v>
      </c>
      <c r="E12" s="834">
        <v>1</v>
      </c>
      <c r="F12" s="834">
        <v>50</v>
      </c>
      <c r="G12" s="662">
        <v>0.01</v>
      </c>
      <c r="H12" s="834"/>
      <c r="I12" s="834"/>
      <c r="J12" s="834"/>
      <c r="K12" s="834"/>
      <c r="L12" s="835" t="str">
        <f t="shared" si="0"/>
        <v>FT-TRABJK</v>
      </c>
      <c r="M12" s="836" t="str">
        <f>"TRA "&amp;Commodities!C12</f>
        <v>TRA Bio Jet Kerosene (TRA)</v>
      </c>
      <c r="N12" s="835" t="s">
        <v>88</v>
      </c>
      <c r="O12" s="835" t="s">
        <v>870</v>
      </c>
      <c r="P12" s="834"/>
      <c r="Q12" s="834"/>
      <c r="R12" s="834"/>
      <c r="S12" s="834"/>
    </row>
    <row r="13" spans="2:19" s="662" customFormat="1" ht="13.2">
      <c r="B13" s="616" t="str">
        <f>"FT-"&amp;D13</f>
        <v>FT-TRACNG</v>
      </c>
      <c r="C13" s="619" t="s">
        <v>1110</v>
      </c>
      <c r="D13" s="616" t="str">
        <f>Commodities!B13</f>
        <v>TRACNG</v>
      </c>
      <c r="E13" s="662">
        <v>1</v>
      </c>
      <c r="F13" s="662">
        <v>50</v>
      </c>
      <c r="G13" s="662">
        <v>0.01</v>
      </c>
      <c r="J13" s="616"/>
      <c r="L13" s="664" t="str">
        <f t="shared" ref="L13:L18" si="2">B13</f>
        <v>FT-TRACNG</v>
      </c>
      <c r="M13" s="665" t="str">
        <f>"TRA "&amp;Commodities!C13</f>
        <v>TRA CNG (TRA)</v>
      </c>
      <c r="N13" s="664" t="s">
        <v>88</v>
      </c>
      <c r="O13" s="664" t="s">
        <v>870</v>
      </c>
    </row>
    <row r="14" spans="2:19" s="662" customFormat="1" ht="13.2">
      <c r="B14" s="616" t="str">
        <f>"FT-"&amp;D14</f>
        <v>FT-TRABNG</v>
      </c>
      <c r="C14" s="619" t="s">
        <v>1111</v>
      </c>
      <c r="D14" s="616" t="str">
        <f>Commodities!B14</f>
        <v>TRABNG</v>
      </c>
      <c r="E14" s="662">
        <v>1</v>
      </c>
      <c r="F14" s="662">
        <v>50</v>
      </c>
      <c r="G14" s="662">
        <v>0.01</v>
      </c>
      <c r="J14" s="616"/>
      <c r="L14" s="664" t="str">
        <f t="shared" si="2"/>
        <v>FT-TRABNG</v>
      </c>
      <c r="M14" s="665" t="str">
        <f>"TRA "&amp;Commodities!C14</f>
        <v>TRA BioCNG (TRA)</v>
      </c>
      <c r="N14" s="664" t="s">
        <v>88</v>
      </c>
      <c r="O14" s="664" t="s">
        <v>870</v>
      </c>
    </row>
    <row r="15" spans="2:19" s="662" customFormat="1" ht="13.2">
      <c r="B15" s="616" t="str">
        <f>"FT-TRA"&amp;LEFT(C15,3)</f>
        <v>FT-TRAELC</v>
      </c>
      <c r="C15" s="662" t="str">
        <f>Primary!D34</f>
        <v>ELCC</v>
      </c>
      <c r="D15" s="662" t="str">
        <f>Commodities!B15</f>
        <v>TRAELC</v>
      </c>
      <c r="E15" s="663">
        <v>1</v>
      </c>
      <c r="F15" s="662">
        <v>50</v>
      </c>
      <c r="G15" s="662">
        <v>0.01</v>
      </c>
      <c r="L15" s="664" t="str">
        <f t="shared" si="2"/>
        <v>FT-TRAELC</v>
      </c>
      <c r="M15" s="665" t="str">
        <f>"TRA "&amp;Commodities!C15</f>
        <v>TRA Electricity (TRA)</v>
      </c>
      <c r="N15" s="664" t="s">
        <v>88</v>
      </c>
      <c r="O15" s="664" t="s">
        <v>870</v>
      </c>
      <c r="P15" s="664" t="s">
        <v>90</v>
      </c>
    </row>
    <row r="16" spans="2:19" s="662" customFormat="1" ht="13.2">
      <c r="B16" s="616" t="str">
        <f>"FT-TRA"&amp;RIGHT(C16,3)</f>
        <v>FT-TRALNG</v>
      </c>
      <c r="C16" s="619" t="str">
        <f>Primary!D31</f>
        <v>GASLNG</v>
      </c>
      <c r="D16" s="616" t="str">
        <f>Commodities!B16</f>
        <v>TRALNG</v>
      </c>
      <c r="E16" s="662">
        <v>1</v>
      </c>
      <c r="F16" s="662">
        <v>50</v>
      </c>
      <c r="G16" s="662">
        <v>0.01</v>
      </c>
      <c r="J16" s="616"/>
      <c r="L16" s="664" t="str">
        <f t="shared" si="2"/>
        <v>FT-TRALNG</v>
      </c>
      <c r="M16" s="665" t="str">
        <f>"TRA "&amp;Commodities!C16</f>
        <v>TRA LNG (TRA)</v>
      </c>
      <c r="N16" s="664" t="s">
        <v>88</v>
      </c>
      <c r="O16" s="664" t="s">
        <v>870</v>
      </c>
    </row>
    <row r="17" spans="1:18" s="662" customFormat="1" ht="13.2">
      <c r="B17" s="616" t="str">
        <f>"FT-TRA"&amp;C17</f>
        <v>FT-TRAH2</v>
      </c>
      <c r="C17" s="619" t="str">
        <f>Primary!D32</f>
        <v>H2</v>
      </c>
      <c r="D17" s="616" t="str">
        <f>Commodities!B17</f>
        <v>TRAHYD</v>
      </c>
      <c r="E17" s="662">
        <v>1</v>
      </c>
      <c r="F17" s="662">
        <v>50</v>
      </c>
      <c r="G17" s="662">
        <v>0.01</v>
      </c>
      <c r="J17" s="616"/>
      <c r="L17" s="664" t="str">
        <f t="shared" si="2"/>
        <v>FT-TRAH2</v>
      </c>
      <c r="M17" s="665" t="str">
        <f>"TRA "&amp;Commodities!C17</f>
        <v>TRA Hydrogen (TRA)</v>
      </c>
      <c r="N17" s="664" t="s">
        <v>88</v>
      </c>
      <c r="O17" s="664" t="s">
        <v>870</v>
      </c>
    </row>
    <row r="18" spans="1:18" s="662" customFormat="1" ht="13.2">
      <c r="A18" s="619"/>
      <c r="B18" s="647" t="str">
        <f>"FT-TRA"&amp;RIGHT(C18,3)</f>
        <v>FT-TRAKER</v>
      </c>
      <c r="C18" s="648" t="str">
        <f>Primary!D33</f>
        <v>OILKER</v>
      </c>
      <c r="D18" s="647" t="str">
        <f>Commodities!B18</f>
        <v>TRAKER</v>
      </c>
      <c r="E18" s="666">
        <v>1</v>
      </c>
      <c r="F18" s="666">
        <v>50</v>
      </c>
      <c r="G18" s="666">
        <v>0.01</v>
      </c>
      <c r="H18" s="666"/>
      <c r="J18" s="647"/>
      <c r="K18" s="666"/>
      <c r="L18" s="667" t="str">
        <f t="shared" si="2"/>
        <v>FT-TRAKER</v>
      </c>
      <c r="M18" s="764" t="str">
        <f>"TRA "&amp;Commodities!C18</f>
        <v>TRA Kerosene (TRA)</v>
      </c>
      <c r="N18" s="667" t="s">
        <v>88</v>
      </c>
      <c r="O18" s="667" t="s">
        <v>870</v>
      </c>
      <c r="P18" s="666"/>
      <c r="Q18" s="666"/>
      <c r="R18" s="666"/>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22" zoomScale="85" zoomScaleNormal="85" workbookViewId="0">
      <selection activeCell="B12" sqref="B12"/>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55" t="s">
        <v>592</v>
      </c>
      <c r="L4" s="855"/>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5" t="s">
        <v>479</v>
      </c>
      <c r="C6" s="765" t="s">
        <v>1015</v>
      </c>
      <c r="D6" s="56" t="s">
        <v>88</v>
      </c>
      <c r="E6" s="56"/>
      <c r="F6" s="56"/>
      <c r="G6" s="56"/>
      <c r="H6" s="56"/>
      <c r="K6" s="427" t="s">
        <v>21</v>
      </c>
      <c r="L6" s="519"/>
    </row>
    <row r="7" spans="1:13" s="24" customFormat="1">
      <c r="A7" s="56"/>
      <c r="B7" s="765" t="s">
        <v>478</v>
      </c>
      <c r="C7" s="765" t="s">
        <v>1016</v>
      </c>
      <c r="D7" s="56" t="s">
        <v>88</v>
      </c>
      <c r="E7" s="56"/>
      <c r="F7" s="56"/>
      <c r="G7" s="56"/>
      <c r="H7" s="56"/>
      <c r="K7" s="767" t="s">
        <v>665</v>
      </c>
      <c r="L7" s="767"/>
      <c r="M7"/>
    </row>
    <row r="8" spans="1:13" s="24" customFormat="1">
      <c r="A8"/>
      <c r="B8" s="765" t="s">
        <v>83</v>
      </c>
      <c r="C8" s="765" t="s">
        <v>1017</v>
      </c>
      <c r="D8" s="56" t="s">
        <v>88</v>
      </c>
      <c r="E8" s="56"/>
      <c r="F8" s="56"/>
      <c r="G8" s="56"/>
      <c r="H8" s="56"/>
      <c r="K8" s="768" t="s">
        <v>1035</v>
      </c>
      <c r="L8" s="768" t="s">
        <v>1036</v>
      </c>
      <c r="M8"/>
    </row>
    <row r="9" spans="1:13" s="93" customFormat="1">
      <c r="A9" s="56"/>
      <c r="B9" s="765" t="s">
        <v>86</v>
      </c>
      <c r="C9" s="765" t="s">
        <v>1018</v>
      </c>
      <c r="D9" s="56" t="s">
        <v>88</v>
      </c>
      <c r="E9" s="56"/>
      <c r="F9" s="56"/>
      <c r="G9" s="56"/>
      <c r="H9" s="56"/>
      <c r="K9" s="768" t="s">
        <v>1037</v>
      </c>
      <c r="L9" s="768" t="s">
        <v>1038</v>
      </c>
    </row>
    <row r="10" spans="1:13">
      <c r="A10" s="56"/>
      <c r="B10" s="765" t="s">
        <v>214</v>
      </c>
      <c r="C10" s="765" t="s">
        <v>1019</v>
      </c>
      <c r="D10" s="56" t="s">
        <v>88</v>
      </c>
      <c r="E10" s="56"/>
      <c r="F10" s="56"/>
      <c r="G10" s="56"/>
      <c r="H10" s="56"/>
      <c r="K10" s="767" t="s">
        <v>537</v>
      </c>
      <c r="L10" s="767"/>
    </row>
    <row r="11" spans="1:13" s="24" customFormat="1">
      <c r="A11" s="56"/>
      <c r="B11" s="765" t="s">
        <v>215</v>
      </c>
      <c r="C11" s="765" t="s">
        <v>1020</v>
      </c>
      <c r="D11" s="56" t="s">
        <v>88</v>
      </c>
      <c r="E11" s="56"/>
      <c r="F11" s="56"/>
      <c r="G11" s="56"/>
      <c r="H11" s="56"/>
      <c r="K11" s="768" t="s">
        <v>1039</v>
      </c>
      <c r="L11" s="768" t="s">
        <v>1040</v>
      </c>
    </row>
    <row r="12" spans="1:13" s="42" customFormat="1">
      <c r="B12" s="818" t="s">
        <v>1148</v>
      </c>
      <c r="C12" s="818" t="s">
        <v>1143</v>
      </c>
      <c r="D12" s="819" t="s">
        <v>88</v>
      </c>
      <c r="K12" s="767" t="s">
        <v>321</v>
      </c>
      <c r="L12" s="767"/>
    </row>
    <row r="13" spans="1:13" s="93" customFormat="1">
      <c r="A13" s="56"/>
      <c r="B13" s="765" t="s">
        <v>475</v>
      </c>
      <c r="C13" s="765" t="s">
        <v>1021</v>
      </c>
      <c r="D13" s="56" t="s">
        <v>88</v>
      </c>
      <c r="E13" s="56"/>
      <c r="F13" s="56"/>
      <c r="G13" s="56"/>
      <c r="H13" s="56"/>
      <c r="I13" s="42"/>
      <c r="K13" s="768" t="s">
        <v>1041</v>
      </c>
      <c r="L13" s="768" t="s">
        <v>1042</v>
      </c>
    </row>
    <row r="14" spans="1:13" s="42" customFormat="1">
      <c r="A14" s="56"/>
      <c r="B14" s="765" t="s">
        <v>477</v>
      </c>
      <c r="C14" s="765" t="s">
        <v>1022</v>
      </c>
      <c r="D14" s="56" t="s">
        <v>88</v>
      </c>
      <c r="E14" s="56"/>
      <c r="F14" s="56"/>
      <c r="G14" s="56"/>
      <c r="H14" s="56"/>
      <c r="I14" s="93"/>
      <c r="K14" s="768" t="s">
        <v>1043</v>
      </c>
      <c r="L14" s="768" t="s">
        <v>1044</v>
      </c>
    </row>
    <row r="15" spans="1:13" s="42" customFormat="1">
      <c r="A15" s="636"/>
      <c r="B15" s="765" t="s">
        <v>87</v>
      </c>
      <c r="C15" s="765" t="s">
        <v>1023</v>
      </c>
      <c r="D15" s="636" t="s">
        <v>88</v>
      </c>
      <c r="E15" s="56"/>
      <c r="F15" s="56" t="s">
        <v>90</v>
      </c>
      <c r="G15" s="636"/>
      <c r="H15" s="636" t="s">
        <v>89</v>
      </c>
      <c r="K15" s="768" t="s">
        <v>1045</v>
      </c>
      <c r="L15" s="768" t="s">
        <v>1046</v>
      </c>
    </row>
    <row r="16" spans="1:13" s="24" customFormat="1">
      <c r="A16" s="42"/>
      <c r="B16" s="765" t="s">
        <v>855</v>
      </c>
      <c r="C16" s="765" t="s">
        <v>1024</v>
      </c>
      <c r="D16" s="636" t="s">
        <v>88</v>
      </c>
      <c r="E16" s="56"/>
      <c r="F16" s="56"/>
      <c r="G16" s="42"/>
      <c r="H16" s="42"/>
      <c r="I16" s="42"/>
      <c r="K16" s="768" t="s">
        <v>1047</v>
      </c>
      <c r="L16" s="768" t="s">
        <v>1048</v>
      </c>
    </row>
    <row r="17" spans="1:12" s="24" customFormat="1">
      <c r="B17" s="765" t="s">
        <v>1025</v>
      </c>
      <c r="C17" s="765" t="s">
        <v>1026</v>
      </c>
      <c r="D17" s="636" t="s">
        <v>88</v>
      </c>
      <c r="E17" s="56"/>
      <c r="F17" s="56"/>
      <c r="K17" s="768" t="s">
        <v>1049</v>
      </c>
      <c r="L17" s="768" t="s">
        <v>1050</v>
      </c>
    </row>
    <row r="18" spans="1:12" s="24" customFormat="1">
      <c r="A18" s="714"/>
      <c r="B18" s="765" t="s">
        <v>94</v>
      </c>
      <c r="C18" s="765" t="s">
        <v>1027</v>
      </c>
      <c r="D18" s="714" t="s">
        <v>88</v>
      </c>
      <c r="E18" s="714"/>
      <c r="F18" s="714"/>
      <c r="G18" s="714"/>
      <c r="H18" s="714"/>
      <c r="K18" s="768" t="s">
        <v>1051</v>
      </c>
      <c r="L18" s="768" t="s">
        <v>1052</v>
      </c>
    </row>
    <row r="19" spans="1:12" s="93" customFormat="1">
      <c r="A19" s="714"/>
      <c r="B19" s="765" t="s">
        <v>1028</v>
      </c>
      <c r="C19" s="765" t="s">
        <v>1029</v>
      </c>
      <c r="D19" s="744" t="s">
        <v>88</v>
      </c>
      <c r="E19" s="714"/>
      <c r="F19" s="714"/>
      <c r="G19" s="714"/>
      <c r="H19" s="714"/>
      <c r="I19" s="56"/>
      <c r="K19" s="768" t="s">
        <v>1053</v>
      </c>
      <c r="L19" s="768" t="s">
        <v>1054</v>
      </c>
    </row>
    <row r="20" spans="1:12" s="93" customFormat="1">
      <c r="B20" s="765" t="s">
        <v>1030</v>
      </c>
      <c r="C20" s="765" t="s">
        <v>1031</v>
      </c>
      <c r="D20" s="744" t="s">
        <v>88</v>
      </c>
      <c r="I20" s="56"/>
      <c r="K20" s="768" t="s">
        <v>1055</v>
      </c>
      <c r="L20" s="768" t="s">
        <v>1056</v>
      </c>
    </row>
    <row r="21" spans="1:12" s="93" customFormat="1">
      <c r="B21" s="818" t="s">
        <v>1144</v>
      </c>
      <c r="C21" s="818" t="s">
        <v>1145</v>
      </c>
      <c r="D21" s="744" t="s">
        <v>88</v>
      </c>
      <c r="I21" s="56"/>
      <c r="K21" s="768" t="s">
        <v>1057</v>
      </c>
      <c r="L21" s="768" t="s">
        <v>1058</v>
      </c>
    </row>
    <row r="22" spans="1:12">
      <c r="A22" s="1"/>
      <c r="B22" s="765" t="s">
        <v>997</v>
      </c>
      <c r="C22" s="765" t="s">
        <v>1032</v>
      </c>
      <c r="D22" s="1" t="s">
        <v>88</v>
      </c>
      <c r="E22" s="1"/>
      <c r="F22" s="1"/>
      <c r="G22" s="1"/>
      <c r="H22" s="1"/>
      <c r="I22" s="56"/>
      <c r="K22" s="767" t="s">
        <v>589</v>
      </c>
      <c r="L22" s="767"/>
    </row>
    <row r="23" spans="1:12" s="42" customFormat="1">
      <c r="A23" s="458"/>
      <c r="B23" s="766" t="s">
        <v>1033</v>
      </c>
      <c r="C23" s="766" t="s">
        <v>1034</v>
      </c>
      <c r="D23" s="458" t="s">
        <v>88</v>
      </c>
      <c r="E23" s="458"/>
      <c r="F23" s="458"/>
      <c r="G23" s="458"/>
      <c r="H23" s="458"/>
      <c r="I23"/>
      <c r="K23" s="768" t="s">
        <v>1059</v>
      </c>
      <c r="L23" s="768" t="s">
        <v>1060</v>
      </c>
    </row>
    <row r="24" spans="1:12">
      <c r="A24" s="56" t="s">
        <v>91</v>
      </c>
      <c r="B24" s="56" t="s">
        <v>963</v>
      </c>
      <c r="C24" s="26" t="s">
        <v>968</v>
      </c>
      <c r="D24" s="394" t="s">
        <v>867</v>
      </c>
      <c r="E24" s="56"/>
      <c r="F24" s="56"/>
      <c r="G24" s="56"/>
      <c r="H24" s="56"/>
      <c r="I24" s="42"/>
      <c r="K24" s="768" t="s">
        <v>1061</v>
      </c>
      <c r="L24" s="768" t="s">
        <v>1062</v>
      </c>
    </row>
    <row r="25" spans="1:12" s="24" customFormat="1">
      <c r="A25" s="56"/>
      <c r="B25" s="56" t="s">
        <v>964</v>
      </c>
      <c r="C25" s="26" t="s">
        <v>966</v>
      </c>
      <c r="D25" s="394" t="s">
        <v>867</v>
      </c>
      <c r="E25" s="56"/>
      <c r="F25" s="56"/>
      <c r="G25" s="56"/>
      <c r="H25" s="56"/>
      <c r="I25"/>
      <c r="K25" s="768" t="s">
        <v>1063</v>
      </c>
      <c r="L25" s="768" t="s">
        <v>1064</v>
      </c>
    </row>
    <row r="26" spans="1:12" s="24" customFormat="1">
      <c r="A26" s="56"/>
      <c r="B26" s="56" t="s">
        <v>965</v>
      </c>
      <c r="C26" s="26" t="s">
        <v>967</v>
      </c>
      <c r="D26" s="459" t="s">
        <v>867</v>
      </c>
      <c r="E26" s="56"/>
      <c r="F26" s="56"/>
      <c r="G26" s="56"/>
      <c r="H26" s="56"/>
      <c r="K26" s="767" t="s">
        <v>590</v>
      </c>
      <c r="L26" s="767"/>
    </row>
    <row r="27" spans="1:12" s="24" customFormat="1">
      <c r="A27" s="394"/>
      <c r="B27" s="56" t="s">
        <v>1140</v>
      </c>
      <c r="C27" s="56" t="s">
        <v>847</v>
      </c>
      <c r="D27" s="459" t="s">
        <v>980</v>
      </c>
      <c r="E27" s="56"/>
      <c r="F27" s="56"/>
      <c r="G27" s="56"/>
      <c r="H27" s="56"/>
      <c r="K27" s="768" t="s">
        <v>1065</v>
      </c>
      <c r="L27" s="768" t="s">
        <v>1066</v>
      </c>
    </row>
    <row r="28" spans="1:12" s="24" customFormat="1">
      <c r="A28" s="394"/>
      <c r="B28" s="56" t="s">
        <v>743</v>
      </c>
      <c r="C28" s="56" t="s">
        <v>846</v>
      </c>
      <c r="D28" s="394" t="s">
        <v>88</v>
      </c>
      <c r="E28" s="56"/>
      <c r="F28" s="56"/>
      <c r="G28" s="56"/>
      <c r="H28" s="56"/>
      <c r="K28" s="767" t="s">
        <v>24</v>
      </c>
      <c r="L28" s="767"/>
    </row>
    <row r="29" spans="1:12" s="24" customFormat="1">
      <c r="A29" s="459"/>
      <c r="B29" s="459" t="s">
        <v>212</v>
      </c>
      <c r="C29" s="459" t="s">
        <v>845</v>
      </c>
      <c r="D29" s="459" t="s">
        <v>88</v>
      </c>
      <c r="E29" s="56"/>
      <c r="F29" s="56"/>
      <c r="G29" s="56"/>
      <c r="H29" s="56"/>
      <c r="K29" s="768" t="s">
        <v>1141</v>
      </c>
      <c r="L29" s="768" t="s">
        <v>1067</v>
      </c>
    </row>
    <row r="30" spans="1:12" s="24" customFormat="1">
      <c r="A30" s="394"/>
      <c r="B30" s="394" t="s">
        <v>213</v>
      </c>
      <c r="C30" s="394" t="s">
        <v>844</v>
      </c>
      <c r="D30" s="394" t="s">
        <v>88</v>
      </c>
      <c r="E30" s="56"/>
      <c r="F30" s="56"/>
      <c r="G30" s="56"/>
      <c r="H30" s="56"/>
      <c r="J30" s="442"/>
      <c r="K30" s="768" t="s">
        <v>1142</v>
      </c>
      <c r="L30" s="768" t="s">
        <v>1068</v>
      </c>
    </row>
    <row r="31" spans="1:12" s="24" customFormat="1" ht="15" thickBot="1">
      <c r="A31" s="394"/>
      <c r="B31" s="394" t="s">
        <v>751</v>
      </c>
      <c r="C31" s="394" t="s">
        <v>843</v>
      </c>
      <c r="D31" s="394" t="s">
        <v>88</v>
      </c>
      <c r="E31" s="56"/>
      <c r="F31" s="56"/>
      <c r="G31" s="56"/>
      <c r="H31" s="56"/>
      <c r="J31" s="442"/>
      <c r="K31" s="768" t="s">
        <v>1069</v>
      </c>
      <c r="L31" s="768" t="s">
        <v>1070</v>
      </c>
    </row>
    <row r="32" spans="1:12" s="24" customFormat="1" ht="15" thickBot="1">
      <c r="A32" s="393"/>
      <c r="B32" s="393" t="s">
        <v>752</v>
      </c>
      <c r="C32" s="393" t="s">
        <v>842</v>
      </c>
      <c r="D32" s="393" t="s">
        <v>88</v>
      </c>
      <c r="E32" s="428"/>
      <c r="F32" s="428"/>
      <c r="G32" s="428"/>
      <c r="H32" s="428"/>
      <c r="J32" s="442"/>
      <c r="K32" s="769" t="s">
        <v>669</v>
      </c>
      <c r="L32" s="769"/>
    </row>
    <row r="33" spans="1:14" s="24" customFormat="1">
      <c r="A33" s="394" t="s">
        <v>102</v>
      </c>
      <c r="B33" s="29" t="s">
        <v>97</v>
      </c>
      <c r="C33" s="56" t="s">
        <v>228</v>
      </c>
      <c r="D33" s="394" t="s">
        <v>106</v>
      </c>
      <c r="E33" s="56"/>
      <c r="F33" s="56"/>
      <c r="G33" s="56"/>
      <c r="H33" s="56"/>
      <c r="J33" s="442"/>
      <c r="K33" s="767" t="s">
        <v>711</v>
      </c>
      <c r="L33" s="767"/>
    </row>
    <row r="34" spans="1:14" s="24" customFormat="1">
      <c r="A34" s="394"/>
      <c r="B34" s="29" t="s">
        <v>98</v>
      </c>
      <c r="C34" s="56" t="s">
        <v>103</v>
      </c>
      <c r="D34" s="394" t="s">
        <v>106</v>
      </c>
      <c r="E34" s="56"/>
      <c r="F34" s="56"/>
      <c r="G34" s="56"/>
      <c r="H34" s="56"/>
      <c r="J34" s="442"/>
      <c r="K34" s="768" t="s">
        <v>1071</v>
      </c>
      <c r="L34" s="768" t="s">
        <v>1072</v>
      </c>
    </row>
    <row r="35" spans="1:14">
      <c r="A35" s="394"/>
      <c r="B35" s="29" t="s">
        <v>99</v>
      </c>
      <c r="C35" s="56" t="s">
        <v>104</v>
      </c>
      <c r="D35" s="394" t="s">
        <v>106</v>
      </c>
      <c r="E35" s="56"/>
      <c r="F35" s="56"/>
      <c r="G35" s="56"/>
      <c r="H35" s="56"/>
      <c r="I35" s="24"/>
      <c r="J35" s="442"/>
      <c r="K35" s="768" t="s">
        <v>1129</v>
      </c>
      <c r="L35" s="768" t="s">
        <v>1128</v>
      </c>
    </row>
    <row r="36" spans="1:14" s="24" customFormat="1">
      <c r="A36" s="394"/>
      <c r="B36" s="29" t="s">
        <v>100</v>
      </c>
      <c r="C36" s="56" t="s">
        <v>105</v>
      </c>
      <c r="D36" s="394" t="s">
        <v>106</v>
      </c>
      <c r="E36" s="56"/>
      <c r="F36" s="56"/>
      <c r="G36" s="56"/>
      <c r="H36" s="56"/>
      <c r="I36"/>
      <c r="J36" s="442"/>
      <c r="K36" s="768" t="s">
        <v>1130</v>
      </c>
      <c r="L36" s="768" t="s">
        <v>1131</v>
      </c>
    </row>
    <row r="37" spans="1:14" s="24" customFormat="1">
      <c r="A37" s="394"/>
      <c r="B37" s="56" t="s">
        <v>110</v>
      </c>
      <c r="C37" s="56" t="s">
        <v>217</v>
      </c>
      <c r="D37" s="394" t="s">
        <v>106</v>
      </c>
      <c r="E37" s="56"/>
      <c r="F37" s="56"/>
      <c r="G37" s="56"/>
      <c r="H37" s="56"/>
      <c r="J37" s="442"/>
      <c r="K37" s="768" t="s">
        <v>1073</v>
      </c>
      <c r="L37" s="768" t="s">
        <v>1074</v>
      </c>
    </row>
    <row r="38" spans="1:14" ht="15" thickBot="1">
      <c r="A38" s="429"/>
      <c r="B38" s="430" t="s">
        <v>111</v>
      </c>
      <c r="C38" s="430" t="s">
        <v>218</v>
      </c>
      <c r="D38" s="429" t="s">
        <v>106</v>
      </c>
      <c r="E38" s="430"/>
      <c r="F38" s="430"/>
      <c r="G38" s="430"/>
      <c r="H38" s="430"/>
      <c r="K38" s="768" t="s">
        <v>1075</v>
      </c>
      <c r="L38" s="768" t="s">
        <v>1076</v>
      </c>
    </row>
    <row r="39" spans="1:14" ht="15" thickBot="1">
      <c r="A39" s="1"/>
      <c r="B39" s="636"/>
      <c r="C39" s="636"/>
      <c r="D39" s="1"/>
      <c r="E39" s="636"/>
      <c r="F39" s="636"/>
      <c r="G39" s="636"/>
      <c r="H39" s="636"/>
      <c r="K39" s="769" t="s">
        <v>1077</v>
      </c>
      <c r="L39" s="769"/>
    </row>
    <row r="40" spans="1:14">
      <c r="A40" s="572" t="s">
        <v>745</v>
      </c>
      <c r="G40" s="56"/>
      <c r="H40" s="56"/>
      <c r="K40" s="768" t="s">
        <v>1078</v>
      </c>
      <c r="L40" s="768" t="s">
        <v>1079</v>
      </c>
    </row>
    <row r="41" spans="1:14">
      <c r="A41" s="572" t="s">
        <v>746</v>
      </c>
      <c r="G41" s="459"/>
      <c r="H41" s="459"/>
      <c r="K41" s="768" t="s">
        <v>1080</v>
      </c>
      <c r="L41" s="768" t="s">
        <v>1081</v>
      </c>
    </row>
    <row r="42" spans="1:14" ht="15" thickBot="1">
      <c r="A42" s="572" t="s">
        <v>744</v>
      </c>
      <c r="G42" s="459"/>
      <c r="H42" s="459"/>
      <c r="K42" s="768" t="s">
        <v>1082</v>
      </c>
      <c r="L42" s="768" t="s">
        <v>1083</v>
      </c>
    </row>
    <row r="43" spans="1:14" ht="15" thickBot="1">
      <c r="A43" s="572" t="s">
        <v>747</v>
      </c>
      <c r="G43" s="459"/>
      <c r="H43" s="459"/>
      <c r="K43" s="769" t="s">
        <v>95</v>
      </c>
      <c r="L43" s="769"/>
    </row>
    <row r="44" spans="1:14">
      <c r="K44" s="768" t="s">
        <v>1084</v>
      </c>
      <c r="L44" s="768" t="s">
        <v>1085</v>
      </c>
      <c r="M44" s="459"/>
      <c r="N44" s="459"/>
    </row>
    <row r="45" spans="1:14" s="459" customFormat="1" ht="15" thickBot="1">
      <c r="K45" s="770" t="s">
        <v>1086</v>
      </c>
      <c r="L45" s="770" t="s">
        <v>1087</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8"/>
  <sheetViews>
    <sheetView topLeftCell="A25" zoomScale="70" zoomScaleNormal="70" workbookViewId="0">
      <selection activeCell="F26" sqref="F26"/>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 min="17" max="17" width="19.6640625" customWidth="1"/>
  </cols>
  <sheetData>
    <row r="2" spans="3:21">
      <c r="L2"/>
      <c r="M2" s="714"/>
    </row>
    <row r="3" spans="3:21">
      <c r="C3" s="56"/>
      <c r="D3" s="56"/>
      <c r="E3" s="56"/>
      <c r="F3" s="727" t="s">
        <v>76</v>
      </c>
      <c r="G3" s="56"/>
      <c r="I3" s="56"/>
      <c r="J3" s="56"/>
      <c r="K3" s="56"/>
      <c r="L3" s="56"/>
      <c r="M3" s="56"/>
      <c r="O3" s="727" t="s">
        <v>60</v>
      </c>
      <c r="P3" s="40"/>
      <c r="Q3" s="40"/>
      <c r="R3" s="40"/>
      <c r="S3" s="40"/>
      <c r="T3" s="40"/>
    </row>
    <row r="4" spans="3:21" ht="15" thickBot="1">
      <c r="C4" s="41" t="s">
        <v>70</v>
      </c>
      <c r="D4" s="41" t="s">
        <v>77</v>
      </c>
      <c r="E4" s="41" t="s">
        <v>78</v>
      </c>
      <c r="F4" s="728" t="s">
        <v>65</v>
      </c>
      <c r="G4" s="728" t="s">
        <v>863</v>
      </c>
      <c r="H4" s="728" t="s">
        <v>1088</v>
      </c>
      <c r="I4" s="728" t="s">
        <v>1008</v>
      </c>
      <c r="J4" s="728" t="s">
        <v>1009</v>
      </c>
      <c r="K4" s="728" t="s">
        <v>1010</v>
      </c>
      <c r="L4" s="728" t="s">
        <v>1011</v>
      </c>
      <c r="M4" s="728" t="s">
        <v>1012</v>
      </c>
      <c r="N4" s="56"/>
      <c r="O4" s="41" t="s">
        <v>69</v>
      </c>
      <c r="P4" s="41" t="s">
        <v>70</v>
      </c>
      <c r="Q4" s="41" t="s">
        <v>71</v>
      </c>
      <c r="R4" s="41" t="s">
        <v>72</v>
      </c>
      <c r="S4" s="41" t="s">
        <v>73</v>
      </c>
      <c r="T4" s="41" t="s">
        <v>74</v>
      </c>
      <c r="U4" s="41" t="s">
        <v>75</v>
      </c>
    </row>
    <row r="5" spans="3:21">
      <c r="C5" s="56" t="str">
        <f>P5</f>
        <v>TRAGSL_BLD</v>
      </c>
      <c r="D5" s="56" t="str">
        <f>Commodities!B8</f>
        <v>TRAGSL</v>
      </c>
      <c r="E5" s="56"/>
      <c r="F5" s="56" t="s">
        <v>1013</v>
      </c>
      <c r="G5" s="56">
        <v>1</v>
      </c>
      <c r="H5" s="56">
        <v>5</v>
      </c>
      <c r="I5" s="729">
        <f>1-J55</f>
        <v>0.9548414346182118</v>
      </c>
      <c r="J5" s="729">
        <f>1-L55</f>
        <v>0.95</v>
      </c>
      <c r="K5" s="729">
        <f>1-V55</f>
        <v>0.9</v>
      </c>
      <c r="L5" s="729">
        <f>1-AF55</f>
        <v>0.9</v>
      </c>
      <c r="M5" s="729">
        <f>1-AP55</f>
        <v>0.9</v>
      </c>
      <c r="N5" s="56"/>
      <c r="O5" s="56" t="s">
        <v>862</v>
      </c>
      <c r="P5" s="56" t="s">
        <v>993</v>
      </c>
      <c r="Q5" s="56" t="s">
        <v>1004</v>
      </c>
      <c r="R5" s="714" t="s">
        <v>88</v>
      </c>
      <c r="S5" s="714" t="s">
        <v>870</v>
      </c>
      <c r="T5" s="56"/>
      <c r="U5" s="56"/>
    </row>
    <row r="6" spans="3:21">
      <c r="C6" s="56"/>
      <c r="D6" s="56" t="str">
        <f>Commodities!B10</f>
        <v>TRAETH</v>
      </c>
      <c r="E6" s="56"/>
      <c r="F6" s="56" t="s">
        <v>1013</v>
      </c>
      <c r="G6" s="56"/>
      <c r="H6" s="56">
        <v>5</v>
      </c>
      <c r="I6" s="763">
        <f>1-I5</f>
        <v>4.5158565381788196E-2</v>
      </c>
      <c r="J6" s="763">
        <f t="shared" ref="J6:M6" si="0">1-J5</f>
        <v>5.0000000000000044E-2</v>
      </c>
      <c r="K6" s="763">
        <f t="shared" si="0"/>
        <v>9.9999999999999978E-2</v>
      </c>
      <c r="L6" s="763">
        <f t="shared" si="0"/>
        <v>9.9999999999999978E-2</v>
      </c>
      <c r="M6" s="763">
        <f t="shared" si="0"/>
        <v>9.9999999999999978E-2</v>
      </c>
      <c r="N6" s="56"/>
      <c r="O6" s="56"/>
      <c r="P6" s="714" t="s">
        <v>994</v>
      </c>
      <c r="Q6" s="56" t="s">
        <v>1005</v>
      </c>
      <c r="R6" s="714" t="s">
        <v>88</v>
      </c>
      <c r="S6" s="714" t="s">
        <v>870</v>
      </c>
      <c r="T6" s="56"/>
      <c r="U6" s="56"/>
    </row>
    <row r="7" spans="3:21">
      <c r="C7" s="56"/>
      <c r="D7" s="56"/>
      <c r="E7" s="56" t="str">
        <f>Commodities!B19</f>
        <v>TRAGSE</v>
      </c>
      <c r="F7" s="428"/>
      <c r="G7" s="56"/>
      <c r="H7" s="56"/>
      <c r="I7" s="56"/>
      <c r="J7" s="56"/>
      <c r="K7" s="56"/>
      <c r="L7" s="56"/>
      <c r="M7" s="56"/>
      <c r="N7" s="56"/>
      <c r="O7" s="636"/>
      <c r="P7" s="636" t="s">
        <v>995</v>
      </c>
      <c r="Q7" s="636" t="s">
        <v>996</v>
      </c>
      <c r="R7" s="1" t="s">
        <v>88</v>
      </c>
      <c r="S7" s="1" t="s">
        <v>870</v>
      </c>
      <c r="T7" s="636"/>
      <c r="U7" s="636"/>
    </row>
    <row r="8" spans="3:21">
      <c r="C8" s="730" t="str">
        <f>P6</f>
        <v>TRADST_BLD</v>
      </c>
      <c r="D8" s="730" t="str">
        <f>Commodities!B9</f>
        <v>TRADST</v>
      </c>
      <c r="E8" s="730"/>
      <c r="F8" s="56" t="s">
        <v>1013</v>
      </c>
      <c r="G8" s="730">
        <v>1</v>
      </c>
      <c r="H8" s="730">
        <v>5</v>
      </c>
      <c r="I8" s="731">
        <f>1-J56</f>
        <v>0.95912212653292017</v>
      </c>
      <c r="J8" s="731">
        <f>1-L56</f>
        <v>0.94884746867213698</v>
      </c>
      <c r="K8" s="731">
        <f>1-V56</f>
        <v>0.9</v>
      </c>
      <c r="L8" s="731">
        <f>1-AG56</f>
        <v>0.9</v>
      </c>
      <c r="M8" s="731">
        <f>1-AP56</f>
        <v>0.9</v>
      </c>
      <c r="N8" s="56"/>
      <c r="O8" s="636"/>
      <c r="P8" s="636" t="s">
        <v>1006</v>
      </c>
      <c r="Q8" s="636" t="s">
        <v>1007</v>
      </c>
      <c r="R8" s="1" t="s">
        <v>88</v>
      </c>
      <c r="S8" s="1" t="s">
        <v>870</v>
      </c>
      <c r="T8" s="636"/>
      <c r="U8" s="636"/>
    </row>
    <row r="9" spans="3:21">
      <c r="C9" s="56"/>
      <c r="D9" s="56" t="str">
        <f>Commodities!B11</f>
        <v>TRABDL</v>
      </c>
      <c r="E9" s="56"/>
      <c r="F9" s="56" t="s">
        <v>1013</v>
      </c>
      <c r="G9" s="56"/>
      <c r="H9" s="56">
        <v>5</v>
      </c>
      <c r="I9" s="763">
        <f>1-I8</f>
        <v>4.0877873467079828E-2</v>
      </c>
      <c r="J9" s="763">
        <f t="shared" ref="J9" si="1">1-J8</f>
        <v>5.1152531327863016E-2</v>
      </c>
      <c r="K9" s="763">
        <f t="shared" ref="K9" si="2">1-K8</f>
        <v>9.9999999999999978E-2</v>
      </c>
      <c r="L9" s="763">
        <f t="shared" ref="L9" si="3">1-L8</f>
        <v>9.9999999999999978E-2</v>
      </c>
      <c r="M9" s="763">
        <f t="shared" ref="M9" si="4">1-M8</f>
        <v>9.9999999999999978E-2</v>
      </c>
      <c r="N9" s="56"/>
      <c r="O9" s="428"/>
      <c r="P9" s="428" t="s">
        <v>1146</v>
      </c>
      <c r="Q9" s="428" t="s">
        <v>1147</v>
      </c>
      <c r="R9" s="458" t="s">
        <v>88</v>
      </c>
      <c r="S9" s="458" t="s">
        <v>870</v>
      </c>
      <c r="T9" s="428"/>
      <c r="U9" s="428"/>
    </row>
    <row r="10" spans="3:21">
      <c r="C10" s="428"/>
      <c r="D10" s="428"/>
      <c r="E10" s="428" t="str">
        <f>Commodities!B20</f>
        <v>TRADSB</v>
      </c>
      <c r="F10" s="428"/>
      <c r="G10" s="428"/>
      <c r="H10" s="428"/>
      <c r="I10" s="428"/>
      <c r="J10" s="428"/>
      <c r="K10" s="428"/>
      <c r="L10" s="428"/>
      <c r="M10" s="428"/>
      <c r="N10" s="56"/>
      <c r="O10" s="56"/>
      <c r="P10" s="56"/>
      <c r="Q10" s="56"/>
      <c r="R10" s="56"/>
      <c r="S10" s="56"/>
      <c r="T10" s="56"/>
      <c r="U10" s="56"/>
    </row>
    <row r="11" spans="3:21">
      <c r="C11" s="730" t="str">
        <f>$P$7</f>
        <v>TRAE85_BLD</v>
      </c>
      <c r="D11" s="730" t="str">
        <f>Commodities!B8</f>
        <v>TRAGSL</v>
      </c>
      <c r="E11" s="730"/>
      <c r="F11" s="56" t="s">
        <v>1013</v>
      </c>
      <c r="G11" s="730">
        <v>1</v>
      </c>
      <c r="H11" s="730">
        <v>5</v>
      </c>
      <c r="I11" s="732">
        <v>0.15</v>
      </c>
      <c r="J11" s="732">
        <v>0.15</v>
      </c>
      <c r="K11" s="732">
        <v>0.15</v>
      </c>
      <c r="L11" s="732">
        <v>0.15</v>
      </c>
      <c r="M11" s="732">
        <v>0.15</v>
      </c>
      <c r="N11" s="56"/>
      <c r="O11" s="714"/>
      <c r="P11" s="714"/>
      <c r="Q11" s="714"/>
      <c r="R11" s="714"/>
      <c r="S11" s="714"/>
      <c r="T11" s="56"/>
      <c r="U11" s="56"/>
    </row>
    <row r="12" spans="3:21">
      <c r="C12" s="56"/>
      <c r="D12" s="56" t="str">
        <f>Commodities!B10</f>
        <v>TRAETH</v>
      </c>
      <c r="E12" s="56"/>
      <c r="F12" s="56" t="s">
        <v>1013</v>
      </c>
      <c r="G12" s="56"/>
      <c r="H12" s="56">
        <v>5</v>
      </c>
      <c r="I12" s="763">
        <f>1-I11</f>
        <v>0.85</v>
      </c>
      <c r="J12" s="763">
        <f t="shared" ref="J12" si="5">1-J11</f>
        <v>0.85</v>
      </c>
      <c r="K12" s="763">
        <f t="shared" ref="K12" si="6">1-K11</f>
        <v>0.85</v>
      </c>
      <c r="L12" s="763">
        <f t="shared" ref="L12" si="7">1-L11</f>
        <v>0.85</v>
      </c>
      <c r="M12" s="763">
        <f t="shared" ref="M12" si="8">1-M11</f>
        <v>0.85</v>
      </c>
      <c r="N12" s="56"/>
      <c r="O12" s="714"/>
      <c r="P12" s="714"/>
      <c r="Q12" s="714"/>
      <c r="R12" s="714"/>
      <c r="S12" s="714"/>
      <c r="T12" s="56"/>
      <c r="U12" s="56"/>
    </row>
    <row r="13" spans="3:21">
      <c r="C13" s="428"/>
      <c r="D13" s="428"/>
      <c r="E13" s="428" t="str">
        <f>Commodities!B22</f>
        <v>TRAE85</v>
      </c>
      <c r="F13" s="428"/>
      <c r="G13" s="428"/>
      <c r="H13" s="428"/>
      <c r="I13" s="428"/>
      <c r="J13" s="428"/>
      <c r="K13" s="428"/>
      <c r="L13" s="428"/>
      <c r="M13" s="428"/>
      <c r="N13" s="56"/>
      <c r="O13" s="714"/>
      <c r="P13" s="714"/>
      <c r="Q13" s="714"/>
      <c r="R13" s="714"/>
      <c r="S13" s="714"/>
      <c r="T13" s="56"/>
      <c r="U13" s="56"/>
    </row>
    <row r="14" spans="3:21">
      <c r="C14" s="730" t="str">
        <f>$P$8</f>
        <v>TRABCNG_BLD</v>
      </c>
      <c r="D14" s="730" t="str">
        <f>Commodities!B13</f>
        <v>TRACNG</v>
      </c>
      <c r="E14" s="730"/>
      <c r="F14" s="56" t="s">
        <v>1013</v>
      </c>
      <c r="G14" s="730">
        <v>1</v>
      </c>
      <c r="H14" s="730">
        <v>5</v>
      </c>
      <c r="I14" s="732">
        <v>0.5</v>
      </c>
      <c r="J14" s="732">
        <v>0.5</v>
      </c>
      <c r="K14" s="732">
        <v>0.5</v>
      </c>
      <c r="L14" s="732">
        <v>0.5</v>
      </c>
      <c r="M14" s="732">
        <v>0.5</v>
      </c>
      <c r="N14" s="56"/>
      <c r="O14" s="714"/>
      <c r="P14" s="714"/>
      <c r="Q14" s="714"/>
      <c r="R14" s="714"/>
      <c r="S14" s="714"/>
      <c r="T14" s="56"/>
      <c r="U14" s="56"/>
    </row>
    <row r="15" spans="3:21">
      <c r="C15" s="56"/>
      <c r="D15" s="56" t="str">
        <f>Commodities!B14</f>
        <v>TRABNG</v>
      </c>
      <c r="E15" s="56"/>
      <c r="F15" s="56" t="s">
        <v>1013</v>
      </c>
      <c r="G15" s="56"/>
      <c r="H15" s="56">
        <v>5</v>
      </c>
      <c r="I15" s="763">
        <f>1-I14</f>
        <v>0.5</v>
      </c>
      <c r="J15" s="763">
        <f t="shared" ref="J15" si="9">1-J14</f>
        <v>0.5</v>
      </c>
      <c r="K15" s="763">
        <f t="shared" ref="K15" si="10">1-K14</f>
        <v>0.5</v>
      </c>
      <c r="L15" s="763">
        <f t="shared" ref="L15" si="11">1-L14</f>
        <v>0.5</v>
      </c>
      <c r="M15" s="763">
        <f t="shared" ref="M15" si="12">1-M14</f>
        <v>0.5</v>
      </c>
      <c r="N15" s="714"/>
      <c r="O15" s="714"/>
      <c r="P15" s="714"/>
      <c r="Q15" s="714"/>
      <c r="R15" s="714"/>
      <c r="S15" s="714"/>
    </row>
    <row r="16" spans="3:21">
      <c r="C16" s="428"/>
      <c r="D16" s="428"/>
      <c r="E16" s="428" t="str">
        <f>Commodities!B23</f>
        <v>TRANGB</v>
      </c>
      <c r="F16" s="428"/>
      <c r="G16" s="428"/>
      <c r="H16" s="428"/>
      <c r="I16" s="428"/>
      <c r="J16" s="428"/>
      <c r="K16" s="428"/>
      <c r="L16" s="428"/>
      <c r="M16" s="428"/>
      <c r="N16" s="714"/>
      <c r="O16" s="714"/>
      <c r="P16" s="714"/>
      <c r="Q16" s="714"/>
      <c r="R16" s="714"/>
      <c r="S16" s="714"/>
    </row>
    <row r="17" spans="1:19" s="714" customFormat="1">
      <c r="C17" s="730" t="str">
        <f>P9</f>
        <v>TRABJK_BLD</v>
      </c>
      <c r="D17" s="730" t="str">
        <f>Commodities!B18</f>
        <v>TRAKER</v>
      </c>
      <c r="E17" s="730"/>
      <c r="F17" s="56" t="s">
        <v>1013</v>
      </c>
      <c r="G17" s="730">
        <v>1</v>
      </c>
      <c r="H17" s="730">
        <v>5</v>
      </c>
      <c r="I17" s="732">
        <v>1</v>
      </c>
      <c r="J17" s="732">
        <v>0.99</v>
      </c>
      <c r="K17" s="732">
        <v>0.5</v>
      </c>
      <c r="L17" s="732">
        <v>0.3</v>
      </c>
      <c r="M17" s="732">
        <v>0.1</v>
      </c>
    </row>
    <row r="18" spans="1:19" s="714" customFormat="1">
      <c r="C18" s="56"/>
      <c r="D18" s="56" t="str">
        <f>Commodities!B12</f>
        <v>TRABJK</v>
      </c>
      <c r="E18" s="56"/>
      <c r="F18" s="56" t="s">
        <v>1013</v>
      </c>
      <c r="G18" s="56"/>
      <c r="H18" s="56">
        <v>5</v>
      </c>
      <c r="I18" s="763">
        <f>1-I17</f>
        <v>0</v>
      </c>
      <c r="J18" s="763">
        <f t="shared" ref="J18:M18" si="13">1-J17</f>
        <v>1.0000000000000009E-2</v>
      </c>
      <c r="K18" s="763">
        <f t="shared" si="13"/>
        <v>0.5</v>
      </c>
      <c r="L18" s="763">
        <f t="shared" si="13"/>
        <v>0.7</v>
      </c>
      <c r="M18" s="763">
        <f t="shared" si="13"/>
        <v>0.9</v>
      </c>
    </row>
    <row r="19" spans="1:19" s="714" customFormat="1">
      <c r="C19" s="428"/>
      <c r="D19" s="428"/>
      <c r="E19" s="428" t="str">
        <f>Commodities!B21</f>
        <v>TRAJKB</v>
      </c>
      <c r="F19" s="428"/>
      <c r="G19" s="428"/>
      <c r="H19" s="428"/>
      <c r="I19" s="428"/>
      <c r="J19" s="428"/>
      <c r="K19" s="428"/>
      <c r="L19" s="428"/>
      <c r="M19" s="428"/>
    </row>
    <row r="20" spans="1:19" s="714" customFormat="1">
      <c r="C20" s="636"/>
      <c r="D20" s="636"/>
      <c r="E20" s="636"/>
      <c r="F20" s="636"/>
      <c r="G20" s="636"/>
      <c r="H20" s="636"/>
      <c r="I20" s="636"/>
      <c r="J20" s="636"/>
      <c r="K20" s="636"/>
      <c r="L20" s="636"/>
      <c r="M20" s="636"/>
    </row>
    <row r="21" spans="1:19">
      <c r="L21"/>
      <c r="N21" s="714"/>
      <c r="O21" s="714"/>
      <c r="P21" s="714"/>
      <c r="Q21" s="714"/>
      <c r="R21" s="714"/>
      <c r="S21" s="714"/>
    </row>
    <row r="22" spans="1:19">
      <c r="L22"/>
      <c r="M22" s="714"/>
      <c r="O22" s="714"/>
      <c r="P22" s="714"/>
      <c r="Q22" s="714"/>
      <c r="R22" s="714"/>
      <c r="S22" s="714"/>
    </row>
    <row r="23" spans="1:19">
      <c r="A23" s="733" t="s">
        <v>480</v>
      </c>
      <c r="B23" s="734"/>
      <c r="L23"/>
      <c r="M23" s="714"/>
      <c r="O23" s="714"/>
      <c r="P23" s="714"/>
      <c r="Q23" s="714"/>
      <c r="R23" s="714"/>
      <c r="S23" s="714"/>
    </row>
    <row r="24" spans="1:19">
      <c r="A24" s="735" t="s">
        <v>481</v>
      </c>
      <c r="B24" s="736" t="s">
        <v>482</v>
      </c>
      <c r="L24"/>
      <c r="M24" s="714"/>
      <c r="O24" s="714"/>
      <c r="P24" s="714"/>
      <c r="Q24" s="714"/>
      <c r="R24" s="714"/>
      <c r="S24" s="714"/>
    </row>
    <row r="25" spans="1:19">
      <c r="A25" s="737" t="s">
        <v>20</v>
      </c>
      <c r="B25" s="738">
        <v>1041376950</v>
      </c>
      <c r="L25"/>
      <c r="M25" s="714"/>
      <c r="O25" s="714"/>
      <c r="P25" s="714"/>
      <c r="Q25" s="714"/>
      <c r="R25" s="714"/>
      <c r="S25" s="714"/>
    </row>
    <row r="26" spans="1:19">
      <c r="A26" s="739" t="s">
        <v>483</v>
      </c>
      <c r="B26" s="738">
        <v>53868503</v>
      </c>
    </row>
    <row r="27" spans="1:19">
      <c r="A27" s="739" t="s">
        <v>19</v>
      </c>
      <c r="B27" s="740">
        <v>3392228806</v>
      </c>
    </row>
    <row r="28" spans="1:19">
      <c r="A28" s="739" t="s">
        <v>484</v>
      </c>
      <c r="B28" s="740">
        <v>162101602</v>
      </c>
    </row>
    <row r="29" spans="1:19">
      <c r="A29" s="741" t="s">
        <v>485</v>
      </c>
      <c r="B29" s="742"/>
    </row>
    <row r="30" spans="1:19">
      <c r="A30" s="742"/>
      <c r="B30" s="742"/>
    </row>
    <row r="31" spans="1:19">
      <c r="A31" s="742"/>
      <c r="B31" s="742"/>
    </row>
    <row r="32" spans="1:19">
      <c r="A32" s="733" t="s">
        <v>486</v>
      </c>
      <c r="B32" s="734"/>
    </row>
    <row r="33" spans="1:2">
      <c r="A33" s="735" t="s">
        <v>481</v>
      </c>
      <c r="B33" s="736" t="s">
        <v>486</v>
      </c>
    </row>
    <row r="34" spans="1:2">
      <c r="A34" s="737" t="s">
        <v>20</v>
      </c>
      <c r="B34" s="738">
        <v>35</v>
      </c>
    </row>
    <row r="35" spans="1:2">
      <c r="A35" s="739" t="s">
        <v>483</v>
      </c>
      <c r="B35" s="738">
        <v>32</v>
      </c>
    </row>
    <row r="36" spans="1:2">
      <c r="A36" s="739" t="s">
        <v>19</v>
      </c>
      <c r="B36" s="740">
        <v>37</v>
      </c>
    </row>
    <row r="37" spans="1:2">
      <c r="A37" s="739" t="s">
        <v>484</v>
      </c>
      <c r="B37" s="740">
        <v>33</v>
      </c>
    </row>
    <row r="38" spans="1:2">
      <c r="A38" s="742"/>
      <c r="B38" s="742"/>
    </row>
    <row r="39" spans="1:2">
      <c r="A39" s="742"/>
      <c r="B39" s="742"/>
    </row>
    <row r="40" spans="1:2">
      <c r="A40" s="733" t="s">
        <v>487</v>
      </c>
      <c r="B40" s="734"/>
    </row>
    <row r="41" spans="1:2">
      <c r="A41" s="735" t="s">
        <v>481</v>
      </c>
      <c r="B41" s="736" t="s">
        <v>488</v>
      </c>
    </row>
    <row r="42" spans="1:2">
      <c r="A42" s="737" t="s">
        <v>20</v>
      </c>
      <c r="B42" s="743">
        <f>(B25*B34)/((B25*B34)+(B26*B35))</f>
        <v>0.9548414346182118</v>
      </c>
    </row>
    <row r="43" spans="1:2">
      <c r="A43" s="739" t="s">
        <v>483</v>
      </c>
      <c r="B43" s="743">
        <f>(B26*B35)/((B25*B34)+(B26*B35))</f>
        <v>4.5158565381788147E-2</v>
      </c>
    </row>
    <row r="44" spans="1:2">
      <c r="A44" s="739" t="s">
        <v>19</v>
      </c>
      <c r="B44" s="743">
        <f>(B27*B36)/((B27*B36)+(B28*B37))</f>
        <v>0.95912212653292017</v>
      </c>
    </row>
    <row r="45" spans="1:2">
      <c r="A45" s="739" t="s">
        <v>484</v>
      </c>
      <c r="B45" s="743">
        <f>(B28*B37)/((B27*B36)+(B28*B37))</f>
        <v>4.087787346707978E-2</v>
      </c>
    </row>
    <row r="49" spans="1:42" ht="15" thickBot="1">
      <c r="A49" s="714" t="s">
        <v>1003</v>
      </c>
    </row>
    <row r="50" spans="1:42">
      <c r="A50" s="749" t="s">
        <v>998</v>
      </c>
      <c r="B50" s="750">
        <v>2010</v>
      </c>
      <c r="C50" s="750">
        <v>2011</v>
      </c>
      <c r="D50" s="750">
        <v>2012</v>
      </c>
      <c r="E50" s="750">
        <v>2013</v>
      </c>
      <c r="F50" s="750">
        <v>2014</v>
      </c>
      <c r="G50" s="750">
        <v>2015</v>
      </c>
      <c r="H50" s="750">
        <v>2016</v>
      </c>
      <c r="I50" s="750">
        <v>2017</v>
      </c>
      <c r="J50" s="750">
        <v>2018</v>
      </c>
      <c r="K50" s="750">
        <v>2019</v>
      </c>
      <c r="L50" s="750">
        <v>2020</v>
      </c>
      <c r="M50" s="750">
        <v>2021</v>
      </c>
      <c r="N50" s="750">
        <v>2022</v>
      </c>
      <c r="O50" s="750">
        <v>2023</v>
      </c>
      <c r="P50" s="750">
        <v>2024</v>
      </c>
      <c r="Q50" s="750">
        <v>2025</v>
      </c>
      <c r="R50" s="750">
        <v>2026</v>
      </c>
      <c r="S50" s="750">
        <v>2027</v>
      </c>
      <c r="T50" s="750">
        <v>2028</v>
      </c>
      <c r="U50" s="750">
        <v>2029</v>
      </c>
      <c r="V50" s="750">
        <v>2030</v>
      </c>
      <c r="W50" s="750">
        <v>2031</v>
      </c>
      <c r="X50" s="750">
        <v>2032</v>
      </c>
      <c r="Y50" s="750">
        <v>2033</v>
      </c>
      <c r="Z50" s="750">
        <v>2034</v>
      </c>
      <c r="AA50" s="750">
        <v>2035</v>
      </c>
      <c r="AB50" s="750">
        <v>2036</v>
      </c>
      <c r="AC50" s="750">
        <v>2037</v>
      </c>
      <c r="AD50" s="750">
        <v>2038</v>
      </c>
      <c r="AE50" s="750">
        <v>2039</v>
      </c>
      <c r="AF50" s="750">
        <v>2040</v>
      </c>
      <c r="AG50" s="750">
        <v>2041</v>
      </c>
      <c r="AH50" s="750">
        <v>2042</v>
      </c>
      <c r="AI50" s="750">
        <v>2043</v>
      </c>
      <c r="AJ50" s="750">
        <v>2044</v>
      </c>
      <c r="AK50" s="750">
        <v>2045</v>
      </c>
      <c r="AL50" s="750">
        <v>2046</v>
      </c>
      <c r="AM50" s="750">
        <v>2047</v>
      </c>
      <c r="AN50" s="750">
        <v>2048</v>
      </c>
      <c r="AO50" s="750">
        <v>2049</v>
      </c>
      <c r="AP50" s="754">
        <v>2050</v>
      </c>
    </row>
    <row r="51" spans="1:42">
      <c r="A51" s="745" t="s">
        <v>18</v>
      </c>
      <c r="B51" s="755">
        <v>1919438353</v>
      </c>
      <c r="C51" s="755">
        <v>1770757195</v>
      </c>
      <c r="D51" s="755">
        <v>1624514247</v>
      </c>
      <c r="E51" s="755">
        <v>1517484617</v>
      </c>
      <c r="F51" s="756">
        <v>1437055035</v>
      </c>
      <c r="G51" s="756">
        <v>1362450472</v>
      </c>
      <c r="H51" s="756">
        <v>1272730975</v>
      </c>
      <c r="I51" s="756">
        <v>1146348261</v>
      </c>
      <c r="J51" s="756">
        <v>1041376950</v>
      </c>
      <c r="K51" s="756">
        <v>989982198</v>
      </c>
      <c r="L51" s="757" t="s">
        <v>17</v>
      </c>
      <c r="M51" s="757" t="s">
        <v>17</v>
      </c>
      <c r="N51" s="757" t="s">
        <v>17</v>
      </c>
      <c r="O51" s="757" t="s">
        <v>17</v>
      </c>
      <c r="P51" s="757" t="s">
        <v>17</v>
      </c>
      <c r="Q51" s="757" t="s">
        <v>17</v>
      </c>
      <c r="R51" s="757" t="s">
        <v>17</v>
      </c>
      <c r="S51" s="757" t="s">
        <v>17</v>
      </c>
      <c r="T51" s="757" t="s">
        <v>17</v>
      </c>
      <c r="U51" s="757" t="s">
        <v>17</v>
      </c>
      <c r="V51" s="757" t="s">
        <v>17</v>
      </c>
      <c r="W51" s="757" t="s">
        <v>17</v>
      </c>
      <c r="X51" s="757" t="s">
        <v>17</v>
      </c>
      <c r="Y51" s="757" t="s">
        <v>17</v>
      </c>
      <c r="Z51" s="757" t="s">
        <v>17</v>
      </c>
      <c r="AA51" s="757" t="s">
        <v>17</v>
      </c>
      <c r="AB51" s="757" t="s">
        <v>17</v>
      </c>
      <c r="AC51" s="757" t="s">
        <v>17</v>
      </c>
      <c r="AD51" s="757" t="s">
        <v>17</v>
      </c>
      <c r="AE51" s="757" t="s">
        <v>17</v>
      </c>
      <c r="AF51" s="757" t="s">
        <v>17</v>
      </c>
      <c r="AG51" s="757" t="s">
        <v>17</v>
      </c>
      <c r="AH51" s="757" t="s">
        <v>17</v>
      </c>
      <c r="AI51" s="757" t="s">
        <v>17</v>
      </c>
      <c r="AJ51" s="757" t="s">
        <v>17</v>
      </c>
      <c r="AK51" s="757" t="s">
        <v>17</v>
      </c>
      <c r="AL51" s="757" t="s">
        <v>17</v>
      </c>
      <c r="AM51" s="757" t="s">
        <v>17</v>
      </c>
      <c r="AN51" s="757" t="s">
        <v>17</v>
      </c>
      <c r="AO51" s="757" t="s">
        <v>17</v>
      </c>
      <c r="AP51" s="746" t="s">
        <v>17</v>
      </c>
    </row>
    <row r="52" spans="1:42">
      <c r="A52" s="745" t="s">
        <v>999</v>
      </c>
      <c r="B52" s="755">
        <v>32285257</v>
      </c>
      <c r="C52" s="755">
        <v>57428620</v>
      </c>
      <c r="D52" s="755">
        <v>55648948</v>
      </c>
      <c r="E52" s="755">
        <v>56388985</v>
      </c>
      <c r="F52" s="756">
        <v>52569970</v>
      </c>
      <c r="G52" s="756">
        <v>58834520</v>
      </c>
      <c r="H52" s="756">
        <v>63084385</v>
      </c>
      <c r="I52" s="756">
        <v>58476031</v>
      </c>
      <c r="J52" s="756">
        <v>53868503</v>
      </c>
      <c r="K52" s="756">
        <v>51730645</v>
      </c>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c r="AM52" s="757"/>
      <c r="AN52" s="757"/>
      <c r="AO52" s="757"/>
      <c r="AP52" s="746"/>
    </row>
    <row r="53" spans="1:42">
      <c r="A53" s="745" t="s">
        <v>19</v>
      </c>
      <c r="B53" s="755">
        <v>2487370477</v>
      </c>
      <c r="C53" s="755">
        <v>2454495889</v>
      </c>
      <c r="D53" s="755">
        <v>2441127259</v>
      </c>
      <c r="E53" s="755">
        <v>2548493422</v>
      </c>
      <c r="F53" s="756">
        <v>2706015956</v>
      </c>
      <c r="G53" s="756">
        <v>2952899074</v>
      </c>
      <c r="H53" s="756">
        <v>3187676279</v>
      </c>
      <c r="I53" s="756">
        <v>3242587996</v>
      </c>
      <c r="J53" s="756">
        <v>3392228806</v>
      </c>
      <c r="K53" s="756">
        <v>3419565001</v>
      </c>
      <c r="L53" s="757" t="s">
        <v>17</v>
      </c>
      <c r="M53" s="757" t="s">
        <v>17</v>
      </c>
      <c r="N53" s="757" t="s">
        <v>17</v>
      </c>
      <c r="O53" s="757" t="s">
        <v>17</v>
      </c>
      <c r="P53" s="757" t="s">
        <v>17</v>
      </c>
      <c r="Q53" s="757" t="s">
        <v>17</v>
      </c>
      <c r="R53" s="757" t="s">
        <v>17</v>
      </c>
      <c r="S53" s="757" t="s">
        <v>17</v>
      </c>
      <c r="T53" s="757" t="s">
        <v>17</v>
      </c>
      <c r="U53" s="757" t="s">
        <v>17</v>
      </c>
      <c r="V53" s="757" t="s">
        <v>17</v>
      </c>
      <c r="W53" s="757" t="s">
        <v>17</v>
      </c>
      <c r="X53" s="757" t="s">
        <v>17</v>
      </c>
      <c r="Y53" s="757" t="s">
        <v>17</v>
      </c>
      <c r="Z53" s="757" t="s">
        <v>17</v>
      </c>
      <c r="AA53" s="757" t="s">
        <v>17</v>
      </c>
      <c r="AB53" s="757" t="s">
        <v>17</v>
      </c>
      <c r="AC53" s="757" t="s">
        <v>17</v>
      </c>
      <c r="AD53" s="757" t="s">
        <v>17</v>
      </c>
      <c r="AE53" s="757" t="s">
        <v>17</v>
      </c>
      <c r="AF53" s="757" t="s">
        <v>17</v>
      </c>
      <c r="AG53" s="757" t="s">
        <v>17</v>
      </c>
      <c r="AH53" s="757" t="s">
        <v>17</v>
      </c>
      <c r="AI53" s="757" t="s">
        <v>17</v>
      </c>
      <c r="AJ53" s="757" t="s">
        <v>17</v>
      </c>
      <c r="AK53" s="757" t="s">
        <v>17</v>
      </c>
      <c r="AL53" s="757" t="s">
        <v>17</v>
      </c>
      <c r="AM53" s="757" t="s">
        <v>17</v>
      </c>
      <c r="AN53" s="757" t="s">
        <v>17</v>
      </c>
      <c r="AO53" s="757" t="s">
        <v>17</v>
      </c>
      <c r="AP53" s="746" t="s">
        <v>17</v>
      </c>
    </row>
    <row r="54" spans="1:42">
      <c r="A54" s="745" t="s">
        <v>1000</v>
      </c>
      <c r="B54" s="755">
        <v>64523884</v>
      </c>
      <c r="C54" s="755">
        <v>86912448</v>
      </c>
      <c r="D54" s="755">
        <v>70292126</v>
      </c>
      <c r="E54" s="755">
        <v>93969733</v>
      </c>
      <c r="F54" s="756">
        <v>114350795</v>
      </c>
      <c r="G54" s="756">
        <v>124868316</v>
      </c>
      <c r="H54" s="756">
        <v>109734839</v>
      </c>
      <c r="I54" s="756">
        <v>167296383</v>
      </c>
      <c r="J54" s="756">
        <v>162101602</v>
      </c>
      <c r="K54" s="756">
        <v>206694716</v>
      </c>
      <c r="L54" s="757" t="s">
        <v>17</v>
      </c>
      <c r="M54" s="757" t="s">
        <v>17</v>
      </c>
      <c r="N54" s="757" t="s">
        <v>17</v>
      </c>
      <c r="O54" s="757" t="s">
        <v>17</v>
      </c>
      <c r="P54" s="757" t="s">
        <v>17</v>
      </c>
      <c r="Q54" s="757" t="s">
        <v>17</v>
      </c>
      <c r="R54" s="757" t="s">
        <v>17</v>
      </c>
      <c r="S54" s="757" t="s">
        <v>17</v>
      </c>
      <c r="T54" s="757" t="s">
        <v>17</v>
      </c>
      <c r="U54" s="757" t="s">
        <v>17</v>
      </c>
      <c r="V54" s="757" t="s">
        <v>17</v>
      </c>
      <c r="W54" s="757" t="s">
        <v>17</v>
      </c>
      <c r="X54" s="757" t="s">
        <v>17</v>
      </c>
      <c r="Y54" s="757" t="s">
        <v>17</v>
      </c>
      <c r="Z54" s="757" t="s">
        <v>17</v>
      </c>
      <c r="AA54" s="757" t="s">
        <v>17</v>
      </c>
      <c r="AB54" s="757" t="s">
        <v>17</v>
      </c>
      <c r="AC54" s="757" t="s">
        <v>17</v>
      </c>
      <c r="AD54" s="757" t="s">
        <v>17</v>
      </c>
      <c r="AE54" s="757" t="s">
        <v>17</v>
      </c>
      <c r="AF54" s="757" t="s">
        <v>17</v>
      </c>
      <c r="AG54" s="757" t="s">
        <v>17</v>
      </c>
      <c r="AH54" s="757" t="s">
        <v>17</v>
      </c>
      <c r="AI54" s="757" t="s">
        <v>17</v>
      </c>
      <c r="AJ54" s="757" t="s">
        <v>17</v>
      </c>
      <c r="AK54" s="757" t="s">
        <v>17</v>
      </c>
      <c r="AL54" s="757" t="s">
        <v>17</v>
      </c>
      <c r="AM54" s="757" t="s">
        <v>17</v>
      </c>
      <c r="AN54" s="757" t="s">
        <v>17</v>
      </c>
      <c r="AO54" s="757" t="s">
        <v>17</v>
      </c>
      <c r="AP54" s="746" t="s">
        <v>17</v>
      </c>
    </row>
    <row r="55" spans="1:42">
      <c r="A55" s="745" t="s">
        <v>1001</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751">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404">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752">
        <f>AO55</f>
        <v>0.1</v>
      </c>
    </row>
    <row r="56" spans="1:42" ht="15" thickBot="1">
      <c r="A56" s="747" t="s">
        <v>1002</v>
      </c>
      <c r="B56" s="748">
        <f>(B54*$B$37)/((B53*$B$36)+(B54*$B$37))</f>
        <v>2.2613031440494664E-2</v>
      </c>
      <c r="C56" s="748">
        <f>(C54*$B$37)/((C53*$B$36)+(C54*$B$37))</f>
        <v>3.0614584580015675E-2</v>
      </c>
      <c r="D56" s="748">
        <f t="shared" ref="D56:K56" si="18">(D54*$B$37)/((D53*$B$36)+(D54*$B$37))</f>
        <v>2.5038929047601442E-2</v>
      </c>
      <c r="E56" s="748">
        <f t="shared" si="18"/>
        <v>3.1839344737629331E-2</v>
      </c>
      <c r="F56" s="748">
        <f t="shared" si="18"/>
        <v>3.6320649339008006E-2</v>
      </c>
      <c r="G56" s="748">
        <f t="shared" si="18"/>
        <v>3.6344417166647852E-2</v>
      </c>
      <c r="H56" s="748">
        <f t="shared" si="18"/>
        <v>2.9788521237398415E-2</v>
      </c>
      <c r="I56" s="748">
        <f t="shared" si="18"/>
        <v>4.3991498039437318E-2</v>
      </c>
      <c r="J56" s="748">
        <f t="shared" si="18"/>
        <v>4.087787346707978E-2</v>
      </c>
      <c r="K56" s="748">
        <f t="shared" si="18"/>
        <v>5.1152531327863002E-2</v>
      </c>
      <c r="L56" s="748">
        <f>K56</f>
        <v>5.1152531327863002E-2</v>
      </c>
      <c r="M56" s="748">
        <f>L56+(($V$56-$L$56)/10)</f>
        <v>5.6037278195076701E-2</v>
      </c>
      <c r="N56" s="748">
        <f t="shared" ref="N56:U56" si="19">M56+(($V$56-$L$56)/10)</f>
        <v>6.09220250622904E-2</v>
      </c>
      <c r="O56" s="748">
        <f t="shared" si="19"/>
        <v>6.5806771929504099E-2</v>
      </c>
      <c r="P56" s="748">
        <f t="shared" si="19"/>
        <v>7.0691518796717798E-2</v>
      </c>
      <c r="Q56" s="748">
        <f t="shared" si="19"/>
        <v>7.5576265663931497E-2</v>
      </c>
      <c r="R56" s="748">
        <f t="shared" si="19"/>
        <v>8.0461012531145196E-2</v>
      </c>
      <c r="S56" s="748">
        <f t="shared" si="19"/>
        <v>8.5345759398358895E-2</v>
      </c>
      <c r="T56" s="748">
        <f t="shared" si="19"/>
        <v>9.0230506265572594E-2</v>
      </c>
      <c r="U56" s="748">
        <f t="shared" si="19"/>
        <v>9.5115253132786293E-2</v>
      </c>
      <c r="V56" s="758">
        <v>0.1</v>
      </c>
      <c r="W56" s="748">
        <f t="shared" ref="W56:AP56" si="20">V56</f>
        <v>0.1</v>
      </c>
      <c r="X56" s="748">
        <f t="shared" si="20"/>
        <v>0.1</v>
      </c>
      <c r="Y56" s="748">
        <f t="shared" si="20"/>
        <v>0.1</v>
      </c>
      <c r="Z56" s="748">
        <f t="shared" si="20"/>
        <v>0.1</v>
      </c>
      <c r="AA56" s="748">
        <f t="shared" si="20"/>
        <v>0.1</v>
      </c>
      <c r="AB56" s="748">
        <f t="shared" si="20"/>
        <v>0.1</v>
      </c>
      <c r="AC56" s="748">
        <f t="shared" si="20"/>
        <v>0.1</v>
      </c>
      <c r="AD56" s="748">
        <f t="shared" si="20"/>
        <v>0.1</v>
      </c>
      <c r="AE56" s="748">
        <f t="shared" si="20"/>
        <v>0.1</v>
      </c>
      <c r="AF56" s="748">
        <f t="shared" si="20"/>
        <v>0.1</v>
      </c>
      <c r="AG56" s="748">
        <f t="shared" si="20"/>
        <v>0.1</v>
      </c>
      <c r="AH56" s="748">
        <f t="shared" si="20"/>
        <v>0.1</v>
      </c>
      <c r="AI56" s="748">
        <f t="shared" si="20"/>
        <v>0.1</v>
      </c>
      <c r="AJ56" s="748">
        <f t="shared" si="20"/>
        <v>0.1</v>
      </c>
      <c r="AK56" s="748">
        <f t="shared" si="20"/>
        <v>0.1</v>
      </c>
      <c r="AL56" s="748">
        <f t="shared" si="20"/>
        <v>0.1</v>
      </c>
      <c r="AM56" s="748">
        <f t="shared" si="20"/>
        <v>0.1</v>
      </c>
      <c r="AN56" s="748">
        <f t="shared" si="20"/>
        <v>0.1</v>
      </c>
      <c r="AO56" s="748">
        <f t="shared" si="20"/>
        <v>0.1</v>
      </c>
      <c r="AP56" s="753">
        <f t="shared" si="20"/>
        <v>0.1</v>
      </c>
    </row>
    <row r="57" spans="1:42">
      <c r="A57" s="741" t="s">
        <v>485</v>
      </c>
    </row>
    <row r="58" spans="1:42">
      <c r="K58"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BH57" zoomScale="55" zoomScaleNormal="55" workbookViewId="0">
      <selection activeCell="BK92" sqref="BK92:BL97"/>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848</v>
      </c>
      <c r="B6" s="628" t="str">
        <f>Commodities!K8</f>
        <v>T-WLK_WLK</v>
      </c>
      <c r="C6" s="628" t="str">
        <f>Commodities!L8</f>
        <v>TRA Walking</v>
      </c>
      <c r="D6" s="634" t="s">
        <v>867</v>
      </c>
      <c r="E6" s="634" t="s">
        <v>868</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867</v>
      </c>
      <c r="E7" s="634" t="s">
        <v>868</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867</v>
      </c>
      <c r="E9" s="634" t="s">
        <v>868</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867</v>
      </c>
      <c r="E11" s="634" t="s">
        <v>868</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867</v>
      </c>
      <c r="E12" s="634" t="s">
        <v>868</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867</v>
      </c>
      <c r="E13" s="634" t="s">
        <v>868</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867</v>
      </c>
      <c r="E14" s="634" t="s">
        <v>868</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867</v>
      </c>
      <c r="E15" s="634" t="s">
        <v>868</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867</v>
      </c>
      <c r="E16" s="634" t="s">
        <v>868</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867</v>
      </c>
      <c r="E17" s="634" t="s">
        <v>868</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867</v>
      </c>
      <c r="E18" s="634" t="s">
        <v>868</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867</v>
      </c>
      <c r="E19" s="634" t="s">
        <v>868</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867</v>
      </c>
      <c r="E21" s="634" t="s">
        <v>868</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867</v>
      </c>
      <c r="E22" s="634" t="s">
        <v>868</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867</v>
      </c>
      <c r="E23" s="634" t="s">
        <v>868</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867</v>
      </c>
      <c r="E25" s="634" t="s">
        <v>868</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T-LPT-BEV_ELC00</v>
      </c>
      <c r="C27" s="628" t="str">
        <f>Commodities!L29</f>
        <v>TRA Light Passenger Train: Electric - Existing</v>
      </c>
      <c r="D27" s="634" t="s">
        <v>867</v>
      </c>
      <c r="E27" s="634" t="s">
        <v>868</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T-HPT-BEV_ELC00</v>
      </c>
      <c r="C28" s="628" t="str">
        <f>Commodities!L30</f>
        <v>TRA Heavy Passenger Train: Electric - Existing</v>
      </c>
      <c r="D28" s="634" t="s">
        <v>867</v>
      </c>
      <c r="E28" s="634" t="s">
        <v>868</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867</v>
      </c>
      <c r="E29" s="634" t="s">
        <v>868</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854</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980</v>
      </c>
      <c r="E32" s="634" t="s">
        <v>868</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980</v>
      </c>
      <c r="E33" s="634" t="s">
        <v>868</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980</v>
      </c>
      <c r="E34" s="634" t="s">
        <v>868</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980</v>
      </c>
      <c r="E35" s="634" t="s">
        <v>868</v>
      </c>
      <c r="F35" s="628"/>
      <c r="G35" s="634"/>
      <c r="H35" s="628"/>
      <c r="I35" s="127"/>
      <c r="J35" s="127"/>
      <c r="K35" s="127"/>
    </row>
    <row r="36" spans="1:91" s="459" customFormat="1">
      <c r="A36" s="628"/>
      <c r="B36" s="628" t="str">
        <f>Commodities!K38</f>
        <v>T-GTR-ICE_DST00</v>
      </c>
      <c r="C36" s="628" t="str">
        <f>Commodities!L38</f>
        <v>TRA Goods Train: ICE Diesel Train - Existing</v>
      </c>
      <c r="D36" s="634" t="s">
        <v>980</v>
      </c>
      <c r="E36" s="634" t="s">
        <v>868</v>
      </c>
      <c r="F36" s="628"/>
      <c r="G36" s="634"/>
      <c r="H36" s="628"/>
      <c r="I36" s="127"/>
      <c r="J36" s="127"/>
      <c r="K36" s="127"/>
    </row>
    <row r="37" spans="1:91" s="459" customFormat="1">
      <c r="A37" s="631" t="s">
        <v>748</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870</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870</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870</v>
      </c>
      <c r="F40" s="628"/>
      <c r="G40" s="634"/>
      <c r="H40" s="628"/>
      <c r="I40" s="127"/>
      <c r="J40" s="127"/>
      <c r="K40" s="127"/>
    </row>
    <row r="41" spans="1:91" s="459" customFormat="1">
      <c r="A41" s="631" t="s">
        <v>750</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870</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870</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1101</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982</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1089</v>
      </c>
      <c r="BK49" s="714" t="s">
        <v>1098</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1100</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3"/>
      <c r="AI51" s="773"/>
      <c r="AJ51" s="773"/>
      <c r="AK51" s="773"/>
      <c r="AL51" s="773"/>
      <c r="AM51" s="773"/>
      <c r="AN51" s="773"/>
      <c r="AO51" s="773"/>
      <c r="AP51" s="773"/>
      <c r="AQ51" s="773"/>
      <c r="AR51" s="773"/>
      <c r="AS51" s="773"/>
      <c r="AT51" s="773"/>
      <c r="AU51" s="773"/>
      <c r="AV51" s="773"/>
      <c r="AW51" s="773"/>
      <c r="AX51" s="773"/>
      <c r="AY51" s="773"/>
      <c r="AZ51" s="773"/>
      <c r="BA51" s="773"/>
      <c r="BB51" s="773"/>
      <c r="BC51" s="773"/>
      <c r="BD51" s="773"/>
      <c r="BE51" s="773"/>
      <c r="BF51" s="773"/>
      <c r="BG51" s="773"/>
      <c r="BH51" s="773"/>
      <c r="BK51" s="455" t="s">
        <v>1099</v>
      </c>
      <c r="BL51" s="773"/>
      <c r="BM51" s="773"/>
      <c r="BN51" s="773"/>
      <c r="BO51" s="773"/>
      <c r="BP51" s="773"/>
      <c r="BQ51" s="773"/>
      <c r="BR51" s="773"/>
      <c r="BS51" s="773"/>
      <c r="BT51" s="773"/>
      <c r="BU51" s="773"/>
      <c r="BV51" s="773"/>
      <c r="BW51" s="773"/>
      <c r="BX51" s="773"/>
      <c r="BY51" s="773"/>
      <c r="BZ51" s="773"/>
      <c r="CA51" s="773"/>
      <c r="CB51" s="773"/>
      <c r="CC51" s="773"/>
      <c r="CD51" s="773"/>
      <c r="CE51" s="773"/>
      <c r="CF51" s="773"/>
      <c r="CG51" s="773"/>
      <c r="CH51" s="773"/>
      <c r="CI51" s="773"/>
      <c r="CJ51" s="773"/>
      <c r="CK51" s="773"/>
      <c r="CL51" s="773"/>
      <c r="CM51" s="714"/>
    </row>
    <row r="52" spans="1:91" s="459" customFormat="1">
      <c r="A52" s="448" t="str">
        <f>Commodities!K11</f>
        <v>T-MOT-ICE_GSL00</v>
      </c>
      <c r="B52" s="28" t="s">
        <v>868</v>
      </c>
      <c r="C52" s="459" t="str">
        <f>Commodities!B19</f>
        <v>TRAGSE</v>
      </c>
      <c r="D52" s="448" t="str">
        <f>Commodities!B24&amp;","&amp;Commodities!B25</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7.9580551500000023E-4</v>
      </c>
      <c r="BM52" s="656">
        <f>F74*AF!E23*ACT2FLO!E70/1000</f>
        <v>8.8792850000000005E-6</v>
      </c>
      <c r="BN52" s="656">
        <f>G74*AF!F23*ACT2FLO!F70/1000</f>
        <v>2.6747075000000005E-4</v>
      </c>
      <c r="BO52" s="656">
        <f>H74*AF!G23*ACT2FLO!G70/1000</f>
        <v>4.5203578000000002E-5</v>
      </c>
      <c r="BP52" s="656">
        <f>I74*AF!H23*ACT2FLO!H70/1000</f>
        <v>1.2900645000000001E-5</v>
      </c>
      <c r="BQ52" s="656">
        <f>J74*AF!I23*ACT2FLO!I70/1000</f>
        <v>1.86392745E-5</v>
      </c>
      <c r="BR52" s="656">
        <f>K74*AF!J23*ACT2FLO!J70/1000</f>
        <v>7.00212E-6</v>
      </c>
      <c r="BS52" s="656">
        <f>L74*AF!K23*ACT2FLO!K70/1000</f>
        <v>1.3527584999999996E-5</v>
      </c>
      <c r="BT52" s="656">
        <f>M74*AF!L23*ACT2FLO!L70/1000</f>
        <v>1.9826719499999998E-5</v>
      </c>
      <c r="BU52" s="656">
        <f>N74*AF!M23*ACT2FLO!M70/1000</f>
        <v>8.6595549999999995E-6</v>
      </c>
      <c r="BV52" s="656">
        <f>O74*AF!N23*ACT2FLO!N70/1000</f>
        <v>1.2437620999999998E-5</v>
      </c>
      <c r="BW52" s="656">
        <f>P74*AF!O23*ACT2FLO!O70/1000</f>
        <v>2.4790961999999996E-5</v>
      </c>
      <c r="BX52" s="656">
        <f>Q74*AF!P23*ACT2FLO!P70/1000</f>
        <v>3.9364177999999991E-5</v>
      </c>
      <c r="BY52" s="656">
        <f>R74*AF!Q23*ACT2FLO!Q70/1000</f>
        <v>1.3978439999999998E-5</v>
      </c>
      <c r="BZ52" s="656">
        <f>S74*AF!R23*ACT2FLO!R70/1000</f>
        <v>1.1095038449999999E-4</v>
      </c>
      <c r="CA52" s="656">
        <f>T74*AF!S23*ACT2FLO!S70/1000</f>
        <v>1.8081220499999998E-5</v>
      </c>
      <c r="CB52" s="656">
        <f>U74*AF!T23*ACT2FLO!T70/1000</f>
        <v>1.2736513999999999E-5</v>
      </c>
      <c r="CC52" s="656">
        <f>V74*AF!U23*ACT2FLO!U70/1000</f>
        <v>2.3156725499999994E-5</v>
      </c>
      <c r="CD52" s="656">
        <f>W74*AF!V23*ACT2FLO!V70/1000</f>
        <v>2.4261674999999997E-5</v>
      </c>
      <c r="CE52" s="656">
        <f>X74*AF!W23*ACT2FLO!W70/1000</f>
        <v>3.8513551999999999E-5</v>
      </c>
      <c r="CF52" s="656">
        <f>Y74*AF!X23*ACT2FLO!X70/1000</f>
        <v>1.762183E-6</v>
      </c>
      <c r="CG52" s="656">
        <f>Z74*AF!Y23*ACT2FLO!Y70/1000</f>
        <v>1.6610018499999996E-5</v>
      </c>
      <c r="CH52" s="656">
        <f>AA74*AF!Z23*ACT2FLO!Z70/1000</f>
        <v>1.2470730999999997E-5</v>
      </c>
      <c r="CI52" s="656">
        <f>AB74*AF!AA23*ACT2FLO!AA70/1000</f>
        <v>7.6587299999999988E-6</v>
      </c>
      <c r="CJ52" s="656">
        <f>AC74*AF!AB23*ACT2FLO!AB70/1000</f>
        <v>6.3089600000000007E-6</v>
      </c>
      <c r="CK52" s="656">
        <f>AD74*AF!AC23*ACT2FLO!AC70/1000</f>
        <v>2.4140673E-5</v>
      </c>
      <c r="CL52" s="656">
        <f>AE74*AF!AD23*ACT2FLO!AD70/1000</f>
        <v>1.0767887999999998E-5</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4"/>
      <c r="AI53" s="773"/>
      <c r="AJ53" s="773"/>
      <c r="AK53" s="773"/>
      <c r="AL53" s="773"/>
      <c r="AM53" s="773"/>
      <c r="AN53" s="773"/>
      <c r="AO53" s="773"/>
      <c r="AP53" s="773"/>
      <c r="AQ53" s="773"/>
      <c r="AR53" s="773"/>
      <c r="AS53" s="773"/>
      <c r="AT53" s="773"/>
      <c r="AU53" s="773"/>
      <c r="AV53" s="773"/>
      <c r="AW53" s="773"/>
      <c r="AX53" s="773"/>
      <c r="AY53" s="773"/>
      <c r="AZ53" s="773"/>
      <c r="BA53" s="773"/>
      <c r="BB53" s="773"/>
      <c r="BC53" s="773"/>
      <c r="BD53" s="773"/>
      <c r="BE53" s="773"/>
      <c r="BF53" s="773"/>
      <c r="BG53" s="773"/>
      <c r="BH53" s="773"/>
      <c r="BK53" s="714" t="str">
        <f>A77</f>
        <v>T-HGT-ICE_DST00</v>
      </c>
      <c r="BL53" s="656">
        <f>E77*AF!D26*ACT2FLO!D73/1000</f>
        <v>10.105240679424002</v>
      </c>
      <c r="BM53" s="656">
        <f>F77*AF!E26*ACT2FLO!E73/1000</f>
        <v>0.1747803564</v>
      </c>
      <c r="BN53" s="656">
        <f>G77*AF!F26*ACT2FLO!F73/1000</f>
        <v>1.7660122571519998</v>
      </c>
      <c r="BO53" s="656">
        <f>H77*AF!G26*ACT2FLO!G73/1000</f>
        <v>0.55782974707200006</v>
      </c>
      <c r="BP53" s="656">
        <f>I77*AF!H26*ACT2FLO!H73/1000</f>
        <v>0.38957271604799998</v>
      </c>
      <c r="BQ53" s="656">
        <f>J77*AF!I26*ACT2FLO!I73/1000</f>
        <v>0.21890465687999996</v>
      </c>
      <c r="BR53" s="656">
        <f>K77*AF!J26*ACT2FLO!J73/1000</f>
        <v>0.12980281766400001</v>
      </c>
      <c r="BS53" s="656">
        <f>L77*AF!K26*ACT2FLO!K73/1000</f>
        <v>0.29275740295199992</v>
      </c>
      <c r="BT53" s="656">
        <f>M77*AF!L26*ACT2FLO!L73/1000</f>
        <v>0.65733745881599992</v>
      </c>
      <c r="BU53" s="656">
        <f>N77*AF!M26*ACT2FLO!M73/1000</f>
        <v>0.14571047575199997</v>
      </c>
      <c r="BV53" s="656">
        <f>O77*AF!N26*ACT2FLO!N73/1000</f>
        <v>0.14000757177599998</v>
      </c>
      <c r="BW53" s="656">
        <f>P77*AF!O26*ACT2FLO!O73/1000</f>
        <v>0.72348148919999999</v>
      </c>
      <c r="BX53" s="656">
        <f>Q77*AF!P26*ACT2FLO!P73/1000</f>
        <v>0.17663607878399998</v>
      </c>
      <c r="BY53" s="656">
        <f>R77*AF!Q26*ACT2FLO!Q73/1000</f>
        <v>0.17715128371199998</v>
      </c>
      <c r="BZ53" s="656">
        <f>S77*AF!R26*ACT2FLO!R73/1000</f>
        <v>1.2023005596480001</v>
      </c>
      <c r="CA53" s="656">
        <f>T77*AF!S26*ACT2FLO!S73/1000</f>
        <v>0.22700679436799998</v>
      </c>
      <c r="CB53" s="656">
        <f>U77*AF!T26*ACT2FLO!T73/1000</f>
        <v>0.46909359645599991</v>
      </c>
      <c r="CC53" s="656">
        <f>V77*AF!U26*ACT2FLO!U73/1000</f>
        <v>0.43790974919999998</v>
      </c>
      <c r="CD53" s="656">
        <f>W77*AF!V26*ACT2FLO!V73/1000</f>
        <v>0.164397669744</v>
      </c>
      <c r="CE53" s="656">
        <f>X77*AF!W26*ACT2FLO!W73/1000</f>
        <v>0.40004812785599997</v>
      </c>
      <c r="CF53" s="656">
        <f>Y77*AF!X26*ACT2FLO!X73/1000</f>
        <v>6.500295360000001E-2</v>
      </c>
      <c r="CG53" s="656">
        <f>Z77*AF!Y26*ACT2FLO!Y73/1000</f>
        <v>0.19419185447999995</v>
      </c>
      <c r="CH53" s="656">
        <f>AA77*AF!Z26*ACT2FLO!Z73/1000</f>
        <v>0.14537068675200002</v>
      </c>
      <c r="CI53" s="656">
        <f>AB77*AF!AA26*ACT2FLO!AA73/1000</f>
        <v>9.9499937279999992E-2</v>
      </c>
      <c r="CJ53" s="656">
        <f>AC77*AF!AB26*ACT2FLO!AB73/1000</f>
        <v>0.27589940831999998</v>
      </c>
      <c r="CK53" s="656">
        <f>AD77*AF!AC26*ACT2FLO!AC73/1000</f>
        <v>0.312390432</v>
      </c>
      <c r="CL53" s="656">
        <f>AE77*AF!AD26*ACT2FLO!AD73/1000</f>
        <v>0.54207259545599995</v>
      </c>
      <c r="CM53" s="714"/>
    </row>
    <row r="54" spans="1:91">
      <c r="A54" s="448" t="str">
        <f>Commodities!K13</f>
        <v>T-CAR-ICE_GSL00</v>
      </c>
      <c r="B54" s="28" t="s">
        <v>868</v>
      </c>
      <c r="C54" s="714" t="str">
        <f>Commodities!B19</f>
        <v>TRAGSE</v>
      </c>
      <c r="D54" s="448" t="str">
        <f>Commodities!B24&amp;","&amp;Commodities!B25&amp;","&amp;Commodities!B26</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6">
        <f>E78*AF!D27*ACT2FLO!D74/1000</f>
        <v>9.0838999999999989E-2</v>
      </c>
      <c r="BM54" s="776">
        <f>F78*AF!E27*ACT2FLO!E74/1000</f>
        <v>0</v>
      </c>
      <c r="BN54" s="776">
        <f>G78*AF!F27*ACT2FLO!F74/1000</f>
        <v>9.0838999999999989E-2</v>
      </c>
      <c r="BO54" s="776">
        <f>H78*AF!G27*ACT2FLO!G74/1000</f>
        <v>0</v>
      </c>
      <c r="BP54" s="776">
        <f>I78*AF!H27*ACT2FLO!H74/1000</f>
        <v>0</v>
      </c>
      <c r="BQ54" s="776">
        <f>J78*AF!I27*ACT2FLO!I74/1000</f>
        <v>0</v>
      </c>
      <c r="BR54" s="776">
        <f>K78*AF!J27*ACT2FLO!J74/1000</f>
        <v>0</v>
      </c>
      <c r="BS54" s="776">
        <f>L78*AF!K27*ACT2FLO!K74/1000</f>
        <v>0</v>
      </c>
      <c r="BT54" s="776">
        <f>M78*AF!L27*ACT2FLO!L74/1000</f>
        <v>9.0838999999999989E-2</v>
      </c>
      <c r="BU54" s="776">
        <f>N78*AF!M27*ACT2FLO!M74/1000</f>
        <v>0</v>
      </c>
      <c r="BV54" s="776">
        <f>O78*AF!N27*ACT2FLO!N74/1000</f>
        <v>0</v>
      </c>
      <c r="BW54" s="776">
        <f>P78*AF!O27*ACT2FLO!O74/1000</f>
        <v>0</v>
      </c>
      <c r="BX54" s="776">
        <f>Q78*AF!P27*ACT2FLO!P74/1000</f>
        <v>0</v>
      </c>
      <c r="BY54" s="776">
        <f>R78*AF!Q27*ACT2FLO!Q74/1000</f>
        <v>0</v>
      </c>
      <c r="BZ54" s="776">
        <f>S78*AF!R27*ACT2FLO!R74/1000</f>
        <v>0</v>
      </c>
      <c r="CA54" s="776">
        <f>T78*AF!S27*ACT2FLO!S74/1000</f>
        <v>0</v>
      </c>
      <c r="CB54" s="776">
        <f>U78*AF!T27*ACT2FLO!T74/1000</f>
        <v>0</v>
      </c>
      <c r="CC54" s="776">
        <f>V78*AF!U27*ACT2FLO!U74/1000</f>
        <v>0</v>
      </c>
      <c r="CD54" s="776">
        <f>W78*AF!V27*ACT2FLO!V74/1000</f>
        <v>9.0838999999999989E-2</v>
      </c>
      <c r="CE54" s="776">
        <f>X78*AF!W27*ACT2FLO!W74/1000</f>
        <v>0</v>
      </c>
      <c r="CF54" s="776">
        <f>Y78*AF!X27*ACT2FLO!X74/1000</f>
        <v>0</v>
      </c>
      <c r="CG54" s="776">
        <f>Z78*AF!Y27*ACT2FLO!Y74/1000</f>
        <v>9.0838999999999989E-2</v>
      </c>
      <c r="CH54" s="776">
        <f>AA78*AF!Z27*ACT2FLO!Z74/1000</f>
        <v>0</v>
      </c>
      <c r="CI54" s="776">
        <f>AB78*AF!AA27*ACT2FLO!AA74/1000</f>
        <v>0</v>
      </c>
      <c r="CJ54" s="776">
        <f>AC78*AF!AB27*ACT2FLO!AB74/1000</f>
        <v>0</v>
      </c>
      <c r="CK54" s="776">
        <f>AD78*AF!AC27*ACT2FLO!AC74/1000</f>
        <v>0</v>
      </c>
      <c r="CL54" s="776">
        <f>AE78*AF!AD27*ACT2FLO!AD74/1000</f>
        <v>0</v>
      </c>
      <c r="CM54" s="714"/>
    </row>
    <row r="55" spans="1:91">
      <c r="A55" s="448" t="str">
        <f>Commodities!K14</f>
        <v>T-CAR-ICE_DST00</v>
      </c>
      <c r="B55" s="28" t="s">
        <v>868</v>
      </c>
      <c r="C55" s="459" t="str">
        <f>Commodities!B20</f>
        <v>TRADSB</v>
      </c>
      <c r="D55" s="459" t="str">
        <f>Commodities!B24&amp;","&amp;Commodities!B25&amp;","&amp;Commodities!B26</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868</v>
      </c>
      <c r="C56" s="459" t="str">
        <f>Commodities!B8&amp;","&amp;Commodities!B13</f>
        <v>TRAGSL,TRACNG</v>
      </c>
      <c r="D56" s="459" t="str">
        <f>Commodities!B24&amp;","&amp;Commodities!B25&amp;","&amp;Commodities!B26</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868</v>
      </c>
      <c r="C57" s="448" t="str">
        <f>Commodities!B22</f>
        <v>TRAE85</v>
      </c>
      <c r="D57" s="459" t="str">
        <f>Commodities!B24&amp;","&amp;Commodities!B25&amp;","&amp;Commodities!B26</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1102</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868</v>
      </c>
      <c r="C58" s="714" t="str">
        <f>Commodities!B19</f>
        <v>TRAGSE</v>
      </c>
      <c r="D58" s="459" t="str">
        <f>Commodities!B24&amp;","&amp;Commodities!B25&amp;","&amp;Commodities!B26</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868</v>
      </c>
      <c r="C59" s="714" t="str">
        <f>Commodities!B20</f>
        <v>TRADSB</v>
      </c>
      <c r="D59" s="459" t="str">
        <f>Commodities!B24&amp;","&amp;Commodities!B25&amp;","&amp;Commodities!B26</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868</v>
      </c>
      <c r="C60" s="448" t="str">
        <f>Commodities!B8&amp;","&amp;Commodities!B15</f>
        <v>TRAGSL,TRAELC</v>
      </c>
      <c r="D60" s="459" t="str">
        <f>Commodities!B24&amp;","&amp;Commodities!B25&amp;","&amp;Commodities!B26</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868</v>
      </c>
      <c r="C61" s="448" t="str">
        <f>Commodities!B9&amp;","&amp;Commodities!B15</f>
        <v>TRADST,TRAELC</v>
      </c>
      <c r="D61" s="459" t="str">
        <f>Commodities!B24&amp;","&amp;Commodities!B25&amp;","&amp;Commodities!B26</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868</v>
      </c>
      <c r="C62" s="448" t="str">
        <f>Commodities!B15</f>
        <v>TRAELC</v>
      </c>
      <c r="D62" s="459" t="str">
        <f>Commodities!B24&amp;","&amp;Commodities!B25&amp;","&amp;Commodities!B26</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6"/>
      <c r="BM62" s="776"/>
      <c r="BN62" s="776"/>
      <c r="BO62" s="776"/>
      <c r="BP62" s="776"/>
      <c r="BQ62" s="776"/>
      <c r="BR62" s="776"/>
      <c r="BS62" s="776"/>
      <c r="BT62" s="776"/>
      <c r="BU62" s="776"/>
      <c r="BV62" s="776"/>
      <c r="BW62" s="776"/>
      <c r="BX62" s="776"/>
      <c r="BY62" s="776"/>
      <c r="BZ62" s="776"/>
      <c r="CA62" s="776"/>
      <c r="CB62" s="776"/>
      <c r="CC62" s="776"/>
      <c r="CD62" s="776"/>
      <c r="CE62" s="776"/>
      <c r="CF62" s="776"/>
      <c r="CG62" s="776"/>
      <c r="CH62" s="776"/>
      <c r="CI62" s="776"/>
      <c r="CJ62" s="776"/>
      <c r="CK62" s="776"/>
      <c r="CL62" s="776"/>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3"/>
      <c r="AI63" s="773"/>
      <c r="AJ63" s="773"/>
      <c r="AK63" s="773"/>
      <c r="AL63" s="773"/>
      <c r="AM63" s="773"/>
      <c r="AN63" s="773"/>
      <c r="AO63" s="773"/>
      <c r="AP63" s="773"/>
      <c r="AQ63" s="773"/>
      <c r="AR63" s="773"/>
      <c r="AS63" s="773"/>
      <c r="AT63" s="773"/>
      <c r="AU63" s="773"/>
      <c r="AV63" s="773"/>
      <c r="AW63" s="773"/>
      <c r="AX63" s="773"/>
      <c r="AY63" s="773"/>
      <c r="AZ63" s="773"/>
      <c r="BA63" s="773"/>
      <c r="BB63" s="773"/>
      <c r="BC63" s="773"/>
      <c r="BD63" s="773"/>
      <c r="BE63" s="773"/>
      <c r="BF63" s="773"/>
      <c r="BG63" s="773"/>
      <c r="BH63" s="773"/>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868</v>
      </c>
      <c r="C64" s="714" t="str">
        <f>Commodities!B19</f>
        <v>TRAGSE</v>
      </c>
      <c r="D64" s="459" t="str">
        <f>Commodities!B24&amp;","&amp;Commodities!B25&amp;","&amp;Commodities!B26</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868</v>
      </c>
      <c r="C65" s="714" t="str">
        <f>Commodities!B20</f>
        <v>TRADSB</v>
      </c>
      <c r="D65" s="459" t="str">
        <f>Commodities!B24&amp;","&amp;Commodities!B25&amp;","&amp;Commodities!B26</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1093</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868</v>
      </c>
      <c r="C66" s="714" t="str">
        <f>Commodities!B19</f>
        <v>TRAGSE</v>
      </c>
      <c r="D66" s="459" t="str">
        <f>Commodities!B24&amp;","&amp;Commodities!B25&amp;","&amp;Commodities!B26</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8" t="str">
        <f t="shared" ref="BL66:CL66" si="36">BL58</f>
        <v>IE</v>
      </c>
      <c r="BM66" s="788" t="str">
        <f t="shared" si="36"/>
        <v>IE-CW</v>
      </c>
      <c r="BN66" s="788" t="str">
        <f t="shared" si="36"/>
        <v>IE-D</v>
      </c>
      <c r="BO66" s="788" t="str">
        <f t="shared" si="36"/>
        <v>IE-KE</v>
      </c>
      <c r="BP66" s="788" t="str">
        <f t="shared" si="36"/>
        <v>IE-KK</v>
      </c>
      <c r="BQ66" s="788" t="str">
        <f t="shared" si="36"/>
        <v>IE-LS</v>
      </c>
      <c r="BR66" s="788" t="str">
        <f t="shared" si="36"/>
        <v>IE-LD</v>
      </c>
      <c r="BS66" s="788" t="str">
        <f t="shared" si="36"/>
        <v>IE-LH</v>
      </c>
      <c r="BT66" s="788" t="str">
        <f t="shared" si="36"/>
        <v>IE-MH</v>
      </c>
      <c r="BU66" s="788" t="str">
        <f t="shared" si="36"/>
        <v>IE-OY</v>
      </c>
      <c r="BV66" s="788" t="str">
        <f t="shared" si="36"/>
        <v>IE-WH</v>
      </c>
      <c r="BW66" s="788" t="str">
        <f t="shared" si="36"/>
        <v>IE-WX</v>
      </c>
      <c r="BX66" s="788" t="str">
        <f t="shared" si="36"/>
        <v>IE-WW</v>
      </c>
      <c r="BY66" s="788" t="str">
        <f t="shared" si="36"/>
        <v>IE-CE</v>
      </c>
      <c r="BZ66" s="788" t="str">
        <f t="shared" si="36"/>
        <v>IE-CO</v>
      </c>
      <c r="CA66" s="788" t="str">
        <f t="shared" si="36"/>
        <v>IE-KY</v>
      </c>
      <c r="CB66" s="788" t="str">
        <f t="shared" si="36"/>
        <v>IE-LK</v>
      </c>
      <c r="CC66" s="788" t="str">
        <f t="shared" si="36"/>
        <v>IE-TA</v>
      </c>
      <c r="CD66" s="788" t="str">
        <f t="shared" si="36"/>
        <v>IE-WD</v>
      </c>
      <c r="CE66" s="788" t="str">
        <f t="shared" si="36"/>
        <v>IE-G</v>
      </c>
      <c r="CF66" s="788" t="str">
        <f t="shared" si="36"/>
        <v>IE-LM</v>
      </c>
      <c r="CG66" s="788" t="str">
        <f t="shared" si="36"/>
        <v>IE-MO</v>
      </c>
      <c r="CH66" s="788" t="str">
        <f t="shared" si="36"/>
        <v>IE-RN</v>
      </c>
      <c r="CI66" s="788" t="str">
        <f t="shared" si="36"/>
        <v>IE-SO</v>
      </c>
      <c r="CJ66" s="788" t="str">
        <f t="shared" si="36"/>
        <v>IE-CN</v>
      </c>
      <c r="CK66" s="788" t="str">
        <f t="shared" si="36"/>
        <v>IE-DL</v>
      </c>
      <c r="CL66" s="788"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3"/>
      <c r="AI67" s="773"/>
      <c r="AJ67" s="773"/>
      <c r="AK67" s="773"/>
      <c r="AL67" s="773"/>
      <c r="AM67" s="773"/>
      <c r="AN67" s="773"/>
      <c r="AO67" s="773"/>
      <c r="AP67" s="773"/>
      <c r="AQ67" s="773"/>
      <c r="AR67" s="773"/>
      <c r="AS67" s="773"/>
      <c r="AT67" s="773"/>
      <c r="AU67" s="773"/>
      <c r="AV67" s="773"/>
      <c r="AW67" s="773"/>
      <c r="AX67" s="773"/>
      <c r="AY67" s="773"/>
      <c r="AZ67" s="773"/>
      <c r="BA67" s="773"/>
      <c r="BB67" s="773"/>
      <c r="BC67" s="773"/>
      <c r="BD67" s="773"/>
      <c r="BE67" s="773"/>
      <c r="BF67" s="773"/>
      <c r="BG67" s="773"/>
      <c r="BH67" s="773"/>
      <c r="BK67" s="784" t="s">
        <v>1104</v>
      </c>
      <c r="BL67" s="789">
        <f>BL52+BL53-BL75</f>
        <v>-1.5195145150609974</v>
      </c>
      <c r="BM67" s="789">
        <f t="shared" ref="BM67:CL67" si="37">BM52+BM53-BM75</f>
        <v>-3.1517603070495281E-3</v>
      </c>
      <c r="BN67" s="789">
        <f t="shared" si="37"/>
        <v>-0.89141106513013479</v>
      </c>
      <c r="BO67" s="789">
        <f t="shared" si="37"/>
        <v>7.5590908462153772E-2</v>
      </c>
      <c r="BP67" s="789">
        <f t="shared" si="37"/>
        <v>7.9435948417108326E-2</v>
      </c>
      <c r="BQ67" s="789">
        <f t="shared" si="37"/>
        <v>-1.9813840353940793E-3</v>
      </c>
      <c r="BR67" s="789">
        <f t="shared" si="37"/>
        <v>2.3205843333812412E-2</v>
      </c>
      <c r="BS67" s="789">
        <f t="shared" si="37"/>
        <v>1.3411024677606964E-2</v>
      </c>
      <c r="BT67" s="789">
        <f t="shared" si="37"/>
        <v>0.22510600347225351</v>
      </c>
      <c r="BU67" s="789">
        <f t="shared" si="37"/>
        <v>-5.7616871544297288E-2</v>
      </c>
      <c r="BV67" s="789">
        <f t="shared" si="37"/>
        <v>-9.1507771521531861E-2</v>
      </c>
      <c r="BW67" s="789">
        <f t="shared" si="37"/>
        <v>0.25555009028773518</v>
      </c>
      <c r="BX67" s="789">
        <f t="shared" si="37"/>
        <v>-0.13203498340608325</v>
      </c>
      <c r="BY67" s="789">
        <f t="shared" si="37"/>
        <v>-0.12662200471541449</v>
      </c>
      <c r="BZ67" s="789">
        <f t="shared" si="37"/>
        <v>-0.42301619523358491</v>
      </c>
      <c r="CA67" s="789">
        <f t="shared" si="37"/>
        <v>-0.21523189781081187</v>
      </c>
      <c r="CB67" s="789">
        <f t="shared" si="37"/>
        <v>-2.9204805378824084E-2</v>
      </c>
      <c r="CC67" s="789">
        <f t="shared" si="37"/>
        <v>2.9993218923668685E-2</v>
      </c>
      <c r="CD67" s="789">
        <f t="shared" si="37"/>
        <v>-0.2144988963545004</v>
      </c>
      <c r="CE67" s="789">
        <f t="shared" si="37"/>
        <v>-0.20497432659651604</v>
      </c>
      <c r="CF67" s="789">
        <f t="shared" si="37"/>
        <v>-1.5688754406707694E-2</v>
      </c>
      <c r="CG67" s="789">
        <f t="shared" si="37"/>
        <v>-0.14657533529183372</v>
      </c>
      <c r="CH67" s="789">
        <f t="shared" si="37"/>
        <v>-5.9512522965203818E-3</v>
      </c>
      <c r="CI67" s="789">
        <f t="shared" si="37"/>
        <v>-6.552319193415472E-2</v>
      </c>
      <c r="CJ67" s="789">
        <f t="shared" si="37"/>
        <v>8.4078673678353033E-2</v>
      </c>
      <c r="CK67" s="789">
        <f t="shared" si="37"/>
        <v>-8.8464060033277281E-2</v>
      </c>
      <c r="CL67" s="789">
        <f t="shared" si="37"/>
        <v>0.3875006220799444</v>
      </c>
      <c r="CM67" s="714"/>
      <c r="CN67" s="714"/>
    </row>
    <row r="68" spans="1:92">
      <c r="A68" s="448" t="str">
        <f>Commodities!K27</f>
        <v>T-BUS-ICE_DST00</v>
      </c>
      <c r="B68" s="28" t="s">
        <v>868</v>
      </c>
      <c r="C68" s="714" t="str">
        <f>Commodities!B20</f>
        <v>TRADSB</v>
      </c>
      <c r="D68" s="459" t="str">
        <f>Commodities!B24&amp;","&amp;Commodities!B25&amp;","&amp;Commodities!B26</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0" t="e">
        <f>BL54-BL76</f>
        <v>#REF!</v>
      </c>
      <c r="BM68" s="790" t="e">
        <f t="shared" ref="BM68:CL68" si="39">BM54-BM76</f>
        <v>#REF!</v>
      </c>
      <c r="BN68" s="790" t="e">
        <f t="shared" si="39"/>
        <v>#REF!</v>
      </c>
      <c r="BO68" s="790" t="e">
        <f t="shared" si="39"/>
        <v>#REF!</v>
      </c>
      <c r="BP68" s="790" t="e">
        <f t="shared" si="39"/>
        <v>#REF!</v>
      </c>
      <c r="BQ68" s="790" t="e">
        <f t="shared" si="39"/>
        <v>#REF!</v>
      </c>
      <c r="BR68" s="790" t="e">
        <f t="shared" si="39"/>
        <v>#REF!</v>
      </c>
      <c r="BS68" s="790" t="e">
        <f t="shared" si="39"/>
        <v>#REF!</v>
      </c>
      <c r="BT68" s="790" t="e">
        <f t="shared" si="39"/>
        <v>#REF!</v>
      </c>
      <c r="BU68" s="790" t="e">
        <f t="shared" si="39"/>
        <v>#REF!</v>
      </c>
      <c r="BV68" s="790" t="e">
        <f t="shared" si="39"/>
        <v>#REF!</v>
      </c>
      <c r="BW68" s="790" t="e">
        <f t="shared" si="39"/>
        <v>#REF!</v>
      </c>
      <c r="BX68" s="790" t="e">
        <f t="shared" si="39"/>
        <v>#REF!</v>
      </c>
      <c r="BY68" s="790" t="e">
        <f t="shared" si="39"/>
        <v>#REF!</v>
      </c>
      <c r="BZ68" s="790" t="e">
        <f t="shared" si="39"/>
        <v>#REF!</v>
      </c>
      <c r="CA68" s="790" t="e">
        <f t="shared" si="39"/>
        <v>#REF!</v>
      </c>
      <c r="CB68" s="790" t="e">
        <f t="shared" si="39"/>
        <v>#REF!</v>
      </c>
      <c r="CC68" s="790" t="e">
        <f t="shared" si="39"/>
        <v>#REF!</v>
      </c>
      <c r="CD68" s="790" t="e">
        <f t="shared" si="39"/>
        <v>#REF!</v>
      </c>
      <c r="CE68" s="790" t="e">
        <f t="shared" si="39"/>
        <v>#REF!</v>
      </c>
      <c r="CF68" s="790" t="e">
        <f t="shared" si="39"/>
        <v>#REF!</v>
      </c>
      <c r="CG68" s="790" t="e">
        <f t="shared" si="39"/>
        <v>#REF!</v>
      </c>
      <c r="CH68" s="790" t="e">
        <f t="shared" si="39"/>
        <v>#REF!</v>
      </c>
      <c r="CI68" s="790" t="e">
        <f t="shared" si="39"/>
        <v>#REF!</v>
      </c>
      <c r="CJ68" s="790" t="e">
        <f t="shared" si="39"/>
        <v>#REF!</v>
      </c>
      <c r="CK68" s="790" t="e">
        <f t="shared" si="39"/>
        <v>#REF!</v>
      </c>
      <c r="CL68" s="790"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3"/>
      <c r="AI69" s="773"/>
      <c r="AJ69" s="773"/>
      <c r="AK69" s="773"/>
      <c r="AL69" s="773"/>
      <c r="AM69" s="773"/>
      <c r="AN69" s="773"/>
      <c r="AO69" s="773"/>
      <c r="AP69" s="773"/>
      <c r="AQ69" s="773"/>
      <c r="AR69" s="773"/>
      <c r="AS69" s="773"/>
      <c r="AT69" s="773"/>
      <c r="AU69" s="773"/>
      <c r="AV69" s="773"/>
      <c r="AW69" s="773"/>
      <c r="AX69" s="773"/>
      <c r="AY69" s="773"/>
      <c r="AZ69" s="773"/>
      <c r="BA69" s="773"/>
      <c r="BB69" s="773"/>
      <c r="BC69" s="773"/>
      <c r="BD69" s="773"/>
      <c r="BE69" s="773"/>
      <c r="BF69" s="773"/>
      <c r="BG69" s="773"/>
      <c r="BH69" s="773"/>
      <c r="BK69" s="136" t="s">
        <v>1</v>
      </c>
      <c r="BL69" s="791" t="e">
        <f>SUM(BL67:BL68)</f>
        <v>#REF!</v>
      </c>
      <c r="BM69" s="791" t="e">
        <f t="shared" ref="BM69" si="40">SUM(BM67:BM68)</f>
        <v>#REF!</v>
      </c>
      <c r="BN69" s="791" t="e">
        <f t="shared" ref="BN69" si="41">SUM(BN67:BN68)</f>
        <v>#REF!</v>
      </c>
      <c r="BO69" s="791" t="e">
        <f t="shared" ref="BO69" si="42">SUM(BO67:BO68)</f>
        <v>#REF!</v>
      </c>
      <c r="BP69" s="791" t="e">
        <f t="shared" ref="BP69" si="43">SUM(BP67:BP68)</f>
        <v>#REF!</v>
      </c>
      <c r="BQ69" s="791" t="e">
        <f t="shared" ref="BQ69" si="44">SUM(BQ67:BQ68)</f>
        <v>#REF!</v>
      </c>
      <c r="BR69" s="791" t="e">
        <f t="shared" ref="BR69" si="45">SUM(BR67:BR68)</f>
        <v>#REF!</v>
      </c>
      <c r="BS69" s="791" t="e">
        <f t="shared" ref="BS69" si="46">SUM(BS67:BS68)</f>
        <v>#REF!</v>
      </c>
      <c r="BT69" s="791" t="e">
        <f t="shared" ref="BT69" si="47">SUM(BT67:BT68)</f>
        <v>#REF!</v>
      </c>
      <c r="BU69" s="791" t="e">
        <f t="shared" ref="BU69" si="48">SUM(BU67:BU68)</f>
        <v>#REF!</v>
      </c>
      <c r="BV69" s="791" t="e">
        <f t="shared" ref="BV69" si="49">SUM(BV67:BV68)</f>
        <v>#REF!</v>
      </c>
      <c r="BW69" s="791" t="e">
        <f t="shared" ref="BW69" si="50">SUM(BW67:BW68)</f>
        <v>#REF!</v>
      </c>
      <c r="BX69" s="791" t="e">
        <f t="shared" ref="BX69" si="51">SUM(BX67:BX68)</f>
        <v>#REF!</v>
      </c>
      <c r="BY69" s="791" t="e">
        <f t="shared" ref="BY69" si="52">SUM(BY67:BY68)</f>
        <v>#REF!</v>
      </c>
      <c r="BZ69" s="791" t="e">
        <f t="shared" ref="BZ69" si="53">SUM(BZ67:BZ68)</f>
        <v>#REF!</v>
      </c>
      <c r="CA69" s="791" t="e">
        <f t="shared" ref="CA69" si="54">SUM(CA67:CA68)</f>
        <v>#REF!</v>
      </c>
      <c r="CB69" s="791" t="e">
        <f t="shared" ref="CB69" si="55">SUM(CB67:CB68)</f>
        <v>#REF!</v>
      </c>
      <c r="CC69" s="791" t="e">
        <f t="shared" ref="CC69" si="56">SUM(CC67:CC68)</f>
        <v>#REF!</v>
      </c>
      <c r="CD69" s="791" t="e">
        <f t="shared" ref="CD69" si="57">SUM(CD67:CD68)</f>
        <v>#REF!</v>
      </c>
      <c r="CE69" s="791" t="e">
        <f t="shared" ref="CE69" si="58">SUM(CE67:CE68)</f>
        <v>#REF!</v>
      </c>
      <c r="CF69" s="791" t="e">
        <f t="shared" ref="CF69" si="59">SUM(CF67:CF68)</f>
        <v>#REF!</v>
      </c>
      <c r="CG69" s="791" t="e">
        <f t="shared" ref="CG69" si="60">SUM(CG67:CG68)</f>
        <v>#REF!</v>
      </c>
      <c r="CH69" s="791" t="e">
        <f t="shared" ref="CH69" si="61">SUM(CH67:CH68)</f>
        <v>#REF!</v>
      </c>
      <c r="CI69" s="791" t="e">
        <f t="shared" ref="CI69" si="62">SUM(CI67:CI68)</f>
        <v>#REF!</v>
      </c>
      <c r="CJ69" s="791" t="e">
        <f t="shared" ref="CJ69" si="63">SUM(CJ67:CJ68)</f>
        <v>#REF!</v>
      </c>
      <c r="CK69" s="791" t="e">
        <f t="shared" ref="CK69" si="64">SUM(CK67:CK68)</f>
        <v>#REF!</v>
      </c>
      <c r="CL69" s="791" t="e">
        <f t="shared" ref="CL69" si="65">SUM(CL67:CL68)</f>
        <v>#REF!</v>
      </c>
      <c r="CM69" s="714"/>
      <c r="CN69" s="714"/>
    </row>
    <row r="70" spans="1:92">
      <c r="A70" s="459" t="str">
        <f>Commodities!K29</f>
        <v>T-LPT-BEV_ELC00</v>
      </c>
      <c r="B70" s="28" t="s">
        <v>868</v>
      </c>
      <c r="C70" s="459" t="str">
        <f>Commodities!B15</f>
        <v>TRAELC</v>
      </c>
      <c r="D70" s="459" t="str">
        <f>Commodities!B24&amp;","&amp;Commodities!B25</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T-LPT-BEV_ELC00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T-HPT-BEV_ELC00</v>
      </c>
      <c r="B71" s="28" t="s">
        <v>868</v>
      </c>
      <c r="C71" s="459" t="str">
        <f>Commodities!B15</f>
        <v>TRAELC</v>
      </c>
      <c r="D71" s="459" t="str">
        <f>Commodities!B26</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T-HPT-BEV_ELC00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868</v>
      </c>
      <c r="C72" s="28" t="str">
        <f>Commodities!B20</f>
        <v>TRADSB</v>
      </c>
      <c r="D72" s="459" t="str">
        <f>Commodities!B26</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713</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3"/>
      <c r="AI73" s="773"/>
      <c r="AJ73" s="773"/>
      <c r="AK73" s="773"/>
      <c r="AL73" s="773"/>
      <c r="AM73" s="773"/>
      <c r="AN73" s="773"/>
      <c r="AO73" s="773"/>
      <c r="AP73" s="773"/>
      <c r="AQ73" s="773"/>
      <c r="AR73" s="773"/>
      <c r="AS73" s="773"/>
      <c r="AT73" s="773"/>
      <c r="AU73" s="773"/>
      <c r="AV73" s="773"/>
      <c r="AW73" s="773"/>
      <c r="AX73" s="773"/>
      <c r="AY73" s="773"/>
      <c r="AZ73" s="773"/>
      <c r="BA73" s="773"/>
      <c r="BB73" s="773"/>
      <c r="BC73" s="773"/>
      <c r="BD73" s="773"/>
      <c r="BE73" s="773"/>
      <c r="BF73" s="773"/>
      <c r="BG73" s="773"/>
      <c r="BH73" s="773"/>
      <c r="BK73" s="714" t="s">
        <v>1103</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868</v>
      </c>
      <c r="C74" s="714" t="str">
        <f>Commodities!B19</f>
        <v>TRAGSE</v>
      </c>
      <c r="D74" s="459" t="str">
        <f>Commodities!B27</f>
        <v>TRAF</v>
      </c>
      <c r="E74" s="9">
        <f t="shared" ref="E74:E76" si="70">SUM(F74:AE74)</f>
        <v>0.89000000000000035</v>
      </c>
      <c r="F74" s="806">
        <f t="shared" ref="F74:F77" si="71">D189/1000</f>
        <v>0.01</v>
      </c>
      <c r="G74" s="806">
        <f t="shared" ref="G74:G77" si="72">E189/1000</f>
        <v>0.27800000000000002</v>
      </c>
      <c r="H74" s="806">
        <f t="shared" ref="H74:H77" si="73">F189/1000</f>
        <v>4.9000000000000002E-2</v>
      </c>
      <c r="I74" s="806">
        <f t="shared" ref="I74:I77" si="74">G189/1000</f>
        <v>1.4999999999999999E-2</v>
      </c>
      <c r="J74" s="806">
        <f t="shared" ref="J74:J77" si="75">H189/1000</f>
        <v>2.1000000000000001E-2</v>
      </c>
      <c r="K74" s="806">
        <f t="shared" ref="K74:K77" si="76">I189/1000</f>
        <v>8.0000000000000002E-3</v>
      </c>
      <c r="L74" s="806">
        <f t="shared" ref="L74:L77" si="77">J189/1000</f>
        <v>1.4999999999999999E-2</v>
      </c>
      <c r="M74" s="806">
        <f t="shared" ref="M74:M77" si="78">K189/1000</f>
        <v>2.1000000000000001E-2</v>
      </c>
      <c r="N74" s="806">
        <f t="shared" ref="N74:N77" si="79">L189/1000</f>
        <v>0.01</v>
      </c>
      <c r="O74" s="806">
        <f t="shared" ref="O74:O77" si="80">M189/1000</f>
        <v>1.4E-2</v>
      </c>
      <c r="P74" s="806">
        <f t="shared" ref="P74:P77" si="81">N189/1000</f>
        <v>2.8000000000000001E-2</v>
      </c>
      <c r="Q74" s="806">
        <f t="shared" ref="Q74:Q77" si="82">O189/1000</f>
        <v>4.5999999999999999E-2</v>
      </c>
      <c r="R74" s="806">
        <f t="shared" ref="R74:R77" si="83">P189/1000</f>
        <v>1.6E-2</v>
      </c>
      <c r="S74" s="806">
        <f t="shared" ref="S74:S77" si="84">Q189/1000</f>
        <v>0.13100000000000001</v>
      </c>
      <c r="T74" s="806">
        <f t="shared" ref="T74:T77" si="85">R189/1000</f>
        <v>2.1000000000000001E-2</v>
      </c>
      <c r="U74" s="806">
        <f t="shared" ref="U74:U77" si="86">S189/1000</f>
        <v>1.4E-2</v>
      </c>
      <c r="V74" s="806">
        <f t="shared" ref="V74:V77" si="87">T189/1000</f>
        <v>2.7E-2</v>
      </c>
      <c r="W74" s="806">
        <f t="shared" ref="W74:W77" si="88">U189/1000</f>
        <v>0.03</v>
      </c>
      <c r="X74" s="806">
        <f t="shared" ref="X74:X77" si="89">V189/1000</f>
        <v>4.3999999999999997E-2</v>
      </c>
      <c r="Y74" s="806">
        <f t="shared" ref="Y74:Y77" si="90">W189/1000</f>
        <v>2E-3</v>
      </c>
      <c r="Z74" s="806">
        <f t="shared" ref="Z74:Z77" si="91">X189/1000</f>
        <v>1.9E-2</v>
      </c>
      <c r="AA74" s="806">
        <f t="shared" ref="AA74:AA77" si="92">Y189/1000</f>
        <v>1.4E-2</v>
      </c>
      <c r="AB74" s="806">
        <f t="shared" ref="AB74:AB77" si="93">Z189/1000</f>
        <v>8.9999999999999993E-3</v>
      </c>
      <c r="AC74" s="806">
        <f t="shared" ref="AC74:AC77" si="94">AA189/1000</f>
        <v>7.0000000000000001E-3</v>
      </c>
      <c r="AD74" s="806">
        <f t="shared" ref="AD74:AD77" si="95">AB189/1000</f>
        <v>2.9000000000000001E-2</v>
      </c>
      <c r="AE74" s="806">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868</v>
      </c>
      <c r="C75" s="714" t="str">
        <f>Commodities!B20</f>
        <v>TRADSB</v>
      </c>
      <c r="D75" t="str">
        <f>Commodities!B27</f>
        <v>TRAF</v>
      </c>
      <c r="E75" s="9">
        <f t="shared" si="70"/>
        <v>320.88299999999998</v>
      </c>
      <c r="F75" s="806">
        <f t="shared" si="71"/>
        <v>5.2619999999999996</v>
      </c>
      <c r="G75" s="806">
        <f t="shared" si="72"/>
        <v>67.396000000000001</v>
      </c>
      <c r="H75" s="806">
        <f t="shared" si="73"/>
        <v>14.377000000000001</v>
      </c>
      <c r="I75" s="806">
        <f t="shared" si="74"/>
        <v>7.2439999999999998</v>
      </c>
      <c r="J75" s="806">
        <f t="shared" si="75"/>
        <v>5.3410000000000002</v>
      </c>
      <c r="K75" s="806">
        <f t="shared" si="76"/>
        <v>3.5209999999999999</v>
      </c>
      <c r="L75" s="806">
        <f t="shared" si="77"/>
        <v>7.1390000000000002</v>
      </c>
      <c r="M75" s="806">
        <f t="shared" si="78"/>
        <v>12.86</v>
      </c>
      <c r="N75" s="806">
        <f t="shared" si="79"/>
        <v>6.0270000000000001</v>
      </c>
      <c r="O75" s="806">
        <f t="shared" si="80"/>
        <v>7.5810000000000004</v>
      </c>
      <c r="P75" s="806">
        <f t="shared" si="81"/>
        <v>12.180999999999999</v>
      </c>
      <c r="Q75" s="806">
        <f t="shared" si="82"/>
        <v>8.7870000000000008</v>
      </c>
      <c r="R75" s="806">
        <f t="shared" si="83"/>
        <v>8.8019999999999996</v>
      </c>
      <c r="S75" s="806">
        <f t="shared" si="84"/>
        <v>37.667000000000002</v>
      </c>
      <c r="T75" s="806">
        <f t="shared" si="85"/>
        <v>11.12</v>
      </c>
      <c r="U75" s="806">
        <f t="shared" si="86"/>
        <v>11.993</v>
      </c>
      <c r="V75" s="806">
        <f t="shared" si="87"/>
        <v>12.476000000000001</v>
      </c>
      <c r="W75" s="806">
        <f t="shared" si="88"/>
        <v>7.5670000000000002</v>
      </c>
      <c r="X75" s="806">
        <f t="shared" si="89"/>
        <v>18.739999999999998</v>
      </c>
      <c r="Y75" s="806">
        <f t="shared" si="90"/>
        <v>3.1930000000000001</v>
      </c>
      <c r="Z75" s="806">
        <f t="shared" si="91"/>
        <v>12.510999999999999</v>
      </c>
      <c r="AA75" s="806">
        <f t="shared" si="92"/>
        <v>5.8959999999999999</v>
      </c>
      <c r="AB75" s="806">
        <f t="shared" si="93"/>
        <v>5.6</v>
      </c>
      <c r="AC75" s="806">
        <f t="shared" si="94"/>
        <v>7.37</v>
      </c>
      <c r="AD75" s="806">
        <f t="shared" si="95"/>
        <v>13.568</v>
      </c>
      <c r="AE75" s="806">
        <f t="shared" si="96"/>
        <v>6.6639999999999997</v>
      </c>
      <c r="AF75" s="451"/>
      <c r="AG75" s="775" t="str">
        <f>A96</f>
        <v>T-CYC_CYC</v>
      </c>
      <c r="AH75" s="776">
        <f>E96*AF!D5*ACT2FLO!D51/1000</f>
        <v>16</v>
      </c>
      <c r="AI75" s="776">
        <f>F96*AF!E5*ACT2FLO!E51/1000</f>
        <v>0.19129311729752929</v>
      </c>
      <c r="AJ75" s="776">
        <f>G96*AF!F5*ACT2FLO!F51/1000</f>
        <v>4.5271640418197538</v>
      </c>
      <c r="AK75" s="776">
        <f>H96*AF!G5*ACT2FLO!G51/1000</f>
        <v>0.7476196826243493</v>
      </c>
      <c r="AL75" s="776">
        <f>I96*AF!H5*ACT2FLO!H51/1000</f>
        <v>0.3334223040762388</v>
      </c>
      <c r="AM75" s="776">
        <f>J96*AF!I5*ACT2FLO!I51/1000</f>
        <v>0.28458429627887372</v>
      </c>
      <c r="AN75" s="776">
        <f>K96*AF!J5*ACT2FLO!J51/1000</f>
        <v>0.13733442674246321</v>
      </c>
      <c r="AO75" s="776">
        <f>L96*AF!K5*ACT2FLO!K51/1000</f>
        <v>0.43305385599969731</v>
      </c>
      <c r="AP75" s="776">
        <f>M96*AF!L5*ACT2FLO!L51/1000</f>
        <v>0.65535331220015636</v>
      </c>
      <c r="AQ75" s="776">
        <f>N96*AF!M5*ACT2FLO!M51/1000</f>
        <v>0.26195114729207969</v>
      </c>
      <c r="AR75" s="776">
        <f>O96*AF!N5*ACT2FLO!N51/1000</f>
        <v>0.29826969055191588</v>
      </c>
      <c r="AS75" s="776">
        <f>P96*AF!O5*ACT2FLO!O51/1000</f>
        <v>0.50307012063550693</v>
      </c>
      <c r="AT75" s="776">
        <f>Q96*AF!P5*ACT2FLO!P51/1000</f>
        <v>0.47855199590916547</v>
      </c>
      <c r="AU75" s="776">
        <f>R96*AF!Q5*ACT2FLO!Q51/1000</f>
        <v>0.3992284535575869</v>
      </c>
      <c r="AV75" s="776">
        <f>S96*AF!R5*ACT2FLO!R51/1000</f>
        <v>1.8240517108317842</v>
      </c>
      <c r="AW75" s="776">
        <f>T96*AF!S5*ACT2FLO!S51/1000</f>
        <v>0.49629966410219495</v>
      </c>
      <c r="AX75" s="776">
        <f>U96*AF!T5*ACT2FLO!T51/1000</f>
        <v>0.65486610813200241</v>
      </c>
      <c r="AY75" s="776">
        <f>V96*AF!U5*ACT2FLO!U51/1000</f>
        <v>0.53610255645634608</v>
      </c>
      <c r="AZ75" s="776">
        <f>W96*AF!V5*ACT2FLO!V51/1000</f>
        <v>0.39035461946107219</v>
      </c>
      <c r="BA75" s="776">
        <f>X96*AF!W5*ACT2FLO!W51/1000</f>
        <v>0.86708212013570252</v>
      </c>
      <c r="BB75" s="776">
        <f>Y96*AF!X5*ACT2FLO!X51/1000</f>
        <v>0.10766873903397085</v>
      </c>
      <c r="BC75" s="776">
        <f>Z96*AF!Y5*ACT2FLO!Y51/1000</f>
        <v>0.43850718153496554</v>
      </c>
      <c r="BD75" s="776">
        <f>AA96*AF!Z5*ACT2FLO!Z51/1000</f>
        <v>0.21686965086158452</v>
      </c>
      <c r="BE75" s="776">
        <f>AB96*AF!AA5*ACT2FLO!AA51/1000</f>
        <v>0.22019943866531269</v>
      </c>
      <c r="BF75" s="776">
        <f>AC96*AF!AB5*ACT2FLO!AB51/1000</f>
        <v>0.25595349721170152</v>
      </c>
      <c r="BG75" s="776">
        <f>AD96*AF!AC5*ACT2FLO!AC51/1000</f>
        <v>0.5348895863280454</v>
      </c>
      <c r="BH75" s="776">
        <f>AE96*AF!AD5*ACT2FLO!AD51/1000</f>
        <v>0.20625868225999672</v>
      </c>
      <c r="BK75" s="784" t="s">
        <v>1104</v>
      </c>
      <c r="BL75" s="785">
        <f>Demands!C7</f>
        <v>11.625551</v>
      </c>
      <c r="BM75" s="785">
        <f>Demands!D7</f>
        <v>0.17794099599204954</v>
      </c>
      <c r="BN75" s="785">
        <f>Demands!E7</f>
        <v>2.6576907930321347</v>
      </c>
      <c r="BO75" s="785">
        <f>Demands!F7</f>
        <v>0.48228404218784626</v>
      </c>
      <c r="BP75" s="785">
        <f>Demands!G7</f>
        <v>0.31014966827589163</v>
      </c>
      <c r="BQ75" s="785">
        <f>Demands!H7</f>
        <v>0.22090468018989404</v>
      </c>
      <c r="BR75" s="785">
        <f>Demands!I7</f>
        <v>0.10660397645018758</v>
      </c>
      <c r="BS75" s="785">
        <f>Demands!J7</f>
        <v>0.27935990585939297</v>
      </c>
      <c r="BT75" s="785">
        <f>Demands!K7</f>
        <v>0.43225128206324637</v>
      </c>
      <c r="BU75" s="785">
        <f>Demands!L7</f>
        <v>0.20333600685129727</v>
      </c>
      <c r="BV75" s="785">
        <f>Demands!M7</f>
        <v>0.23152778091853185</v>
      </c>
      <c r="BW75" s="785">
        <f>Demands!N7</f>
        <v>0.46795618987426485</v>
      </c>
      <c r="BX75" s="785">
        <f>Demands!O7</f>
        <v>0.30871042636808321</v>
      </c>
      <c r="BY75" s="785">
        <f>Demands!P7</f>
        <v>0.30378726686741447</v>
      </c>
      <c r="BZ75" s="785">
        <f>Demands!Q7</f>
        <v>1.625427705266085</v>
      </c>
      <c r="CA75" s="785">
        <f>Demands!R7</f>
        <v>0.44225677339931185</v>
      </c>
      <c r="CB75" s="785">
        <f>Demands!S7</f>
        <v>0.49831113834882401</v>
      </c>
      <c r="CC75" s="785">
        <f>Demands!T7</f>
        <v>0.40793968700183131</v>
      </c>
      <c r="CD75" s="785">
        <f>Demands!U7</f>
        <v>0.37892082777350039</v>
      </c>
      <c r="CE75" s="785">
        <f>Demands!V7</f>
        <v>0.60506096800451603</v>
      </c>
      <c r="CF75" s="785">
        <f>Demands!W7</f>
        <v>8.0693470189707711E-2</v>
      </c>
      <c r="CG75" s="785">
        <f>Demands!X7</f>
        <v>0.34078379979033369</v>
      </c>
      <c r="CH75" s="785">
        <f>Demands!Y7</f>
        <v>0.1513344097795204</v>
      </c>
      <c r="CI75" s="785">
        <f>Demands!Z7</f>
        <v>0.16503078794415471</v>
      </c>
      <c r="CJ75" s="785">
        <f>Demands!AA7</f>
        <v>0.19182704360164693</v>
      </c>
      <c r="CK75" s="785">
        <f>Demands!AB7</f>
        <v>0.40087863270627727</v>
      </c>
      <c r="CL75" s="785">
        <f>Demands!AC7</f>
        <v>0.15458274126405555</v>
      </c>
      <c r="CM75" s="714"/>
    </row>
    <row r="76" spans="1:92" s="459" customFormat="1">
      <c r="A76" s="714" t="str">
        <f>Commodities!K36</f>
        <v>T-MGT-ICE_DST00</v>
      </c>
      <c r="B76" s="28" t="s">
        <v>868</v>
      </c>
      <c r="C76" s="714" t="str">
        <f>Commodities!B20</f>
        <v>TRADSB</v>
      </c>
      <c r="D76" s="459" t="str">
        <f>Commodities!B27</f>
        <v>TRAF</v>
      </c>
      <c r="E76" s="398">
        <f t="shared" si="70"/>
        <v>11.035</v>
      </c>
      <c r="F76" s="806">
        <f t="shared" si="71"/>
        <v>0.14699999999999999</v>
      </c>
      <c r="G76" s="806">
        <f t="shared" si="72"/>
        <v>2.9660000000000002</v>
      </c>
      <c r="H76" s="806">
        <f t="shared" si="73"/>
        <v>0.55300000000000005</v>
      </c>
      <c r="I76" s="806">
        <f t="shared" si="74"/>
        <v>0.249</v>
      </c>
      <c r="J76" s="806">
        <f t="shared" si="75"/>
        <v>0.217</v>
      </c>
      <c r="K76" s="806">
        <f t="shared" si="76"/>
        <v>0.13400000000000001</v>
      </c>
      <c r="L76" s="806">
        <f t="shared" si="77"/>
        <v>0.372</v>
      </c>
      <c r="M76" s="806">
        <f t="shared" si="78"/>
        <v>0.47899999999999998</v>
      </c>
      <c r="N76" s="806">
        <f t="shared" si="79"/>
        <v>0.16600000000000001</v>
      </c>
      <c r="O76" s="806">
        <f t="shared" si="80"/>
        <v>0.19800000000000001</v>
      </c>
      <c r="P76" s="806">
        <f t="shared" si="81"/>
        <v>0.38900000000000001</v>
      </c>
      <c r="Q76" s="806">
        <f t="shared" si="82"/>
        <v>0.20699999999999999</v>
      </c>
      <c r="R76" s="806">
        <f t="shared" si="83"/>
        <v>0.22</v>
      </c>
      <c r="S76" s="806">
        <f t="shared" si="84"/>
        <v>1.167</v>
      </c>
      <c r="T76" s="806">
        <f t="shared" si="85"/>
        <v>0.26200000000000001</v>
      </c>
      <c r="U76" s="806">
        <f t="shared" si="86"/>
        <v>0.7</v>
      </c>
      <c r="V76" s="806">
        <f t="shared" si="87"/>
        <v>0.40899999999999997</v>
      </c>
      <c r="W76" s="806">
        <f t="shared" si="88"/>
        <v>0.20699999999999999</v>
      </c>
      <c r="X76" s="806">
        <f t="shared" si="89"/>
        <v>0.54700000000000004</v>
      </c>
      <c r="Y76" s="806">
        <f t="shared" si="90"/>
        <v>7.3999999999999996E-2</v>
      </c>
      <c r="Z76" s="806">
        <f t="shared" si="91"/>
        <v>0.26100000000000001</v>
      </c>
      <c r="AA76" s="806">
        <f t="shared" si="92"/>
        <v>0.14799999999999999</v>
      </c>
      <c r="AB76" s="806">
        <f t="shared" si="93"/>
        <v>0.20499999999999999</v>
      </c>
      <c r="AC76" s="806">
        <f t="shared" si="94"/>
        <v>0.184</v>
      </c>
      <c r="AD76" s="806">
        <f t="shared" si="95"/>
        <v>0.318</v>
      </c>
      <c r="AE76" s="806">
        <f t="shared" si="96"/>
        <v>0.25600000000000001</v>
      </c>
      <c r="AF76" s="451"/>
      <c r="AG76" s="101"/>
      <c r="BK76" s="1" t="s">
        <v>366</v>
      </c>
      <c r="BL76" s="786" t="e">
        <f>Demands!#REF!</f>
        <v>#REF!</v>
      </c>
      <c r="BM76" s="786" t="e">
        <f>Demands!#REF!</f>
        <v>#REF!</v>
      </c>
      <c r="BN76" s="786" t="e">
        <f>Demands!#REF!</f>
        <v>#REF!</v>
      </c>
      <c r="BO76" s="786" t="e">
        <f>Demands!#REF!</f>
        <v>#REF!</v>
      </c>
      <c r="BP76" s="786" t="e">
        <f>Demands!#REF!</f>
        <v>#REF!</v>
      </c>
      <c r="BQ76" s="786" t="e">
        <f>Demands!#REF!</f>
        <v>#REF!</v>
      </c>
      <c r="BR76" s="786" t="e">
        <f>Demands!#REF!</f>
        <v>#REF!</v>
      </c>
      <c r="BS76" s="786" t="e">
        <f>Demands!#REF!</f>
        <v>#REF!</v>
      </c>
      <c r="BT76" s="786" t="e">
        <f>Demands!#REF!</f>
        <v>#REF!</v>
      </c>
      <c r="BU76" s="786" t="e">
        <f>Demands!#REF!</f>
        <v>#REF!</v>
      </c>
      <c r="BV76" s="786" t="e">
        <f>Demands!#REF!</f>
        <v>#REF!</v>
      </c>
      <c r="BW76" s="786" t="e">
        <f>Demands!#REF!</f>
        <v>#REF!</v>
      </c>
      <c r="BX76" s="786" t="e">
        <f>Demands!#REF!</f>
        <v>#REF!</v>
      </c>
      <c r="BY76" s="786" t="e">
        <f>Demands!#REF!</f>
        <v>#REF!</v>
      </c>
      <c r="BZ76" s="786" t="e">
        <f>Demands!#REF!</f>
        <v>#REF!</v>
      </c>
      <c r="CA76" s="786" t="e">
        <f>Demands!#REF!</f>
        <v>#REF!</v>
      </c>
      <c r="CB76" s="786" t="e">
        <f>Demands!#REF!</f>
        <v>#REF!</v>
      </c>
      <c r="CC76" s="786" t="e">
        <f>Demands!#REF!</f>
        <v>#REF!</v>
      </c>
      <c r="CD76" s="786" t="e">
        <f>Demands!#REF!</f>
        <v>#REF!</v>
      </c>
      <c r="CE76" s="786" t="e">
        <f>Demands!#REF!</f>
        <v>#REF!</v>
      </c>
      <c r="CF76" s="786" t="e">
        <f>Demands!#REF!</f>
        <v>#REF!</v>
      </c>
      <c r="CG76" s="786" t="e">
        <f>Demands!#REF!</f>
        <v>#REF!</v>
      </c>
      <c r="CH76" s="786" t="e">
        <f>Demands!#REF!</f>
        <v>#REF!</v>
      </c>
      <c r="CI76" s="786" t="e">
        <f>Demands!#REF!</f>
        <v>#REF!</v>
      </c>
      <c r="CJ76" s="786" t="e">
        <f>Demands!#REF!</f>
        <v>#REF!</v>
      </c>
      <c r="CK76" s="786" t="e">
        <f>Demands!#REF!</f>
        <v>#REF!</v>
      </c>
      <c r="CL76" s="786" t="e">
        <f>Demands!#REF!</f>
        <v>#REF!</v>
      </c>
      <c r="CM76" s="714"/>
    </row>
    <row r="77" spans="1:92" s="459" customFormat="1">
      <c r="A77" s="459" t="str">
        <f>Commodities!K37</f>
        <v>T-HGT-ICE_DST00</v>
      </c>
      <c r="B77" s="28" t="s">
        <v>868</v>
      </c>
      <c r="C77" s="714" t="str">
        <f>Commodities!B20</f>
        <v>TRADSB</v>
      </c>
      <c r="D77" s="459" t="str">
        <f>Commodities!B27</f>
        <v>TRAF</v>
      </c>
      <c r="E77" s="9">
        <f>SUM(F77:AE77)</f>
        <v>21.648000000000003</v>
      </c>
      <c r="F77" s="806">
        <f t="shared" si="71"/>
        <v>0.39</v>
      </c>
      <c r="G77" s="806">
        <f t="shared" si="72"/>
        <v>3.883</v>
      </c>
      <c r="H77" s="806">
        <f t="shared" si="73"/>
        <v>1.1120000000000001</v>
      </c>
      <c r="I77" s="806">
        <f t="shared" si="74"/>
        <v>0.71299999999999997</v>
      </c>
      <c r="J77" s="806">
        <f t="shared" si="75"/>
        <v>0.45500000000000002</v>
      </c>
      <c r="K77" s="806">
        <f t="shared" si="76"/>
        <v>0.27600000000000002</v>
      </c>
      <c r="L77" s="806">
        <f t="shared" si="77"/>
        <v>0.61699999999999999</v>
      </c>
      <c r="M77" s="806">
        <f t="shared" si="78"/>
        <v>1.4239999999999999</v>
      </c>
      <c r="N77" s="806">
        <f t="shared" si="79"/>
        <v>0.32300000000000001</v>
      </c>
      <c r="O77" s="806">
        <f t="shared" si="80"/>
        <v>0.316</v>
      </c>
      <c r="P77" s="806">
        <f t="shared" si="81"/>
        <v>1.39</v>
      </c>
      <c r="Q77" s="806">
        <f t="shared" si="82"/>
        <v>0.39600000000000002</v>
      </c>
      <c r="R77" s="806">
        <f t="shared" si="83"/>
        <v>0.39700000000000002</v>
      </c>
      <c r="S77" s="806">
        <f t="shared" si="84"/>
        <v>2.5579999999999998</v>
      </c>
      <c r="T77" s="806">
        <f t="shared" si="85"/>
        <v>0.51600000000000001</v>
      </c>
      <c r="U77" s="806">
        <f t="shared" si="86"/>
        <v>0.94099999999999995</v>
      </c>
      <c r="V77" s="806">
        <f t="shared" si="87"/>
        <v>1.05</v>
      </c>
      <c r="W77" s="806">
        <f t="shared" si="88"/>
        <v>0.35799999999999998</v>
      </c>
      <c r="X77" s="806">
        <f t="shared" si="89"/>
        <v>1.026</v>
      </c>
      <c r="Y77" s="806">
        <f t="shared" si="90"/>
        <v>0.13500000000000001</v>
      </c>
      <c r="Z77" s="806">
        <f t="shared" si="91"/>
        <v>0.56999999999999995</v>
      </c>
      <c r="AA77" s="806">
        <f t="shared" si="92"/>
        <v>0.32600000000000001</v>
      </c>
      <c r="AB77" s="806">
        <f t="shared" si="93"/>
        <v>0.23200000000000001</v>
      </c>
      <c r="AC77" s="806">
        <f t="shared" si="94"/>
        <v>0.48799999999999999</v>
      </c>
      <c r="AD77" s="806">
        <f t="shared" si="95"/>
        <v>0.72</v>
      </c>
      <c r="AE77" s="806">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7" t="e">
        <f>SUM(BL75:BL76)</f>
        <v>#REF!</v>
      </c>
      <c r="BM77" s="787" t="e">
        <f t="shared" ref="BM77:CL77" si="98">SUM(BM75:BM76)</f>
        <v>#REF!</v>
      </c>
      <c r="BN77" s="787" t="e">
        <f t="shared" si="98"/>
        <v>#REF!</v>
      </c>
      <c r="BO77" s="787" t="e">
        <f t="shared" si="98"/>
        <v>#REF!</v>
      </c>
      <c r="BP77" s="787" t="e">
        <f t="shared" si="98"/>
        <v>#REF!</v>
      </c>
      <c r="BQ77" s="787" t="e">
        <f t="shared" si="98"/>
        <v>#REF!</v>
      </c>
      <c r="BR77" s="787" t="e">
        <f t="shared" si="98"/>
        <v>#REF!</v>
      </c>
      <c r="BS77" s="787" t="e">
        <f t="shared" si="98"/>
        <v>#REF!</v>
      </c>
      <c r="BT77" s="787" t="e">
        <f t="shared" si="98"/>
        <v>#REF!</v>
      </c>
      <c r="BU77" s="787" t="e">
        <f t="shared" si="98"/>
        <v>#REF!</v>
      </c>
      <c r="BV77" s="787" t="e">
        <f t="shared" si="98"/>
        <v>#REF!</v>
      </c>
      <c r="BW77" s="787" t="e">
        <f t="shared" si="98"/>
        <v>#REF!</v>
      </c>
      <c r="BX77" s="787" t="e">
        <f t="shared" si="98"/>
        <v>#REF!</v>
      </c>
      <c r="BY77" s="787" t="e">
        <f t="shared" si="98"/>
        <v>#REF!</v>
      </c>
      <c r="BZ77" s="787" t="e">
        <f t="shared" si="98"/>
        <v>#REF!</v>
      </c>
      <c r="CA77" s="787" t="e">
        <f t="shared" si="98"/>
        <v>#REF!</v>
      </c>
      <c r="CB77" s="787" t="e">
        <f t="shared" si="98"/>
        <v>#REF!</v>
      </c>
      <c r="CC77" s="787" t="e">
        <f t="shared" si="98"/>
        <v>#REF!</v>
      </c>
      <c r="CD77" s="787" t="e">
        <f t="shared" si="98"/>
        <v>#REF!</v>
      </c>
      <c r="CE77" s="787" t="e">
        <f t="shared" si="98"/>
        <v>#REF!</v>
      </c>
      <c r="CF77" s="787" t="e">
        <f t="shared" si="98"/>
        <v>#REF!</v>
      </c>
      <c r="CG77" s="787" t="e">
        <f t="shared" si="98"/>
        <v>#REF!</v>
      </c>
      <c r="CH77" s="787" t="e">
        <f t="shared" si="98"/>
        <v>#REF!</v>
      </c>
      <c r="CI77" s="787" t="e">
        <f t="shared" si="98"/>
        <v>#REF!</v>
      </c>
      <c r="CJ77" s="787" t="e">
        <f t="shared" si="98"/>
        <v>#REF!</v>
      </c>
      <c r="CK77" s="787" t="e">
        <f t="shared" si="98"/>
        <v>#REF!</v>
      </c>
      <c r="CL77" s="787" t="e">
        <f t="shared" si="98"/>
        <v>#REF!</v>
      </c>
      <c r="CM77" s="714"/>
    </row>
    <row r="78" spans="1:92" s="459" customFormat="1" ht="15.6">
      <c r="A78" s="459" t="str">
        <f>Commodities!K38</f>
        <v>T-GTR-ICE_DST00</v>
      </c>
      <c r="B78" s="28" t="s">
        <v>868</v>
      </c>
      <c r="C78" s="714" t="str">
        <f>Commodities!B20</f>
        <v>TRADSB</v>
      </c>
      <c r="D78" s="459" t="str">
        <f>Commodities!B27</f>
        <v>TRAF</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1096</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748</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4"/>
      <c r="BM79" s="794"/>
      <c r="BN79" s="794"/>
      <c r="BO79" s="794"/>
      <c r="BP79" s="794"/>
      <c r="BQ79" s="794"/>
      <c r="BR79" s="794"/>
      <c r="BS79" s="794"/>
      <c r="BT79" s="794"/>
      <c r="BU79" s="794"/>
      <c r="BV79" s="794"/>
      <c r="BW79" s="794"/>
      <c r="BX79" s="794"/>
      <c r="BY79" s="794"/>
      <c r="BZ79" s="794"/>
      <c r="CA79" s="794"/>
      <c r="CB79" s="794"/>
      <c r="CC79" s="794"/>
      <c r="CD79" s="794"/>
      <c r="CE79" s="794"/>
      <c r="CF79" s="794"/>
      <c r="CG79" s="794"/>
      <c r="CH79" s="794"/>
      <c r="CI79" s="794"/>
      <c r="CJ79" s="794"/>
      <c r="CK79" s="794"/>
      <c r="CL79" s="794"/>
    </row>
    <row r="80" spans="1:92" s="459" customFormat="1">
      <c r="A80" s="459" t="str">
        <f>Commodities!K40</f>
        <v>T-TUR_CON00</v>
      </c>
      <c r="B80" s="28" t="s">
        <v>870</v>
      </c>
      <c r="C80" s="714" t="str">
        <f>Commodities!B20</f>
        <v>TRADSB</v>
      </c>
      <c r="D80" s="459" t="str">
        <f>Commodities!B28</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870</v>
      </c>
      <c r="C81" s="714" t="str">
        <f>Commodities!B20</f>
        <v>TRADSB</v>
      </c>
      <c r="D81" s="459" t="str">
        <f>Commodities!B29</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1105</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870</v>
      </c>
      <c r="C82" s="459" t="str">
        <f>Commodities!B19&amp;","&amp;Commodities!B20&amp;","&amp;Commodities!B13</f>
        <v>TRAGSE,TRADSB,TRACNG</v>
      </c>
      <c r="D82" s="459" t="str">
        <f>Commodities!B30</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750</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4" t="s">
        <v>1104</v>
      </c>
      <c r="BL83" s="785">
        <f>1000*BL75/SUMPRODUCT(E74:E77,AF!D23:'AF'!D26)</f>
        <v>1.4321167629556155</v>
      </c>
      <c r="BM83" s="785">
        <f>1000*BM75/SUMPRODUCT(F74:F77,AF!E23:'AF'!E26)</f>
        <v>1.3428425077521915</v>
      </c>
      <c r="BN83" s="785">
        <f>1000*BN75/SUMPRODUCT(G74:G77,AF!F23:'AF'!F26)</f>
        <v>1.4718999323407369</v>
      </c>
      <c r="BO83" s="785">
        <f>1000*BO75/SUMPRODUCT(H74:H77,AF!G23:'AF'!G26)</f>
        <v>1.2553303843672037</v>
      </c>
      <c r="BP83" s="785">
        <f>1000*BP75/SUMPRODUCT(I74:I77,AF!H23:'AF'!H26)</f>
        <v>1.5999301336917628</v>
      </c>
      <c r="BQ83" s="785">
        <f>1000*BQ75/SUMPRODUCT(J74:J77,AF!I23:'AF'!I26)</f>
        <v>1.5754341558491574</v>
      </c>
      <c r="BR83" s="785">
        <f>1000*BR75/SUMPRODUCT(K74:K77,AF!J23:'AF'!J26)</f>
        <v>1.1939297728276914</v>
      </c>
      <c r="BS83" s="785">
        <f>1000*BS75/SUMPRODUCT(L74:L77,AF!K23:'AF'!K26)</f>
        <v>1.4478861918745998</v>
      </c>
      <c r="BT83" s="785">
        <f>1000*BT75/SUMPRODUCT(M74:M77,AF!L23:'AF'!L26)</f>
        <v>1.174662104728061</v>
      </c>
      <c r="BU83" s="785">
        <f>1000*BU75/SUMPRODUCT(N74:N77,AF!M23:'AF'!M26)</f>
        <v>1.4365816026400364</v>
      </c>
      <c r="BV83" s="785">
        <f>1000*BV75/SUMPRODUCT(O74:O77,AF!N23:'AF'!N26)</f>
        <v>1.304457012077233</v>
      </c>
      <c r="BW83" s="785">
        <f>1000*BW75/SUMPRODUCT(P74:P77,AF!O23:'AF'!O26)</f>
        <v>1.3647535702128299</v>
      </c>
      <c r="BX83" s="785">
        <f>1000*BX75/SUMPRODUCT(Q74:Q77,AF!P23:'AF'!P26)</f>
        <v>1.5394934805056175</v>
      </c>
      <c r="BY83" s="785">
        <f>1000*BY75/SUMPRODUCT(R74:R77,AF!Q23:'AF'!Q26)</f>
        <v>1.488179977367716</v>
      </c>
      <c r="BZ83" s="785">
        <f>1000*BZ75/SUMPRODUCT(S74:S77,AF!R23:'AF'!R26)</f>
        <v>1.7862534509163968</v>
      </c>
      <c r="CA83" s="785">
        <f>1000*CA75/SUMPRODUCT(T74:T77,AF!S23:'AF'!S26)</f>
        <v>1.7356132853156252</v>
      </c>
      <c r="CB83" s="785">
        <f>1000*CB75/SUMPRODUCT(U74:U77,AF!T23:'AF'!T26)</f>
        <v>1.5265980187930983</v>
      </c>
      <c r="CC83" s="785">
        <f>1000*CC75/SUMPRODUCT(V74:V77,AF!U23:'AF'!U26)</f>
        <v>1.3242407658598228</v>
      </c>
      <c r="CD83" s="785">
        <f>1000*CD75/SUMPRODUCT(W74:W77,AF!V23:'AF'!V26)</f>
        <v>2.2800272052255446</v>
      </c>
      <c r="CE83" s="785">
        <f>1000*CE75/SUMPRODUCT(X74:X77,AF!W23:'AF'!W26)</f>
        <v>1.3696122110589324</v>
      </c>
      <c r="CF83" s="785">
        <f>1000*CF75/SUMPRODUCT(Y74:Y77,AF!X23:'AF'!X26)</f>
        <v>1.0828461761403867</v>
      </c>
      <c r="CG83" s="785">
        <f>1000*CG75/SUMPRODUCT(Z74:Z77,AF!Y23:'AF'!Y26)</f>
        <v>1.2038996686486059</v>
      </c>
      <c r="CH83" s="785">
        <f>1000*CH75/SUMPRODUCT(AA74:AA77,AF!Z23:'AF'!Z26)</f>
        <v>1.0559418434038761</v>
      </c>
      <c r="CI83" s="785">
        <f>1000*CI75/SUMPRODUCT(AB74:AB77,AF!AA23:'AF'!AA26)</f>
        <v>1.3046286204306352</v>
      </c>
      <c r="CJ83" s="785">
        <f>1000*CJ75/SUMPRODUCT(AC74:AC77,AF!AB23:'AF'!AB26)</f>
        <v>1.0075467300875378</v>
      </c>
      <c r="CK83" s="785">
        <f>1000*CK75/SUMPRODUCT(AD74:AD77,AF!AC23:'AF'!AC26)</f>
        <v>1.315754910870683</v>
      </c>
      <c r="CL83" s="785">
        <f>1000*CL75/SUMPRODUCT(AE74:AE77,AF!AD23:'AF'!AD26)</f>
        <v>0.74828744672264424</v>
      </c>
      <c r="CM83" s="1"/>
    </row>
    <row r="84" spans="1:91" s="459" customFormat="1">
      <c r="A84" s="1" t="str">
        <f>Commodities!K44</f>
        <v>T-AVI_DOM00</v>
      </c>
      <c r="B84" s="709" t="s">
        <v>870</v>
      </c>
      <c r="C84" s="1" t="str">
        <f>Commodities!B18</f>
        <v>TRAKER</v>
      </c>
      <c r="D84" s="1" t="str">
        <f>Commodities!B31</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870</v>
      </c>
      <c r="C85" s="458" t="str">
        <f>Commodities!B18</f>
        <v>TRAKER</v>
      </c>
      <c r="D85" s="458" t="str">
        <f>Commodities!B32</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1106</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1" t="s">
        <v>16</v>
      </c>
      <c r="AH86" s="777">
        <f t="shared" ref="AH86:BH86" si="108">SUM(AH80:AH85)</f>
        <v>67.89085489606174</v>
      </c>
      <c r="AI86" s="777">
        <f t="shared" si="108"/>
        <v>0.93330158157706189</v>
      </c>
      <c r="AJ86" s="777">
        <f t="shared" si="108"/>
        <v>16.61717322713638</v>
      </c>
      <c r="AK86" s="777">
        <f t="shared" si="108"/>
        <v>3.2673954803797685</v>
      </c>
      <c r="AL86" s="777">
        <f t="shared" si="108"/>
        <v>1.6040418377293462</v>
      </c>
      <c r="AM86" s="777">
        <f t="shared" si="108"/>
        <v>1.194472594758214</v>
      </c>
      <c r="AN86" s="777">
        <f t="shared" si="108"/>
        <v>0.63136837226625431</v>
      </c>
      <c r="AO86" s="777">
        <f t="shared" si="108"/>
        <v>1.6378498102533947</v>
      </c>
      <c r="AP86" s="777">
        <f t="shared" si="108"/>
        <v>2.8086801289167069</v>
      </c>
      <c r="AQ86" s="777">
        <f t="shared" si="108"/>
        <v>1.1960910116296319</v>
      </c>
      <c r="AR86" s="777">
        <f t="shared" si="108"/>
        <v>1.3594031328357552</v>
      </c>
      <c r="AS86" s="777">
        <f t="shared" si="108"/>
        <v>2.3897980832150227</v>
      </c>
      <c r="AT86" s="777">
        <f t="shared" si="108"/>
        <v>2.0282651307543547</v>
      </c>
      <c r="AU86" s="777">
        <f t="shared" si="108"/>
        <v>1.8543582057124219</v>
      </c>
      <c r="AV86" s="777">
        <f t="shared" si="108"/>
        <v>7.4808562925495163</v>
      </c>
      <c r="AW86" s="777">
        <f t="shared" si="108"/>
        <v>2.5041107744856452</v>
      </c>
      <c r="AX86" s="777">
        <f t="shared" si="108"/>
        <v>2.7303850513697867</v>
      </c>
      <c r="AY86" s="777">
        <f t="shared" si="108"/>
        <v>2.6584598620014983</v>
      </c>
      <c r="AZ86" s="777">
        <f t="shared" si="108"/>
        <v>1.675149646399746</v>
      </c>
      <c r="BA86" s="777">
        <f t="shared" si="108"/>
        <v>4.1169046918989158</v>
      </c>
      <c r="BB86" s="777">
        <f t="shared" si="108"/>
        <v>0.50548408673972534</v>
      </c>
      <c r="BC86" s="777">
        <f t="shared" si="108"/>
        <v>2.1050169183289658</v>
      </c>
      <c r="BD86" s="777">
        <f t="shared" si="108"/>
        <v>1.1247538003993849</v>
      </c>
      <c r="BE86" s="777">
        <f t="shared" si="108"/>
        <v>0.92602266151868318</v>
      </c>
      <c r="BF86" s="777">
        <f t="shared" si="108"/>
        <v>1.1545598114366551</v>
      </c>
      <c r="BG86" s="777">
        <f t="shared" si="108"/>
        <v>2.3690405472313669</v>
      </c>
      <c r="BH86" s="777">
        <f t="shared" si="108"/>
        <v>1.0606044657374996</v>
      </c>
      <c r="BI86" s="714"/>
      <c r="BJ86" s="714"/>
      <c r="BK86" s="1" t="s">
        <v>1107</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1108</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1095</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1109</v>
      </c>
      <c r="BL88" s="795">
        <f>BL87-Demands!C7</f>
        <v>-10.020525223737593</v>
      </c>
      <c r="BM88" s="795">
        <f>BM87-Demands!D7</f>
        <v>-0.15206352116318461</v>
      </c>
      <c r="BN88" s="795">
        <f>BN87-Demands!E7</f>
        <v>-2.3650062674894516</v>
      </c>
      <c r="BO88" s="795">
        <f>BO87-Demands!F7</f>
        <v>-0.40458342228534239</v>
      </c>
      <c r="BP88" s="795">
        <f>BP87-Demands!G7</f>
        <v>-0.24168437644218332</v>
      </c>
      <c r="BQ88" s="795">
        <f>BQ87-Demands!H7</f>
        <v>-0.18260507790380109</v>
      </c>
      <c r="BR88" s="795">
        <f>BR87-Demands!I7</f>
        <v>-8.9505603107702197E-2</v>
      </c>
      <c r="BS88" s="795">
        <f>BS87-Demands!J7</f>
        <v>-0.23266974391184045</v>
      </c>
      <c r="BT88" s="795">
        <f>BT87-Demands!K7</f>
        <v>-0.3474874314156417</v>
      </c>
      <c r="BU88" s="795">
        <f>BU87-Demands!L7</f>
        <v>-0.1802145685815181</v>
      </c>
      <c r="BV88" s="795">
        <f>BV87-Demands!M7</f>
        <v>-0.21122967453000011</v>
      </c>
      <c r="BW88" s="795">
        <f>BW87-Demands!N7</f>
        <v>-0.35947150686919382</v>
      </c>
      <c r="BX88" s="795">
        <f>BX87-Demands!O7</f>
        <v>-0.27764031660174049</v>
      </c>
      <c r="BY88" s="795">
        <f>BY87-Demands!P7</f>
        <v>-0.27454770906457049</v>
      </c>
      <c r="BZ88" s="795">
        <f>BZ87-Demands!Q7</f>
        <v>-1.3865677011834334</v>
      </c>
      <c r="CA88" s="795">
        <f>CA87-Demands!R7</f>
        <v>-0.3985518275139987</v>
      </c>
      <c r="CB88" s="795">
        <f>CB87-Demands!S7</f>
        <v>-0.41974843133038731</v>
      </c>
      <c r="CC88" s="795">
        <f>CC87-Demands!T7</f>
        <v>-0.3439741523212404</v>
      </c>
      <c r="CD88" s="795">
        <f>CD87-Demands!U7</f>
        <v>-0.33674965434815163</v>
      </c>
      <c r="CE88" s="795">
        <f>CE87-Demands!V7</f>
        <v>-0.54407086113709324</v>
      </c>
      <c r="CF88" s="795">
        <f>CF87-Demands!W7</f>
        <v>-7.2971498112492733E-2</v>
      </c>
      <c r="CG88" s="795">
        <f>CG87-Demands!X7</f>
        <v>-0.31481837525529255</v>
      </c>
      <c r="CH88" s="795">
        <f>CH87-Demands!Y7</f>
        <v>-0.13428482325917124</v>
      </c>
      <c r="CI88" s="795">
        <f>CI87-Demands!Z7</f>
        <v>-0.15063933830818094</v>
      </c>
      <c r="CJ88" s="795">
        <f>CJ87-Demands!AA7</f>
        <v>-0.16135836701230394</v>
      </c>
      <c r="CK88" s="795">
        <f>CK87-Demands!AB7</f>
        <v>-0.35530692059300278</v>
      </c>
      <c r="CL88" s="795">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1">
        <f>F52*AF!E6*ACT2FLO!E10/1000</f>
        <v>1.4846309999999997E-3</v>
      </c>
      <c r="AJ90" s="781">
        <f>G52*AF!F6*ACT2FLO!F10/1000</f>
        <v>3.7417542080000005E-2</v>
      </c>
      <c r="AK90" s="781">
        <f>H52*AF!G6*ACT2FLO!G10/1000</f>
        <v>7.27459392E-3</v>
      </c>
      <c r="AL90" s="781">
        <f>I52*AF!H6*ACT2FLO!H10/1000</f>
        <v>2.3125440000000001E-3</v>
      </c>
      <c r="AM90" s="781">
        <f>J52*AF!I6*ACT2FLO!I10/1000</f>
        <v>1.3902300000000001E-3</v>
      </c>
      <c r="AN90" s="781">
        <f>K52*AF!J6*ACT2FLO!J10/1000</f>
        <v>1.1028841800000001E-3</v>
      </c>
      <c r="AO90" s="781">
        <f>L52*AF!K6*ACT2FLO!K10/1000</f>
        <v>2.3580899999999998E-3</v>
      </c>
      <c r="AP90" s="781">
        <f>M52*AF!L6*ACT2FLO!L10/1000</f>
        <v>5.5006175999999995E-3</v>
      </c>
      <c r="AQ90" s="781">
        <f>N52*AF!M6*ACT2FLO!M10/1000</f>
        <v>2.2033113600000002E-3</v>
      </c>
      <c r="AR90" s="781">
        <f>O52*AF!N6*ACT2FLO!N10/1000</f>
        <v>2.2064723999999998E-3</v>
      </c>
      <c r="AS90" s="781">
        <f>P52*AF!O6*ACT2FLO!O10/1000</f>
        <v>4.4015862000000008E-3</v>
      </c>
      <c r="AT90" s="781">
        <f>Q52*AF!P6*ACT2FLO!P10/1000</f>
        <v>4.438224000000001E-3</v>
      </c>
      <c r="AU90" s="781">
        <f>R52*AF!Q6*ACT2FLO!Q10/1000</f>
        <v>3.32484768E-3</v>
      </c>
      <c r="AV90" s="781">
        <f>S52*AF!R6*ACT2FLO!R10/1000</f>
        <v>1.656012288E-2</v>
      </c>
      <c r="AW90" s="781">
        <f>T52*AF!S6*ACT2FLO!S10/1000</f>
        <v>3.3015455999999997E-3</v>
      </c>
      <c r="AX90" s="781">
        <f>U52*AF!T6*ACT2FLO!T10/1000</f>
        <v>4.4223300000000012E-3</v>
      </c>
      <c r="AY90" s="781">
        <f>V52*AF!U6*ACT2FLO!U10/1000</f>
        <v>4.4125564799999996E-3</v>
      </c>
      <c r="AZ90" s="781">
        <f>W52*AF!V6*ACT2FLO!V10/1000</f>
        <v>3.423864E-3</v>
      </c>
      <c r="BA90" s="781">
        <f>X52*AF!W6*ACT2FLO!W10/1000</f>
        <v>4.4106249599999998E-3</v>
      </c>
      <c r="BB90" s="781">
        <f>Y52*AF!X6*ACT2FLO!X10/1000</f>
        <v>1.1030799999999998E-3</v>
      </c>
      <c r="BC90" s="781">
        <f>Z52*AF!Y6*ACT2FLO!Y10/1000</f>
        <v>2.2034825999999999E-3</v>
      </c>
      <c r="BD90" s="781">
        <f>AA52*AF!Z6*ACT2FLO!Z10/1000</f>
        <v>1.1029253499999999E-3</v>
      </c>
      <c r="BE90" s="781">
        <f>AB52*AF!AA6*ACT2FLO!AA10/1000</f>
        <v>1.101568E-3</v>
      </c>
      <c r="BF90" s="781">
        <f>AC52*AF!AB6*ACT2FLO!AB10/1000</f>
        <v>1.2145280000000001E-3</v>
      </c>
      <c r="BG90" s="781">
        <f>AD52*AF!AC6*ACT2FLO!AC10/1000</f>
        <v>2.2200998400000007E-3</v>
      </c>
      <c r="BH90" s="781">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880</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827" t="s">
        <v>713</v>
      </c>
      <c r="BL92" s="716" t="str">
        <f>BL82</f>
        <v>IE</v>
      </c>
      <c r="BM92" s="716" t="str">
        <f t="shared" ref="BM92:CL92" si="111">BM82</f>
        <v>IE-CW</v>
      </c>
      <c r="BN92" s="716" t="str">
        <f t="shared" si="111"/>
        <v>IE-D</v>
      </c>
      <c r="BO92" s="716" t="str">
        <f t="shared" si="111"/>
        <v>IE-KE</v>
      </c>
      <c r="BP92" s="716" t="str">
        <f t="shared" si="111"/>
        <v>IE-KK</v>
      </c>
      <c r="BQ92" s="716" t="str">
        <f t="shared" si="111"/>
        <v>IE-LS</v>
      </c>
      <c r="BR92" s="716" t="str">
        <f t="shared" si="111"/>
        <v>IE-LD</v>
      </c>
      <c r="BS92" s="716" t="str">
        <f t="shared" si="111"/>
        <v>IE-LH</v>
      </c>
      <c r="BT92" s="716" t="str">
        <f t="shared" si="111"/>
        <v>IE-MH</v>
      </c>
      <c r="BU92" s="716" t="str">
        <f t="shared" si="111"/>
        <v>IE-OY</v>
      </c>
      <c r="BV92" s="716" t="str">
        <f t="shared" si="111"/>
        <v>IE-WH</v>
      </c>
      <c r="BW92" s="716" t="str">
        <f t="shared" si="111"/>
        <v>IE-WX</v>
      </c>
      <c r="BX92" s="716" t="str">
        <f t="shared" si="111"/>
        <v>IE-WW</v>
      </c>
      <c r="BY92" s="716" t="str">
        <f t="shared" si="111"/>
        <v>IE-CE</v>
      </c>
      <c r="BZ92" s="716" t="str">
        <f t="shared" si="111"/>
        <v>IE-CO</v>
      </c>
      <c r="CA92" s="716" t="str">
        <f t="shared" si="111"/>
        <v>IE-KY</v>
      </c>
      <c r="CB92" s="716" t="str">
        <f t="shared" si="111"/>
        <v>IE-LK</v>
      </c>
      <c r="CC92" s="716" t="str">
        <f t="shared" si="111"/>
        <v>IE-TA</v>
      </c>
      <c r="CD92" s="716" t="str">
        <f t="shared" si="111"/>
        <v>IE-WD</v>
      </c>
      <c r="CE92" s="716" t="str">
        <f t="shared" si="111"/>
        <v>IE-G</v>
      </c>
      <c r="CF92" s="716" t="str">
        <f t="shared" si="111"/>
        <v>IE-LM</v>
      </c>
      <c r="CG92" s="716" t="str">
        <f t="shared" si="111"/>
        <v>IE-MO</v>
      </c>
      <c r="CH92" s="716" t="str">
        <f t="shared" si="111"/>
        <v>IE-RN</v>
      </c>
      <c r="CI92" s="716" t="str">
        <f t="shared" si="111"/>
        <v>IE-SO</v>
      </c>
      <c r="CJ92" s="716" t="str">
        <f t="shared" si="111"/>
        <v>IE-CN</v>
      </c>
      <c r="CK92" s="716" t="str">
        <f t="shared" si="111"/>
        <v>IE-DL</v>
      </c>
      <c r="CL92" s="716" t="str">
        <f t="shared" si="111"/>
        <v>IE-MN</v>
      </c>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826" t="str">
        <f>A74</f>
        <v>T-LGT-ICE_GSL00</v>
      </c>
      <c r="BL93" s="841">
        <f>E74*1000*AF!D23*1000*ACT2FLO!D28/1000000</f>
        <v>0.85132683000000031</v>
      </c>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826" t="str">
        <f t="shared" ref="BK94:BK97" si="112">A75</f>
        <v>T-LGT-ICE_DST00</v>
      </c>
      <c r="BL94" s="841">
        <f>E75*1000*AF!D24*1000*ACT2FLO!D29/1000000</f>
        <v>306.93967100099997</v>
      </c>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868</v>
      </c>
      <c r="C95" s="127" t="str">
        <f>Commodities!B6</f>
        <v>TRAWLK</v>
      </c>
      <c r="D95" s="127" t="str">
        <f>Commodities!B24</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826" t="str">
        <f t="shared" si="112"/>
        <v>T-MGT-ICE_DST00</v>
      </c>
      <c r="BL95" s="841">
        <f>E76*1000*AF!D25*1000*ACT2FLO!D30/1000000</f>
        <v>1165.5742751125001</v>
      </c>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868</v>
      </c>
      <c r="C96" s="651" t="str">
        <f>Commodities!B7</f>
        <v>TRACYC</v>
      </c>
      <c r="D96" s="651" t="str">
        <f>Commodities!B24</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2" t="s">
        <v>16</v>
      </c>
      <c r="AH96" s="777">
        <f t="shared" ref="AH96" si="113">SUM(AH90:AH95)</f>
        <v>67.476663407459995</v>
      </c>
      <c r="AI96" s="777">
        <f t="shared" ref="AI96" si="114">SUM(AI90:AI95)</f>
        <v>0.93916094199739741</v>
      </c>
      <c r="AJ96" s="777">
        <f t="shared" ref="AJ96" si="115">SUM(AJ90:AJ95)</f>
        <v>16.54623232531122</v>
      </c>
      <c r="AK96" s="777">
        <f t="shared" ref="AK96" si="116">SUM(AK90:AK95)</f>
        <v>3.3585098006505096</v>
      </c>
      <c r="AL96" s="777">
        <f t="shared" ref="AL96" si="117">SUM(AL90:AL95)</f>
        <v>1.6049885044971364</v>
      </c>
      <c r="AM96" s="777">
        <f t="shared" ref="AM96" si="118">SUM(AM90:AM95)</f>
        <v>1.1971593472086677</v>
      </c>
      <c r="AN96" s="777">
        <f t="shared" ref="AN96" si="119">SUM(AN90:AN95)</f>
        <v>0.61586836850909721</v>
      </c>
      <c r="AO96" s="777">
        <f t="shared" ref="AO96" si="120">SUM(AO90:AO95)</f>
        <v>1.6706679542211882</v>
      </c>
      <c r="AP96" s="777">
        <f t="shared" ref="AP96" si="121">SUM(AP90:AP95)</f>
        <v>2.8772078847486324</v>
      </c>
      <c r="AQ96" s="777">
        <f t="shared" ref="AQ96" si="122">SUM(AQ90:AQ95)</f>
        <v>1.2255027269692831</v>
      </c>
      <c r="AR96" s="777">
        <f t="shared" ref="AR96" si="123">SUM(AR90:AR95)</f>
        <v>1.3725212819747608</v>
      </c>
      <c r="AS96" s="777">
        <f t="shared" ref="AS96" si="124">SUM(AS90:AS95)</f>
        <v>2.4387290069750645</v>
      </c>
      <c r="AT96" s="777">
        <f t="shared" ref="AT96" si="125">SUM(AT90:AT95)</f>
        <v>2.0718674379153272</v>
      </c>
      <c r="AU96" s="777">
        <f t="shared" ref="AU96" si="126">SUM(AU90:AU95)</f>
        <v>1.8789272373127055</v>
      </c>
      <c r="AV96" s="777">
        <f t="shared" ref="AV96" si="127">SUM(AV90:AV95)</f>
        <v>7.5858674929288634</v>
      </c>
      <c r="AW96" s="777">
        <f t="shared" ref="AW96" si="128">SUM(AW90:AW95)</f>
        <v>2.5102943003068217</v>
      </c>
      <c r="AX96" s="777">
        <f t="shared" ref="AX96" si="129">SUM(AX90:AX95)</f>
        <v>2.8038798715760769</v>
      </c>
      <c r="AY96" s="777">
        <f t="shared" ref="AY96" si="130">SUM(AY90:AY95)</f>
        <v>2.7128157432435316</v>
      </c>
      <c r="AZ96" s="777">
        <f t="shared" ref="AZ96" si="131">SUM(AZ90:AZ95)</f>
        <v>1.7081945860740129</v>
      </c>
      <c r="BA96" s="777">
        <f t="shared" ref="BA96" si="132">SUM(BA90:BA95)</f>
        <v>3.8477456578695475</v>
      </c>
      <c r="BB96" s="777">
        <f t="shared" ref="BB96" si="133">SUM(BB90:BB95)</f>
        <v>0.50145333467243125</v>
      </c>
      <c r="BC96" s="777">
        <f t="shared" ref="BC96" si="134">SUM(BC90:BC95)</f>
        <v>2.1363889422296412</v>
      </c>
      <c r="BD96" s="777">
        <f t="shared" ref="BD96" si="135">SUM(BD90:BD95)</f>
        <v>1.1374453311296098</v>
      </c>
      <c r="BE96" s="777">
        <f t="shared" ref="BE96" si="136">SUM(BE90:BE95)</f>
        <v>0.93884328760395064</v>
      </c>
      <c r="BF96" s="777">
        <f t="shared" ref="BF96" si="137">SUM(BF90:BF95)</f>
        <v>1.161307950467465</v>
      </c>
      <c r="BG96" s="777">
        <f t="shared" ref="BG96" si="138">SUM(BG90:BG95)</f>
        <v>2.3748266594389795</v>
      </c>
      <c r="BH96" s="777">
        <f t="shared" ref="BH96" si="139">SUM(BH90:BH95)</f>
        <v>1.0466770024581407</v>
      </c>
      <c r="BK96" s="826" t="str">
        <f t="shared" si="112"/>
        <v>T-HGT-ICE_DST00</v>
      </c>
      <c r="BL96" s="841">
        <f>E77*1000*AF!D26*1000*ACT2FLO!D31/1000000</f>
        <v>10166.965535232002</v>
      </c>
    </row>
    <row r="97" spans="1:64"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c r="BK97" s="826" t="str">
        <f t="shared" si="112"/>
        <v>T-GTR-ICE_DST00</v>
      </c>
      <c r="BL97" s="841">
        <f>E78*1000*AF!D27*1000*ACT2FLO!D32/1000000</f>
        <v>90.842664639999995</v>
      </c>
    </row>
    <row r="98" spans="1:64"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4" s="459" customFormat="1">
      <c r="A99" s="453" t="s">
        <v>749</v>
      </c>
      <c r="B99" s="453"/>
      <c r="AG99" s="714" t="s">
        <v>1097</v>
      </c>
    </row>
    <row r="100" spans="1:64" s="459" customFormat="1" ht="15" thickBot="1">
      <c r="A100" s="41" t="s">
        <v>70</v>
      </c>
      <c r="B100" s="670" t="s">
        <v>171</v>
      </c>
      <c r="C100" s="829" t="s">
        <v>1152</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40">AI89</f>
        <v>IE-CW</v>
      </c>
      <c r="AJ100" s="716" t="str">
        <f t="shared" si="140"/>
        <v>IE-D</v>
      </c>
      <c r="AK100" s="716" t="str">
        <f t="shared" si="140"/>
        <v>IE-KE</v>
      </c>
      <c r="AL100" s="716" t="str">
        <f t="shared" si="140"/>
        <v>IE-KK</v>
      </c>
      <c r="AM100" s="716" t="str">
        <f t="shared" si="140"/>
        <v>IE-LS</v>
      </c>
      <c r="AN100" s="716" t="str">
        <f t="shared" si="140"/>
        <v>IE-LD</v>
      </c>
      <c r="AO100" s="716" t="str">
        <f t="shared" si="140"/>
        <v>IE-LH</v>
      </c>
      <c r="AP100" s="716" t="str">
        <f t="shared" si="140"/>
        <v>IE-MH</v>
      </c>
      <c r="AQ100" s="716" t="str">
        <f t="shared" si="140"/>
        <v>IE-OY</v>
      </c>
      <c r="AR100" s="716" t="str">
        <f t="shared" si="140"/>
        <v>IE-WH</v>
      </c>
      <c r="AS100" s="716" t="str">
        <f t="shared" si="140"/>
        <v>IE-WX</v>
      </c>
      <c r="AT100" s="716" t="str">
        <f t="shared" si="140"/>
        <v>IE-WW</v>
      </c>
      <c r="AU100" s="716" t="str">
        <f t="shared" si="140"/>
        <v>IE-CE</v>
      </c>
      <c r="AV100" s="716" t="str">
        <f t="shared" si="140"/>
        <v>IE-CO</v>
      </c>
      <c r="AW100" s="716" t="str">
        <f t="shared" si="140"/>
        <v>IE-KY</v>
      </c>
      <c r="AX100" s="716" t="str">
        <f t="shared" si="140"/>
        <v>IE-LK</v>
      </c>
      <c r="AY100" s="716" t="str">
        <f t="shared" si="140"/>
        <v>IE-TA</v>
      </c>
      <c r="AZ100" s="716" t="str">
        <f t="shared" si="140"/>
        <v>IE-WD</v>
      </c>
      <c r="BA100" s="716" t="str">
        <f t="shared" si="140"/>
        <v>IE-G</v>
      </c>
      <c r="BB100" s="716" t="str">
        <f t="shared" si="140"/>
        <v>IE-LM</v>
      </c>
      <c r="BC100" s="716" t="str">
        <f t="shared" si="140"/>
        <v>IE-MO</v>
      </c>
      <c r="BD100" s="716" t="str">
        <f t="shared" si="140"/>
        <v>IE-RN</v>
      </c>
      <c r="BE100" s="716" t="str">
        <f t="shared" si="140"/>
        <v>IE-SO</v>
      </c>
      <c r="BF100" s="716" t="str">
        <f t="shared" si="140"/>
        <v>IE-CN</v>
      </c>
      <c r="BG100" s="716" t="str">
        <f t="shared" si="140"/>
        <v>IE-DL</v>
      </c>
      <c r="BH100" s="716" t="str">
        <f t="shared" si="140"/>
        <v>IE-MN</v>
      </c>
    </row>
    <row r="101" spans="1:64" s="459" customFormat="1" ht="16.2">
      <c r="A101" s="455" t="s">
        <v>666</v>
      </c>
      <c r="B101" s="573"/>
      <c r="C101" s="828" t="s">
        <v>1153</v>
      </c>
      <c r="AG101" s="714" t="s">
        <v>368</v>
      </c>
      <c r="AH101" s="782">
        <f t="shared" ref="AH101:BH101" si="141">AH90-AH116-AH129-AH142</f>
        <v>9.0775131999996928E-4</v>
      </c>
      <c r="AI101" s="782">
        <f t="shared" si="141"/>
        <v>3.8463099999999943E-4</v>
      </c>
      <c r="AJ101" s="792">
        <f t="shared" si="141"/>
        <v>1.7542079999995075E-5</v>
      </c>
      <c r="AK101" s="782">
        <f t="shared" si="141"/>
        <v>6.745939199999983E-4</v>
      </c>
      <c r="AL101" s="782">
        <f t="shared" si="141"/>
        <v>1.1254399999999958E-4</v>
      </c>
      <c r="AM101" s="782">
        <f t="shared" si="141"/>
        <v>2.9022999999999994E-4</v>
      </c>
      <c r="AN101" s="782">
        <f t="shared" si="141"/>
        <v>2.8841799999998041E-6</v>
      </c>
      <c r="AO101" s="782">
        <f t="shared" si="141"/>
        <v>1.5808999999999919E-4</v>
      </c>
      <c r="AP101" s="782">
        <f t="shared" si="141"/>
        <v>6.1759999999983634E-7</v>
      </c>
      <c r="AQ101" s="782">
        <f t="shared" si="141"/>
        <v>3.3113599999996281E-6</v>
      </c>
      <c r="AR101" s="782">
        <f t="shared" si="141"/>
        <v>6.4723999999992572E-6</v>
      </c>
      <c r="AS101" s="782">
        <f t="shared" si="141"/>
        <v>1.5862000000001035E-6</v>
      </c>
      <c r="AT101" s="782">
        <f t="shared" si="141"/>
        <v>3.8223999999999897E-5</v>
      </c>
      <c r="AU101" s="782">
        <f t="shared" si="141"/>
        <v>2.4847679999999601E-5</v>
      </c>
      <c r="AV101" s="782">
        <f t="shared" si="141"/>
        <v>6.0122879999999213E-5</v>
      </c>
      <c r="AW101" s="782">
        <f t="shared" si="141"/>
        <v>1.5455999999992691E-6</v>
      </c>
      <c r="AX101" s="782">
        <f t="shared" si="141"/>
        <v>2.2330000000000527E-5</v>
      </c>
      <c r="AY101" s="782">
        <f t="shared" si="141"/>
        <v>1.2556479999998888E-5</v>
      </c>
      <c r="AZ101" s="782">
        <f t="shared" si="141"/>
        <v>1.2386399999999957E-4</v>
      </c>
      <c r="BA101" s="782">
        <f t="shared" si="141"/>
        <v>1.0624959999998643E-5</v>
      </c>
      <c r="BB101" s="782">
        <f t="shared" si="141"/>
        <v>3.0799999999995978E-6</v>
      </c>
      <c r="BC101" s="782">
        <f t="shared" si="141"/>
        <v>3.4825999999993015E-6</v>
      </c>
      <c r="BD101" s="782">
        <f t="shared" si="141"/>
        <v>2.9253499999997703E-6</v>
      </c>
      <c r="BE101" s="782">
        <f t="shared" si="141"/>
        <v>1.5679999999998603E-6</v>
      </c>
      <c r="BF101" s="782">
        <f t="shared" si="141"/>
        <v>1.1452799999999981E-4</v>
      </c>
      <c r="BG101" s="782">
        <f t="shared" si="141"/>
        <v>2.0099840000000098E-5</v>
      </c>
      <c r="BH101" s="782">
        <f t="shared" si="141"/>
        <v>4.5495999999999471E-6</v>
      </c>
    </row>
    <row r="102" spans="1:64" s="459" customFormat="1">
      <c r="A102" s="127" t="str">
        <f>A95</f>
        <v>T-WLK_WLK</v>
      </c>
      <c r="B102" s="671">
        <v>100</v>
      </c>
      <c r="C102" s="826">
        <v>0</v>
      </c>
      <c r="AG102" s="714" t="s">
        <v>367</v>
      </c>
      <c r="AH102" s="782">
        <f t="shared" ref="AH102:BH102" si="142">AH91-AH117-AH130-AH143</f>
        <v>8.1717555973064293E-3</v>
      </c>
      <c r="AI102" s="782">
        <f t="shared" si="142"/>
        <v>4.6179759223747285E-3</v>
      </c>
      <c r="AJ102" s="792">
        <f t="shared" si="142"/>
        <v>5.9646149028802498E-3</v>
      </c>
      <c r="AK102" s="782">
        <f t="shared" si="142"/>
        <v>1.3527164057488772E-2</v>
      </c>
      <c r="AL102" s="782">
        <f t="shared" si="142"/>
        <v>7.976437898721267E-3</v>
      </c>
      <c r="AM102" s="782">
        <f t="shared" si="142"/>
        <v>1.3794206747033133E-3</v>
      </c>
      <c r="AN102" s="782">
        <f t="shared" si="142"/>
        <v>1.862440074430205E-4</v>
      </c>
      <c r="AO102" s="782">
        <f t="shared" si="142"/>
        <v>5.533239026392911E-3</v>
      </c>
      <c r="AP102" s="782">
        <f t="shared" si="142"/>
        <v>1.0567262136346733E-2</v>
      </c>
      <c r="AQ102" s="782">
        <f t="shared" si="142"/>
        <v>2.9521114543379356E-3</v>
      </c>
      <c r="AR102" s="782">
        <f t="shared" si="142"/>
        <v>2.4089291476256935E-3</v>
      </c>
      <c r="AS102" s="782">
        <f t="shared" si="142"/>
        <v>7.2393063789962797E-3</v>
      </c>
      <c r="AT102" s="782">
        <f t="shared" si="142"/>
        <v>7.3918699315089764E-4</v>
      </c>
      <c r="AU102" s="782">
        <f t="shared" si="142"/>
        <v>9.0303115479455354E-3</v>
      </c>
      <c r="AV102" s="782">
        <f t="shared" si="142"/>
        <v>1.9445396121482439E-3</v>
      </c>
      <c r="AW102" s="782">
        <f t="shared" si="142"/>
        <v>1.2112778381917932E-2</v>
      </c>
      <c r="AX102" s="782">
        <f t="shared" si="142"/>
        <v>8.6571321269408585E-3</v>
      </c>
      <c r="AY102" s="782">
        <f t="shared" si="142"/>
        <v>5.3116014566211289E-3</v>
      </c>
      <c r="AZ102" s="782">
        <f t="shared" si="142"/>
        <v>1.0631193542468553E-3</v>
      </c>
      <c r="BA102" s="782">
        <f t="shared" si="142"/>
        <v>2.1368938397272608E-3</v>
      </c>
      <c r="BB102" s="782">
        <f t="shared" si="142"/>
        <v>8.0695188315077493E-4</v>
      </c>
      <c r="BC102" s="782">
        <f t="shared" si="142"/>
        <v>6.0211922039269394E-3</v>
      </c>
      <c r="BD102" s="782">
        <f t="shared" si="142"/>
        <v>2.6896360586760037E-3</v>
      </c>
      <c r="BE102" s="782">
        <f t="shared" si="142"/>
        <v>5.0806515136984642E-3</v>
      </c>
      <c r="BF102" s="782">
        <f t="shared" si="142"/>
        <v>5.7643835045663172E-3</v>
      </c>
      <c r="BG102" s="782">
        <f t="shared" si="142"/>
        <v>1.0930954856164465E-2</v>
      </c>
      <c r="BH102" s="782">
        <f t="shared" si="142"/>
        <v>5.0652062871235359E-3</v>
      </c>
    </row>
    <row r="103" spans="1:64" s="459" customFormat="1">
      <c r="A103" s="127" t="str">
        <f>A96</f>
        <v>T-CYC_CYC</v>
      </c>
      <c r="B103" s="671">
        <v>100</v>
      </c>
      <c r="C103" s="826">
        <v>0</v>
      </c>
      <c r="AG103" s="714" t="s">
        <v>364</v>
      </c>
      <c r="AH103" s="782">
        <f>AH92-AH118-AH131-AH144</f>
        <v>1.0856320719175305E-3</v>
      </c>
      <c r="AI103" s="782">
        <f t="shared" ref="AI103:BH103" si="143">AI92-AI118-AI131-AI144</f>
        <v>1.9644399119964594E-5</v>
      </c>
      <c r="AJ103" s="792">
        <f t="shared" si="143"/>
        <v>-7.5901983415244123E-4</v>
      </c>
      <c r="AK103" s="782">
        <f t="shared" si="143"/>
        <v>1.090658446741069E-4</v>
      </c>
      <c r="AL103" s="782">
        <f t="shared" si="143"/>
        <v>1.8894546714797768E-5</v>
      </c>
      <c r="AM103" s="782">
        <f t="shared" si="143"/>
        <v>-9.5821690041632615E-6</v>
      </c>
      <c r="AN103" s="782">
        <f t="shared" si="143"/>
        <v>-9.8141649231351779E-6</v>
      </c>
      <c r="AO103" s="782">
        <f t="shared" si="143"/>
        <v>-6.5368403343734824E-5</v>
      </c>
      <c r="AP103" s="782">
        <f t="shared" si="143"/>
        <v>1.4385637931503895E-4</v>
      </c>
      <c r="AQ103" s="782">
        <f t="shared" si="143"/>
        <v>-1.1785915466763427E-6</v>
      </c>
      <c r="AR103" s="782">
        <f t="shared" si="143"/>
        <v>-7.1626745926011912E-6</v>
      </c>
      <c r="AS103" s="782">
        <f t="shared" si="143"/>
        <v>1.1707971532442726E-5</v>
      </c>
      <c r="AT103" s="782">
        <f t="shared" si="143"/>
        <v>3.9456494846131299E-5</v>
      </c>
      <c r="AU103" s="782">
        <f t="shared" si="143"/>
        <v>4.5657866628035122E-5</v>
      </c>
      <c r="AV103" s="782">
        <f t="shared" si="143"/>
        <v>-2.6150459993834127E-4</v>
      </c>
      <c r="AW103" s="782">
        <f t="shared" si="143"/>
        <v>-4.9690535055332309E-5</v>
      </c>
      <c r="AX103" s="782">
        <f t="shared" si="143"/>
        <v>-3.1192799504458496E-6</v>
      </c>
      <c r="AY103" s="782">
        <f t="shared" si="143"/>
        <v>1.9489196862897649E-5</v>
      </c>
      <c r="AZ103" s="782">
        <f t="shared" si="143"/>
        <v>-3.3929678535733927E-5</v>
      </c>
      <c r="BA103" s="782">
        <f t="shared" si="143"/>
        <v>8.7519692804570101E-5</v>
      </c>
      <c r="BB103" s="782">
        <f t="shared" si="143"/>
        <v>-6.9465684931497695E-6</v>
      </c>
      <c r="BC103" s="782">
        <f t="shared" si="143"/>
        <v>4.1639525503902979E-5</v>
      </c>
      <c r="BD103" s="782">
        <f t="shared" si="143"/>
        <v>2.4105947995914367E-5</v>
      </c>
      <c r="BE103" s="782">
        <f t="shared" si="143"/>
        <v>6.0828638639284435E-6</v>
      </c>
      <c r="BF103" s="782">
        <f t="shared" si="143"/>
        <v>6.5282339667027851E-6</v>
      </c>
      <c r="BG103" s="782">
        <f t="shared" si="143"/>
        <v>-3.0118749789180381E-5</v>
      </c>
      <c r="BH103" s="782">
        <f t="shared" si="143"/>
        <v>-4.1137983223821922E-7</v>
      </c>
    </row>
    <row r="104" spans="1:64" s="459" customFormat="1" ht="15.6">
      <c r="A104" s="455" t="str">
        <f t="shared" ref="A104:A131" si="144">A51</f>
        <v>*Two-wheelers</v>
      </c>
      <c r="B104" s="573"/>
      <c r="C104" s="827"/>
      <c r="AG104" s="714" t="s">
        <v>588</v>
      </c>
      <c r="AH104" s="782">
        <f>AH93-AH119-AH132-AH145</f>
        <v>8.3756831917281005E-4</v>
      </c>
      <c r="AI104" s="782">
        <f t="shared" ref="AI104:BH104" si="145">AI93-AI119-AI132-AI145</f>
        <v>3.1262559999981065E-5</v>
      </c>
      <c r="AJ104" s="792">
        <f t="shared" si="145"/>
        <v>1.141439660000243E-3</v>
      </c>
      <c r="AK104" s="782">
        <f t="shared" si="145"/>
        <v>7.7059510000004883E-5</v>
      </c>
      <c r="AL104" s="782">
        <f t="shared" si="145"/>
        <v>7.190479999999444E-5</v>
      </c>
      <c r="AM104" s="782">
        <f t="shared" si="145"/>
        <v>2.3321799999996562E-5</v>
      </c>
      <c r="AN104" s="782">
        <f t="shared" si="145"/>
        <v>6.8797500000147838E-6</v>
      </c>
      <c r="AO104" s="782">
        <f t="shared" si="145"/>
        <v>5.4310000000695746E-6</v>
      </c>
      <c r="AP104" s="782">
        <f t="shared" si="145"/>
        <v>2.3260560000015751E-5</v>
      </c>
      <c r="AQ104" s="782">
        <f t="shared" si="145"/>
        <v>6.3602570000015346E-5</v>
      </c>
      <c r="AR104" s="782">
        <f t="shared" si="145"/>
        <v>4.590400000024919E-6</v>
      </c>
      <c r="AS104" s="782">
        <f t="shared" si="145"/>
        <v>3.9955999999868874E-6</v>
      </c>
      <c r="AT104" s="782">
        <f t="shared" si="145"/>
        <v>5.8334039999968779E-5</v>
      </c>
      <c r="AU104" s="782">
        <f t="shared" si="145"/>
        <v>2.4633420000003126E-5</v>
      </c>
      <c r="AV104" s="782">
        <f t="shared" si="145"/>
        <v>2.0708482000003636E-4</v>
      </c>
      <c r="AW104" s="782">
        <f t="shared" si="145"/>
        <v>2.3694080000025153E-5</v>
      </c>
      <c r="AX104" s="782">
        <f t="shared" si="145"/>
        <v>2.4644480000057811E-5</v>
      </c>
      <c r="AY104" s="782">
        <f t="shared" si="145"/>
        <v>5.4681280000107302E-5</v>
      </c>
      <c r="AZ104" s="782">
        <f t="shared" si="145"/>
        <v>3.5953720000009293E-5</v>
      </c>
      <c r="BA104" s="782">
        <f t="shared" si="145"/>
        <v>7.7642880000117209E-5</v>
      </c>
      <c r="BB104" s="782">
        <f t="shared" si="145"/>
        <v>2.5240000000106844E-7</v>
      </c>
      <c r="BC104" s="782">
        <f t="shared" si="145"/>
        <v>1.6032120000009087E-5</v>
      </c>
      <c r="BD104" s="782">
        <f t="shared" si="145"/>
        <v>2.9186000000007428E-5</v>
      </c>
      <c r="BE104" s="782">
        <f t="shared" si="145"/>
        <v>2.324480000016893E-6</v>
      </c>
      <c r="BF104" s="782">
        <f t="shared" si="145"/>
        <v>0.14722297666015732</v>
      </c>
      <c r="BG104" s="782">
        <f t="shared" si="145"/>
        <v>0.50688890424901156</v>
      </c>
      <c r="BH104" s="782">
        <f t="shared" si="145"/>
        <v>5.499050000003225E-5</v>
      </c>
    </row>
    <row r="105" spans="1:64" s="459" customFormat="1">
      <c r="A105" s="127" t="str">
        <f t="shared" si="144"/>
        <v>T-MOT-ICE_GSL00</v>
      </c>
      <c r="B105" s="671">
        <v>10</v>
      </c>
      <c r="C105" s="831">
        <v>0.3422293899248452</v>
      </c>
      <c r="AG105" s="714" t="s">
        <v>575</v>
      </c>
      <c r="AH105" s="782">
        <f>AH94-AH120-AH133-AH146</f>
        <v>4.0280289999999885E-5</v>
      </c>
      <c r="AI105" s="782">
        <f t="shared" ref="AI105:BH105" si="146">AI94-AI120-AI133-AI146</f>
        <v>0</v>
      </c>
      <c r="AJ105" s="792">
        <f t="shared" si="146"/>
        <v>4.0280289999999885E-5</v>
      </c>
      <c r="AK105" s="782">
        <f t="shared" si="146"/>
        <v>0</v>
      </c>
      <c r="AL105" s="782">
        <f t="shared" si="146"/>
        <v>0</v>
      </c>
      <c r="AM105" s="782">
        <f t="shared" si="146"/>
        <v>0</v>
      </c>
      <c r="AN105" s="782">
        <f t="shared" si="146"/>
        <v>0</v>
      </c>
      <c r="AO105" s="782">
        <f t="shared" si="146"/>
        <v>0</v>
      </c>
      <c r="AP105" s="782">
        <f t="shared" si="146"/>
        <v>0</v>
      </c>
      <c r="AQ105" s="782">
        <f t="shared" si="146"/>
        <v>0</v>
      </c>
      <c r="AR105" s="782">
        <f t="shared" si="146"/>
        <v>0</v>
      </c>
      <c r="AS105" s="782">
        <f t="shared" si="146"/>
        <v>0</v>
      </c>
      <c r="AT105" s="782">
        <f t="shared" si="146"/>
        <v>0</v>
      </c>
      <c r="AU105" s="782">
        <f t="shared" si="146"/>
        <v>0</v>
      </c>
      <c r="AV105" s="782">
        <f t="shared" si="146"/>
        <v>0</v>
      </c>
      <c r="AW105" s="782">
        <f t="shared" si="146"/>
        <v>0</v>
      </c>
      <c r="AX105" s="782">
        <f t="shared" si="146"/>
        <v>0</v>
      </c>
      <c r="AY105" s="782">
        <f t="shared" si="146"/>
        <v>0</v>
      </c>
      <c r="AZ105" s="782">
        <f t="shared" si="146"/>
        <v>0</v>
      </c>
      <c r="BA105" s="782">
        <f t="shared" si="146"/>
        <v>0</v>
      </c>
      <c r="BB105" s="782">
        <f t="shared" si="146"/>
        <v>0</v>
      </c>
      <c r="BC105" s="782">
        <f t="shared" si="146"/>
        <v>0</v>
      </c>
      <c r="BD105" s="782">
        <f t="shared" si="146"/>
        <v>0</v>
      </c>
      <c r="BE105" s="782">
        <f t="shared" si="146"/>
        <v>0</v>
      </c>
      <c r="BF105" s="782">
        <f t="shared" si="146"/>
        <v>0</v>
      </c>
      <c r="BG105" s="782">
        <f t="shared" si="146"/>
        <v>0</v>
      </c>
      <c r="BH105" s="782">
        <f t="shared" si="146"/>
        <v>0</v>
      </c>
    </row>
    <row r="106" spans="1:64" s="459" customFormat="1" ht="15.6">
      <c r="A106" s="455" t="str">
        <f t="shared" si="144"/>
        <v>*Private cars</v>
      </c>
      <c r="B106" s="573"/>
      <c r="C106" s="827"/>
      <c r="AG106" s="458" t="s">
        <v>366</v>
      </c>
      <c r="AH106" s="783">
        <f>AH95-AH121-AH134-AH147</f>
        <v>4.3993599994074373E-6</v>
      </c>
      <c r="AI106" s="783">
        <f t="shared" ref="AI106:BH106" si="147">AI95-AI121-AI134-AI147</f>
        <v>1.0575563472552119E-6</v>
      </c>
      <c r="AJ106" s="793">
        <f t="shared" si="147"/>
        <v>4.9267752624371219E-5</v>
      </c>
      <c r="AK106" s="783">
        <f t="shared" si="147"/>
        <v>4.13318551061026E-6</v>
      </c>
      <c r="AL106" s="783">
        <f t="shared" si="147"/>
        <v>1.8433118711830287E-6</v>
      </c>
      <c r="AM106" s="783">
        <f t="shared" si="147"/>
        <v>1.5733128985936928E-6</v>
      </c>
      <c r="AN106" s="783">
        <f t="shared" si="147"/>
        <v>7.592478848683637E-7</v>
      </c>
      <c r="AO106" s="783">
        <f t="shared" si="147"/>
        <v>2.3941209207345437E-6</v>
      </c>
      <c r="AP106" s="783">
        <f t="shared" si="147"/>
        <v>3.6230945723580987E-6</v>
      </c>
      <c r="AQ106" s="783">
        <f t="shared" si="147"/>
        <v>1.4481864397536404E-6</v>
      </c>
      <c r="AR106" s="783">
        <f t="shared" si="147"/>
        <v>1.6489720534237917E-6</v>
      </c>
      <c r="AS106" s="783">
        <f t="shared" si="147"/>
        <v>2.78120303912055E-6</v>
      </c>
      <c r="AT106" s="783">
        <f t="shared" si="147"/>
        <v>2.6456555673043392E-6</v>
      </c>
      <c r="AU106" s="783">
        <f t="shared" si="147"/>
        <v>2.2071185363514711E-6</v>
      </c>
      <c r="AV106" s="783">
        <f t="shared" si="147"/>
        <v>1.0084196921278377E-5</v>
      </c>
      <c r="AW106" s="783">
        <f t="shared" si="147"/>
        <v>2.7437728409990259E-6</v>
      </c>
      <c r="AX106" s="783">
        <f t="shared" si="147"/>
        <v>3.6204010841478507E-6</v>
      </c>
      <c r="AY106" s="783">
        <f t="shared" si="147"/>
        <v>2.9638215392757683E-6</v>
      </c>
      <c r="AZ106" s="783">
        <f t="shared" si="147"/>
        <v>2.1580598995041278E-6</v>
      </c>
      <c r="BA106" s="783">
        <f t="shared" si="147"/>
        <v>4.7936288178757058E-6</v>
      </c>
      <c r="BB106" s="783">
        <f t="shared" si="147"/>
        <v>5.952423170040716E-7</v>
      </c>
      <c r="BC106" s="783">
        <f t="shared" si="147"/>
        <v>2.4242694128401299E-6</v>
      </c>
      <c r="BD106" s="783">
        <f t="shared" si="147"/>
        <v>1.1989551900078166E-6</v>
      </c>
      <c r="BE106" s="783">
        <f t="shared" si="147"/>
        <v>1.2173637886844779E-6</v>
      </c>
      <c r="BF106" s="783">
        <f t="shared" si="147"/>
        <v>1.4150286712019677E-6</v>
      </c>
      <c r="BG106" s="783">
        <f t="shared" si="147"/>
        <v>2.9571156824476086E-6</v>
      </c>
      <c r="BH106" s="783">
        <f t="shared" si="147"/>
        <v>1.1402928745234131E-6</v>
      </c>
    </row>
    <row r="107" spans="1:64" s="459" customFormat="1">
      <c r="A107" s="127" t="str">
        <f t="shared" si="144"/>
        <v>T-CAR-ICE_GSL00</v>
      </c>
      <c r="B107" s="671">
        <v>15</v>
      </c>
      <c r="C107" s="831">
        <v>1.0145072391774981</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4" s="459" customFormat="1">
      <c r="A108" s="127" t="str">
        <f t="shared" si="144"/>
        <v>T-CAR-ICE_DST00</v>
      </c>
      <c r="B108" s="671">
        <v>15</v>
      </c>
      <c r="C108" s="831">
        <v>1.0145072391774981</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4" s="459" customFormat="1">
      <c r="A109" s="127" t="str">
        <f t="shared" si="144"/>
        <v>T-CAR-ICE_DF00</v>
      </c>
      <c r="B109" s="671">
        <v>15</v>
      </c>
      <c r="C109" s="831">
        <v>1.0145072391774981</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4" s="459" customFormat="1">
      <c r="A110" s="127" t="str">
        <f t="shared" si="144"/>
        <v>T-CAR-ICE_E8500</v>
      </c>
      <c r="B110" s="671">
        <v>15</v>
      </c>
      <c r="C110" s="831">
        <v>1.0145072391774981</v>
      </c>
    </row>
    <row r="111" spans="1:64" s="459" customFormat="1">
      <c r="A111" s="127" t="str">
        <f t="shared" si="144"/>
        <v>T-CAR-HEV_GSL00</v>
      </c>
      <c r="B111" s="671">
        <v>15</v>
      </c>
      <c r="C111" s="831">
        <v>1.0145072391774981</v>
      </c>
    </row>
    <row r="112" spans="1:64" s="459" customFormat="1">
      <c r="A112" s="127" t="str">
        <f t="shared" si="144"/>
        <v>T-CAR-HEV_DST00</v>
      </c>
      <c r="B112" s="671">
        <v>15</v>
      </c>
      <c r="C112" s="831">
        <v>1.0145072391774981</v>
      </c>
    </row>
    <row r="113" spans="1:60" s="459" customFormat="1">
      <c r="A113" s="127" t="str">
        <f t="shared" si="144"/>
        <v>T-CAR-PHEV_GSL00</v>
      </c>
      <c r="B113" s="671">
        <v>15</v>
      </c>
      <c r="C113" s="831">
        <v>1.0145072391774981</v>
      </c>
    </row>
    <row r="114" spans="1:60" s="459" customFormat="1">
      <c r="A114" s="127" t="str">
        <f t="shared" si="144"/>
        <v>T-CAR-PHEV_DST00</v>
      </c>
      <c r="B114" s="671">
        <v>15</v>
      </c>
      <c r="C114" s="831">
        <v>1.0145072391774981</v>
      </c>
      <c r="AG114" s="714" t="s">
        <v>1092</v>
      </c>
    </row>
    <row r="115" spans="1:60" s="459" customFormat="1">
      <c r="A115" s="127" t="str">
        <f t="shared" si="144"/>
        <v>T-CAR-BEV_ELC00</v>
      </c>
      <c r="B115" s="671">
        <v>15</v>
      </c>
      <c r="C115" s="831">
        <v>1.0145072391774981</v>
      </c>
      <c r="AG115" s="716" t="s">
        <v>359</v>
      </c>
      <c r="AH115" s="716" t="str">
        <f t="shared" ref="AH115:BH115" si="148">AH79</f>
        <v>IE</v>
      </c>
      <c r="AI115" s="716" t="str">
        <f t="shared" si="148"/>
        <v>IE-CW</v>
      </c>
      <c r="AJ115" s="716" t="str">
        <f t="shared" si="148"/>
        <v>IE-D</v>
      </c>
      <c r="AK115" s="716" t="str">
        <f t="shared" si="148"/>
        <v>IE-KE</v>
      </c>
      <c r="AL115" s="716" t="str">
        <f t="shared" si="148"/>
        <v>IE-KK</v>
      </c>
      <c r="AM115" s="716" t="str">
        <f t="shared" si="148"/>
        <v>IE-LS</v>
      </c>
      <c r="AN115" s="716" t="str">
        <f t="shared" si="148"/>
        <v>IE-LD</v>
      </c>
      <c r="AO115" s="716" t="str">
        <f t="shared" si="148"/>
        <v>IE-LH</v>
      </c>
      <c r="AP115" s="716" t="str">
        <f t="shared" si="148"/>
        <v>IE-MH</v>
      </c>
      <c r="AQ115" s="716" t="str">
        <f t="shared" si="148"/>
        <v>IE-OY</v>
      </c>
      <c r="AR115" s="716" t="str">
        <f t="shared" si="148"/>
        <v>IE-WH</v>
      </c>
      <c r="AS115" s="716" t="str">
        <f t="shared" si="148"/>
        <v>IE-WX</v>
      </c>
      <c r="AT115" s="716" t="str">
        <f t="shared" si="148"/>
        <v>IE-WW</v>
      </c>
      <c r="AU115" s="716" t="str">
        <f t="shared" si="148"/>
        <v>IE-CE</v>
      </c>
      <c r="AV115" s="716" t="str">
        <f t="shared" si="148"/>
        <v>IE-CO</v>
      </c>
      <c r="AW115" s="716" t="str">
        <f t="shared" si="148"/>
        <v>IE-KY</v>
      </c>
      <c r="AX115" s="716" t="str">
        <f t="shared" si="148"/>
        <v>IE-LK</v>
      </c>
      <c r="AY115" s="716" t="str">
        <f t="shared" si="148"/>
        <v>IE-TA</v>
      </c>
      <c r="AZ115" s="716" t="str">
        <f t="shared" si="148"/>
        <v>IE-WD</v>
      </c>
      <c r="BA115" s="716" t="str">
        <f t="shared" si="148"/>
        <v>IE-G</v>
      </c>
      <c r="BB115" s="716" t="str">
        <f t="shared" si="148"/>
        <v>IE-LM</v>
      </c>
      <c r="BC115" s="716" t="str">
        <f t="shared" si="148"/>
        <v>IE-MO</v>
      </c>
      <c r="BD115" s="716" t="str">
        <f t="shared" si="148"/>
        <v>IE-RN</v>
      </c>
      <c r="BE115" s="716" t="str">
        <f t="shared" si="148"/>
        <v>IE-SO</v>
      </c>
      <c r="BF115" s="716" t="str">
        <f t="shared" si="148"/>
        <v>IE-CN</v>
      </c>
      <c r="BG115" s="716" t="str">
        <f t="shared" si="148"/>
        <v>IE-DL</v>
      </c>
      <c r="BH115" s="716" t="str">
        <f t="shared" si="148"/>
        <v>IE-MN</v>
      </c>
    </row>
    <row r="116" spans="1:60" s="459" customFormat="1" ht="15.6">
      <c r="A116" s="455" t="str">
        <f t="shared" si="144"/>
        <v>*Small sevice vehicle</v>
      </c>
      <c r="B116" s="573"/>
      <c r="C116" s="827"/>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4"/>
        <v>T-TAX-ICE_GSL00</v>
      </c>
      <c r="B117" s="671">
        <v>10</v>
      </c>
      <c r="C117" s="831">
        <v>1.0145072391774981</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4"/>
        <v>T-TAX-ICE_DST00</v>
      </c>
      <c r="B118" s="671">
        <v>10</v>
      </c>
      <c r="C118" s="831">
        <v>1.0145072391774981</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4"/>
        <v>T-TAX-HEV_GSL00</v>
      </c>
      <c r="B119" s="671">
        <v>10</v>
      </c>
      <c r="C119" s="831">
        <v>1.0145072391774981</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4"/>
        <v>*Large sevice vehicle</v>
      </c>
      <c r="B120" s="638"/>
      <c r="C120" s="827"/>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4"/>
        <v>T-BUS-ICE_DST00</v>
      </c>
      <c r="B121" s="491">
        <v>15</v>
      </c>
      <c r="C121" s="831">
        <v>5.4979500000000003</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4"/>
        <v>*Rail</v>
      </c>
      <c r="B122" s="638"/>
      <c r="C122" s="827"/>
      <c r="AG122" s="771" t="s">
        <v>16</v>
      </c>
      <c r="AH122" s="777">
        <f t="shared" ref="AH122:BH122" si="149">SUM(AH116:AH121)</f>
        <v>9.0579199372469734</v>
      </c>
      <c r="AI122" s="777">
        <f t="shared" si="149"/>
        <v>0.1250173903291093</v>
      </c>
      <c r="AJ122" s="777">
        <f t="shared" si="149"/>
        <v>2.2578796214259493</v>
      </c>
      <c r="AK122" s="777">
        <f t="shared" si="149"/>
        <v>0.44641260943468231</v>
      </c>
      <c r="AL122" s="777">
        <f t="shared" si="149"/>
        <v>0.21172033298934936</v>
      </c>
      <c r="AM122" s="777">
        <f t="shared" si="149"/>
        <v>0.15945777945817216</v>
      </c>
      <c r="AN122" s="777">
        <f t="shared" si="149"/>
        <v>8.2067060412220116E-2</v>
      </c>
      <c r="AO122" s="777">
        <f t="shared" si="149"/>
        <v>0.221840938880425</v>
      </c>
      <c r="AP122" s="777">
        <f t="shared" si="149"/>
        <v>0.38490438203956606</v>
      </c>
      <c r="AQ122" s="777">
        <f t="shared" si="149"/>
        <v>0.16254011832421078</v>
      </c>
      <c r="AR122" s="777">
        <f t="shared" si="149"/>
        <v>0.18377321042832961</v>
      </c>
      <c r="AS122" s="777">
        <f t="shared" si="149"/>
        <v>0.32536156106320419</v>
      </c>
      <c r="AT122" s="777">
        <f t="shared" si="149"/>
        <v>0.27626604276303141</v>
      </c>
      <c r="AU122" s="777">
        <f t="shared" si="149"/>
        <v>0.25069330465526313</v>
      </c>
      <c r="AV122" s="777">
        <f t="shared" si="149"/>
        <v>1.0134900097492325</v>
      </c>
      <c r="AW122" s="777">
        <f t="shared" si="149"/>
        <v>0.33167680292763357</v>
      </c>
      <c r="AX122" s="777">
        <f t="shared" si="149"/>
        <v>0.37382311688544145</v>
      </c>
      <c r="AY122" s="777">
        <f t="shared" si="149"/>
        <v>0.36173920782796343</v>
      </c>
      <c r="AZ122" s="777">
        <f t="shared" si="149"/>
        <v>0.22839629867832109</v>
      </c>
      <c r="BA122" s="777">
        <f t="shared" si="149"/>
        <v>0.51233224603153271</v>
      </c>
      <c r="BB122" s="777">
        <f t="shared" si="149"/>
        <v>6.6996230924596181E-2</v>
      </c>
      <c r="BC122" s="777">
        <f t="shared" si="149"/>
        <v>0.28326513066178971</v>
      </c>
      <c r="BD122" s="777">
        <f t="shared" si="149"/>
        <v>0.15248077881166913</v>
      </c>
      <c r="BE122" s="777">
        <f t="shared" si="149"/>
        <v>0.12446935910671386</v>
      </c>
      <c r="BF122" s="777">
        <f t="shared" si="149"/>
        <v>0.13527846230146151</v>
      </c>
      <c r="BG122" s="777">
        <f t="shared" si="149"/>
        <v>0.24922565747082737</v>
      </c>
      <c r="BH122" s="777">
        <f t="shared" si="149"/>
        <v>0.13681228366627909</v>
      </c>
    </row>
    <row r="123" spans="1:60" s="459" customFormat="1">
      <c r="A123" s="127" t="str">
        <f t="shared" si="144"/>
        <v>T-LPT-BEV_ELC00</v>
      </c>
      <c r="B123" s="491">
        <v>30</v>
      </c>
      <c r="C123" s="831">
        <v>11.579167779363422</v>
      </c>
    </row>
    <row r="124" spans="1:60" s="459" customFormat="1">
      <c r="A124" s="127" t="str">
        <f t="shared" si="144"/>
        <v>T-HPT-BEV_ELC00</v>
      </c>
      <c r="B124" s="491">
        <v>30</v>
      </c>
      <c r="C124" s="831">
        <v>46.776118711690231</v>
      </c>
    </row>
    <row r="125" spans="1:60" s="459" customFormat="1">
      <c r="A125" s="127" t="str">
        <f t="shared" si="144"/>
        <v>T-HPT-ICE_DST00</v>
      </c>
      <c r="B125" s="491">
        <v>30</v>
      </c>
      <c r="C125" s="831">
        <v>49.463575487765617</v>
      </c>
    </row>
    <row r="126" spans="1:60" s="459" customFormat="1" ht="15.6">
      <c r="A126" s="455" t="str">
        <f t="shared" si="144"/>
        <v>*Goods vehicle</v>
      </c>
      <c r="B126" s="638"/>
      <c r="C126" s="827"/>
      <c r="AF126"/>
    </row>
    <row r="127" spans="1:60" s="459" customFormat="1">
      <c r="A127" s="127" t="str">
        <f t="shared" si="144"/>
        <v>T-LGT-ICE_GSL00</v>
      </c>
      <c r="B127" s="491">
        <v>20</v>
      </c>
      <c r="C127" s="832">
        <v>0.50484614131470373</v>
      </c>
      <c r="AF127"/>
      <c r="AG127" s="714" t="s">
        <v>1090</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4"/>
        <v>T-LGT-ICE_DST00</v>
      </c>
      <c r="B128" s="491">
        <v>20</v>
      </c>
      <c r="C128" s="832">
        <v>0.50484614131470373</v>
      </c>
      <c r="AF128"/>
      <c r="AG128" s="716" t="s">
        <v>359</v>
      </c>
      <c r="AH128" s="716" t="str">
        <f>AH115</f>
        <v>IE</v>
      </c>
      <c r="AI128" s="716" t="str">
        <f t="shared" ref="AI128:BH128" si="150">AI115</f>
        <v>IE-CW</v>
      </c>
      <c r="AJ128" s="716" t="str">
        <f t="shared" si="150"/>
        <v>IE-D</v>
      </c>
      <c r="AK128" s="716" t="str">
        <f t="shared" si="150"/>
        <v>IE-KE</v>
      </c>
      <c r="AL128" s="716" t="str">
        <f t="shared" si="150"/>
        <v>IE-KK</v>
      </c>
      <c r="AM128" s="716" t="str">
        <f t="shared" si="150"/>
        <v>IE-LS</v>
      </c>
      <c r="AN128" s="716" t="str">
        <f t="shared" si="150"/>
        <v>IE-LD</v>
      </c>
      <c r="AO128" s="716" t="str">
        <f t="shared" si="150"/>
        <v>IE-LH</v>
      </c>
      <c r="AP128" s="716" t="str">
        <f t="shared" si="150"/>
        <v>IE-MH</v>
      </c>
      <c r="AQ128" s="716" t="str">
        <f t="shared" si="150"/>
        <v>IE-OY</v>
      </c>
      <c r="AR128" s="716" t="str">
        <f t="shared" si="150"/>
        <v>IE-WH</v>
      </c>
      <c r="AS128" s="716" t="str">
        <f t="shared" si="150"/>
        <v>IE-WX</v>
      </c>
      <c r="AT128" s="716" t="str">
        <f t="shared" si="150"/>
        <v>IE-WW</v>
      </c>
      <c r="AU128" s="716" t="str">
        <f t="shared" si="150"/>
        <v>IE-CE</v>
      </c>
      <c r="AV128" s="716" t="str">
        <f t="shared" si="150"/>
        <v>IE-CO</v>
      </c>
      <c r="AW128" s="716" t="str">
        <f t="shared" si="150"/>
        <v>IE-KY</v>
      </c>
      <c r="AX128" s="716" t="str">
        <f t="shared" si="150"/>
        <v>IE-LK</v>
      </c>
      <c r="AY128" s="716" t="str">
        <f t="shared" si="150"/>
        <v>IE-TA</v>
      </c>
      <c r="AZ128" s="716" t="str">
        <f t="shared" si="150"/>
        <v>IE-WD</v>
      </c>
      <c r="BA128" s="716" t="str">
        <f t="shared" si="150"/>
        <v>IE-G</v>
      </c>
      <c r="BB128" s="716" t="str">
        <f t="shared" si="150"/>
        <v>IE-LM</v>
      </c>
      <c r="BC128" s="716" t="str">
        <f t="shared" si="150"/>
        <v>IE-MO</v>
      </c>
      <c r="BD128" s="716" t="str">
        <f t="shared" si="150"/>
        <v>IE-RN</v>
      </c>
      <c r="BE128" s="716" t="str">
        <f t="shared" si="150"/>
        <v>IE-SO</v>
      </c>
      <c r="BF128" s="716" t="str">
        <f t="shared" si="150"/>
        <v>IE-CN</v>
      </c>
      <c r="BG128" s="716" t="str">
        <f t="shared" si="150"/>
        <v>IE-DL</v>
      </c>
      <c r="BH128" s="716" t="str">
        <f t="shared" si="150"/>
        <v>IE-MN</v>
      </c>
    </row>
    <row r="129" spans="1:60" s="459" customFormat="1">
      <c r="A129" s="127" t="str">
        <f t="shared" si="144"/>
        <v>T-MGT-ICE_DST00</v>
      </c>
      <c r="B129" s="491">
        <v>20</v>
      </c>
      <c r="C129" s="832">
        <v>0.50484614131470373</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4"/>
        <v>T-HGT-ICE_DST00</v>
      </c>
      <c r="B130" s="491">
        <v>20</v>
      </c>
      <c r="C130" s="832">
        <v>0.50484614131470373</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4"/>
        <v>T-GTR-ICE_DST00</v>
      </c>
      <c r="B131" s="652">
        <v>30</v>
      </c>
      <c r="C131" s="830">
        <v>0.50484614131470373</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1" t="s">
        <v>16</v>
      </c>
      <c r="AH135" s="777">
        <f t="shared" ref="AH135:BH135" si="151">SUM(AH129:AH134)</f>
        <v>31.276118540280983</v>
      </c>
      <c r="AI135" s="777">
        <f t="shared" si="151"/>
        <v>0.43519149385547129</v>
      </c>
      <c r="AJ135" s="777">
        <f t="shared" si="151"/>
        <v>7.621153644998925</v>
      </c>
      <c r="AK135" s="777">
        <f t="shared" si="151"/>
        <v>1.5519093827676476</v>
      </c>
      <c r="AL135" s="777">
        <f t="shared" si="151"/>
        <v>0.73703191607760732</v>
      </c>
      <c r="AM135" s="777">
        <f t="shared" si="151"/>
        <v>0.55451713599955721</v>
      </c>
      <c r="AN135" s="777">
        <f t="shared" si="151"/>
        <v>0.28568437258778689</v>
      </c>
      <c r="AO135" s="777">
        <f t="shared" si="151"/>
        <v>0.76950577172521428</v>
      </c>
      <c r="AP135" s="777">
        <f t="shared" si="151"/>
        <v>1.3359499798250476</v>
      </c>
      <c r="AQ135" s="777">
        <f t="shared" si="151"/>
        <v>0.56616320344762305</v>
      </c>
      <c r="AR135" s="777">
        <f t="shared" si="151"/>
        <v>0.63911185847443019</v>
      </c>
      <c r="AS135" s="777">
        <f t="shared" si="151"/>
        <v>1.1334816009734383</v>
      </c>
      <c r="AT135" s="777">
        <f t="shared" si="151"/>
        <v>0.96185938421931261</v>
      </c>
      <c r="AU135" s="777">
        <f t="shared" si="151"/>
        <v>0.87235861089184219</v>
      </c>
      <c r="AV135" s="777">
        <f t="shared" si="151"/>
        <v>3.5254749048173282</v>
      </c>
      <c r="AW135" s="777">
        <f t="shared" si="151"/>
        <v>1.1538869884003555</v>
      </c>
      <c r="AX135" s="777">
        <f t="shared" si="151"/>
        <v>1.2995736671311429</v>
      </c>
      <c r="AY135" s="777">
        <f t="shared" si="151"/>
        <v>1.2604324784412986</v>
      </c>
      <c r="AZ135" s="777">
        <f t="shared" si="151"/>
        <v>0.79517788054022265</v>
      </c>
      <c r="BA135" s="777">
        <f t="shared" si="151"/>
        <v>1.7803554187858515</v>
      </c>
      <c r="BB135" s="777">
        <f t="shared" si="151"/>
        <v>0.23333731031609195</v>
      </c>
      <c r="BC135" s="777">
        <f t="shared" si="151"/>
        <v>0.98601597898071303</v>
      </c>
      <c r="BD135" s="777">
        <f t="shared" si="151"/>
        <v>0.53090140271719211</v>
      </c>
      <c r="BE135" s="777">
        <f t="shared" si="151"/>
        <v>0.43310682655274857</v>
      </c>
      <c r="BF135" s="777">
        <f t="shared" si="151"/>
        <v>0.47060177269376963</v>
      </c>
      <c r="BG135" s="777">
        <f t="shared" si="151"/>
        <v>0.86668930093951158</v>
      </c>
      <c r="BH135" s="777">
        <f t="shared" si="151"/>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1091</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981</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2">AI128</f>
        <v>IE-CW</v>
      </c>
      <c r="AJ141" s="716" t="str">
        <f t="shared" si="152"/>
        <v>IE-D</v>
      </c>
      <c r="AK141" s="716" t="str">
        <f t="shared" si="152"/>
        <v>IE-KE</v>
      </c>
      <c r="AL141" s="716" t="str">
        <f t="shared" si="152"/>
        <v>IE-KK</v>
      </c>
      <c r="AM141" s="716" t="str">
        <f t="shared" si="152"/>
        <v>IE-LS</v>
      </c>
      <c r="AN141" s="716" t="str">
        <f t="shared" si="152"/>
        <v>IE-LD</v>
      </c>
      <c r="AO141" s="716" t="str">
        <f t="shared" si="152"/>
        <v>IE-LH</v>
      </c>
      <c r="AP141" s="716" t="str">
        <f t="shared" si="152"/>
        <v>IE-MH</v>
      </c>
      <c r="AQ141" s="716" t="str">
        <f t="shared" si="152"/>
        <v>IE-OY</v>
      </c>
      <c r="AR141" s="716" t="str">
        <f t="shared" si="152"/>
        <v>IE-WH</v>
      </c>
      <c r="AS141" s="716" t="str">
        <f t="shared" si="152"/>
        <v>IE-WX</v>
      </c>
      <c r="AT141" s="716" t="str">
        <f t="shared" si="152"/>
        <v>IE-WW</v>
      </c>
      <c r="AU141" s="716" t="str">
        <f t="shared" si="152"/>
        <v>IE-CE</v>
      </c>
      <c r="AV141" s="716" t="str">
        <f t="shared" si="152"/>
        <v>IE-CO</v>
      </c>
      <c r="AW141" s="716" t="str">
        <f t="shared" si="152"/>
        <v>IE-KY</v>
      </c>
      <c r="AX141" s="716" t="str">
        <f t="shared" si="152"/>
        <v>IE-LK</v>
      </c>
      <c r="AY141" s="716" t="str">
        <f t="shared" si="152"/>
        <v>IE-TA</v>
      </c>
      <c r="AZ141" s="716" t="str">
        <f t="shared" si="152"/>
        <v>IE-WD</v>
      </c>
      <c r="BA141" s="716" t="str">
        <f t="shared" si="152"/>
        <v>IE-G</v>
      </c>
      <c r="BB141" s="716" t="str">
        <f t="shared" si="152"/>
        <v>IE-LM</v>
      </c>
      <c r="BC141" s="716" t="str">
        <f t="shared" si="152"/>
        <v>IE-MO</v>
      </c>
      <c r="BD141" s="716" t="str">
        <f t="shared" si="152"/>
        <v>IE-RN</v>
      </c>
      <c r="BE141" s="716" t="str">
        <f t="shared" si="152"/>
        <v>IE-SO</v>
      </c>
      <c r="BF141" s="716" t="str">
        <f t="shared" si="152"/>
        <v>IE-CN</v>
      </c>
      <c r="BG141" s="716" t="str">
        <f t="shared" si="152"/>
        <v>IE-DL</v>
      </c>
      <c r="BH141" s="716" t="str">
        <f t="shared" si="152"/>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Commodities!B15</f>
        <v>TRAELC</v>
      </c>
      <c r="C143" s="28" t="s">
        <v>1013</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1014</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Commodities!B15</f>
        <v>TRAELC</v>
      </c>
      <c r="C145" s="28" t="s">
        <v>1013</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1014</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Commodities!B13</f>
        <v>TRACNG</v>
      </c>
      <c r="C147" s="28" t="s">
        <v>1013</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1014</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1" t="s">
        <v>16</v>
      </c>
      <c r="AH148" s="777">
        <f t="shared" ref="AH148:BH148" si="153">SUM(AH142:AH147)</f>
        <v>27.131577542973641</v>
      </c>
      <c r="AI148" s="777">
        <f t="shared" si="153"/>
        <v>0.373897486374975</v>
      </c>
      <c r="AJ148" s="777">
        <f t="shared" si="153"/>
        <v>6.6607449340349936</v>
      </c>
      <c r="AK148" s="777">
        <f t="shared" si="153"/>
        <v>1.3457957919305059</v>
      </c>
      <c r="AL148" s="777">
        <f t="shared" si="153"/>
        <v>0.64805463087287241</v>
      </c>
      <c r="AM148" s="777">
        <f t="shared" si="153"/>
        <v>0.48149946813234051</v>
      </c>
      <c r="AN148" s="777">
        <f t="shared" si="153"/>
        <v>0.24792998248868528</v>
      </c>
      <c r="AO148" s="777">
        <f t="shared" si="153"/>
        <v>0.6736874578715788</v>
      </c>
      <c r="AP148" s="777">
        <f t="shared" si="153"/>
        <v>1.1456149031137848</v>
      </c>
      <c r="AQ148" s="777">
        <f t="shared" si="153"/>
        <v>0.49378011021821827</v>
      </c>
      <c r="AR148" s="777">
        <f t="shared" si="153"/>
        <v>0.54722173482691427</v>
      </c>
      <c r="AS148" s="777">
        <f t="shared" si="153"/>
        <v>0.97262646758485327</v>
      </c>
      <c r="AT148" s="777">
        <f t="shared" si="153"/>
        <v>0.83286416374941885</v>
      </c>
      <c r="AU148" s="777">
        <f t="shared" si="153"/>
        <v>0.74674766413249027</v>
      </c>
      <c r="AV148" s="777">
        <f t="shared" si="153"/>
        <v>3.0449422514531723</v>
      </c>
      <c r="AW148" s="777">
        <f t="shared" si="153"/>
        <v>1.0126394376791288</v>
      </c>
      <c r="AX148" s="777">
        <f t="shared" si="153"/>
        <v>1.1217784798314177</v>
      </c>
      <c r="AY148" s="777">
        <f t="shared" si="153"/>
        <v>1.0852427647392462</v>
      </c>
      <c r="AZ148" s="777">
        <f t="shared" si="153"/>
        <v>0.68342924139985861</v>
      </c>
      <c r="BA148" s="777">
        <f t="shared" si="153"/>
        <v>1.5527405180508134</v>
      </c>
      <c r="BB148" s="777">
        <f t="shared" si="153"/>
        <v>0.20031586047476846</v>
      </c>
      <c r="BC148" s="777">
        <f t="shared" si="153"/>
        <v>0.86102306186829447</v>
      </c>
      <c r="BD148" s="777">
        <f t="shared" si="153"/>
        <v>0.4513160972888865</v>
      </c>
      <c r="BE148" s="777">
        <f t="shared" si="153"/>
        <v>0.37617525772313692</v>
      </c>
      <c r="BF148" s="777">
        <f t="shared" si="153"/>
        <v>0.40231788404487251</v>
      </c>
      <c r="BG148" s="777">
        <f t="shared" si="153"/>
        <v>0.74109890371757148</v>
      </c>
      <c r="BH148" s="777">
        <f t="shared" si="153"/>
        <v>0.42809298937083867</v>
      </c>
    </row>
    <row r="149" spans="1:60" s="459" customFormat="1">
      <c r="A149" s="103" t="str">
        <f>Commodities!K42</f>
        <v>T-OTH_CON00</v>
      </c>
      <c r="B149" s="1" t="str">
        <f>Commodities!B13</f>
        <v>TRACNG</v>
      </c>
      <c r="C149" s="28" t="s">
        <v>1014</v>
      </c>
      <c r="D149" s="759">
        <f>'EB2018'!Z55/'EB2018'!AM55</f>
        <v>4.2308762790135457E-2</v>
      </c>
      <c r="E149" s="760">
        <f>D149</f>
        <v>4.2308762790135457E-2</v>
      </c>
      <c r="F149" s="760">
        <f t="shared" ref="F149:AD149" si="154">E149</f>
        <v>4.2308762790135457E-2</v>
      </c>
      <c r="G149" s="760">
        <f t="shared" si="154"/>
        <v>4.2308762790135457E-2</v>
      </c>
      <c r="H149" s="760">
        <f t="shared" si="154"/>
        <v>4.2308762790135457E-2</v>
      </c>
      <c r="I149" s="760">
        <f t="shared" si="154"/>
        <v>4.2308762790135457E-2</v>
      </c>
      <c r="J149" s="760">
        <f t="shared" si="154"/>
        <v>4.2308762790135457E-2</v>
      </c>
      <c r="K149" s="760">
        <f t="shared" si="154"/>
        <v>4.2308762790135457E-2</v>
      </c>
      <c r="L149" s="760">
        <f t="shared" si="154"/>
        <v>4.2308762790135457E-2</v>
      </c>
      <c r="M149" s="760">
        <f t="shared" si="154"/>
        <v>4.2308762790135457E-2</v>
      </c>
      <c r="N149" s="760">
        <f t="shared" si="154"/>
        <v>4.2308762790135457E-2</v>
      </c>
      <c r="O149" s="760">
        <f t="shared" si="154"/>
        <v>4.2308762790135457E-2</v>
      </c>
      <c r="P149" s="760">
        <f t="shared" si="154"/>
        <v>4.2308762790135457E-2</v>
      </c>
      <c r="Q149" s="760">
        <f t="shared" si="154"/>
        <v>4.2308762790135457E-2</v>
      </c>
      <c r="R149" s="760">
        <f t="shared" si="154"/>
        <v>4.2308762790135457E-2</v>
      </c>
      <c r="S149" s="760">
        <f t="shared" si="154"/>
        <v>4.2308762790135457E-2</v>
      </c>
      <c r="T149" s="760">
        <f t="shared" si="154"/>
        <v>4.2308762790135457E-2</v>
      </c>
      <c r="U149" s="760">
        <f t="shared" si="154"/>
        <v>4.2308762790135457E-2</v>
      </c>
      <c r="V149" s="760">
        <f t="shared" si="154"/>
        <v>4.2308762790135457E-2</v>
      </c>
      <c r="W149" s="760">
        <f t="shared" si="154"/>
        <v>4.2308762790135457E-2</v>
      </c>
      <c r="X149" s="760">
        <f t="shared" si="154"/>
        <v>4.2308762790135457E-2</v>
      </c>
      <c r="Y149" s="760">
        <f t="shared" si="154"/>
        <v>4.2308762790135457E-2</v>
      </c>
      <c r="Z149" s="760">
        <f t="shared" si="154"/>
        <v>4.2308762790135457E-2</v>
      </c>
      <c r="AA149" s="760">
        <f t="shared" si="154"/>
        <v>4.2308762790135457E-2</v>
      </c>
      <c r="AB149" s="760">
        <f t="shared" si="154"/>
        <v>4.2308762790135457E-2</v>
      </c>
      <c r="AC149" s="760">
        <f t="shared" si="154"/>
        <v>4.2308762790135457E-2</v>
      </c>
      <c r="AD149" s="760">
        <f t="shared" si="154"/>
        <v>4.2308762790135457E-2</v>
      </c>
      <c r="AF149"/>
    </row>
    <row r="150" spans="1:60" s="459" customFormat="1">
      <c r="A150" s="103" t="str">
        <f>Commodities!K42</f>
        <v>T-OTH_CON00</v>
      </c>
      <c r="B150" s="1" t="str">
        <f>Commodities!B20</f>
        <v>TRADSB</v>
      </c>
      <c r="C150" s="709" t="s">
        <v>1013</v>
      </c>
      <c r="D150" s="759">
        <f>('EB2018'!T55+(0.5*'EB2018'!AG55))/'EB2018'!AM55</f>
        <v>0.65951840599625633</v>
      </c>
      <c r="E150" s="760">
        <f>D150</f>
        <v>0.65951840599625633</v>
      </c>
      <c r="F150" s="760">
        <f t="shared" ref="F150:AD150" si="155">E150</f>
        <v>0.65951840599625633</v>
      </c>
      <c r="G150" s="760">
        <f t="shared" si="155"/>
        <v>0.65951840599625633</v>
      </c>
      <c r="H150" s="760">
        <f t="shared" si="155"/>
        <v>0.65951840599625633</v>
      </c>
      <c r="I150" s="760">
        <f t="shared" si="155"/>
        <v>0.65951840599625633</v>
      </c>
      <c r="J150" s="760">
        <f t="shared" si="155"/>
        <v>0.65951840599625633</v>
      </c>
      <c r="K150" s="760">
        <f t="shared" si="155"/>
        <v>0.65951840599625633</v>
      </c>
      <c r="L150" s="760">
        <f t="shared" si="155"/>
        <v>0.65951840599625633</v>
      </c>
      <c r="M150" s="760">
        <f t="shared" si="155"/>
        <v>0.65951840599625633</v>
      </c>
      <c r="N150" s="760">
        <f t="shared" si="155"/>
        <v>0.65951840599625633</v>
      </c>
      <c r="O150" s="760">
        <f t="shared" si="155"/>
        <v>0.65951840599625633</v>
      </c>
      <c r="P150" s="760">
        <f t="shared" si="155"/>
        <v>0.65951840599625633</v>
      </c>
      <c r="Q150" s="760">
        <f t="shared" si="155"/>
        <v>0.65951840599625633</v>
      </c>
      <c r="R150" s="760">
        <f t="shared" si="155"/>
        <v>0.65951840599625633</v>
      </c>
      <c r="S150" s="760">
        <f t="shared" si="155"/>
        <v>0.65951840599625633</v>
      </c>
      <c r="T150" s="760">
        <f t="shared" si="155"/>
        <v>0.65951840599625633</v>
      </c>
      <c r="U150" s="760">
        <f t="shared" si="155"/>
        <v>0.65951840599625633</v>
      </c>
      <c r="V150" s="760">
        <f t="shared" si="155"/>
        <v>0.65951840599625633</v>
      </c>
      <c r="W150" s="760">
        <f t="shared" si="155"/>
        <v>0.65951840599625633</v>
      </c>
      <c r="X150" s="760">
        <f t="shared" si="155"/>
        <v>0.65951840599625633</v>
      </c>
      <c r="Y150" s="760">
        <f t="shared" si="155"/>
        <v>0.65951840599625633</v>
      </c>
      <c r="Z150" s="760">
        <f t="shared" si="155"/>
        <v>0.65951840599625633</v>
      </c>
      <c r="AA150" s="760">
        <f t="shared" si="155"/>
        <v>0.65951840599625633</v>
      </c>
      <c r="AB150" s="760">
        <f t="shared" si="155"/>
        <v>0.65951840599625633</v>
      </c>
      <c r="AC150" s="760">
        <f t="shared" si="155"/>
        <v>0.65951840599625633</v>
      </c>
      <c r="AD150" s="760">
        <f t="shared" si="155"/>
        <v>0.65951840599625633</v>
      </c>
      <c r="AF150"/>
    </row>
    <row r="151" spans="1:60" s="714" customFormat="1">
      <c r="A151" s="762" t="str">
        <f>Commodities!K42</f>
        <v>T-OTH_CON00</v>
      </c>
      <c r="B151" s="458" t="str">
        <f>Commodities!B19</f>
        <v>TRAGSE</v>
      </c>
      <c r="C151" s="129" t="s">
        <v>1014</v>
      </c>
      <c r="D151" s="797">
        <f>1-D150-D149</f>
        <v>0.29817283121360821</v>
      </c>
      <c r="E151" s="797">
        <f t="shared" ref="E151:AD151" si="156">1-E150-E149</f>
        <v>0.29817283121360821</v>
      </c>
      <c r="F151" s="797">
        <f t="shared" si="156"/>
        <v>0.29817283121360821</v>
      </c>
      <c r="G151" s="797">
        <f t="shared" si="156"/>
        <v>0.29817283121360821</v>
      </c>
      <c r="H151" s="797">
        <f t="shared" si="156"/>
        <v>0.29817283121360821</v>
      </c>
      <c r="I151" s="797">
        <f t="shared" si="156"/>
        <v>0.29817283121360821</v>
      </c>
      <c r="J151" s="797">
        <f t="shared" si="156"/>
        <v>0.29817283121360821</v>
      </c>
      <c r="K151" s="797">
        <f t="shared" si="156"/>
        <v>0.29817283121360821</v>
      </c>
      <c r="L151" s="797">
        <f t="shared" si="156"/>
        <v>0.29817283121360821</v>
      </c>
      <c r="M151" s="797">
        <f t="shared" si="156"/>
        <v>0.29817283121360821</v>
      </c>
      <c r="N151" s="797">
        <f t="shared" si="156"/>
        <v>0.29817283121360821</v>
      </c>
      <c r="O151" s="797">
        <f t="shared" si="156"/>
        <v>0.29817283121360821</v>
      </c>
      <c r="P151" s="797">
        <f t="shared" si="156"/>
        <v>0.29817283121360821</v>
      </c>
      <c r="Q151" s="797">
        <f t="shared" si="156"/>
        <v>0.29817283121360821</v>
      </c>
      <c r="R151" s="797">
        <f t="shared" si="156"/>
        <v>0.29817283121360821</v>
      </c>
      <c r="S151" s="797">
        <f t="shared" si="156"/>
        <v>0.29817283121360821</v>
      </c>
      <c r="T151" s="797">
        <f t="shared" si="156"/>
        <v>0.29817283121360821</v>
      </c>
      <c r="U151" s="797">
        <f t="shared" si="156"/>
        <v>0.29817283121360821</v>
      </c>
      <c r="V151" s="797">
        <f t="shared" si="156"/>
        <v>0.29817283121360821</v>
      </c>
      <c r="W151" s="797">
        <f t="shared" si="156"/>
        <v>0.29817283121360821</v>
      </c>
      <c r="X151" s="797">
        <f t="shared" si="156"/>
        <v>0.29817283121360821</v>
      </c>
      <c r="Y151" s="797">
        <f t="shared" si="156"/>
        <v>0.29817283121360821</v>
      </c>
      <c r="Z151" s="797">
        <f t="shared" si="156"/>
        <v>0.29817283121360821</v>
      </c>
      <c r="AA151" s="797">
        <f t="shared" si="156"/>
        <v>0.29817283121360821</v>
      </c>
      <c r="AB151" s="797">
        <f t="shared" si="156"/>
        <v>0.29817283121360821</v>
      </c>
      <c r="AC151" s="797">
        <f t="shared" si="156"/>
        <v>0.29817283121360821</v>
      </c>
      <c r="AD151" s="797">
        <f t="shared" si="156"/>
        <v>0.29817283121360821</v>
      </c>
      <c r="AE151" s="760"/>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59"/>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c r="AA152" s="760"/>
      <c r="AB152" s="760"/>
      <c r="AC152" s="760"/>
      <c r="AD152" s="760"/>
      <c r="AF152"/>
      <c r="AG152" s="714" t="s">
        <v>1093</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c r="AA153" s="760"/>
      <c r="AB153" s="760"/>
      <c r="AC153" s="760"/>
      <c r="AD153" s="760"/>
      <c r="AE153" s="459"/>
      <c r="AF153"/>
      <c r="AG153" s="716" t="s">
        <v>359</v>
      </c>
      <c r="AH153" s="716" t="str">
        <f>AH141</f>
        <v>IE</v>
      </c>
      <c r="AI153" s="716" t="str">
        <f t="shared" ref="AI153:BH153" si="157">AI141</f>
        <v>IE-CW</v>
      </c>
      <c r="AJ153" s="716" t="str">
        <f t="shared" si="157"/>
        <v>IE-D</v>
      </c>
      <c r="AK153" s="716" t="str">
        <f t="shared" si="157"/>
        <v>IE-KE</v>
      </c>
      <c r="AL153" s="716" t="str">
        <f t="shared" si="157"/>
        <v>IE-KK</v>
      </c>
      <c r="AM153" s="716" t="str">
        <f t="shared" si="157"/>
        <v>IE-LS</v>
      </c>
      <c r="AN153" s="716" t="str">
        <f t="shared" si="157"/>
        <v>IE-LD</v>
      </c>
      <c r="AO153" s="716" t="str">
        <f t="shared" si="157"/>
        <v>IE-LH</v>
      </c>
      <c r="AP153" s="716" t="str">
        <f t="shared" si="157"/>
        <v>IE-MH</v>
      </c>
      <c r="AQ153" s="716" t="str">
        <f t="shared" si="157"/>
        <v>IE-OY</v>
      </c>
      <c r="AR153" s="716" t="str">
        <f t="shared" si="157"/>
        <v>IE-WH</v>
      </c>
      <c r="AS153" s="716" t="str">
        <f t="shared" si="157"/>
        <v>IE-WX</v>
      </c>
      <c r="AT153" s="716" t="str">
        <f t="shared" si="157"/>
        <v>IE-WW</v>
      </c>
      <c r="AU153" s="716" t="str">
        <f t="shared" si="157"/>
        <v>IE-CE</v>
      </c>
      <c r="AV153" s="716" t="str">
        <f t="shared" si="157"/>
        <v>IE-CO</v>
      </c>
      <c r="AW153" s="716" t="str">
        <f t="shared" si="157"/>
        <v>IE-KY</v>
      </c>
      <c r="AX153" s="716" t="str">
        <f t="shared" si="157"/>
        <v>IE-LK</v>
      </c>
      <c r="AY153" s="716" t="str">
        <f t="shared" si="157"/>
        <v>IE-TA</v>
      </c>
      <c r="AZ153" s="716" t="str">
        <f t="shared" si="157"/>
        <v>IE-WD</v>
      </c>
      <c r="BA153" s="716" t="str">
        <f t="shared" si="157"/>
        <v>IE-G</v>
      </c>
      <c r="BB153" s="716" t="str">
        <f t="shared" si="157"/>
        <v>IE-LM</v>
      </c>
      <c r="BC153" s="716" t="str">
        <f t="shared" si="157"/>
        <v>IE-MO</v>
      </c>
      <c r="BD153" s="716" t="str">
        <f t="shared" si="157"/>
        <v>IE-RN</v>
      </c>
      <c r="BE153" s="716" t="str">
        <f t="shared" si="157"/>
        <v>IE-SO</v>
      </c>
      <c r="BF153" s="716" t="str">
        <f t="shared" si="157"/>
        <v>IE-CN</v>
      </c>
      <c r="BG153" s="716" t="str">
        <f t="shared" si="157"/>
        <v>IE-DL</v>
      </c>
      <c r="BH153" s="716" t="str">
        <f t="shared" si="157"/>
        <v>IE-MN</v>
      </c>
    </row>
    <row r="154" spans="1:60" s="459" customFormat="1">
      <c r="A154" s="427" t="s">
        <v>70</v>
      </c>
      <c r="B154" s="427" t="s">
        <v>77</v>
      </c>
      <c r="C154" s="427" t="s">
        <v>65</v>
      </c>
      <c r="D154" s="427" t="s">
        <v>985</v>
      </c>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c r="AA154" s="760"/>
      <c r="AB154" s="760"/>
      <c r="AC154" s="760"/>
      <c r="AD154" s="760"/>
      <c r="AF154"/>
      <c r="AG154" s="714" t="s">
        <v>368</v>
      </c>
      <c r="AH154" s="10">
        <f>SUM(AI154:BH154)</f>
        <v>-2.1006370000001035E-4</v>
      </c>
      <c r="AI154" s="10">
        <f t="shared" ref="AI154:BH154" si="158">AI80-AI116-AI129-AI142</f>
        <v>5.3309409999999962E-4</v>
      </c>
      <c r="AJ154" s="10">
        <f t="shared" si="158"/>
        <v>1.4295247999999913E-3</v>
      </c>
      <c r="AK154" s="10">
        <f t="shared" si="158"/>
        <v>-9.4265600000000699E-5</v>
      </c>
      <c r="AL154" s="10">
        <f t="shared" si="158"/>
        <v>3.4379839999999946E-4</v>
      </c>
      <c r="AM154" s="10">
        <f t="shared" si="158"/>
        <v>4.2925299999999999E-4</v>
      </c>
      <c r="AN154" s="779">
        <f t="shared" si="158"/>
        <v>-4.7465330000000022E-4</v>
      </c>
      <c r="AO154" s="10">
        <f t="shared" si="158"/>
        <v>3.938989999999992E-4</v>
      </c>
      <c r="AP154" s="10">
        <f t="shared" si="158"/>
        <v>-4.5776719999999962E-4</v>
      </c>
      <c r="AQ154" s="10">
        <f t="shared" si="158"/>
        <v>-2.4544960000000022E-4</v>
      </c>
      <c r="AR154" s="10">
        <f t="shared" si="158"/>
        <v>-4.0213360000000069E-4</v>
      </c>
      <c r="AS154" s="10">
        <f t="shared" si="158"/>
        <v>1.5862000000001035E-6</v>
      </c>
      <c r="AT154" s="10">
        <f t="shared" si="158"/>
        <v>2.4956800000000036E-4</v>
      </c>
      <c r="AU154" s="10">
        <f t="shared" si="158"/>
        <v>-5.292935999999999E-4</v>
      </c>
      <c r="AV154" s="10">
        <f t="shared" si="158"/>
        <v>-3.7952639999999649E-4</v>
      </c>
      <c r="AW154" s="10">
        <f t="shared" si="158"/>
        <v>-1.6922399999999994E-4</v>
      </c>
      <c r="AX154" s="10">
        <f t="shared" si="158"/>
        <v>2.2330000000000527E-5</v>
      </c>
      <c r="AY154" s="10">
        <f t="shared" si="158"/>
        <v>-2.1567920000000037E-4</v>
      </c>
      <c r="AZ154" s="10">
        <f t="shared" si="158"/>
        <v>4.6625039999999979E-4</v>
      </c>
      <c r="BA154" s="10">
        <f t="shared" si="158"/>
        <v>-6.8136200000001694E-5</v>
      </c>
      <c r="BB154" s="10">
        <f t="shared" si="158"/>
        <v>-6.2040000000000012E-4</v>
      </c>
      <c r="BC154" s="10">
        <f t="shared" si="158"/>
        <v>-3.9117100000000027E-4</v>
      </c>
      <c r="BD154" s="10">
        <f t="shared" si="158"/>
        <v>-2.1443950000000014E-4</v>
      </c>
      <c r="BE154" s="10">
        <f t="shared" si="158"/>
        <v>6.512E-5</v>
      </c>
      <c r="BF154" s="10">
        <f t="shared" si="158"/>
        <v>2.3598079999999984E-4</v>
      </c>
      <c r="BG154" s="10">
        <f t="shared" si="158"/>
        <v>6.1212799999999998E-5</v>
      </c>
      <c r="BH154" s="10">
        <f t="shared" si="158"/>
        <v>-1.795420000000002E-4</v>
      </c>
    </row>
    <row r="155" spans="1:60" s="714" customFormat="1">
      <c r="A155" s="459" t="str">
        <f>A143</f>
        <v>T-CAR-PHEV_GSL00</v>
      </c>
      <c r="B155" s="714" t="str">
        <f>B143</f>
        <v>TRAELC</v>
      </c>
      <c r="C155" s="459" t="s">
        <v>1013</v>
      </c>
      <c r="D155" s="714">
        <v>5</v>
      </c>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c r="AA155" s="760"/>
      <c r="AB155" s="760"/>
      <c r="AC155" s="760"/>
      <c r="AD155" s="760"/>
      <c r="AE155" s="459"/>
      <c r="AF155"/>
      <c r="AG155" s="714" t="s">
        <v>367</v>
      </c>
      <c r="AH155" s="10">
        <f t="shared" ref="AH155:AH159" si="159">SUM(AI155:BH155)</f>
        <v>0.12345540428824375</v>
      </c>
      <c r="AI155" s="10">
        <f t="shared" ref="AI155:BH155" si="160">AI81-AI117-AI130-AI143</f>
        <v>3.8998346384927496E-4</v>
      </c>
      <c r="AJ155" s="10">
        <f t="shared" si="160"/>
        <v>-0.27613494420699514</v>
      </c>
      <c r="AK155" s="10">
        <f t="shared" si="160"/>
        <v>-1.8982995394005719E-2</v>
      </c>
      <c r="AL155" s="10">
        <f t="shared" si="160"/>
        <v>3.5205306947200032E-2</v>
      </c>
      <c r="AM155" s="10">
        <f t="shared" si="160"/>
        <v>2.7368653688593092E-3</v>
      </c>
      <c r="AN155" s="10">
        <f t="shared" si="160"/>
        <v>2.2192535981343048E-2</v>
      </c>
      <c r="AO155" s="10">
        <f t="shared" si="160"/>
        <v>-1.0564990289604781E-2</v>
      </c>
      <c r="AP155" s="10">
        <f t="shared" si="160"/>
        <v>-1.8210606392831008E-2</v>
      </c>
      <c r="AQ155" s="10">
        <f t="shared" si="160"/>
        <v>-2.2999805227897907E-3</v>
      </c>
      <c r="AR155" s="10">
        <f t="shared" si="160"/>
        <v>3.993358396776836E-3</v>
      </c>
      <c r="AS155" s="10">
        <f t="shared" si="160"/>
        <v>-3.8043652971792019E-3</v>
      </c>
      <c r="AT155" s="10">
        <f t="shared" si="160"/>
        <v>-8.4899782482507069E-3</v>
      </c>
      <c r="AU155" s="10">
        <f t="shared" si="160"/>
        <v>4.7212466622714722E-4</v>
      </c>
      <c r="AV155" s="10">
        <f t="shared" si="160"/>
        <v>1.0604361489668701E-2</v>
      </c>
      <c r="AW155" s="10">
        <f t="shared" si="160"/>
        <v>2.7686395446515411E-2</v>
      </c>
      <c r="AX155" s="10">
        <f t="shared" si="160"/>
        <v>-1.9529207384409997E-2</v>
      </c>
      <c r="AY155" s="10">
        <f t="shared" si="160"/>
        <v>-6.7388834005140952E-3</v>
      </c>
      <c r="AZ155" s="10">
        <f t="shared" si="160"/>
        <v>3.0465651846757202E-3</v>
      </c>
      <c r="BA155" s="10">
        <f t="shared" si="160"/>
        <v>0.32724868525931194</v>
      </c>
      <c r="BB155" s="10">
        <f t="shared" si="160"/>
        <v>7.1862541035659921E-3</v>
      </c>
      <c r="BC155" s="10">
        <f t="shared" si="160"/>
        <v>8.3174957481649825E-3</v>
      </c>
      <c r="BD155" s="10">
        <f t="shared" si="160"/>
        <v>4.0246787026639863E-3</v>
      </c>
      <c r="BE155" s="10">
        <f t="shared" si="160"/>
        <v>8.8197873953682615E-4</v>
      </c>
      <c r="BF155" s="10">
        <f t="shared" si="160"/>
        <v>8.6282727963016281E-4</v>
      </c>
      <c r="BG155" s="10">
        <f t="shared" si="160"/>
        <v>1.5998362115630105E-3</v>
      </c>
      <c r="BH155" s="10">
        <f t="shared" si="160"/>
        <v>3.1762102435271833E-2</v>
      </c>
    </row>
    <row r="156" spans="1:60" s="459" customFormat="1">
      <c r="A156" s="714"/>
      <c r="B156" s="714" t="str">
        <f>B155</f>
        <v>TRAELC</v>
      </c>
      <c r="C156" s="714" t="s">
        <v>1014</v>
      </c>
      <c r="D156" s="714">
        <v>5</v>
      </c>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c r="AA156" s="760"/>
      <c r="AB156" s="760"/>
      <c r="AC156" s="760"/>
      <c r="AD156" s="760"/>
      <c r="AE156" s="714"/>
      <c r="AF156"/>
      <c r="AG156" s="714" t="s">
        <v>364</v>
      </c>
      <c r="AH156" s="10">
        <f t="shared" si="159"/>
        <v>2.7904121704018336E-3</v>
      </c>
      <c r="AI156" s="10">
        <f t="shared" ref="AI156:BH156" si="161">AI82-AI118-AI131-AI144</f>
        <v>1.1918590887485597E-3</v>
      </c>
      <c r="AJ156" s="10">
        <f t="shared" si="161"/>
        <v>-7.8285844604120136E-6</v>
      </c>
      <c r="AK156" s="10">
        <f t="shared" si="161"/>
        <v>-1.5969446932317943E-4</v>
      </c>
      <c r="AL156" s="10">
        <f t="shared" si="161"/>
        <v>-5.1810100130308782E-5</v>
      </c>
      <c r="AM156" s="10">
        <f t="shared" si="161"/>
        <v>5.7187608060896202E-4</v>
      </c>
      <c r="AN156" s="10">
        <f t="shared" si="161"/>
        <v>-8.1217647245308095E-5</v>
      </c>
      <c r="AO156" s="10">
        <f t="shared" si="161"/>
        <v>-7.558963058003753E-4</v>
      </c>
      <c r="AP156" s="10">
        <f t="shared" si="161"/>
        <v>6.6850769889666498E-4</v>
      </c>
      <c r="AQ156" s="10">
        <f t="shared" si="161"/>
        <v>4.5266286792323539E-4</v>
      </c>
      <c r="AR156" s="10">
        <f t="shared" si="161"/>
        <v>-3.3710209944540128E-4</v>
      </c>
      <c r="AS156" s="10">
        <f t="shared" si="161"/>
        <v>-9.0229247642055477E-4</v>
      </c>
      <c r="AT156" s="10">
        <f t="shared" si="161"/>
        <v>-3.4298659289144599E-4</v>
      </c>
      <c r="AU156" s="10">
        <f t="shared" si="161"/>
        <v>-5.9711793155221675E-5</v>
      </c>
      <c r="AV156" s="10">
        <f t="shared" si="161"/>
        <v>-1.4366429752186646E-4</v>
      </c>
      <c r="AW156" s="10">
        <f t="shared" si="161"/>
        <v>1.6534471696013752E-4</v>
      </c>
      <c r="AX156" s="10">
        <f t="shared" si="161"/>
        <v>-1.2589876711837696E-3</v>
      </c>
      <c r="AY156" s="10">
        <f t="shared" si="161"/>
        <v>3.478699466056721E-4</v>
      </c>
      <c r="AZ156" s="10">
        <f t="shared" si="161"/>
        <v>1.163479537572793E-3</v>
      </c>
      <c r="BA156" s="10">
        <f t="shared" si="161"/>
        <v>9.4865971851556229E-4</v>
      </c>
      <c r="BB156" s="10">
        <f t="shared" si="161"/>
        <v>-3.0857782315191792E-4</v>
      </c>
      <c r="BC156" s="10">
        <f t="shared" si="161"/>
        <v>1.7778212501445758E-4</v>
      </c>
      <c r="BD156" s="10">
        <f t="shared" si="161"/>
        <v>1.885589242438656E-4</v>
      </c>
      <c r="BE156" s="10">
        <f t="shared" si="161"/>
        <v>9.4877460340283062E-4</v>
      </c>
      <c r="BF156" s="10">
        <f t="shared" si="161"/>
        <v>3.0956105874546018E-4</v>
      </c>
      <c r="BG156" s="10">
        <f t="shared" si="161"/>
        <v>-2.9761153845911641E-4</v>
      </c>
      <c r="BH156" s="10">
        <f t="shared" si="161"/>
        <v>3.6285720235251047E-4</v>
      </c>
    </row>
    <row r="157" spans="1:60" s="459" customFormat="1">
      <c r="A157" s="714" t="str">
        <f>A145</f>
        <v>T-CAR-PHEV_DST00</v>
      </c>
      <c r="B157" s="714" t="str">
        <f>B145</f>
        <v>TRAELC</v>
      </c>
      <c r="C157" s="714" t="s">
        <v>1013</v>
      </c>
      <c r="D157" s="714">
        <v>5</v>
      </c>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c r="AA157" s="760"/>
      <c r="AB157" s="760"/>
      <c r="AC157" s="760"/>
      <c r="AD157" s="760"/>
      <c r="AF157"/>
      <c r="AG157" s="714" t="s">
        <v>588</v>
      </c>
      <c r="AH157" s="10">
        <f>SUM(AI157:BH157)</f>
        <v>0.70332718656916882</v>
      </c>
      <c r="AI157" s="10">
        <f t="shared" ref="AI157:BH157" si="162">AI83-AI119-AI132-AI145</f>
        <v>9.0883109999999878E-3</v>
      </c>
      <c r="AJ157" s="10">
        <f t="shared" si="162"/>
        <v>-6.6439314999999777E-3</v>
      </c>
      <c r="AK157" s="10">
        <f t="shared" si="162"/>
        <v>-1.0555042250000007E-2</v>
      </c>
      <c r="AL157" s="10">
        <f t="shared" si="162"/>
        <v>-7.3324300000000286E-3</v>
      </c>
      <c r="AM157" s="10">
        <f t="shared" si="162"/>
        <v>1.3124417499999999E-2</v>
      </c>
      <c r="AN157" s="10">
        <f t="shared" si="162"/>
        <v>2.6711812500000084E-3</v>
      </c>
      <c r="AO157" s="10">
        <f t="shared" si="162"/>
        <v>1.092670500000005E-2</v>
      </c>
      <c r="AP157" s="10">
        <f t="shared" si="162"/>
        <v>1.3492019999999938E-3</v>
      </c>
      <c r="AQ157" s="10">
        <f t="shared" si="162"/>
        <v>-7.8562022499999995E-3</v>
      </c>
      <c r="AR157" s="10">
        <f t="shared" si="162"/>
        <v>4.7654800000000094E-3</v>
      </c>
      <c r="AS157" s="10">
        <f t="shared" si="162"/>
        <v>-5.3872705000000271E-3</v>
      </c>
      <c r="AT157" s="10">
        <f t="shared" si="162"/>
        <v>-4.100934250000049E-3</v>
      </c>
      <c r="AU157" s="10">
        <f t="shared" si="162"/>
        <v>9.7362614999999819E-3</v>
      </c>
      <c r="AV157" s="10">
        <f t="shared" si="162"/>
        <v>1.3690945000000565E-3</v>
      </c>
      <c r="AW157" s="10">
        <f t="shared" si="162"/>
        <v>9.3792320000000151E-3</v>
      </c>
      <c r="AX157" s="10">
        <f t="shared" si="162"/>
        <v>-2.9164584999999965E-3</v>
      </c>
      <c r="AY157" s="10">
        <f t="shared" si="162"/>
        <v>-8.6951479999999581E-3</v>
      </c>
      <c r="AZ157" s="10">
        <f t="shared" si="162"/>
        <v>-1.2026351500000004E-2</v>
      </c>
      <c r="BA157" s="10">
        <f t="shared" si="162"/>
        <v>-2.2233820000000515E-3</v>
      </c>
      <c r="BB157" s="10">
        <f t="shared" si="162"/>
        <v>5.3360950000000025E-3</v>
      </c>
      <c r="BC157" s="10">
        <f t="shared" si="162"/>
        <v>-5.8649630000000008E-3</v>
      </c>
      <c r="BD157" s="10">
        <f t="shared" si="162"/>
        <v>-3.2972500000000987E-4</v>
      </c>
      <c r="BE157" s="10">
        <f t="shared" si="162"/>
        <v>4.1979170000000163E-3</v>
      </c>
      <c r="BF157" s="10">
        <f t="shared" si="162"/>
        <v>0.16102028382015729</v>
      </c>
      <c r="BG157" s="10">
        <f t="shared" si="162"/>
        <v>0.54423985424901145</v>
      </c>
      <c r="BH157" s="10">
        <f t="shared" si="162"/>
        <v>5.499050000003225E-5</v>
      </c>
    </row>
    <row r="158" spans="1:60" s="459" customFormat="1">
      <c r="A158" s="714"/>
      <c r="B158" s="714" t="str">
        <f>B157</f>
        <v>TRAELC</v>
      </c>
      <c r="C158" s="714" t="s">
        <v>1014</v>
      </c>
      <c r="D158" s="714">
        <v>5</v>
      </c>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c r="AA158" s="760"/>
      <c r="AB158" s="760"/>
      <c r="AC158" s="760"/>
      <c r="AD158" s="760"/>
      <c r="AE158" s="714"/>
      <c r="AF158"/>
      <c r="AG158" s="714" t="s">
        <v>575</v>
      </c>
      <c r="AH158" s="779">
        <f t="shared" si="159"/>
        <v>-2.8086984416308969E-6</v>
      </c>
      <c r="AI158" s="778">
        <f t="shared" ref="AI158:BH158" si="163">AI84-AI120-AI133-AI146</f>
        <v>0</v>
      </c>
      <c r="AJ158" s="778">
        <f t="shared" si="163"/>
        <v>-2.8086984416308969E-6</v>
      </c>
      <c r="AK158" s="778">
        <f t="shared" si="163"/>
        <v>0</v>
      </c>
      <c r="AL158" s="778">
        <f t="shared" si="163"/>
        <v>0</v>
      </c>
      <c r="AM158" s="778">
        <f t="shared" si="163"/>
        <v>0</v>
      </c>
      <c r="AN158" s="778">
        <f t="shared" si="163"/>
        <v>0</v>
      </c>
      <c r="AO158" s="778">
        <f t="shared" si="163"/>
        <v>0</v>
      </c>
      <c r="AP158" s="778">
        <f t="shared" si="163"/>
        <v>0</v>
      </c>
      <c r="AQ158" s="778">
        <f t="shared" si="163"/>
        <v>0</v>
      </c>
      <c r="AR158" s="778">
        <f t="shared" si="163"/>
        <v>0</v>
      </c>
      <c r="AS158" s="778">
        <f t="shared" si="163"/>
        <v>0</v>
      </c>
      <c r="AT158" s="778">
        <f t="shared" si="163"/>
        <v>0</v>
      </c>
      <c r="AU158" s="778">
        <f t="shared" si="163"/>
        <v>0</v>
      </c>
      <c r="AV158" s="778">
        <f t="shared" si="163"/>
        <v>0</v>
      </c>
      <c r="AW158" s="778">
        <f t="shared" si="163"/>
        <v>0</v>
      </c>
      <c r="AX158" s="778">
        <f t="shared" si="163"/>
        <v>0</v>
      </c>
      <c r="AY158" s="778">
        <f t="shared" si="163"/>
        <v>0</v>
      </c>
      <c r="AZ158" s="778">
        <f t="shared" si="163"/>
        <v>0</v>
      </c>
      <c r="BA158" s="778">
        <f t="shared" si="163"/>
        <v>0</v>
      </c>
      <c r="BB158" s="778">
        <f t="shared" si="163"/>
        <v>0</v>
      </c>
      <c r="BC158" s="778">
        <f t="shared" si="163"/>
        <v>0</v>
      </c>
      <c r="BD158" s="778">
        <f t="shared" si="163"/>
        <v>0</v>
      </c>
      <c r="BE158" s="778">
        <f t="shared" si="163"/>
        <v>0</v>
      </c>
      <c r="BF158" s="778">
        <f t="shared" si="163"/>
        <v>0</v>
      </c>
      <c r="BG158" s="778">
        <f t="shared" si="163"/>
        <v>0</v>
      </c>
      <c r="BH158" s="778">
        <f t="shared" si="163"/>
        <v>0</v>
      </c>
    </row>
    <row r="159" spans="1:60" s="459" customFormat="1">
      <c r="A159" s="714" t="str">
        <f>A147</f>
        <v>T-CAR-ICE_DF00</v>
      </c>
      <c r="B159" s="714" t="str">
        <f>B147</f>
        <v>TRACNG</v>
      </c>
      <c r="C159" s="714" t="s">
        <v>1013</v>
      </c>
      <c r="D159" s="714">
        <v>5</v>
      </c>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c r="AA159" s="760"/>
      <c r="AB159" s="760"/>
      <c r="AC159" s="760"/>
      <c r="AD159" s="760"/>
      <c r="AF159"/>
      <c r="AG159" s="714" t="s">
        <v>366</v>
      </c>
      <c r="AH159" s="10">
        <f t="shared" si="159"/>
        <v>-0.36142894386926988</v>
      </c>
      <c r="AI159" s="10">
        <f t="shared" ref="AI159:BH159" si="164">AI85-AI121-AI134-AI147</f>
        <v>-1.2008036635091493E-2</v>
      </c>
      <c r="AJ159" s="10">
        <f t="shared" si="164"/>
        <v>0.35875501486640993</v>
      </c>
      <c r="AK159" s="10">
        <f t="shared" si="164"/>
        <v>-4.6930306039738599E-2</v>
      </c>
      <c r="AL159" s="10">
        <f t="shared" si="164"/>
        <v>-2.0929907457552865E-2</v>
      </c>
      <c r="AM159" s="10">
        <f t="shared" si="164"/>
        <v>-1.7864200781324117E-2</v>
      </c>
      <c r="AN159" s="10">
        <f t="shared" si="164"/>
        <v>-8.6208895065357748E-3</v>
      </c>
      <c r="AO159" s="10">
        <f t="shared" si="164"/>
        <v>-2.7184075628418687E-2</v>
      </c>
      <c r="AP159" s="10">
        <f t="shared" si="164"/>
        <v>-4.1138472167757775E-2</v>
      </c>
      <c r="AQ159" s="10">
        <f t="shared" si="164"/>
        <v>-1.6443450855553439E-2</v>
      </c>
      <c r="AR159" s="10">
        <f t="shared" si="164"/>
        <v>-1.8723273591250478E-2</v>
      </c>
      <c r="AS159" s="10">
        <f t="shared" si="164"/>
        <v>-3.1579204332873756E-2</v>
      </c>
      <c r="AT159" s="10">
        <f t="shared" si="164"/>
        <v>-3.0040128886266178E-2</v>
      </c>
      <c r="AU159" s="10">
        <f t="shared" si="164"/>
        <v>-2.5060754740245661E-2</v>
      </c>
      <c r="AV159" s="10">
        <f t="shared" si="164"/>
        <v>-0.11450113876236298</v>
      </c>
      <c r="AW159" s="10">
        <f t="shared" si="164"/>
        <v>-3.1154202684948007E-2</v>
      </c>
      <c r="AX159" s="10">
        <f t="shared" si="164"/>
        <v>-4.110788892262169E-2</v>
      </c>
      <c r="AY159" s="10">
        <f t="shared" si="164"/>
        <v>-3.3652748353101128E-2</v>
      </c>
      <c r="AZ159" s="10">
        <f t="shared" si="164"/>
        <v>-2.4503717840904757E-2</v>
      </c>
      <c r="BA159" s="10">
        <f t="shared" si="164"/>
        <v>-5.442931774710956E-2</v>
      </c>
      <c r="BB159" s="10">
        <f t="shared" si="164"/>
        <v>-6.7586862561454311E-3</v>
      </c>
      <c r="BC159" s="10">
        <f t="shared" si="164"/>
        <v>-2.7526397055010983E-2</v>
      </c>
      <c r="BD159" s="10">
        <f t="shared" si="164"/>
        <v>-1.3613551545270587E-2</v>
      </c>
      <c r="BE159" s="10">
        <f t="shared" si="164"/>
        <v>-1.3822572206855916E-2</v>
      </c>
      <c r="BF159" s="10">
        <f t="shared" si="164"/>
        <v>-1.606696056198147E-2</v>
      </c>
      <c r="BG159" s="10">
        <f t="shared" si="164"/>
        <v>-3.3576606618658834E-2</v>
      </c>
      <c r="BH159" s="10">
        <f t="shared" si="164"/>
        <v>-1.2947469558099604E-2</v>
      </c>
    </row>
    <row r="160" spans="1:60" s="459" customFormat="1">
      <c r="A160" s="714"/>
      <c r="B160" s="714" t="str">
        <f>B159</f>
        <v>TRACNG</v>
      </c>
      <c r="C160" s="714" t="s">
        <v>1014</v>
      </c>
      <c r="D160" s="714">
        <v>5</v>
      </c>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c r="AA160" s="760"/>
      <c r="AB160" s="760"/>
      <c r="AC160" s="760"/>
      <c r="AD160" s="760"/>
      <c r="AE160" s="714"/>
      <c r="AF160"/>
      <c r="AG160" s="771" t="s">
        <v>16</v>
      </c>
      <c r="AH160" s="780">
        <f t="shared" ref="AH160:BH160" si="165">SUM(AH154:AH159)</f>
        <v>0.46793118676010287</v>
      </c>
      <c r="AI160" s="780">
        <f t="shared" si="165"/>
        <v>-8.0478898249367048E-4</v>
      </c>
      <c r="AJ160" s="780">
        <f t="shared" si="165"/>
        <v>7.7395026676512768E-2</v>
      </c>
      <c r="AK160" s="780">
        <f t="shared" si="165"/>
        <v>-7.6722303753067503E-2</v>
      </c>
      <c r="AL160" s="780">
        <f t="shared" si="165"/>
        <v>7.2349577895168306E-3</v>
      </c>
      <c r="AM160" s="780">
        <f t="shared" si="165"/>
        <v>-1.0017888318558481E-3</v>
      </c>
      <c r="AN160" s="780">
        <f t="shared" si="165"/>
        <v>1.5686956777561975E-2</v>
      </c>
      <c r="AO160" s="780">
        <f t="shared" si="165"/>
        <v>-2.7184358223823792E-2</v>
      </c>
      <c r="AP160" s="780">
        <f t="shared" si="165"/>
        <v>-5.7789136061692128E-2</v>
      </c>
      <c r="AQ160" s="780">
        <f t="shared" si="165"/>
        <v>-2.6392420360419992E-2</v>
      </c>
      <c r="AR160" s="780">
        <f t="shared" si="165"/>
        <v>-1.0703670893919034E-2</v>
      </c>
      <c r="AS160" s="780">
        <f t="shared" si="165"/>
        <v>-4.1671546406473539E-2</v>
      </c>
      <c r="AT160" s="780">
        <f t="shared" si="165"/>
        <v>-4.2724459977408383E-2</v>
      </c>
      <c r="AU160" s="780">
        <f t="shared" si="165"/>
        <v>-1.5441373967173754E-2</v>
      </c>
      <c r="AV160" s="780">
        <f t="shared" si="165"/>
        <v>-0.10305087347021609</v>
      </c>
      <c r="AW160" s="780">
        <f t="shared" si="165"/>
        <v>5.907545478527558E-3</v>
      </c>
      <c r="AX160" s="780">
        <f t="shared" si="165"/>
        <v>-6.4790212478215453E-2</v>
      </c>
      <c r="AY160" s="780">
        <f t="shared" si="165"/>
        <v>-4.8954589007009511E-2</v>
      </c>
      <c r="AZ160" s="780">
        <f t="shared" si="165"/>
        <v>-3.1853774218656247E-2</v>
      </c>
      <c r="BA160" s="780">
        <f t="shared" si="165"/>
        <v>0.27147650903071785</v>
      </c>
      <c r="BB160" s="780">
        <f t="shared" si="165"/>
        <v>4.8346850242686444E-3</v>
      </c>
      <c r="BC160" s="780">
        <f t="shared" si="165"/>
        <v>-2.5287253181831545E-2</v>
      </c>
      <c r="BD160" s="780">
        <f t="shared" si="165"/>
        <v>-9.9444784183627451E-3</v>
      </c>
      <c r="BE160" s="780">
        <f t="shared" si="165"/>
        <v>-7.7287818639162429E-3</v>
      </c>
      <c r="BF160" s="780">
        <f t="shared" si="165"/>
        <v>0.14636169239655142</v>
      </c>
      <c r="BG160" s="780">
        <f t="shared" si="165"/>
        <v>0.5120266851034565</v>
      </c>
      <c r="BH160" s="780">
        <f t="shared" si="165"/>
        <v>1.9052938579524774E-2</v>
      </c>
    </row>
    <row r="161" spans="1:60" s="459" customFormat="1">
      <c r="A161" s="1" t="str">
        <f>A149</f>
        <v>T-OTH_CON00</v>
      </c>
      <c r="B161" s="1" t="str">
        <f>B149</f>
        <v>TRACNG</v>
      </c>
      <c r="C161" s="1" t="s">
        <v>1014</v>
      </c>
      <c r="D161" s="1">
        <v>5</v>
      </c>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c r="AA161" s="760"/>
      <c r="AB161" s="760"/>
      <c r="AC161" s="760"/>
      <c r="AD161" s="760"/>
      <c r="AF161"/>
      <c r="AG161" s="451"/>
    </row>
    <row r="162" spans="1:60" s="459" customFormat="1">
      <c r="A162" s="1" t="str">
        <f>A150</f>
        <v>T-OTH_CON00</v>
      </c>
      <c r="B162" s="1" t="str">
        <f>B150</f>
        <v>TRADSB</v>
      </c>
      <c r="C162" s="1" t="s">
        <v>1013</v>
      </c>
      <c r="D162" s="1">
        <v>5</v>
      </c>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c r="AA162" s="760"/>
      <c r="AB162" s="760"/>
      <c r="AC162" s="760"/>
      <c r="AD162" s="760"/>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2" t="str">
        <f>A162</f>
        <v>T-OTH_CON00</v>
      </c>
      <c r="B163" s="458" t="str">
        <f>B151</f>
        <v>TRAGSE</v>
      </c>
      <c r="C163" s="129" t="s">
        <v>1014</v>
      </c>
      <c r="D163" s="796">
        <v>5</v>
      </c>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c r="AA163" s="760"/>
      <c r="AB163" s="760"/>
      <c r="AC163" s="760"/>
      <c r="AD163" s="760"/>
      <c r="AF163"/>
      <c r="AG163" s="714" t="s">
        <v>1094</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59"/>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c r="AA164" s="760"/>
      <c r="AB164" s="760"/>
      <c r="AC164" s="760"/>
      <c r="AD164" s="760"/>
      <c r="AF164"/>
      <c r="AG164" s="716" t="s">
        <v>359</v>
      </c>
      <c r="AH164" s="716" t="str">
        <f>AH153</f>
        <v>IE</v>
      </c>
      <c r="AI164" s="716" t="str">
        <f t="shared" ref="AI164:BH164" si="166">AI153</f>
        <v>IE-CW</v>
      </c>
      <c r="AJ164" s="716" t="str">
        <f t="shared" si="166"/>
        <v>IE-D</v>
      </c>
      <c r="AK164" s="716" t="str">
        <f t="shared" si="166"/>
        <v>IE-KE</v>
      </c>
      <c r="AL164" s="716" t="str">
        <f t="shared" si="166"/>
        <v>IE-KK</v>
      </c>
      <c r="AM164" s="716" t="str">
        <f t="shared" si="166"/>
        <v>IE-LS</v>
      </c>
      <c r="AN164" s="716" t="str">
        <f t="shared" si="166"/>
        <v>IE-LD</v>
      </c>
      <c r="AO164" s="716" t="str">
        <f t="shared" si="166"/>
        <v>IE-LH</v>
      </c>
      <c r="AP164" s="716" t="str">
        <f t="shared" si="166"/>
        <v>IE-MH</v>
      </c>
      <c r="AQ164" s="716" t="str">
        <f t="shared" si="166"/>
        <v>IE-OY</v>
      </c>
      <c r="AR164" s="716" t="str">
        <f t="shared" si="166"/>
        <v>IE-WH</v>
      </c>
      <c r="AS164" s="716" t="str">
        <f t="shared" si="166"/>
        <v>IE-WX</v>
      </c>
      <c r="AT164" s="716" t="str">
        <f t="shared" si="166"/>
        <v>IE-WW</v>
      </c>
      <c r="AU164" s="716" t="str">
        <f t="shared" si="166"/>
        <v>IE-CE</v>
      </c>
      <c r="AV164" s="716" t="str">
        <f t="shared" si="166"/>
        <v>IE-CO</v>
      </c>
      <c r="AW164" s="716" t="str">
        <f t="shared" si="166"/>
        <v>IE-KY</v>
      </c>
      <c r="AX164" s="716" t="str">
        <f t="shared" si="166"/>
        <v>IE-LK</v>
      </c>
      <c r="AY164" s="716" t="str">
        <f t="shared" si="166"/>
        <v>IE-TA</v>
      </c>
      <c r="AZ164" s="716" t="str">
        <f t="shared" si="166"/>
        <v>IE-WD</v>
      </c>
      <c r="BA164" s="716" t="str">
        <f t="shared" si="166"/>
        <v>IE-G</v>
      </c>
      <c r="BB164" s="716" t="str">
        <f t="shared" si="166"/>
        <v>IE-LM</v>
      </c>
      <c r="BC164" s="716" t="str">
        <f t="shared" si="166"/>
        <v>IE-MO</v>
      </c>
      <c r="BD164" s="716" t="str">
        <f t="shared" si="166"/>
        <v>IE-RN</v>
      </c>
      <c r="BE164" s="716" t="str">
        <f t="shared" si="166"/>
        <v>IE-SO</v>
      </c>
      <c r="BF164" s="716" t="str">
        <f t="shared" si="166"/>
        <v>IE-CN</v>
      </c>
      <c r="BG164" s="716" t="str">
        <f t="shared" si="166"/>
        <v>IE-DL</v>
      </c>
      <c r="BH164" s="716" t="str">
        <f t="shared" si="166"/>
        <v>IE-MN</v>
      </c>
    </row>
    <row r="165" spans="1:60" s="459" customFormat="1">
      <c r="A165" s="103"/>
      <c r="B165" s="1"/>
      <c r="C165" s="709"/>
      <c r="D165" s="759"/>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c r="AA165" s="760"/>
      <c r="AB165" s="760"/>
      <c r="AC165" s="760"/>
      <c r="AD165" s="760"/>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59"/>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c r="AA166" s="760"/>
      <c r="AB166" s="760"/>
      <c r="AC166" s="760"/>
      <c r="AD166" s="760"/>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59"/>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c r="AA167" s="761"/>
      <c r="AB167" s="761"/>
      <c r="AC167" s="761"/>
      <c r="AD167" s="761"/>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7">AK169</f>
        <v>78.020092029331138</v>
      </c>
      <c r="AM169" s="38">
        <f t="shared" si="167"/>
        <v>78.020092029331138</v>
      </c>
      <c r="AN169" s="38">
        <f t="shared" si="167"/>
        <v>78.020092029331138</v>
      </c>
      <c r="AO169" s="38">
        <f t="shared" si="167"/>
        <v>78.020092029331138</v>
      </c>
      <c r="AP169" s="38">
        <f t="shared" si="167"/>
        <v>78.020092029331138</v>
      </c>
      <c r="AQ169" s="38">
        <f t="shared" si="167"/>
        <v>78.020092029331138</v>
      </c>
      <c r="AR169" s="38">
        <f t="shared" si="167"/>
        <v>78.020092029331138</v>
      </c>
      <c r="AS169" s="38">
        <f t="shared" si="167"/>
        <v>78.020092029331138</v>
      </c>
      <c r="AT169" s="38">
        <f t="shared" si="167"/>
        <v>78.020092029331138</v>
      </c>
      <c r="AU169" s="38">
        <f t="shared" si="167"/>
        <v>78.020092029331138</v>
      </c>
      <c r="AV169" s="38">
        <f t="shared" si="167"/>
        <v>78.020092029331138</v>
      </c>
      <c r="AW169" s="38">
        <f t="shared" si="167"/>
        <v>78.020092029331138</v>
      </c>
      <c r="AX169" s="38">
        <f t="shared" si="167"/>
        <v>78.020092029331138</v>
      </c>
      <c r="AY169" s="38">
        <f t="shared" si="167"/>
        <v>78.020092029331138</v>
      </c>
      <c r="AZ169" s="38">
        <f t="shared" si="167"/>
        <v>78.020092029331138</v>
      </c>
      <c r="BA169" s="38">
        <f t="shared" si="167"/>
        <v>78.020092029331138</v>
      </c>
      <c r="BB169" s="38">
        <f t="shared" si="167"/>
        <v>78.020092029331138</v>
      </c>
      <c r="BC169" s="38">
        <f t="shared" si="167"/>
        <v>78.020092029331138</v>
      </c>
      <c r="BD169" s="38">
        <f t="shared" si="167"/>
        <v>78.020092029331138</v>
      </c>
      <c r="BE169" s="38">
        <f t="shared" si="167"/>
        <v>78.020092029331138</v>
      </c>
      <c r="BF169" s="38">
        <f t="shared" si="167"/>
        <v>78.020092029331138</v>
      </c>
      <c r="BG169" s="38">
        <f t="shared" si="167"/>
        <v>78.020092029331138</v>
      </c>
      <c r="BH169" s="38">
        <f t="shared" si="167"/>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1132</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1133</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1134</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1135</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56" t="s">
        <v>505</v>
      </c>
      <c r="B231" s="856"/>
      <c r="C231" s="856"/>
      <c r="D231" s="856"/>
      <c r="E231" s="856"/>
      <c r="F231" s="857"/>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56" t="s">
        <v>506</v>
      </c>
      <c r="B234" s="856"/>
      <c r="C234" s="856"/>
      <c r="D234" s="856"/>
      <c r="E234" s="856"/>
      <c r="F234" s="857"/>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8">C237/$C$247</f>
        <v>0.33333333333333331</v>
      </c>
      <c r="AF237" s="459"/>
    </row>
    <row r="238" spans="1:32">
      <c r="A238" s="451" t="s">
        <v>509</v>
      </c>
      <c r="B238" t="s">
        <v>530</v>
      </c>
      <c r="C238">
        <v>1</v>
      </c>
      <c r="D238" s="5">
        <f t="shared" si="168"/>
        <v>2.3809523809523808E-2</v>
      </c>
      <c r="AF238" s="714"/>
    </row>
    <row r="239" spans="1:32">
      <c r="A239" s="451" t="s">
        <v>510</v>
      </c>
      <c r="B239" s="448" t="s">
        <v>382</v>
      </c>
      <c r="C239">
        <v>5</v>
      </c>
      <c r="D239" s="5">
        <f t="shared" si="168"/>
        <v>0.11904761904761904</v>
      </c>
      <c r="AF239" s="459"/>
    </row>
    <row r="240" spans="1:32">
      <c r="A240" s="451" t="s">
        <v>511</v>
      </c>
      <c r="B240" s="448" t="s">
        <v>385</v>
      </c>
      <c r="C240">
        <v>4</v>
      </c>
      <c r="D240" s="5">
        <f t="shared" si="168"/>
        <v>9.5238095238095233E-2</v>
      </c>
      <c r="AF240" s="714"/>
    </row>
    <row r="241" spans="1:32">
      <c r="A241" s="451" t="s">
        <v>512</v>
      </c>
      <c r="B241" s="448" t="s">
        <v>386</v>
      </c>
      <c r="C241">
        <v>2</v>
      </c>
      <c r="D241" s="5">
        <f t="shared" si="168"/>
        <v>4.7619047619047616E-2</v>
      </c>
      <c r="AF241" s="459"/>
    </row>
    <row r="242" spans="1:32">
      <c r="A242" s="451" t="s">
        <v>513</v>
      </c>
      <c r="B242" s="448" t="s">
        <v>387</v>
      </c>
      <c r="C242">
        <v>5</v>
      </c>
      <c r="D242" s="5">
        <f t="shared" si="168"/>
        <v>0.11904761904761904</v>
      </c>
      <c r="AF242" s="714"/>
    </row>
    <row r="243" spans="1:32">
      <c r="A243" s="451" t="s">
        <v>514</v>
      </c>
      <c r="B243" s="448" t="s">
        <v>389</v>
      </c>
      <c r="C243">
        <v>2</v>
      </c>
      <c r="D243" s="5">
        <f t="shared" si="168"/>
        <v>4.7619047619047616E-2</v>
      </c>
      <c r="AF243" s="459"/>
    </row>
    <row r="244" spans="1:32">
      <c r="A244" s="451" t="s">
        <v>515</v>
      </c>
      <c r="B244" s="448" t="s">
        <v>390</v>
      </c>
      <c r="C244">
        <v>6</v>
      </c>
      <c r="D244" s="5">
        <f t="shared" si="168"/>
        <v>0.14285714285714285</v>
      </c>
      <c r="AF244" s="459"/>
    </row>
    <row r="245" spans="1:32">
      <c r="A245" s="451" t="s">
        <v>516</v>
      </c>
      <c r="B245" s="448" t="s">
        <v>394</v>
      </c>
      <c r="C245">
        <v>1</v>
      </c>
      <c r="D245" s="5">
        <f t="shared" si="168"/>
        <v>2.3809523809523808E-2</v>
      </c>
      <c r="AF245" s="459"/>
    </row>
    <row r="246" spans="1:32">
      <c r="A246" s="451" t="s">
        <v>517</v>
      </c>
      <c r="B246" s="448" t="s">
        <v>396</v>
      </c>
      <c r="C246">
        <v>2</v>
      </c>
      <c r="D246" s="5">
        <f t="shared" si="168"/>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730</v>
      </c>
      <c r="AF263" s="451"/>
    </row>
    <row r="264" spans="1:32" ht="26.4">
      <c r="A264" s="862" t="s">
        <v>116</v>
      </c>
      <c r="B264" s="863" t="s">
        <v>117</v>
      </c>
      <c r="C264" s="562" t="s">
        <v>118</v>
      </c>
      <c r="D264" s="562" t="s">
        <v>119</v>
      </c>
      <c r="E264" s="562" t="s">
        <v>120</v>
      </c>
      <c r="F264" s="562" t="s">
        <v>121</v>
      </c>
      <c r="AF264" s="451"/>
    </row>
    <row r="265" spans="1:32" ht="39.6">
      <c r="A265" s="862"/>
      <c r="B265" s="863"/>
      <c r="C265" s="563" t="s">
        <v>122</v>
      </c>
      <c r="D265" s="563">
        <v>28</v>
      </c>
      <c r="E265" s="563">
        <v>190</v>
      </c>
      <c r="F265" s="563" t="s">
        <v>123</v>
      </c>
      <c r="AF265" s="451"/>
    </row>
    <row r="266" spans="1:32" ht="26.4">
      <c r="A266" s="862"/>
      <c r="B266" s="863"/>
      <c r="C266" s="564" t="s">
        <v>124</v>
      </c>
      <c r="D266" s="564">
        <v>25</v>
      </c>
      <c r="E266" s="564">
        <v>262</v>
      </c>
      <c r="F266" s="564" t="s">
        <v>125</v>
      </c>
      <c r="AF266" s="451"/>
    </row>
    <row r="267" spans="1:32">
      <c r="A267" s="862"/>
      <c r="B267" s="863"/>
      <c r="C267" s="563" t="s">
        <v>126</v>
      </c>
      <c r="D267" s="563">
        <v>10</v>
      </c>
      <c r="E267" s="563">
        <v>304</v>
      </c>
      <c r="F267" s="563">
        <v>2008</v>
      </c>
    </row>
    <row r="268" spans="1:32" ht="26.4">
      <c r="A268" s="862"/>
      <c r="B268" s="864" t="s">
        <v>127</v>
      </c>
      <c r="C268" s="564" t="s">
        <v>128</v>
      </c>
      <c r="D268" s="564">
        <v>5</v>
      </c>
      <c r="E268" s="564" t="s">
        <v>129</v>
      </c>
      <c r="F268" s="564" t="s">
        <v>130</v>
      </c>
    </row>
    <row r="269" spans="1:32" ht="26.4">
      <c r="A269" s="862"/>
      <c r="B269" s="864"/>
      <c r="C269" s="563" t="s">
        <v>131</v>
      </c>
      <c r="D269" s="563">
        <v>5</v>
      </c>
      <c r="E269" s="563">
        <v>28</v>
      </c>
      <c r="F269" s="563" t="s">
        <v>130</v>
      </c>
    </row>
    <row r="270" spans="1:32" ht="26.4">
      <c r="A270" s="862"/>
      <c r="B270" s="864"/>
      <c r="C270" s="564" t="s">
        <v>132</v>
      </c>
      <c r="D270" s="564">
        <v>5</v>
      </c>
      <c r="E270" s="564">
        <v>44</v>
      </c>
      <c r="F270" s="564" t="s">
        <v>130</v>
      </c>
    </row>
    <row r="271" spans="1:32" ht="26.4">
      <c r="A271" s="862"/>
      <c r="B271" s="864"/>
      <c r="C271" s="563" t="s">
        <v>133</v>
      </c>
      <c r="D271" s="563">
        <v>16</v>
      </c>
      <c r="E271" s="563">
        <v>69</v>
      </c>
      <c r="F271" s="563" t="s">
        <v>130</v>
      </c>
    </row>
    <row r="272" spans="1:32" ht="26.4">
      <c r="A272" s="862"/>
      <c r="B272" s="864"/>
      <c r="C272" s="564" t="s">
        <v>134</v>
      </c>
      <c r="D272" s="564">
        <v>5</v>
      </c>
      <c r="E272" s="564">
        <v>69</v>
      </c>
      <c r="F272" s="564" t="s">
        <v>130</v>
      </c>
    </row>
    <row r="273" spans="1:32" ht="26.4">
      <c r="A273" s="865" t="s">
        <v>135</v>
      </c>
      <c r="B273" s="565" t="s">
        <v>136</v>
      </c>
      <c r="C273" s="563" t="s">
        <v>124</v>
      </c>
      <c r="D273" s="563">
        <v>29</v>
      </c>
      <c r="E273" s="563">
        <v>185</v>
      </c>
      <c r="F273" s="563" t="s">
        <v>139</v>
      </c>
    </row>
    <row r="274" spans="1:32">
      <c r="A274" s="865"/>
      <c r="B274" s="565" t="s">
        <v>137</v>
      </c>
      <c r="C274" s="564" t="s">
        <v>140</v>
      </c>
      <c r="D274" s="564">
        <v>8</v>
      </c>
      <c r="E274" s="564">
        <v>85</v>
      </c>
      <c r="F274" s="564">
        <v>2000</v>
      </c>
    </row>
    <row r="275" spans="1:32">
      <c r="A275" s="865"/>
      <c r="B275" s="565" t="s">
        <v>138</v>
      </c>
      <c r="C275" s="563" t="s">
        <v>140</v>
      </c>
      <c r="D275" s="563">
        <v>8</v>
      </c>
      <c r="E275" s="563">
        <v>130</v>
      </c>
      <c r="F275" s="563">
        <v>1993</v>
      </c>
      <c r="AF275" s="459"/>
    </row>
    <row r="276" spans="1:32" ht="26.4">
      <c r="A276" s="865" t="s">
        <v>40</v>
      </c>
      <c r="B276" s="863" t="s">
        <v>141</v>
      </c>
      <c r="C276" s="564" t="s">
        <v>143</v>
      </c>
      <c r="D276" s="564">
        <v>8</v>
      </c>
      <c r="E276" s="564">
        <v>160</v>
      </c>
      <c r="F276" s="564" t="s">
        <v>144</v>
      </c>
    </row>
    <row r="277" spans="1:32">
      <c r="A277" s="865"/>
      <c r="B277" s="863"/>
      <c r="C277" s="563" t="s">
        <v>145</v>
      </c>
      <c r="D277" s="563">
        <v>3</v>
      </c>
      <c r="E277" s="563">
        <v>160</v>
      </c>
      <c r="F277" s="563">
        <v>2001</v>
      </c>
    </row>
    <row r="278" spans="1:32">
      <c r="A278" s="865"/>
      <c r="B278" s="863"/>
      <c r="C278" s="564" t="s">
        <v>146</v>
      </c>
      <c r="D278" s="564">
        <v>4</v>
      </c>
      <c r="E278" s="564">
        <v>160</v>
      </c>
      <c r="F278" s="564">
        <v>2000</v>
      </c>
    </row>
    <row r="279" spans="1:32">
      <c r="A279" s="865"/>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61" t="s">
        <v>719</v>
      </c>
      <c r="B286" s="861"/>
      <c r="C286" s="861"/>
      <c r="D286" s="861"/>
      <c r="AF286" s="451"/>
    </row>
    <row r="287" spans="1:32" ht="15" thickBot="1">
      <c r="A287" s="859" t="s">
        <v>163</v>
      </c>
      <c r="B287" s="860"/>
      <c r="C287" s="860"/>
      <c r="D287" s="860"/>
      <c r="E287" s="860"/>
      <c r="F287" s="860"/>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720</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58" t="s">
        <v>725</v>
      </c>
      <c r="B295" s="858"/>
      <c r="C295" s="858" t="s">
        <v>726</v>
      </c>
      <c r="D295" s="858"/>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727</v>
      </c>
      <c r="C296" s="459" t="s">
        <v>23</v>
      </c>
      <c r="D296" s="459" t="s">
        <v>727</v>
      </c>
      <c r="E296" s="411" t="s">
        <v>728</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721</v>
      </c>
      <c r="B297" t="s">
        <v>392</v>
      </c>
      <c r="C297" s="459" t="s">
        <v>722</v>
      </c>
      <c r="D297" s="459" t="s">
        <v>373</v>
      </c>
      <c r="E297" s="39">
        <v>6</v>
      </c>
    </row>
    <row r="298" spans="1:32">
      <c r="A298" s="459" t="s">
        <v>721</v>
      </c>
      <c r="B298" s="459" t="s">
        <v>392</v>
      </c>
      <c r="C298" s="459" t="s">
        <v>723</v>
      </c>
      <c r="D298" s="459" t="s">
        <v>389</v>
      </c>
      <c r="E298">
        <v>2</v>
      </c>
    </row>
    <row r="299" spans="1:32">
      <c r="A299" s="459" t="s">
        <v>721</v>
      </c>
      <c r="B299" s="459" t="s">
        <v>392</v>
      </c>
      <c r="C299" s="459" t="s">
        <v>389</v>
      </c>
      <c r="D299" s="459" t="s">
        <v>389</v>
      </c>
      <c r="E299">
        <v>3</v>
      </c>
    </row>
    <row r="300" spans="1:32">
      <c r="A300" t="s">
        <v>724</v>
      </c>
      <c r="B300" t="s">
        <v>379</v>
      </c>
      <c r="C300" s="459" t="s">
        <v>722</v>
      </c>
      <c r="D300" s="459" t="s">
        <v>373</v>
      </c>
      <c r="E300">
        <v>3</v>
      </c>
    </row>
    <row r="302" spans="1:32">
      <c r="A302" s="3" t="s">
        <v>392</v>
      </c>
      <c r="B302" s="3" t="s">
        <v>373</v>
      </c>
      <c r="C302" s="3" t="s">
        <v>389</v>
      </c>
      <c r="D302" s="3" t="s">
        <v>379</v>
      </c>
      <c r="E302" s="3" t="s">
        <v>729</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66"/>
  <sheetViews>
    <sheetView tabSelected="1" topLeftCell="A435" zoomScale="85" zoomScaleNormal="85" workbookViewId="0">
      <selection activeCell="N460" sqref="N460"/>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Commodities!B24</f>
        <v>TRAPS</v>
      </c>
      <c r="B4" s="448" t="str">
        <f>Commodities!D24</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Commodities!B25</f>
        <v>TRAPM</v>
      </c>
      <c r="B5" s="459" t="str">
        <f>Commodities!D25</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Commodities!B26</f>
        <v>TRAPL</v>
      </c>
      <c r="B6" s="459" t="str">
        <f>Commodities!D26</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Commodities!B27</f>
        <v>TRAF</v>
      </c>
      <c r="B7" s="459" t="str">
        <f>Commodities!D27</f>
        <v>Btkm</v>
      </c>
      <c r="C7" s="517">
        <f t="shared" ref="C7:AC7" si="3">(C525/1000)+C18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Commodities!B28</f>
        <v>TTURS</v>
      </c>
      <c r="B8" s="11" t="str">
        <f>Commodities!D28</f>
        <v>PJ</v>
      </c>
      <c r="C8" s="655">
        <f t="shared" ref="C8:AC8" si="4">C665</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Commodities!B29</f>
        <v>TNAV</v>
      </c>
      <c r="B9" s="11" t="str">
        <f>Commodities!D29</f>
        <v>PJ</v>
      </c>
      <c r="C9" s="655">
        <f t="shared" ref="C9:AC9" si="5">C666</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Commodities!B30</f>
        <v>TOTH</v>
      </c>
      <c r="B10" s="11" t="str">
        <f>Commodities!D30</f>
        <v>PJ</v>
      </c>
      <c r="C10" s="655">
        <f t="shared" ref="C10:AC10" si="6">C667</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Commodities!B31</f>
        <v>TAVIDOM</v>
      </c>
      <c r="B11" s="459" t="str">
        <f>Commodities!D31</f>
        <v>PJ</v>
      </c>
      <c r="C11" s="656">
        <f t="shared" ref="C11:AC11" si="7">C678</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Commodities!B32</f>
        <v>TAVIINT</v>
      </c>
      <c r="B12" s="458" t="str">
        <f>Commodities!D32</f>
        <v>PJ</v>
      </c>
      <c r="C12" s="601">
        <f t="shared" ref="C12:AC12" si="8">C679</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1139</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3"/>
      <c r="B18" s="813" t="s">
        <v>980</v>
      </c>
      <c r="C18" s="814">
        <f>G581/1000000</f>
        <v>8.8551000000000005E-2</v>
      </c>
      <c r="D18" s="813">
        <v>0</v>
      </c>
      <c r="E18" s="814">
        <f>C18*Stock!B304</f>
        <v>2.8462821428571431E-2</v>
      </c>
      <c r="F18" s="815">
        <v>0</v>
      </c>
      <c r="G18" s="815">
        <v>0</v>
      </c>
      <c r="H18" s="815">
        <v>0</v>
      </c>
      <c r="I18" s="815">
        <v>0</v>
      </c>
      <c r="J18" s="815">
        <v>0</v>
      </c>
      <c r="K18" s="814">
        <f>C18*Stock!D304</f>
        <v>9.4876071428571431E-3</v>
      </c>
      <c r="L18" s="815">
        <v>0</v>
      </c>
      <c r="M18" s="815">
        <v>0</v>
      </c>
      <c r="N18" s="815">
        <v>0</v>
      </c>
      <c r="O18" s="815">
        <v>0</v>
      </c>
      <c r="P18" s="815">
        <v>0</v>
      </c>
      <c r="Q18" s="815">
        <v>0</v>
      </c>
      <c r="R18" s="815">
        <v>0</v>
      </c>
      <c r="S18" s="815">
        <v>0</v>
      </c>
      <c r="T18" s="815">
        <v>0</v>
      </c>
      <c r="U18" s="814">
        <f>C18*Stock!C304</f>
        <v>1.5812678571428571E-2</v>
      </c>
      <c r="V18" s="815">
        <v>0</v>
      </c>
      <c r="W18" s="815">
        <v>0</v>
      </c>
      <c r="X18" s="814">
        <f>C18*Stock!A304</f>
        <v>3.4787892857142858E-2</v>
      </c>
      <c r="Y18" s="815">
        <v>0</v>
      </c>
      <c r="Z18" s="815">
        <v>0</v>
      </c>
      <c r="AA18" s="815">
        <v>0</v>
      </c>
      <c r="AB18" s="815">
        <v>0</v>
      </c>
      <c r="AC18" s="815">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969</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972</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970</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971</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974</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976</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975</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782</v>
      </c>
      <c r="B73" s="884" t="s">
        <v>783</v>
      </c>
      <c r="C73" s="884"/>
      <c r="D73" s="471"/>
      <c r="E73" s="9"/>
      <c r="F73" s="9"/>
      <c r="G73" s="9"/>
      <c r="H73" s="9"/>
      <c r="I73" s="9"/>
      <c r="J73" s="517"/>
      <c r="K73" s="9"/>
      <c r="L73" s="9"/>
      <c r="M73" s="9"/>
      <c r="T73" s="9"/>
      <c r="U73" s="9"/>
      <c r="V73" s="9"/>
      <c r="W73" s="9"/>
      <c r="X73" s="9"/>
      <c r="Y73" s="9"/>
      <c r="Z73" s="9"/>
      <c r="AA73" s="9"/>
      <c r="AB73" s="9"/>
    </row>
    <row r="74" spans="1:29" s="459" customFormat="1">
      <c r="A74" s="586"/>
      <c r="B74" s="598" t="s">
        <v>771</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83">
        <f>'EB2018'!AM48</f>
        <v>2058.4846677479868</v>
      </c>
      <c r="D75" s="878">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83"/>
      <c r="D76" s="879"/>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83"/>
      <c r="D77" s="879"/>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83"/>
      <c r="D78" s="879"/>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83"/>
      <c r="D79" s="879"/>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83"/>
      <c r="D80" s="879"/>
      <c r="E80" s="9"/>
      <c r="F80" s="9"/>
      <c r="G80" s="9"/>
      <c r="H80" s="9"/>
      <c r="I80" s="9"/>
      <c r="J80" s="9"/>
      <c r="K80" s="9"/>
    </row>
    <row r="81" spans="1:17" s="459" customFormat="1">
      <c r="A81" s="594" t="str">
        <f>Commodities!K19</f>
        <v>T-CAR-PHEV_GSL00</v>
      </c>
      <c r="B81" s="605">
        <f>Stock!E60*AF!D13/Efficiency!D14/0.041868</f>
        <v>1.3184587114421897</v>
      </c>
      <c r="C81" s="883"/>
      <c r="D81" s="879"/>
      <c r="E81" s="9"/>
      <c r="F81" s="9"/>
      <c r="G81" s="9"/>
      <c r="H81" s="9"/>
      <c r="I81" s="9"/>
      <c r="J81" s="9"/>
      <c r="K81" s="9"/>
    </row>
    <row r="82" spans="1:17" s="459" customFormat="1">
      <c r="A82" s="594" t="str">
        <f>Commodities!K20</f>
        <v>T-CAR-PHEV_DST00</v>
      </c>
      <c r="B82" s="605">
        <f>Stock!E61*AF!D14/Efficiency!D15/0.041868</f>
        <v>1.9463942395372347E-2</v>
      </c>
      <c r="C82" s="883"/>
      <c r="D82" s="879"/>
      <c r="E82" s="9"/>
      <c r="F82" s="9"/>
      <c r="G82" s="9"/>
      <c r="H82" s="9"/>
      <c r="I82" s="9"/>
      <c r="J82" s="9"/>
      <c r="K82" s="9"/>
    </row>
    <row r="83" spans="1:17" s="459" customFormat="1">
      <c r="A83" s="594" t="str">
        <f>Commodities!K21</f>
        <v>T-CAR-BEV_ELC00</v>
      </c>
      <c r="B83" s="605">
        <f>Stock!E62*AF!D15/Efficiency!D16/0.041868</f>
        <v>1.2398289747677393</v>
      </c>
      <c r="C83" s="883"/>
      <c r="D83" s="879"/>
      <c r="E83" s="9"/>
      <c r="F83" s="9"/>
      <c r="G83" s="9"/>
      <c r="H83" s="9"/>
      <c r="I83" s="9"/>
      <c r="J83" s="9"/>
      <c r="K83" s="9"/>
    </row>
    <row r="84" spans="1:17" s="459" customFormat="1" ht="15.6">
      <c r="A84" s="590" t="s">
        <v>770</v>
      </c>
      <c r="B84" s="603">
        <f>SUM(B75:B83)</f>
        <v>1664.1406922635126</v>
      </c>
      <c r="C84" s="883"/>
      <c r="D84" s="880"/>
      <c r="E84" s="9"/>
      <c r="F84" s="9"/>
      <c r="G84" s="9"/>
      <c r="H84" s="9"/>
      <c r="I84" s="9"/>
      <c r="J84" s="9"/>
      <c r="K84" s="9"/>
    </row>
    <row r="85" spans="1:17" s="459" customFormat="1">
      <c r="A85" s="459" t="s">
        <v>784</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785</v>
      </c>
      <c r="B89" s="884" t="s">
        <v>783</v>
      </c>
      <c r="C89" s="884"/>
      <c r="D89" s="471"/>
      <c r="F89" s="9"/>
      <c r="G89" s="9"/>
      <c r="H89" s="9"/>
      <c r="I89" s="9"/>
      <c r="J89" s="9"/>
      <c r="K89" s="9"/>
    </row>
    <row r="90" spans="1:17" s="459" customFormat="1">
      <c r="A90" s="586"/>
      <c r="B90" s="599" t="s">
        <v>771</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85">
        <f>'EB2018'!AM46+'EB2018'!AM47</f>
        <v>1058.3361520244771</v>
      </c>
      <c r="D91" s="878">
        <f>(B94-C91)/C91</f>
        <v>-0.99984557718687606</v>
      </c>
      <c r="F91" s="9"/>
      <c r="G91" s="9"/>
      <c r="H91" s="9"/>
      <c r="I91" s="9"/>
      <c r="J91" s="9"/>
      <c r="K91" s="9"/>
    </row>
    <row r="92" spans="1:17" s="459" customFormat="1">
      <c r="A92" s="588" t="str">
        <f>Commodities!K37</f>
        <v>T-HGT-ICE_DST00</v>
      </c>
      <c r="B92" s="607">
        <f>(Stock!E77*AF!D26/1000)/Efficiency!D27/0.041868</f>
        <v>0.15911937712801305</v>
      </c>
      <c r="C92" s="886"/>
      <c r="D92" s="879"/>
      <c r="F92" s="9"/>
      <c r="G92" s="9"/>
      <c r="H92" s="9"/>
      <c r="I92" s="9"/>
      <c r="J92" s="9"/>
      <c r="K92" s="9"/>
    </row>
    <row r="93" spans="1:17" s="459" customFormat="1">
      <c r="A93" s="588" t="str">
        <f>Commodities!K38</f>
        <v>T-GTR-ICE_DST00</v>
      </c>
      <c r="B93" s="607">
        <f>(Stock!E78*AF!D27/1000)/Efficiency!D28/0.041868</f>
        <v>2.7938927066507233E-3</v>
      </c>
      <c r="C93" s="886"/>
      <c r="D93" s="879"/>
      <c r="F93" s="9"/>
      <c r="G93" s="9"/>
      <c r="H93" s="9"/>
      <c r="I93" s="9"/>
      <c r="J93" s="9"/>
      <c r="K93" s="9"/>
    </row>
    <row r="94" spans="1:17" s="459" customFormat="1" ht="15.6">
      <c r="A94" s="590" t="s">
        <v>786</v>
      </c>
      <c r="B94" s="603">
        <f>SUM(B91:B93)</f>
        <v>0.16343124582632046</v>
      </c>
      <c r="C94" s="887"/>
      <c r="D94" s="880"/>
      <c r="G94" s="9"/>
      <c r="H94" s="9"/>
      <c r="I94" s="9"/>
      <c r="J94" s="9"/>
      <c r="K94" s="9"/>
      <c r="L94" s="9"/>
    </row>
    <row r="95" spans="1:17" s="459" customFormat="1">
      <c r="A95" s="459" t="s">
        <v>787</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794</v>
      </c>
      <c r="B99" s="884" t="s">
        <v>783</v>
      </c>
      <c r="C99" s="884"/>
      <c r="D99" s="471"/>
      <c r="Q99" s="135"/>
    </row>
    <row r="100" spans="1:17" s="459" customFormat="1">
      <c r="A100" s="586"/>
      <c r="B100" s="598" t="s">
        <v>771</v>
      </c>
      <c r="C100" s="598" t="s">
        <v>559</v>
      </c>
      <c r="D100" s="598" t="s">
        <v>216</v>
      </c>
      <c r="Q100" s="135"/>
    </row>
    <row r="101" spans="1:17" s="459" customFormat="1">
      <c r="A101" s="595" t="str">
        <f>Commodities!K23</f>
        <v>T-TAX-ICE_GSL00</v>
      </c>
      <c r="B101" s="609">
        <f>(Stock!E64*AF!D16)/Efficiency!D17/0.041868</f>
        <v>5.5926270242130149</v>
      </c>
      <c r="C101" s="885">
        <f>'EB2018'!AM49</f>
        <v>139.18657889221006</v>
      </c>
      <c r="D101" s="878">
        <f>(B105-C101)/C101</f>
        <v>1.8672189714068362E-2</v>
      </c>
      <c r="Q101" s="135"/>
    </row>
    <row r="102" spans="1:17" s="459" customFormat="1">
      <c r="A102" s="597" t="str">
        <f>Commodities!K24</f>
        <v>T-TAX-ICE_DST00</v>
      </c>
      <c r="B102" s="609">
        <f>(Stock!E65*AF!D17)/Efficiency!D18/0.041868</f>
        <v>39.815351909987868</v>
      </c>
      <c r="C102" s="886"/>
      <c r="D102" s="879"/>
      <c r="Q102" s="135"/>
    </row>
    <row r="103" spans="1:17" s="459" customFormat="1">
      <c r="A103" s="597" t="str">
        <f>Commodities!K25</f>
        <v>T-TAX-HEV_GSL00</v>
      </c>
      <c r="B103" s="609">
        <f>(Stock!E66*AF!D18)/Efficiency!D19/0.041868</f>
        <v>2.6942012356171219</v>
      </c>
      <c r="C103" s="886"/>
      <c r="D103" s="879"/>
      <c r="Q103" s="135"/>
    </row>
    <row r="104" spans="1:17" s="459" customFormat="1">
      <c r="A104" s="597" t="str">
        <f>Commodities!K27</f>
        <v>T-BUS-ICE_DST00</v>
      </c>
      <c r="B104" s="609">
        <f>(Stock!E68*AF!D19)/Efficiency!D20/0.041868</f>
        <v>93.683316929119542</v>
      </c>
      <c r="C104" s="886"/>
      <c r="D104" s="879"/>
      <c r="Q104" s="135"/>
    </row>
    <row r="105" spans="1:17" s="459" customFormat="1" ht="15.6">
      <c r="A105" s="596" t="s">
        <v>878</v>
      </c>
      <c r="B105" s="608">
        <f>SUM(B101:B104)</f>
        <v>141.78549709893755</v>
      </c>
      <c r="C105" s="887"/>
      <c r="D105" s="880"/>
      <c r="Q105" s="135"/>
    </row>
    <row r="106" spans="1:17" s="459" customFormat="1">
      <c r="A106" s="459" t="s">
        <v>879</v>
      </c>
      <c r="Q106" s="135"/>
    </row>
    <row r="107" spans="1:17" s="459" customFormat="1">
      <c r="Q107" s="135"/>
    </row>
    <row r="108" spans="1:17" s="459" customFormat="1">
      <c r="Q108" s="135"/>
    </row>
    <row r="109" spans="1:17" s="459" customFormat="1"/>
    <row r="110" spans="1:17" s="459" customFormat="1">
      <c r="A110" s="593" t="s">
        <v>796</v>
      </c>
      <c r="B110" s="884" t="s">
        <v>783</v>
      </c>
      <c r="C110" s="884"/>
      <c r="D110" s="471"/>
    </row>
    <row r="111" spans="1:17" s="459" customFormat="1">
      <c r="A111" s="586"/>
      <c r="B111" s="598" t="s">
        <v>771</v>
      </c>
      <c r="C111" s="598" t="s">
        <v>559</v>
      </c>
      <c r="D111" s="598" t="s">
        <v>216</v>
      </c>
    </row>
    <row r="112" spans="1:17" s="459" customFormat="1">
      <c r="A112" s="595" t="str">
        <f>Commodities!K29</f>
        <v>T-LPT-BEV_ELC00</v>
      </c>
      <c r="B112" s="609">
        <f>C134/Efficiency!D21/0.041868</f>
        <v>2.4094862952239589</v>
      </c>
      <c r="C112" s="885">
        <f>'EB2018'!AM50</f>
        <v>42.228937759939136</v>
      </c>
      <c r="D112" s="878" t="e">
        <f>(B116-C112)/C112</f>
        <v>#REF!</v>
      </c>
    </row>
    <row r="113" spans="1:88" s="459" customFormat="1">
      <c r="A113" s="597" t="str">
        <f>Commodities!K30</f>
        <v>T-HPT-BEV_ELC00</v>
      </c>
      <c r="B113" s="609">
        <f>B112</f>
        <v>2.4094862952239589</v>
      </c>
      <c r="C113" s="886"/>
      <c r="D113" s="879"/>
    </row>
    <row r="114" spans="1:88" s="459" customFormat="1">
      <c r="A114" s="597" t="str">
        <f>Commodities!K31</f>
        <v>T-HPT-ICE_DST00</v>
      </c>
      <c r="B114" s="609" t="e">
        <f>#REF!/ACT2FLO!D68/Efficiency!D23/0.041868</f>
        <v>#REF!</v>
      </c>
      <c r="C114" s="886"/>
      <c r="D114" s="879"/>
    </row>
    <row r="115" spans="1:88" s="459" customFormat="1">
      <c r="A115" s="597" t="str">
        <f>Commodities!K38</f>
        <v>T-GTR-ICE_DST00</v>
      </c>
      <c r="B115" s="609" t="e">
        <f>#REF!/ACT2FLO!D74/Efficiency!D28/0.041868</f>
        <v>#REF!</v>
      </c>
      <c r="C115" s="886"/>
      <c r="D115" s="879"/>
    </row>
    <row r="116" spans="1:88" s="459" customFormat="1" ht="15.6">
      <c r="A116" s="596" t="s">
        <v>786</v>
      </c>
      <c r="B116" s="608" t="e">
        <f>SUM(B112:B115)</f>
        <v>#REF!</v>
      </c>
      <c r="C116" s="887"/>
      <c r="D116" s="880"/>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797</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82" t="s">
        <v>16</v>
      </c>
      <c r="B135" s="882"/>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C689*0</f>
        <v>0</v>
      </c>
      <c r="E154" s="402">
        <f>$C$154*1</f>
        <v>317.18623700000001</v>
      </c>
      <c r="F154" s="402">
        <f t="shared" ref="F154:AC154" si="85">E689*0</f>
        <v>0</v>
      </c>
      <c r="G154" s="402">
        <f t="shared" si="85"/>
        <v>0</v>
      </c>
      <c r="H154" s="402">
        <f>G689*0</f>
        <v>0</v>
      </c>
      <c r="I154" s="402">
        <f>H689*0</f>
        <v>0</v>
      </c>
      <c r="J154" s="402">
        <f>I689*0</f>
        <v>0</v>
      </c>
      <c r="K154" s="402">
        <f>J689*0</f>
        <v>0</v>
      </c>
      <c r="L154" s="402">
        <f>K689*0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81" t="s">
        <v>16</v>
      </c>
      <c r="B156" s="881"/>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798</v>
      </c>
      <c r="H175" s="493"/>
      <c r="I175" s="494"/>
      <c r="J175" s="494"/>
      <c r="Z175" s="445"/>
      <c r="AA175" s="445"/>
      <c r="AB175" s="445"/>
    </row>
    <row r="176" spans="1:29" s="133" customFormat="1">
      <c r="A176" s="128" t="s">
        <v>36</v>
      </c>
      <c r="B176" s="479">
        <v>7</v>
      </c>
      <c r="C176" s="479">
        <v>7</v>
      </c>
      <c r="D176" s="445"/>
      <c r="E176" s="445"/>
      <c r="F176" s="445"/>
      <c r="G176" s="871"/>
      <c r="H176" s="871"/>
      <c r="I176" s="495"/>
      <c r="J176" s="495"/>
      <c r="Z176" s="445"/>
      <c r="AA176" s="445"/>
      <c r="AB176" s="445"/>
    </row>
    <row r="177" spans="1:30" s="133" customFormat="1">
      <c r="A177" s="496" t="s">
        <v>37</v>
      </c>
      <c r="B177" s="497">
        <v>0.97050000000000003</v>
      </c>
      <c r="C177" s="497">
        <v>0.97640000000000005</v>
      </c>
      <c r="D177" s="445"/>
      <c r="E177" s="445"/>
      <c r="F177" s="445"/>
      <c r="G177" s="871"/>
      <c r="H177" s="871"/>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949</v>
      </c>
      <c r="B252" s="681"/>
      <c r="C252" s="681"/>
      <c r="I252" s="872" t="s">
        <v>944</v>
      </c>
      <c r="J252" s="872"/>
      <c r="K252" s="872"/>
      <c r="L252" s="872"/>
      <c r="M252" s="872"/>
      <c r="N252" s="872"/>
      <c r="O252" s="872"/>
      <c r="P252" s="872"/>
      <c r="Q252" s="872"/>
      <c r="R252" s="872"/>
      <c r="S252" s="872"/>
      <c r="T252" s="872"/>
      <c r="U252" s="872"/>
      <c r="V252" s="872"/>
      <c r="W252" s="872"/>
      <c r="X252" s="872"/>
      <c r="Y252" s="872"/>
      <c r="Z252" s="872"/>
      <c r="AA252" s="872"/>
      <c r="AB252" s="872"/>
    </row>
    <row r="253" spans="1:28" s="459" customFormat="1">
      <c r="A253" s="132" t="s">
        <v>912</v>
      </c>
      <c r="B253" s="132" t="s">
        <v>447</v>
      </c>
      <c r="C253" s="132" t="s">
        <v>913</v>
      </c>
      <c r="I253" s="873" t="s">
        <v>935</v>
      </c>
      <c r="J253" s="875" t="s">
        <v>321</v>
      </c>
      <c r="K253" s="875"/>
      <c r="L253" s="875"/>
      <c r="M253" s="13"/>
      <c r="N253" s="875" t="s">
        <v>670</v>
      </c>
      <c r="O253" s="875"/>
      <c r="P253" s="875"/>
      <c r="Q253" s="13"/>
      <c r="R253" s="875" t="s">
        <v>323</v>
      </c>
      <c r="S253" s="875"/>
      <c r="T253" s="875"/>
      <c r="U253" s="13"/>
      <c r="V253" s="875" t="s">
        <v>936</v>
      </c>
      <c r="W253" s="875"/>
      <c r="X253" s="875"/>
      <c r="Y253" s="13"/>
      <c r="Z253" s="875" t="s">
        <v>560</v>
      </c>
      <c r="AA253" s="875"/>
      <c r="AB253" s="875"/>
    </row>
    <row r="254" spans="1:28" s="459" customFormat="1" ht="21.6">
      <c r="A254" s="678"/>
      <c r="B254" s="682" t="s">
        <v>973</v>
      </c>
      <c r="C254" s="682" t="s">
        <v>914</v>
      </c>
      <c r="I254" s="874"/>
      <c r="J254" s="685" t="s">
        <v>937</v>
      </c>
      <c r="K254" s="686" t="s">
        <v>938</v>
      </c>
      <c r="L254" s="686" t="s">
        <v>939</v>
      </c>
      <c r="M254" s="687"/>
      <c r="N254" s="685" t="s">
        <v>937</v>
      </c>
      <c r="O254" s="686" t="s">
        <v>938</v>
      </c>
      <c r="P254" s="686" t="s">
        <v>939</v>
      </c>
      <c r="Q254" s="687"/>
      <c r="R254" s="685" t="s">
        <v>937</v>
      </c>
      <c r="S254" s="686" t="s">
        <v>938</v>
      </c>
      <c r="T254" s="686" t="s">
        <v>939</v>
      </c>
      <c r="U254" s="687"/>
      <c r="V254" s="685" t="s">
        <v>937</v>
      </c>
      <c r="W254" s="686" t="s">
        <v>938</v>
      </c>
      <c r="X254" s="686" t="s">
        <v>939</v>
      </c>
      <c r="Y254" s="688"/>
      <c r="Z254" s="685" t="s">
        <v>937</v>
      </c>
      <c r="AA254" s="686" t="s">
        <v>938</v>
      </c>
      <c r="AB254" s="686" t="s">
        <v>939</v>
      </c>
    </row>
    <row r="255" spans="1:28" s="459" customFormat="1">
      <c r="A255" s="459" t="s">
        <v>915</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916</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917</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918</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919</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920</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921</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934</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948</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912</v>
      </c>
      <c r="B269" s="132" t="s">
        <v>922</v>
      </c>
      <c r="C269" s="132" t="s">
        <v>923</v>
      </c>
      <c r="D269" s="132" t="s">
        <v>924</v>
      </c>
      <c r="E269" s="132" t="s">
        <v>925</v>
      </c>
      <c r="F269" s="132" t="s">
        <v>926</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915</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916</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917</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918</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927</v>
      </c>
      <c r="B276" s="683">
        <v>0</v>
      </c>
      <c r="C276" s="683">
        <v>0.1</v>
      </c>
      <c r="D276" s="683">
        <v>0.4</v>
      </c>
      <c r="E276" s="683">
        <v>0.8</v>
      </c>
      <c r="F276" s="683">
        <v>1.6</v>
      </c>
      <c r="G276" s="683">
        <v>0.7</v>
      </c>
      <c r="I276" s="689" t="s">
        <v>940</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928</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919</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929</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930</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931</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932</v>
      </c>
      <c r="B282" s="683">
        <v>1</v>
      </c>
      <c r="C282" s="683">
        <v>0.4</v>
      </c>
      <c r="D282" s="683">
        <v>0.3</v>
      </c>
      <c r="E282" s="683">
        <v>0.6</v>
      </c>
      <c r="F282" s="683">
        <v>0.7</v>
      </c>
      <c r="G282" s="683">
        <v>0.7</v>
      </c>
      <c r="I282" s="689" t="s">
        <v>945</v>
      </c>
    </row>
    <row r="283" spans="1:28" s="459" customFormat="1">
      <c r="A283" s="136" t="s">
        <v>921</v>
      </c>
      <c r="B283" s="684">
        <v>100</v>
      </c>
      <c r="C283" s="684">
        <v>100</v>
      </c>
      <c r="D283" s="684">
        <v>100</v>
      </c>
      <c r="E283" s="684">
        <v>100</v>
      </c>
      <c r="F283" s="684">
        <v>100</v>
      </c>
      <c r="G283" s="684">
        <v>100</v>
      </c>
    </row>
    <row r="284" spans="1:28" s="459" customFormat="1">
      <c r="A284" s="680" t="s">
        <v>933</v>
      </c>
    </row>
    <row r="285" spans="1:28" s="459" customFormat="1"/>
    <row r="286" spans="1:28" s="459" customFormat="1"/>
    <row r="287" spans="1:28" s="459" customFormat="1">
      <c r="F287" s="6"/>
    </row>
    <row r="288" spans="1:28" s="459" customFormat="1">
      <c r="A288" s="459" t="s">
        <v>952</v>
      </c>
      <c r="F288" s="6"/>
    </row>
    <row r="289" spans="1:9" s="459" customFormat="1">
      <c r="A289" s="132" t="s">
        <v>941</v>
      </c>
      <c r="B289" s="130" t="s">
        <v>946</v>
      </c>
      <c r="C289" s="130" t="s">
        <v>947</v>
      </c>
      <c r="D289" s="130" t="s">
        <v>942</v>
      </c>
      <c r="E289" s="130" t="s">
        <v>953</v>
      </c>
      <c r="F289" s="130" t="s">
        <v>532</v>
      </c>
    </row>
    <row r="290" spans="1:9" s="459" customFormat="1">
      <c r="A290" s="459" t="s">
        <v>943</v>
      </c>
      <c r="B290" s="39">
        <v>4</v>
      </c>
      <c r="C290" s="578">
        <f>B240</f>
        <v>0.5</v>
      </c>
      <c r="D290" s="696">
        <f>B290/$B$293</f>
        <v>0.27889325272494597</v>
      </c>
      <c r="E290" s="396">
        <f>$E$293*C290*D290</f>
        <v>7485.229753311015</v>
      </c>
      <c r="F290" s="578">
        <f>E290/$E$293</f>
        <v>0.13944662636247299</v>
      </c>
    </row>
    <row r="291" spans="1:9" s="459" customFormat="1">
      <c r="A291" s="459" t="s">
        <v>951</v>
      </c>
      <c r="B291" s="39">
        <v>17</v>
      </c>
      <c r="C291" s="578">
        <f>C240</f>
        <v>0.41</v>
      </c>
      <c r="D291" s="696">
        <f>B291/$B$293</f>
        <v>1.1852963240810204</v>
      </c>
      <c r="E291" s="396">
        <f>$E$293*C291*D291</f>
        <v>26086.025690288883</v>
      </c>
      <c r="F291" s="578">
        <f>E291/$E$293</f>
        <v>0.48597149287321834</v>
      </c>
      <c r="I291" s="135"/>
    </row>
    <row r="292" spans="1:9" s="459" customFormat="1">
      <c r="A292" s="459" t="s">
        <v>950</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958</v>
      </c>
    </row>
    <row r="295" spans="1:9" s="459" customFormat="1"/>
    <row r="296" spans="1:9" s="459" customFormat="1"/>
    <row r="297" spans="1:9" s="459" customFormat="1"/>
    <row r="298" spans="1:9" s="459" customFormat="1">
      <c r="A298" s="459" t="s">
        <v>956</v>
      </c>
      <c r="F298" s="6"/>
    </row>
    <row r="299" spans="1:9" s="459" customFormat="1">
      <c r="A299" s="132" t="s">
        <v>941</v>
      </c>
      <c r="B299" s="130" t="s">
        <v>946</v>
      </c>
      <c r="C299" s="130" t="s">
        <v>947</v>
      </c>
      <c r="D299" s="130" t="s">
        <v>942</v>
      </c>
      <c r="E299" s="130" t="s">
        <v>953</v>
      </c>
      <c r="F299" s="130" t="s">
        <v>532</v>
      </c>
    </row>
    <row r="300" spans="1:9" s="459" customFormat="1">
      <c r="A300" s="459" t="s">
        <v>943</v>
      </c>
      <c r="B300" s="39">
        <v>4</v>
      </c>
      <c r="C300" s="578">
        <f>B240</f>
        <v>0.5</v>
      </c>
      <c r="D300" s="696">
        <f>B300/$B$303</f>
        <v>0.38095238095238093</v>
      </c>
      <c r="E300" s="577">
        <f>$E$303*C300*D300</f>
        <v>238.72184365296803</v>
      </c>
      <c r="F300" s="578">
        <f>E300/$E$303</f>
        <v>0.19047619047619047</v>
      </c>
    </row>
    <row r="301" spans="1:9" s="459" customFormat="1">
      <c r="A301" s="459" t="s">
        <v>951</v>
      </c>
      <c r="B301" s="39">
        <v>14</v>
      </c>
      <c r="C301" s="578">
        <f>C240</f>
        <v>0.41</v>
      </c>
      <c r="D301" s="696">
        <f>B301/$B$303</f>
        <v>1.3333333333333333</v>
      </c>
      <c r="E301" s="577">
        <f>$E$303*C301*D301</f>
        <v>685.13169128401819</v>
      </c>
      <c r="F301" s="578">
        <f>E301/$E$303</f>
        <v>0.54666666666666663</v>
      </c>
    </row>
    <row r="302" spans="1:9" s="459" customFormat="1">
      <c r="A302" s="459" t="s">
        <v>950</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962</v>
      </c>
      <c r="F307" s="6"/>
    </row>
    <row r="308" spans="1:6" s="459" customFormat="1">
      <c r="A308" s="132" t="s">
        <v>941</v>
      </c>
      <c r="B308" s="130" t="s">
        <v>946</v>
      </c>
      <c r="C308" s="130" t="s">
        <v>947</v>
      </c>
      <c r="D308" s="130" t="s">
        <v>942</v>
      </c>
      <c r="E308" s="130" t="s">
        <v>953</v>
      </c>
      <c r="F308" s="130" t="s">
        <v>532</v>
      </c>
    </row>
    <row r="309" spans="1:6" s="459" customFormat="1">
      <c r="A309" s="459" t="s">
        <v>943</v>
      </c>
      <c r="B309" s="39">
        <v>4</v>
      </c>
      <c r="C309" s="578">
        <f>B240</f>
        <v>0.5</v>
      </c>
      <c r="D309" s="696">
        <f>B309/$B$312</f>
        <v>0.24539877300613497</v>
      </c>
      <c r="E309" s="577">
        <f>$E$312*C309*D309</f>
        <v>1204.4243616479548</v>
      </c>
      <c r="F309" s="578">
        <f>E309/$E$312</f>
        <v>0.12269938650306748</v>
      </c>
    </row>
    <row r="310" spans="1:6" s="459" customFormat="1">
      <c r="A310" s="459" t="s">
        <v>951</v>
      </c>
      <c r="B310" s="39">
        <v>17</v>
      </c>
      <c r="C310" s="578">
        <f>C240</f>
        <v>0.41</v>
      </c>
      <c r="D310" s="696">
        <f>B310/$B$312</f>
        <v>1.0429447852760736</v>
      </c>
      <c r="E310" s="577">
        <f>$E$312*C310*D310</f>
        <v>4197.418900343122</v>
      </c>
      <c r="F310" s="578">
        <f>E310/$E$312</f>
        <v>0.4276073619631901</v>
      </c>
    </row>
    <row r="311" spans="1:6" s="459" customFormat="1">
      <c r="A311" s="459" t="s">
        <v>950</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957</v>
      </c>
      <c r="F316" s="6"/>
    </row>
    <row r="317" spans="1:6" s="459" customFormat="1">
      <c r="A317" s="132" t="s">
        <v>941</v>
      </c>
      <c r="B317" s="130" t="s">
        <v>946</v>
      </c>
      <c r="C317" s="130" t="s">
        <v>947</v>
      </c>
      <c r="D317" s="130" t="s">
        <v>942</v>
      </c>
      <c r="E317" s="130" t="s">
        <v>953</v>
      </c>
      <c r="F317" s="130" t="s">
        <v>532</v>
      </c>
    </row>
    <row r="318" spans="1:6" s="459" customFormat="1">
      <c r="A318" s="459" t="s">
        <v>943</v>
      </c>
      <c r="B318" s="39">
        <v>4</v>
      </c>
      <c r="C318" s="578">
        <f>C300</f>
        <v>0.5</v>
      </c>
      <c r="D318" s="696">
        <f>B318/$B$320</f>
        <v>0.29197080291970806</v>
      </c>
      <c r="E318" s="577">
        <f>$E$320*C318*D318</f>
        <v>17.503649635036499</v>
      </c>
      <c r="F318" s="578">
        <f>E318/$E$320</f>
        <v>0.14598540145985403</v>
      </c>
    </row>
    <row r="319" spans="1:6" s="459" customFormat="1">
      <c r="A319" s="459" t="s">
        <v>951</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955</v>
      </c>
    </row>
    <row r="325" spans="1:29" s="459" customFormat="1">
      <c r="A325" s="132" t="s">
        <v>941</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943</v>
      </c>
      <c r="B326" s="459" t="s">
        <v>954</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951</v>
      </c>
      <c r="B327" s="459" t="s">
        <v>954</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950</v>
      </c>
      <c r="B328" s="459" t="s">
        <v>954</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954</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959</v>
      </c>
    </row>
    <row r="334" spans="1:29" s="459" customFormat="1">
      <c r="A334" s="132" t="s">
        <v>941</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943</v>
      </c>
      <c r="B335" s="459" t="s">
        <v>954</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951</v>
      </c>
      <c r="B336" s="459" t="s">
        <v>954</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950</v>
      </c>
      <c r="B337" s="459" t="s">
        <v>954</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954</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960</v>
      </c>
    </row>
    <row r="343" spans="1:29" s="459" customFormat="1">
      <c r="A343" s="132" t="s">
        <v>941</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943</v>
      </c>
      <c r="B344" s="459" t="s">
        <v>954</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951</v>
      </c>
      <c r="B345" s="459" t="s">
        <v>954</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954</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961</v>
      </c>
    </row>
    <row r="351" spans="1:29" s="459" customFormat="1">
      <c r="A351" s="132" t="s">
        <v>941</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943</v>
      </c>
      <c r="B352" s="459" t="s">
        <v>954</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951</v>
      </c>
      <c r="B353" s="459" t="s">
        <v>954</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950</v>
      </c>
      <c r="B354" s="459" t="s">
        <v>954</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954</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711</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712</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1119</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68" t="s">
        <v>1116</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68"/>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68" t="s">
        <v>1117</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68"/>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68" t="s">
        <v>1118</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68"/>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1119</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68" t="s">
        <v>1116</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68"/>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68" t="s">
        <v>1117</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68"/>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68" t="s">
        <v>1118</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68"/>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29">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29">
      <c r="A434" t="s">
        <v>678</v>
      </c>
    </row>
    <row r="435" spans="1:29" s="844" customFormat="1"/>
    <row r="436" spans="1:29" s="844" customFormat="1"/>
    <row r="437" spans="1:29" s="844" customFormat="1"/>
    <row r="438" spans="1:29" s="844" customFormat="1" ht="15.6">
      <c r="A438" s="401" t="s">
        <v>1165</v>
      </c>
    </row>
    <row r="439" spans="1:29" s="844" customFormat="1">
      <c r="A439" s="848" t="s">
        <v>711</v>
      </c>
      <c r="B439" s="848" t="s">
        <v>1164</v>
      </c>
      <c r="C439" s="130" t="str">
        <f>C426</f>
        <v>IE</v>
      </c>
      <c r="D439" s="130" t="str">
        <f t="shared" ref="D439:AC439" si="202">D426</f>
        <v>IE-CW</v>
      </c>
      <c r="E439" s="130" t="str">
        <f t="shared" si="202"/>
        <v>IE-D</v>
      </c>
      <c r="F439" s="130" t="str">
        <f t="shared" si="202"/>
        <v>IE-KE</v>
      </c>
      <c r="G439" s="130" t="str">
        <f t="shared" si="202"/>
        <v>IE-KK</v>
      </c>
      <c r="H439" s="130" t="str">
        <f t="shared" si="202"/>
        <v>IE-LS</v>
      </c>
      <c r="I439" s="130" t="str">
        <f t="shared" si="202"/>
        <v>IE-LD</v>
      </c>
      <c r="J439" s="130" t="str">
        <f t="shared" si="202"/>
        <v>IE-LH</v>
      </c>
      <c r="K439" s="130" t="str">
        <f t="shared" si="202"/>
        <v>IE-MH</v>
      </c>
      <c r="L439" s="130" t="str">
        <f t="shared" si="202"/>
        <v>IE-OY</v>
      </c>
      <c r="M439" s="130" t="str">
        <f t="shared" si="202"/>
        <v>IE-WH</v>
      </c>
      <c r="N439" s="130" t="str">
        <f t="shared" si="202"/>
        <v>IE-WX</v>
      </c>
      <c r="O439" s="130" t="str">
        <f t="shared" si="202"/>
        <v>IE-WW</v>
      </c>
      <c r="P439" s="130" t="str">
        <f t="shared" si="202"/>
        <v>IE-CE</v>
      </c>
      <c r="Q439" s="130" t="str">
        <f t="shared" si="202"/>
        <v>IE-CO</v>
      </c>
      <c r="R439" s="130" t="str">
        <f t="shared" si="202"/>
        <v>IE-KY</v>
      </c>
      <c r="S439" s="130" t="str">
        <f t="shared" si="202"/>
        <v>IE-LK</v>
      </c>
      <c r="T439" s="130" t="str">
        <f t="shared" si="202"/>
        <v>IE-TA</v>
      </c>
      <c r="U439" s="130" t="str">
        <f t="shared" si="202"/>
        <v>IE-WD</v>
      </c>
      <c r="V439" s="130" t="str">
        <f t="shared" si="202"/>
        <v>IE-G</v>
      </c>
      <c r="W439" s="130" t="str">
        <f t="shared" si="202"/>
        <v>IE-LM</v>
      </c>
      <c r="X439" s="130" t="str">
        <f t="shared" si="202"/>
        <v>IE-MO</v>
      </c>
      <c r="Y439" s="130" t="str">
        <f t="shared" si="202"/>
        <v>IE-RN</v>
      </c>
      <c r="Z439" s="130" t="str">
        <f t="shared" si="202"/>
        <v>IE-SO</v>
      </c>
      <c r="AA439" s="130" t="str">
        <f t="shared" si="202"/>
        <v>IE-CN</v>
      </c>
      <c r="AB439" s="130" t="str">
        <f t="shared" si="202"/>
        <v>IE-DL</v>
      </c>
      <c r="AC439" s="130" t="str">
        <f t="shared" si="202"/>
        <v>IE-MN</v>
      </c>
    </row>
    <row r="440" spans="1:29" s="844" customFormat="1">
      <c r="A440" s="844" t="s">
        <v>1161</v>
      </c>
      <c r="B440" s="844" t="s">
        <v>1155</v>
      </c>
      <c r="C440" s="36">
        <f>((C414*AF!D133*ACT2FLO!D70)+(C415*AF!D134*ACT2FLO!D71))/1000000</f>
        <v>275.993624899</v>
      </c>
      <c r="D440" s="36">
        <f>((D414*AF!E133*ACT2FLO!E70)+(D415*AF!E134*ACT2FLO!E71))/1000000</f>
        <v>4.4664439269999994</v>
      </c>
      <c r="E440" s="36">
        <f>((E414*AF!F133*ACT2FLO!F70)+(E415*AF!F134*ACT2FLO!F71))/1000000</f>
        <v>63.264013847999998</v>
      </c>
      <c r="F440" s="36">
        <f>((F414*AF!G133*ACT2FLO!G70)+(F415*AF!G134*ACT2FLO!G71))/1000000</f>
        <v>12.95299578</v>
      </c>
      <c r="G440" s="36">
        <f>((G414*AF!H133*ACT2FLO!H70)+(G415*AF!H134*ACT2FLO!H71))/1000000</f>
        <v>5.9712435900000003</v>
      </c>
      <c r="H440" s="36">
        <f>((H414*AF!I133*ACT2FLO!I70)+(H415*AF!I134*ACT2FLO!I71))/1000000</f>
        <v>4.6924343829999993</v>
      </c>
      <c r="I440" s="36">
        <f>((I414*AF!J133*ACT2FLO!J70)+(I415*AF!J134*ACT2FLO!J71))/1000000</f>
        <v>2.9547502029999997</v>
      </c>
      <c r="J440" s="36">
        <f>((J414*AF!K133*ACT2FLO!K70)+(J415*AF!K134*ACT2FLO!K71))/1000000</f>
        <v>6.2321199459999992</v>
      </c>
      <c r="K440" s="36">
        <f>((K414*AF!L133*ACT2FLO!L70)+(K415*AF!L134*ACT2FLO!L71))/1000000</f>
        <v>11.666045855999998</v>
      </c>
      <c r="L440" s="36">
        <f>((L414*AF!M133*ACT2FLO!M70)+(L415*AF!M134*ACT2FLO!M71))/1000000</f>
        <v>5.0565246279999991</v>
      </c>
      <c r="M440" s="36">
        <f>((M414*AF!N133*ACT2FLO!N70)+(M415*AF!N134*ACT2FLO!N71))/1000000</f>
        <v>6.5503635049999991</v>
      </c>
      <c r="N440" s="36">
        <f>((N414*AF!O133*ACT2FLO!O70)+(N415*AF!O134*ACT2FLO!O71))/1000000</f>
        <v>10.433975886000001</v>
      </c>
      <c r="O440" s="36">
        <f>((O414*AF!P133*ACT2FLO!P70)+(O415*AF!P134*ACT2FLO!P71))/1000000</f>
        <v>7.4718604279999994</v>
      </c>
      <c r="P440" s="36">
        <f>((P414*AF!Q133*ACT2FLO!Q70)+(P415*AF!Q134*ACT2FLO!Q71))/1000000</f>
        <v>7.3643639539999999</v>
      </c>
      <c r="Q440" s="36">
        <f>((Q414*AF!R133*ACT2FLO!R70)+(Q415*AF!R134*ACT2FLO!R71))/1000000</f>
        <v>30.442963742999996</v>
      </c>
      <c r="R440" s="36">
        <f>((R414*AF!S133*ACT2FLO!S70)+(R415*AF!S134*ACT2FLO!S71))/1000000</f>
        <v>9.0589121250000009</v>
      </c>
      <c r="S440" s="36">
        <f>((S414*AF!T133*ACT2FLO!T70)+(S415*AF!T134*ACT2FLO!T71))/1000000</f>
        <v>10.553827076999999</v>
      </c>
      <c r="T440" s="36">
        <f>((T414*AF!U133*ACT2FLO!U70)+(T415*AF!U134*ACT2FLO!U71))/1000000</f>
        <v>10.269840026999999</v>
      </c>
      <c r="U440" s="36">
        <f>((U414*AF!V133*ACT2FLO!V70)+(U415*AF!V134*ACT2FLO!V71))/1000000</f>
        <v>5.9749364299999996</v>
      </c>
      <c r="V440" s="36">
        <f>((V414*AF!W133*ACT2FLO!W70)+(V415*AF!W134*ACT2FLO!W71))/1000000</f>
        <v>15.756442527999997</v>
      </c>
      <c r="W440" s="36">
        <f>((W414*AF!X133*ACT2FLO!X70)+(W415*AF!X134*ACT2FLO!X71))/1000000</f>
        <v>2.6189747699999995</v>
      </c>
      <c r="X440" s="36">
        <f>((X414*AF!Y133*ACT2FLO!Y70)+(X415*AF!Y134*ACT2FLO!Y71))/1000000</f>
        <v>10.367365531999999</v>
      </c>
      <c r="Y440" s="36">
        <f>((Y414*AF!Z133*ACT2FLO!Z70)+(Y415*AF!Z134*ACT2FLO!Z71))/1000000</f>
        <v>4.9898322299999993</v>
      </c>
      <c r="Z440" s="36">
        <f>((Z414*AF!AA133*ACT2FLO!AA70)+(Z415*AF!AA134*ACT2FLO!AA71))/1000000</f>
        <v>4.5254536869999988</v>
      </c>
      <c r="AA440" s="36">
        <f>((AA414*AF!AB133*ACT2FLO!AB70)+(AA415*AF!AB134*ACT2FLO!AB71))/1000000</f>
        <v>6.1400258999999995</v>
      </c>
      <c r="AB440" s="36">
        <f>((AB414*AF!AC133*ACT2FLO!AC70)+(AB415*AF!AC134*ACT2FLO!AC71))/1000000</f>
        <v>10.612086616000001</v>
      </c>
      <c r="AC440" s="36">
        <f>((AC414*AF!AD133*ACT2FLO!AD70)+(AC415*AF!AD134*ACT2FLO!AD71))/1000000</f>
        <v>5.6079158639999998</v>
      </c>
    </row>
    <row r="441" spans="1:29" s="844" customFormat="1">
      <c r="A441" s="844" t="s">
        <v>1162</v>
      </c>
      <c r="B441" s="844" t="s">
        <v>1156</v>
      </c>
      <c r="C441" s="36">
        <f>((C416*AF!D135*ACT2FLO!D72)+(C417*AF!D136*ACT2FLO!D72))/1000000</f>
        <v>1170.4876383179999</v>
      </c>
      <c r="D441" s="36">
        <f>((D416*AF!E135*ACT2FLO!E72)+(D417*AF!E136*ACT2FLO!E72))/1000000</f>
        <v>16.53365346</v>
      </c>
      <c r="E441" s="36">
        <f>((E416*AF!F135*ACT2FLO!F72)+(E417*AF!F136*ACT2FLO!F72))/1000000</f>
        <v>357.163885548</v>
      </c>
      <c r="F441" s="36">
        <f>((F416*AF!G135*ACT2FLO!G72)+(F417*AF!G136*ACT2FLO!G72))/1000000</f>
        <v>51.199073261999999</v>
      </c>
      <c r="G441" s="36">
        <f>((G416*AF!H135*ACT2FLO!H72)+(G417*AF!H136*ACT2FLO!H72))/1000000</f>
        <v>22.551935357999998</v>
      </c>
      <c r="H441" s="36">
        <f>((H416*AF!I135*ACT2FLO!I72)+(H417*AF!I136*ACT2FLO!I72))/1000000</f>
        <v>20.480825129999999</v>
      </c>
      <c r="I441" s="36">
        <f>((I416*AF!J135*ACT2FLO!J72)+(I417*AF!J136*ACT2FLO!J72))/1000000</f>
        <v>12.040452686999998</v>
      </c>
      <c r="J441" s="36">
        <f>((J416*AF!K135*ACT2FLO!K72)+(J417*AF!K136*ACT2FLO!K72))/1000000</f>
        <v>39.986357148000003</v>
      </c>
      <c r="K441" s="36">
        <f>((K416*AF!L135*ACT2FLO!L72)+(K417*AF!L136*ACT2FLO!L72))/1000000</f>
        <v>49.596653441999997</v>
      </c>
      <c r="L441" s="36">
        <f>((L416*AF!M135*ACT2FLO!M72)+(L417*AF!M136*ACT2FLO!M72))/1000000</f>
        <v>14.99562693</v>
      </c>
      <c r="M441" s="36">
        <f>((M416*AF!N135*ACT2FLO!N72)+(M417*AF!N136*ACT2FLO!N72))/1000000</f>
        <v>19.197188982</v>
      </c>
      <c r="N441" s="36">
        <f>((N416*AF!O135*ACT2FLO!O72)+(N417*AF!O136*ACT2FLO!O72))/1000000</f>
        <v>46.276485524999998</v>
      </c>
      <c r="O441" s="36">
        <f>((O416*AF!P135*ACT2FLO!P72)+(O417*AF!P136*ACT2FLO!P72))/1000000</f>
        <v>19.091451195000001</v>
      </c>
      <c r="P441" s="36">
        <f>((P416*AF!Q135*ACT2FLO!Q72)+(P417*AF!Q136*ACT2FLO!Q72))/1000000</f>
        <v>20.042311391999998</v>
      </c>
      <c r="Q441" s="36">
        <f>((Q416*AF!R135*ACT2FLO!R72)+(Q417*AF!R136*ACT2FLO!R72))/1000000</f>
        <v>121.040140986</v>
      </c>
      <c r="R441" s="36">
        <f>((R416*AF!S135*ACT2FLO!S72)+(R417*AF!S136*ACT2FLO!S72))/1000000</f>
        <v>25.302389525999995</v>
      </c>
      <c r="S441" s="36">
        <f>((S416*AF!T135*ACT2FLO!T72)+(S417*AF!T136*ACT2FLO!T72))/1000000</f>
        <v>78.658455326999999</v>
      </c>
      <c r="T441" s="36">
        <f>((T416*AF!U135*ACT2FLO!U72)+(T417*AF!U136*ACT2FLO!U72))/1000000</f>
        <v>38.391040613999991</v>
      </c>
      <c r="U441" s="36">
        <f>((U416*AF!V135*ACT2FLO!V72)+(U417*AF!V136*ACT2FLO!V72))/1000000</f>
        <v>18.87123879</v>
      </c>
      <c r="V441" s="36">
        <f>((V416*AF!W135*ACT2FLO!W72)+(V417*AF!W136*ACT2FLO!W72))/1000000</f>
        <v>55.882260588000001</v>
      </c>
      <c r="W441" s="36">
        <f>((W416*AF!X135*ACT2FLO!X72)+(W417*AF!X136*ACT2FLO!X72))/1000000</f>
        <v>6.8616267300000002</v>
      </c>
      <c r="X441" s="36">
        <f>((X416*AF!Y135*ACT2FLO!Y72)+(X417*AF!Y136*ACT2FLO!Y72))/1000000</f>
        <v>25.900186197</v>
      </c>
      <c r="Y441" s="36">
        <f>((Y416*AF!Z135*ACT2FLO!Z72)+(Y417*AF!Z136*ACT2FLO!Z72))/1000000</f>
        <v>18.203593139999999</v>
      </c>
      <c r="Z441" s="36">
        <f>((Z416*AF!AA135*ACT2FLO!AA72)+(Z417*AF!AA136*ACT2FLO!AA72))/1000000</f>
        <v>16.478126981999999</v>
      </c>
      <c r="AA441" s="36">
        <f>((AA416*AF!AB135*ACT2FLO!AB72)+(AA417*AF!AB136*ACT2FLO!AB72))/1000000</f>
        <v>20.703387731999999</v>
      </c>
      <c r="AB441" s="36">
        <f>((AB416*AF!AC135*ACT2FLO!AC72)+(AB417*AF!AC136*ACT2FLO!AC72))/1000000</f>
        <v>26.293456008</v>
      </c>
      <c r="AC441" s="36">
        <f>((AC416*AF!AD135*ACT2FLO!AD72)+(AC417*AF!AD136*ACT2FLO!AD72))/1000000</f>
        <v>28.794416915999999</v>
      </c>
    </row>
    <row r="442" spans="1:29" s="844" customFormat="1">
      <c r="A442" s="844" t="s">
        <v>1163</v>
      </c>
      <c r="B442" s="844" t="s">
        <v>1157</v>
      </c>
      <c r="C442" s="135">
        <f>((C418*AF!D137*ACT2FLO!D73)+(C419*AF!D138*ACT2FLO!D73))/1000000</f>
        <v>10447.393318175999</v>
      </c>
      <c r="D442" s="135">
        <f>((D418*AF!E137*ACT2FLO!E73)+(D419*AF!E138*ACT2FLO!E73))/1000000</f>
        <v>191.25112679999998</v>
      </c>
      <c r="E442" s="135">
        <f>((E418*AF!F137*ACT2FLO!F73)+(E419*AF!F138*ACT2FLO!F73))/1000000</f>
        <v>1801.6202282399997</v>
      </c>
      <c r="F442" s="135">
        <f>((F418*AF!G137*ACT2FLO!G73)+(F419*AF!G138*ACT2FLO!G73))/1000000</f>
        <v>567.11463907200005</v>
      </c>
      <c r="G442" s="135">
        <f>((G418*AF!H137*ACT2FLO!H73)+(G419*AF!H138*ACT2FLO!H73))/1000000</f>
        <v>401.39321097599998</v>
      </c>
      <c r="H442" s="135">
        <f>((H418*AF!I137*ACT2FLO!I73)+(H419*AF!I138*ACT2FLO!I73))/1000000</f>
        <v>232.66431216000001</v>
      </c>
      <c r="I442" s="135">
        <f>((I418*AF!J137*ACT2FLO!J73)+(I419*AF!J138*ACT2FLO!J73))/1000000</f>
        <v>142.62160694399998</v>
      </c>
      <c r="J442" s="135">
        <f>((J418*AF!K137*ACT2FLO!K73)+(J419*AF!K138*ACT2FLO!K73))/1000000</f>
        <v>290.99081644799998</v>
      </c>
      <c r="K442" s="135">
        <f>((K418*AF!L137*ACT2FLO!L73)+(K419*AF!L138*ACT2FLO!L73))/1000000</f>
        <v>657.40236825600005</v>
      </c>
      <c r="L442" s="135">
        <f>((L418*AF!M137*ACT2FLO!M73)+(L419*AF!M138*ACT2FLO!M73))/1000000</f>
        <v>160.64494147199997</v>
      </c>
      <c r="M442" s="135">
        <f>((M418*AF!N137*ACT2FLO!N73)+(M419*AF!N138*ACT2FLO!N73))/1000000</f>
        <v>146.17946937599999</v>
      </c>
      <c r="N442" s="135">
        <f>((N418*AF!O137*ACT2FLO!O73)+(N419*AF!O138*ACT2FLO!O73))/1000000</f>
        <v>719.12865115199997</v>
      </c>
      <c r="O442" s="135">
        <f>((O418*AF!P137*ACT2FLO!P73)+(O419*AF!P138*ACT2FLO!P73))/1000000</f>
        <v>190.43531231999995</v>
      </c>
      <c r="P442" s="135">
        <f>((P418*AF!Q137*ACT2FLO!Q73)+(P419*AF!Q138*ACT2FLO!Q73))/1000000</f>
        <v>191.792928096</v>
      </c>
      <c r="Q442" s="135">
        <f>((Q418*AF!R137*ACT2FLO!R73)+(Q419*AF!R138*ACT2FLO!R73))/1000000</f>
        <v>1251.9188758079999</v>
      </c>
      <c r="R442" s="135">
        <f>((R418*AF!S137*ACT2FLO!S73)+(R419*AF!S138*ACT2FLO!S73))/1000000</f>
        <v>245.403101472</v>
      </c>
      <c r="S442" s="135">
        <f>((S418*AF!T137*ACT2FLO!T73)+(S419*AF!T138*ACT2FLO!T73))/1000000</f>
        <v>496.25415859199995</v>
      </c>
      <c r="T442" s="135">
        <f>((T418*AF!U137*ACT2FLO!U73)+(T419*AF!U138*ACT2FLO!U73))/1000000</f>
        <v>482.837056464</v>
      </c>
      <c r="U442" s="135">
        <f>((U418*AF!V137*ACT2FLO!V73)+(U419*AF!V138*ACT2FLO!V73))/1000000</f>
        <v>170.67215726399999</v>
      </c>
      <c r="V442" s="135">
        <f>((V418*AF!W137*ACT2FLO!W73)+(V419*AF!W138*ACT2FLO!W73))/1000000</f>
        <v>428.07617073599999</v>
      </c>
      <c r="W442" s="135">
        <f>((W418*AF!X137*ACT2FLO!X73)+(W419*AF!X138*ACT2FLO!X73))/1000000</f>
        <v>68.119661039999997</v>
      </c>
      <c r="X442" s="135">
        <f>((X418*AF!Y137*ACT2FLO!Y73)+(X419*AF!Y138*ACT2FLO!Y73))/1000000</f>
        <v>203.87141971199998</v>
      </c>
      <c r="Y442" s="135">
        <f>((Y418*AF!Z137*ACT2FLO!Z73)+(Y419*AF!Z138*ACT2FLO!Z73))/1000000</f>
        <v>150.88424860799998</v>
      </c>
      <c r="Z442" s="135">
        <f>((Z418*AF!AA137*ACT2FLO!AA73)+(Z419*AF!AA138*ACT2FLO!AA73))/1000000</f>
        <v>104.698798368</v>
      </c>
      <c r="AA442" s="135">
        <f>((AA418*AF!AB137*ACT2FLO!AB73)+(AA419*AF!AB138*ACT2FLO!AB73))/1000000</f>
        <v>273.25984943999998</v>
      </c>
      <c r="AB442" s="135">
        <f>((AB418*AF!AC137*ACT2FLO!AC73)+(AB419*AF!AC138*ACT2FLO!AC73))/1000000</f>
        <v>318.60472243199996</v>
      </c>
      <c r="AC442" s="135">
        <f>((AC418*AF!AD137*ACT2FLO!AD73)+(AC419*AF!AD138*ACT2FLO!AD73))/1000000</f>
        <v>558.08887142399988</v>
      </c>
    </row>
    <row r="443" spans="1:29" s="844" customFormat="1">
      <c r="A443" s="840"/>
      <c r="B443" s="840" t="s">
        <v>16</v>
      </c>
      <c r="C443" s="803">
        <f t="shared" ref="C443:AC443" si="203">SUM(C440:C442)</f>
        <v>11893.874581392998</v>
      </c>
      <c r="D443" s="803">
        <f t="shared" si="203"/>
        <v>212.25122418699999</v>
      </c>
      <c r="E443" s="803">
        <f t="shared" si="203"/>
        <v>2222.0481276359997</v>
      </c>
      <c r="F443" s="803">
        <f t="shared" si="203"/>
        <v>631.26670811400004</v>
      </c>
      <c r="G443" s="803">
        <f t="shared" si="203"/>
        <v>429.91638992399999</v>
      </c>
      <c r="H443" s="803">
        <f t="shared" si="203"/>
        <v>257.83757167300001</v>
      </c>
      <c r="I443" s="803">
        <f t="shared" si="203"/>
        <v>157.61680983399998</v>
      </c>
      <c r="J443" s="803">
        <f t="shared" si="203"/>
        <v>337.20929354199995</v>
      </c>
      <c r="K443" s="803">
        <f t="shared" si="203"/>
        <v>718.66506755400007</v>
      </c>
      <c r="L443" s="803">
        <f t="shared" si="203"/>
        <v>180.69709302999996</v>
      </c>
      <c r="M443" s="803">
        <f t="shared" si="203"/>
        <v>171.92702186299999</v>
      </c>
      <c r="N443" s="803">
        <f t="shared" si="203"/>
        <v>775.83911256299996</v>
      </c>
      <c r="O443" s="803">
        <f t="shared" si="203"/>
        <v>216.99862394299996</v>
      </c>
      <c r="P443" s="803">
        <f t="shared" si="203"/>
        <v>219.19960344200001</v>
      </c>
      <c r="Q443" s="803">
        <f t="shared" si="203"/>
        <v>1403.4019805369999</v>
      </c>
      <c r="R443" s="803">
        <f t="shared" si="203"/>
        <v>279.76440312300002</v>
      </c>
      <c r="S443" s="803">
        <f t="shared" si="203"/>
        <v>585.46644099599996</v>
      </c>
      <c r="T443" s="803">
        <f t="shared" si="203"/>
        <v>531.49793710500001</v>
      </c>
      <c r="U443" s="803">
        <f t="shared" si="203"/>
        <v>195.51833248399998</v>
      </c>
      <c r="V443" s="803">
        <f t="shared" si="203"/>
        <v>499.71487385199998</v>
      </c>
      <c r="W443" s="803">
        <f t="shared" si="203"/>
        <v>77.600262539999989</v>
      </c>
      <c r="X443" s="803">
        <f t="shared" si="203"/>
        <v>240.13897144099997</v>
      </c>
      <c r="Y443" s="803">
        <f t="shared" si="203"/>
        <v>174.07767397799998</v>
      </c>
      <c r="Z443" s="803">
        <f t="shared" si="203"/>
        <v>125.702379037</v>
      </c>
      <c r="AA443" s="803">
        <f t="shared" si="203"/>
        <v>300.103263072</v>
      </c>
      <c r="AB443" s="803">
        <f t="shared" si="203"/>
        <v>355.51026505599998</v>
      </c>
      <c r="AC443" s="803">
        <f t="shared" si="203"/>
        <v>592.49120420399993</v>
      </c>
    </row>
    <row r="444" spans="1:29" s="844" customFormat="1"/>
    <row r="445" spans="1:29" s="844" customFormat="1"/>
    <row r="446" spans="1:29" s="844" customFormat="1"/>
    <row r="447" spans="1:29" s="844" customFormat="1" ht="15.6">
      <c r="A447" s="850" t="s">
        <v>1166</v>
      </c>
    </row>
    <row r="448" spans="1:29" s="844" customFormat="1">
      <c r="A448" s="848" t="s">
        <v>711</v>
      </c>
      <c r="B448" s="848" t="s">
        <v>1164</v>
      </c>
      <c r="C448" s="130" t="str">
        <f>C439</f>
        <v>IE</v>
      </c>
      <c r="D448" s="130" t="str">
        <f t="shared" ref="D448:AC448" si="204">D439</f>
        <v>IE-CW</v>
      </c>
      <c r="E448" s="130" t="str">
        <f t="shared" si="204"/>
        <v>IE-D</v>
      </c>
      <c r="F448" s="130" t="str">
        <f t="shared" si="204"/>
        <v>IE-KE</v>
      </c>
      <c r="G448" s="130" t="str">
        <f t="shared" si="204"/>
        <v>IE-KK</v>
      </c>
      <c r="H448" s="130" t="str">
        <f t="shared" si="204"/>
        <v>IE-LS</v>
      </c>
      <c r="I448" s="130" t="str">
        <f t="shared" si="204"/>
        <v>IE-LD</v>
      </c>
      <c r="J448" s="130" t="str">
        <f t="shared" si="204"/>
        <v>IE-LH</v>
      </c>
      <c r="K448" s="130" t="str">
        <f t="shared" si="204"/>
        <v>IE-MH</v>
      </c>
      <c r="L448" s="130" t="str">
        <f t="shared" si="204"/>
        <v>IE-OY</v>
      </c>
      <c r="M448" s="130" t="str">
        <f t="shared" si="204"/>
        <v>IE-WH</v>
      </c>
      <c r="N448" s="130" t="str">
        <f t="shared" si="204"/>
        <v>IE-WX</v>
      </c>
      <c r="O448" s="130" t="str">
        <f t="shared" si="204"/>
        <v>IE-WW</v>
      </c>
      <c r="P448" s="130" t="str">
        <f t="shared" si="204"/>
        <v>IE-CE</v>
      </c>
      <c r="Q448" s="130" t="str">
        <f t="shared" si="204"/>
        <v>IE-CO</v>
      </c>
      <c r="R448" s="130" t="str">
        <f t="shared" si="204"/>
        <v>IE-KY</v>
      </c>
      <c r="S448" s="130" t="str">
        <f t="shared" si="204"/>
        <v>IE-LK</v>
      </c>
      <c r="T448" s="130" t="str">
        <f t="shared" si="204"/>
        <v>IE-TA</v>
      </c>
      <c r="U448" s="130" t="str">
        <f t="shared" si="204"/>
        <v>IE-WD</v>
      </c>
      <c r="V448" s="130" t="str">
        <f t="shared" si="204"/>
        <v>IE-G</v>
      </c>
      <c r="W448" s="130" t="str">
        <f t="shared" si="204"/>
        <v>IE-LM</v>
      </c>
      <c r="X448" s="130" t="str">
        <f t="shared" si="204"/>
        <v>IE-MO</v>
      </c>
      <c r="Y448" s="130" t="str">
        <f t="shared" si="204"/>
        <v>IE-RN</v>
      </c>
      <c r="Z448" s="130" t="str">
        <f t="shared" si="204"/>
        <v>IE-SO</v>
      </c>
      <c r="AA448" s="130" t="str">
        <f t="shared" si="204"/>
        <v>IE-CN</v>
      </c>
      <c r="AB448" s="130" t="str">
        <f t="shared" si="204"/>
        <v>IE-DL</v>
      </c>
      <c r="AC448" s="130" t="str">
        <f t="shared" si="204"/>
        <v>IE-MN</v>
      </c>
    </row>
    <row r="449" spans="1:31" s="844" customFormat="1">
      <c r="A449" s="844" t="s">
        <v>1161</v>
      </c>
      <c r="B449" s="844" t="s">
        <v>1155</v>
      </c>
      <c r="C449" s="849">
        <f>ACT2FLO!D70*C470/C440</f>
        <v>4.5493804447819669E-2</v>
      </c>
      <c r="D449" s="849">
        <f>ACT2FLO!E70*D470/D440</f>
        <v>4.3358329895848091E-2</v>
      </c>
      <c r="E449" s="849">
        <f>ACT2FLO!F70*E470/E440</f>
        <v>4.5230346590859345E-2</v>
      </c>
      <c r="F449" s="849">
        <f>ACT2FLO!G70*F470/F440</f>
        <v>4.0522019628972429E-2</v>
      </c>
      <c r="G449" s="849">
        <f>ACT2FLO!H70*G470/G440</f>
        <v>5.6528172751623862E-2</v>
      </c>
      <c r="H449" s="849">
        <f>ACT2FLO!I70*H470/H440</f>
        <v>5.1234809195997238E-2</v>
      </c>
      <c r="I449" s="849">
        <f>1.06*ACT2FLO!J70*I470/I440</f>
        <v>4.1621421936233714E-2</v>
      </c>
      <c r="J449" s="849">
        <f>ACT2FLO!K70*J470/J440</f>
        <v>4.8785042392482061E-2</v>
      </c>
      <c r="K449" s="849">
        <f>ACT2FLO!L70*K470/K440</f>
        <v>3.9439590734345581E-2</v>
      </c>
      <c r="L449" s="849">
        <f>ACT2FLO!M70*L470/L440</f>
        <v>4.3764359626499945E-2</v>
      </c>
      <c r="M449" s="849">
        <f>ACT2FLO!N70*M470/M440</f>
        <v>3.8467691311872873E-2</v>
      </c>
      <c r="N449" s="849">
        <f>ACT2FLO!O70*N470/N440</f>
        <v>4.8810559062806416E-2</v>
      </c>
      <c r="O449" s="849">
        <f>ACT2FLO!P70*O470/O440</f>
        <v>4.4965658844273497E-2</v>
      </c>
      <c r="P449" s="849">
        <f>1.05*ACT2FLO!Q70*P470/P440</f>
        <v>4.7139181399312009E-2</v>
      </c>
      <c r="Q449" s="849">
        <f>ACT2FLO!R70*Q470/Q440</f>
        <v>5.8108430041832138E-2</v>
      </c>
      <c r="R449" s="849">
        <f>1.08*ACT2FLO!S70*R470/R440</f>
        <v>5.7382652048294305E-2</v>
      </c>
      <c r="S449" s="849">
        <f>ACT2FLO!T70*S470/S440</f>
        <v>5.1386499612748299E-2</v>
      </c>
      <c r="T449" s="849">
        <f>ACT2FLO!U70*T470/T440</f>
        <v>4.3230543351130864E-2</v>
      </c>
      <c r="U449" s="849">
        <f>ACT2FLO!V70*U470/U440</f>
        <v>6.6139532565710202E-2</v>
      </c>
      <c r="V449" s="849">
        <f>ACT2FLO!W70*V470/V440</f>
        <v>4.1792599254131077E-2</v>
      </c>
      <c r="W449" s="849">
        <f>ACT2FLO!X70*W470/W440</f>
        <v>3.3532465950634381E-2</v>
      </c>
      <c r="X449" s="849">
        <f>ACT2FLO!Y70*X470/X440</f>
        <v>3.2122225057614875E-2</v>
      </c>
      <c r="Y449" s="849">
        <f>ACT2FLO!Z70*Y470/Y440</f>
        <v>3.3007311961299503E-2</v>
      </c>
      <c r="Z449" s="849">
        <f>ACT2FLO!AA70*Z470/Z440</f>
        <v>3.9688187235904247E-2</v>
      </c>
      <c r="AA449" s="849">
        <f>ACT2FLO!AB70*AA470/AA440</f>
        <v>3.4001497512077837E-2</v>
      </c>
      <c r="AB449" s="849">
        <f>ACT2FLO!AC70*AB470/AB440</f>
        <v>4.1112182905093803E-2</v>
      </c>
      <c r="AC449" s="849">
        <f>ACT2FLO!AD70*AC470/AC440</f>
        <v>2.9999770313504304E-2</v>
      </c>
    </row>
    <row r="450" spans="1:31" s="844" customFormat="1">
      <c r="A450" s="844" t="s">
        <v>1162</v>
      </c>
      <c r="B450" s="844" t="s">
        <v>1156</v>
      </c>
      <c r="C450" s="849">
        <f>1.05*ACT2FLO!D72*C471/C441</f>
        <v>3.592571901094749</v>
      </c>
      <c r="D450" s="849">
        <f>1.09*ACT2FLO!E72*D471/D441</f>
        <v>4.0721502412928219</v>
      </c>
      <c r="E450" s="849">
        <f>1.05*ACT2FLO!F72*E471/E441</f>
        <v>2.6831200992104467</v>
      </c>
      <c r="F450" s="849">
        <f>1.05*ACT2FLO!G72*F471/F441</f>
        <v>3.433366772253085</v>
      </c>
      <c r="G450" s="849">
        <f>1.05*ACT2FLO!H72*G471/G441</f>
        <v>5.0126445610086785</v>
      </c>
      <c r="H450" s="849">
        <f>1.08*ACT2FLO!I72*H471/H441</f>
        <v>4.0436292708817465</v>
      </c>
      <c r="I450" s="849">
        <f>1.11*ACT2FLO!J72*I471/I441</f>
        <v>3.4114866528890397</v>
      </c>
      <c r="J450" s="849">
        <f>1.05*ACT2FLO!K72*J471/J441</f>
        <v>2.5464294160737393</v>
      </c>
      <c r="K450" s="849">
        <f>1.05*ACT2FLO!L72*K471/K441</f>
        <v>3.1068815689063745</v>
      </c>
      <c r="L450" s="849">
        <f>1.08*ACT2FLO!M72*L471/L441</f>
        <v>5.0835081865413594</v>
      </c>
      <c r="M450" s="849">
        <f>1.07*ACT2FLO!N72*M471/M441</f>
        <v>4.4796012303618475</v>
      </c>
      <c r="N450" s="849">
        <f>1.07*ACT2FLO!O72*N471/N441</f>
        <v>3.7559405842215288</v>
      </c>
      <c r="O450" s="849">
        <f>1.07*ACT2FLO!P72*O471/O441</f>
        <v>6.0060126440470754</v>
      </c>
      <c r="P450" s="849">
        <f>1.1*ACT2FLO!Q72*P471/P441</f>
        <v>5.7876805847024997</v>
      </c>
      <c r="Q450" s="849">
        <f>1.06*ACT2FLO!R72*Q471/Q441</f>
        <v>4.941220230762398</v>
      </c>
      <c r="R450" s="849">
        <f>1.09*ACT2FLO!S72*R471/R441</f>
        <v>6.6134726549082163</v>
      </c>
      <c r="S450" s="849">
        <f>1.08*ACT2FLO!T72*S471/S441</f>
        <v>2.3750297011184434</v>
      </c>
      <c r="T450" s="849">
        <f>1.08*ACT2FLO!U72*T471/T441</f>
        <v>3.9836386581551482</v>
      </c>
      <c r="U450" s="849">
        <f>1.05*ACT2FLO!V72*U471/U441</f>
        <v>7.0131801246500487</v>
      </c>
      <c r="V450" s="849">
        <f>1.08*ACT2FLO!W72*V471/V441</f>
        <v>4.059186781771257</v>
      </c>
      <c r="W450" s="849">
        <f>1.05*ACT2FLO!X72*W471/W441</f>
        <v>4.2863804077816905</v>
      </c>
      <c r="X450" s="849">
        <f>1.05*ACT2FLO!Y72*X471/X441</f>
        <v>4.3061795942886221</v>
      </c>
      <c r="Y450" s="849">
        <f>1.05*ACT2FLO!Z72*Y471/Y441</f>
        <v>3.0301210234950706</v>
      </c>
      <c r="Z450" s="849">
        <f>1.08*ACT2FLO!AA72*Z471/Z441</f>
        <v>3.7546632507146342</v>
      </c>
      <c r="AA450" s="849">
        <f>1.05*ACT2FLO!AB72*AA471/AA441</f>
        <v>3.3771303633452301</v>
      </c>
      <c r="AB450" s="849">
        <f>1.05*ACT2FLO!AC72*AB471/AB441</f>
        <v>5.5570543271507384</v>
      </c>
      <c r="AC450" s="849">
        <f>1.05*ACT2FLO!AD72*AC471/AC441</f>
        <v>1.9567354968069879</v>
      </c>
    </row>
    <row r="451" spans="1:31" s="714" customFormat="1">
      <c r="A451" s="458" t="s">
        <v>1163</v>
      </c>
      <c r="B451" s="458" t="s">
        <v>1157</v>
      </c>
      <c r="C451" s="851">
        <f>1.04*ACT2FLO!D73*C472/C442</f>
        <v>9.2231504438872829</v>
      </c>
      <c r="D451" s="851">
        <f>1.11*ACT2FLO!E73*D472/D442</f>
        <v>8.2938466129426107</v>
      </c>
      <c r="E451" s="851">
        <f>1.04*ACT2FLO!F73*E472/E442</f>
        <v>12.188754780790132</v>
      </c>
      <c r="F451" s="851">
        <f>1.04*ACT2FLO!G73*F472/F442</f>
        <v>7.1027475571770529</v>
      </c>
      <c r="G451" s="851">
        <f>1.04*ACT2FLO!H73*G472/G442</f>
        <v>6.4535048902025434</v>
      </c>
      <c r="H451" s="851">
        <f>1.07*ACT2FLO!I73*H472/H442</f>
        <v>8.158680529639998</v>
      </c>
      <c r="I451" s="851">
        <f>1.11*ACT2FLO!J73*I472/I442</f>
        <v>6.663034530174051</v>
      </c>
      <c r="J451" s="851">
        <f>1.04*ACT2FLO!K73*J472/J442</f>
        <v>8.0182415973558694</v>
      </c>
      <c r="K451" s="851">
        <f>1.04*ACT2FLO!L73*K472/K442</f>
        <v>5.3710691694485391</v>
      </c>
      <c r="L451" s="851">
        <f>1.12*ACT2FLO!M73*L472/L442</f>
        <v>11.384822513382518</v>
      </c>
      <c r="M451" s="851">
        <f>1.07*ACT2FLO!N73*M472/M442</f>
        <v>13.610106129717861</v>
      </c>
      <c r="N451" s="851">
        <f>1.1*ACT2FLO!O73*N472/N442</f>
        <v>5.7484703450620636</v>
      </c>
      <c r="O451" s="851">
        <f>1.07*ACT2FLO!P73*O472/O442</f>
        <v>13.929919242078164</v>
      </c>
      <c r="P451" s="851">
        <f>1.1*ACT2FLO!Q73*P472/P442</f>
        <v>13.992350264171712</v>
      </c>
      <c r="Q451" s="851">
        <f>1.09*ACT2FLO!R73*Q472/Q442</f>
        <v>11.365249502287561</v>
      </c>
      <c r="R451" s="851">
        <f>1.09*ACT2FLO!S73*R472/R442</f>
        <v>15.775457020536473</v>
      </c>
      <c r="S451" s="851">
        <f>1.07*ACT2FLO!T73*S472/S442</f>
        <v>8.6286175330424406</v>
      </c>
      <c r="T451" s="851">
        <f>1.14*ACT2FLO!U73*T472/T442</f>
        <v>7.7350160985768559</v>
      </c>
      <c r="U451" s="851">
        <f>1.04*ACT2FLO!V73*U472/U442</f>
        <v>17.769191308175085</v>
      </c>
      <c r="V451" s="851">
        <f>1.08*ACT2FLO!W73*V472/V442</f>
        <v>12.259220206452159</v>
      </c>
      <c r="W451" s="851">
        <f>1.04*ACT2FLO!X73*W472/W442</f>
        <v>9.8937346738237277</v>
      </c>
      <c r="X451" s="851">
        <f>1.04*ACT2FLO!Y73*X472/X442</f>
        <v>12.535845046332858</v>
      </c>
      <c r="Y451" s="851">
        <f>1.04*ACT2FLO!Z73*Y472/Y442</f>
        <v>8.3769925274145418</v>
      </c>
      <c r="Z451" s="851">
        <f>1.07*ACT2FLO!AA73*Z472/Z442</f>
        <v>13.544658494540069</v>
      </c>
      <c r="AA451" s="851">
        <f>1.04*ACT2FLO!AB73*AA472/AA442</f>
        <v>5.8631142100705276</v>
      </c>
      <c r="AB451" s="851">
        <f>1.04*ACT2FLO!AC73*AB472/AB442</f>
        <v>10.508846414897576</v>
      </c>
      <c r="AC451" s="851">
        <f>1.04*ACT2FLO!AD73*AC472/AC442</f>
        <v>2.3134066899808134</v>
      </c>
    </row>
    <row r="452" spans="1:31" s="844" customFormat="1">
      <c r="A452" s="802"/>
      <c r="B452" s="802"/>
      <c r="C452" s="804"/>
      <c r="D452" s="804"/>
      <c r="E452" s="804"/>
      <c r="F452" s="804"/>
      <c r="G452" s="804"/>
      <c r="H452" s="804"/>
      <c r="I452" s="804"/>
      <c r="J452" s="804"/>
      <c r="K452" s="804"/>
      <c r="L452" s="804"/>
      <c r="M452" s="804"/>
      <c r="N452" s="804"/>
      <c r="O452" s="804"/>
      <c r="P452" s="804"/>
      <c r="Q452" s="804"/>
      <c r="R452" s="804"/>
      <c r="S452" s="804"/>
      <c r="T452" s="804"/>
      <c r="U452" s="804"/>
      <c r="V452" s="804"/>
      <c r="W452" s="804"/>
      <c r="X452" s="804"/>
      <c r="Y452" s="804"/>
      <c r="Z452" s="804"/>
      <c r="AA452" s="804"/>
      <c r="AB452" s="804"/>
      <c r="AC452" s="804"/>
    </row>
    <row r="453" spans="1:31" s="844" customFormat="1">
      <c r="A453" s="802"/>
      <c r="B453" s="802"/>
      <c r="C453" s="804"/>
      <c r="D453" s="804"/>
      <c r="E453" s="804"/>
      <c r="F453" s="804"/>
      <c r="G453" s="804"/>
      <c r="H453" s="804"/>
      <c r="I453" s="804"/>
      <c r="J453" s="804"/>
      <c r="K453" s="804"/>
      <c r="L453" s="804"/>
      <c r="M453" s="804"/>
      <c r="N453" s="804"/>
      <c r="O453" s="804"/>
      <c r="P453" s="804"/>
      <c r="Q453" s="804"/>
      <c r="R453" s="804"/>
      <c r="S453" s="804"/>
      <c r="T453" s="804"/>
      <c r="U453" s="804"/>
      <c r="V453" s="804"/>
      <c r="W453" s="804"/>
      <c r="X453" s="804"/>
      <c r="Y453" s="804"/>
      <c r="Z453" s="804"/>
      <c r="AA453" s="804"/>
      <c r="AB453" s="804"/>
      <c r="AC453" s="804"/>
    </row>
    <row r="454" spans="1:31" s="714" customFormat="1"/>
    <row r="455" spans="1:31" s="714" customFormat="1" ht="15.6">
      <c r="A455" s="401" t="s">
        <v>1124</v>
      </c>
      <c r="L455" s="700"/>
      <c r="M455" s="844"/>
    </row>
    <row r="456" spans="1:31" s="714" customFormat="1" ht="17.399999999999999">
      <c r="A456" s="716" t="s">
        <v>1119</v>
      </c>
      <c r="B456" s="716" t="s">
        <v>677</v>
      </c>
      <c r="C456" s="716" t="s">
        <v>1121</v>
      </c>
      <c r="D456" s="716" t="s">
        <v>1122</v>
      </c>
      <c r="E456" s="716" t="s">
        <v>1154</v>
      </c>
      <c r="F456" s="716" t="s">
        <v>1154</v>
      </c>
      <c r="G456" s="700"/>
      <c r="J456" s="848" t="s">
        <v>1159</v>
      </c>
      <c r="K456" s="848" t="s">
        <v>1158</v>
      </c>
      <c r="L456" s="848" t="s">
        <v>1160</v>
      </c>
      <c r="M456" s="700"/>
      <c r="N456" s="700"/>
      <c r="O456" s="700"/>
      <c r="P456" s="700"/>
      <c r="Q456" s="700"/>
      <c r="R456" s="700"/>
      <c r="S456" s="700"/>
      <c r="T456" s="700"/>
      <c r="U456" s="700"/>
      <c r="V456" s="700"/>
      <c r="W456" s="700"/>
      <c r="X456" s="700"/>
      <c r="Y456" s="700"/>
      <c r="Z456" s="700"/>
      <c r="AA456" s="700"/>
      <c r="AB456" s="700"/>
      <c r="AC456" s="700"/>
      <c r="AD456" s="700"/>
      <c r="AE456" s="700"/>
    </row>
    <row r="457" spans="1:31" s="714" customFormat="1">
      <c r="A457" s="868" t="s">
        <v>1116</v>
      </c>
      <c r="B457" s="714" t="s">
        <v>671</v>
      </c>
      <c r="E457" s="700"/>
      <c r="F457" s="876">
        <f>D458*1000/(C414+C415)</f>
        <v>20.719511209731053</v>
      </c>
      <c r="G457" s="700"/>
      <c r="I457" s="844" t="s">
        <v>1155</v>
      </c>
      <c r="J457" s="846">
        <v>140.52000000000001</v>
      </c>
      <c r="K457" s="845">
        <v>292</v>
      </c>
      <c r="L457" s="804">
        <f>F457*K457/J457</f>
        <v>43.05506172246988</v>
      </c>
      <c r="M457" s="700"/>
      <c r="N457" s="700"/>
      <c r="O457" s="700"/>
      <c r="P457" s="700"/>
      <c r="Q457" s="700"/>
      <c r="R457" s="700"/>
      <c r="S457" s="700"/>
      <c r="T457" s="700"/>
      <c r="U457" s="700"/>
      <c r="V457" s="700"/>
      <c r="W457" s="700"/>
      <c r="X457" s="700"/>
      <c r="Y457" s="700"/>
      <c r="Z457" s="700"/>
      <c r="AA457" s="700"/>
      <c r="AB457" s="700"/>
      <c r="AC457" s="700"/>
      <c r="AD457" s="700"/>
      <c r="AE457" s="700"/>
    </row>
    <row r="458" spans="1:31" s="714" customFormat="1">
      <c r="A458" s="868"/>
      <c r="B458" s="714" t="s">
        <v>672</v>
      </c>
      <c r="C458" s="714">
        <v>292</v>
      </c>
      <c r="D458" s="714">
        <v>6667</v>
      </c>
      <c r="E458" s="837">
        <f>D458*1000/(C414+C415)</f>
        <v>20.719511209731053</v>
      </c>
      <c r="F458" s="876"/>
      <c r="G458" s="700"/>
      <c r="I458" s="844" t="s">
        <v>1156</v>
      </c>
      <c r="J458" s="847">
        <v>485.95331592500008</v>
      </c>
      <c r="K458" s="845">
        <v>1140</v>
      </c>
      <c r="L458" s="804">
        <f>F459*K458/J458</f>
        <v>3512.9035392776655</v>
      </c>
      <c r="M458" s="700"/>
      <c r="N458" s="700"/>
      <c r="O458" s="700"/>
      <c r="P458" s="700"/>
      <c r="Q458" s="700"/>
      <c r="R458" s="700"/>
      <c r="S458" s="700"/>
      <c r="T458" s="700"/>
      <c r="U458" s="700"/>
      <c r="V458" s="700"/>
      <c r="W458" s="700"/>
      <c r="X458" s="700"/>
      <c r="Y458" s="700"/>
      <c r="Z458" s="700"/>
      <c r="AA458" s="700"/>
      <c r="AB458" s="700"/>
      <c r="AC458" s="700"/>
      <c r="AD458" s="700"/>
      <c r="AE458" s="700"/>
    </row>
    <row r="459" spans="1:31" s="714" customFormat="1">
      <c r="A459" s="868" t="s">
        <v>1117</v>
      </c>
      <c r="B459" s="714" t="s">
        <v>673</v>
      </c>
      <c r="C459" s="714">
        <v>246</v>
      </c>
      <c r="D459" s="714">
        <v>4107</v>
      </c>
      <c r="E459" s="837">
        <f>D459*1000/(C416)</f>
        <v>904.6255506607929</v>
      </c>
      <c r="F459" s="877">
        <f>(1000*(D459+D460))/(C416+C417)</f>
        <v>1497.4623889795178</v>
      </c>
      <c r="G459" s="700"/>
      <c r="H459" s="844"/>
      <c r="I459" s="844" t="s">
        <v>1157</v>
      </c>
      <c r="J459" s="847">
        <v>6457.963038912002</v>
      </c>
      <c r="K459" s="845">
        <v>10106</v>
      </c>
      <c r="L459" s="804">
        <f>F461*K459/J459</f>
        <v>9168.1678434403839</v>
      </c>
      <c r="M459" s="700"/>
      <c r="N459" s="700"/>
      <c r="O459" s="700"/>
      <c r="P459" s="700"/>
      <c r="Q459" s="700"/>
      <c r="R459" s="700"/>
      <c r="S459" s="700"/>
      <c r="T459" s="700"/>
      <c r="U459" s="700"/>
      <c r="V459" s="700"/>
      <c r="W459" s="700"/>
      <c r="X459" s="700"/>
      <c r="Y459" s="700"/>
      <c r="Z459" s="700"/>
      <c r="AA459" s="700"/>
      <c r="AB459" s="700"/>
      <c r="AC459" s="700"/>
      <c r="AD459" s="700"/>
      <c r="AE459" s="700"/>
    </row>
    <row r="460" spans="1:31" s="714" customFormat="1">
      <c r="A460" s="868"/>
      <c r="B460" s="714" t="s">
        <v>674</v>
      </c>
      <c r="C460" s="714">
        <v>894</v>
      </c>
      <c r="D460" s="714">
        <v>12416</v>
      </c>
      <c r="E460" s="837">
        <f>D460*1000/(C417)</f>
        <v>1911.9186941792423</v>
      </c>
      <c r="F460" s="877"/>
      <c r="G460" s="700"/>
      <c r="H460" s="837"/>
      <c r="I460" s="700"/>
      <c r="J460" s="700"/>
      <c r="K460" s="700"/>
      <c r="L460" s="700"/>
      <c r="M460" s="700"/>
      <c r="N460" s="700"/>
      <c r="O460" s="700"/>
      <c r="P460" s="700"/>
      <c r="Q460" s="700"/>
      <c r="R460" s="700"/>
      <c r="S460" s="700"/>
      <c r="T460" s="700"/>
      <c r="U460" s="700"/>
      <c r="V460" s="700"/>
      <c r="W460" s="700"/>
      <c r="X460" s="700"/>
      <c r="Y460" s="700"/>
      <c r="Z460" s="700"/>
      <c r="AA460" s="700"/>
      <c r="AB460" s="700"/>
      <c r="AC460" s="700"/>
      <c r="AD460" s="700"/>
      <c r="AE460" s="700"/>
    </row>
    <row r="461" spans="1:31" s="714" customFormat="1">
      <c r="A461" s="868" t="s">
        <v>1118</v>
      </c>
      <c r="B461" s="714" t="s">
        <v>675</v>
      </c>
      <c r="C461" s="714">
        <v>2606</v>
      </c>
      <c r="D461" s="714">
        <v>35975</v>
      </c>
      <c r="E461" s="837">
        <f>D461*1000/(C418)</f>
        <v>4375.45609340793</v>
      </c>
      <c r="F461" s="877">
        <f>1000*(D461+D462)/(C418+C419)</f>
        <v>5858.6670361646111</v>
      </c>
      <c r="G461" s="700"/>
      <c r="H461" s="700"/>
      <c r="I461" s="700"/>
      <c r="J461" s="700"/>
      <c r="K461" s="700"/>
      <c r="L461" s="700"/>
      <c r="M461" s="700"/>
      <c r="N461" s="700"/>
      <c r="O461" s="700"/>
      <c r="P461" s="700"/>
      <c r="Q461" s="700"/>
      <c r="R461" s="700"/>
      <c r="S461" s="700"/>
      <c r="T461" s="700"/>
      <c r="U461" s="700"/>
      <c r="V461" s="700"/>
      <c r="W461" s="700"/>
      <c r="X461" s="700"/>
      <c r="Y461" s="700"/>
      <c r="Z461" s="700"/>
      <c r="AA461" s="700"/>
      <c r="AB461" s="700"/>
      <c r="AC461" s="700"/>
      <c r="AD461" s="700"/>
      <c r="AE461" s="700"/>
    </row>
    <row r="462" spans="1:31">
      <c r="A462" s="868"/>
      <c r="B462" s="714" t="s">
        <v>676</v>
      </c>
      <c r="C462" s="714">
        <v>7500</v>
      </c>
      <c r="D462" s="714">
        <v>90871</v>
      </c>
      <c r="E462" s="837">
        <f>D462*1000/(C419)</f>
        <v>6766.7734008489088</v>
      </c>
      <c r="F462" s="877"/>
      <c r="G462" s="700"/>
      <c r="H462" s="837"/>
      <c r="I462" s="700"/>
      <c r="J462" s="700"/>
      <c r="K462" s="700"/>
      <c r="L462" s="700"/>
      <c r="M462" s="700"/>
      <c r="N462" s="700"/>
      <c r="O462" s="700"/>
      <c r="P462" s="700"/>
      <c r="Q462" s="700"/>
      <c r="R462" s="700"/>
      <c r="S462" s="700"/>
      <c r="T462" s="700"/>
      <c r="U462" s="700"/>
      <c r="V462" s="700"/>
      <c r="W462" s="700"/>
      <c r="X462" s="700"/>
      <c r="Y462" s="700"/>
      <c r="Z462" s="700"/>
      <c r="AA462" s="700"/>
      <c r="AB462" s="700"/>
      <c r="AC462" s="700"/>
      <c r="AD462" s="700"/>
      <c r="AE462" s="700"/>
    </row>
    <row r="463" spans="1:31">
      <c r="A463" s="801"/>
      <c r="B463" s="801" t="s">
        <v>16</v>
      </c>
      <c r="C463" s="803">
        <f>SUM(C457:C462)</f>
        <v>11538</v>
      </c>
      <c r="D463" s="803">
        <f>SUM(D457:D462)</f>
        <v>150036</v>
      </c>
      <c r="E463" s="838">
        <f>D463*1000/(C420)</f>
        <v>423.2816771474275</v>
      </c>
      <c r="F463" s="523"/>
      <c r="G463" s="700"/>
      <c r="H463" s="700"/>
      <c r="I463" s="700"/>
      <c r="J463" s="700"/>
      <c r="K463" s="700"/>
      <c r="L463" s="700"/>
      <c r="M463" s="700"/>
      <c r="N463" s="700"/>
      <c r="O463" s="700"/>
      <c r="P463" s="700"/>
      <c r="Q463" s="700"/>
      <c r="R463" s="700"/>
      <c r="S463" s="700"/>
      <c r="T463" s="700"/>
      <c r="U463" s="700"/>
      <c r="V463" s="700"/>
      <c r="W463" s="700"/>
      <c r="X463" s="700"/>
      <c r="Y463" s="700"/>
      <c r="Z463" s="700"/>
      <c r="AA463" s="700"/>
      <c r="AB463" s="700"/>
      <c r="AC463" s="700"/>
      <c r="AD463" s="700"/>
      <c r="AE463" s="700"/>
    </row>
    <row r="464" spans="1:31" s="714" customFormat="1">
      <c r="A464" s="714" t="s">
        <v>1123</v>
      </c>
      <c r="B464" s="802"/>
      <c r="C464" s="804"/>
      <c r="D464" s="700"/>
      <c r="E464" s="700"/>
      <c r="F464" s="700"/>
      <c r="G464" s="700"/>
      <c r="H464" s="700"/>
      <c r="I464" s="700"/>
      <c r="J464" s="700"/>
      <c r="K464" s="700"/>
      <c r="L464" s="700"/>
      <c r="M464" s="700"/>
      <c r="N464" s="700"/>
      <c r="O464" s="700"/>
      <c r="P464" s="700"/>
      <c r="Q464" s="700"/>
      <c r="R464" s="700"/>
      <c r="S464" s="700"/>
      <c r="T464" s="700"/>
      <c r="U464" s="700"/>
      <c r="V464" s="700"/>
      <c r="W464" s="700"/>
      <c r="X464" s="700"/>
      <c r="Y464" s="700"/>
      <c r="Z464" s="700"/>
      <c r="AA464" s="700"/>
      <c r="AB464" s="700"/>
      <c r="AC464" s="700"/>
      <c r="AD464" s="700"/>
      <c r="AE464" s="700"/>
    </row>
    <row r="465" spans="1:29" s="714" customFormat="1">
      <c r="A465" s="802"/>
      <c r="B465" s="802"/>
      <c r="C465" s="804"/>
      <c r="D465" s="700"/>
      <c r="E465" s="700"/>
      <c r="F465" s="700"/>
      <c r="G465" s="700"/>
      <c r="H465" s="700"/>
      <c r="I465" s="700"/>
      <c r="J465" s="700"/>
      <c r="K465" s="700"/>
      <c r="L465" s="700"/>
      <c r="M465" s="700"/>
      <c r="N465" s="700"/>
      <c r="O465" s="700"/>
      <c r="P465" s="700"/>
      <c r="Q465" s="700"/>
      <c r="R465" s="700"/>
      <c r="S465" s="700"/>
      <c r="T465" s="700"/>
      <c r="U465" s="700"/>
      <c r="V465" s="700"/>
      <c r="W465" s="700"/>
      <c r="X465" s="700"/>
      <c r="Y465" s="700"/>
      <c r="Z465" s="700"/>
      <c r="AA465" s="700"/>
      <c r="AB465" s="700"/>
      <c r="AC465" s="700"/>
    </row>
    <row r="466" spans="1:29" s="714" customFormat="1">
      <c r="A466" s="802"/>
      <c r="B466" s="802"/>
      <c r="C466" s="804"/>
      <c r="D466" s="700"/>
      <c r="E466" s="700"/>
      <c r="F466" s="700"/>
      <c r="G466" s="700"/>
      <c r="H466" s="700"/>
      <c r="I466" s="700"/>
      <c r="J466" s="700"/>
      <c r="K466" s="700"/>
      <c r="L466" s="700"/>
      <c r="M466" s="700"/>
      <c r="N466" s="700"/>
      <c r="O466" s="700"/>
      <c r="P466" s="700"/>
      <c r="Q466" s="700"/>
      <c r="R466" s="700"/>
      <c r="S466" s="700"/>
      <c r="T466" s="700"/>
      <c r="U466" s="700"/>
      <c r="V466" s="700"/>
      <c r="W466" s="700"/>
      <c r="X466" s="700"/>
      <c r="Y466" s="700"/>
      <c r="Z466" s="700"/>
      <c r="AA466" s="700"/>
      <c r="AB466" s="700"/>
      <c r="AC466" s="700"/>
    </row>
    <row r="467" spans="1:29" s="714" customFormat="1">
      <c r="A467" s="802"/>
      <c r="B467" s="802"/>
      <c r="C467" s="804"/>
      <c r="D467" s="700"/>
      <c r="E467" s="700"/>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row>
    <row r="468" spans="1:29" s="714" customFormat="1" ht="15.6">
      <c r="A468" s="401" t="s">
        <v>1120</v>
      </c>
    </row>
    <row r="469" spans="1:29" s="714" customFormat="1" ht="17.399999999999999">
      <c r="A469" s="716" t="s">
        <v>1119</v>
      </c>
      <c r="B469" s="716" t="s">
        <v>677</v>
      </c>
      <c r="C469" s="130" t="str">
        <f t="shared" ref="C469:AC469" si="205">C426</f>
        <v>IE</v>
      </c>
      <c r="D469" s="130" t="str">
        <f t="shared" si="205"/>
        <v>IE-CW</v>
      </c>
      <c r="E469" s="130" t="str">
        <f t="shared" si="205"/>
        <v>IE-D</v>
      </c>
      <c r="F469" s="130" t="str">
        <f t="shared" si="205"/>
        <v>IE-KE</v>
      </c>
      <c r="G469" s="130" t="str">
        <f t="shared" si="205"/>
        <v>IE-KK</v>
      </c>
      <c r="H469" s="130" t="str">
        <f t="shared" si="205"/>
        <v>IE-LS</v>
      </c>
      <c r="I469" s="130" t="str">
        <f t="shared" si="205"/>
        <v>IE-LD</v>
      </c>
      <c r="J469" s="130" t="str">
        <f t="shared" si="205"/>
        <v>IE-LH</v>
      </c>
      <c r="K469" s="130" t="str">
        <f t="shared" si="205"/>
        <v>IE-MH</v>
      </c>
      <c r="L469" s="130" t="str">
        <f t="shared" si="205"/>
        <v>IE-OY</v>
      </c>
      <c r="M469" s="130" t="str">
        <f t="shared" si="205"/>
        <v>IE-WH</v>
      </c>
      <c r="N469" s="130" t="str">
        <f t="shared" si="205"/>
        <v>IE-WX</v>
      </c>
      <c r="O469" s="130" t="str">
        <f t="shared" si="205"/>
        <v>IE-WW</v>
      </c>
      <c r="P469" s="130" t="str">
        <f t="shared" si="205"/>
        <v>IE-CE</v>
      </c>
      <c r="Q469" s="130" t="str">
        <f t="shared" si="205"/>
        <v>IE-CO</v>
      </c>
      <c r="R469" s="130" t="str">
        <f t="shared" si="205"/>
        <v>IE-KY</v>
      </c>
      <c r="S469" s="130" t="str">
        <f t="shared" si="205"/>
        <v>IE-LK</v>
      </c>
      <c r="T469" s="130" t="str">
        <f t="shared" si="205"/>
        <v>IE-TA</v>
      </c>
      <c r="U469" s="130" t="str">
        <f t="shared" si="205"/>
        <v>IE-WD</v>
      </c>
      <c r="V469" s="130" t="str">
        <f t="shared" si="205"/>
        <v>IE-G</v>
      </c>
      <c r="W469" s="130" t="str">
        <f t="shared" si="205"/>
        <v>IE-LM</v>
      </c>
      <c r="X469" s="130" t="str">
        <f t="shared" si="205"/>
        <v>IE-MO</v>
      </c>
      <c r="Y469" s="130" t="str">
        <f t="shared" si="205"/>
        <v>IE-RN</v>
      </c>
      <c r="Z469" s="130" t="str">
        <f t="shared" si="205"/>
        <v>IE-SO</v>
      </c>
      <c r="AA469" s="130" t="str">
        <f t="shared" si="205"/>
        <v>IE-CN</v>
      </c>
      <c r="AB469" s="130" t="str">
        <f t="shared" si="205"/>
        <v>IE-DL</v>
      </c>
      <c r="AC469" s="130" t="str">
        <f t="shared" si="205"/>
        <v>IE-MN</v>
      </c>
    </row>
    <row r="470" spans="1:29" s="714" customFormat="1">
      <c r="A470" s="805" t="s">
        <v>1116</v>
      </c>
      <c r="B470" s="714" t="s">
        <v>1125</v>
      </c>
      <c r="C470" s="714">
        <f>C458</f>
        <v>292</v>
      </c>
      <c r="D470" s="6">
        <f>$C470*D$526</f>
        <v>4.5036639360040285</v>
      </c>
      <c r="E470" s="6">
        <f t="shared" ref="D470:M472" si="206">$C470*E$526</f>
        <v>66.545424955208503</v>
      </c>
      <c r="F470" s="6">
        <f t="shared" si="206"/>
        <v>12.206547657003652</v>
      </c>
      <c r="G470" s="6">
        <f t="shared" si="206"/>
        <v>7.8498485859894576</v>
      </c>
      <c r="H470" s="6">
        <f t="shared" si="206"/>
        <v>5.5910693087846983</v>
      </c>
      <c r="I470" s="6">
        <f t="shared" si="206"/>
        <v>2.6981330608871263</v>
      </c>
      <c r="J470" s="6">
        <f t="shared" si="206"/>
        <v>7.0705636223405346</v>
      </c>
      <c r="K470" s="6">
        <f t="shared" si="206"/>
        <v>10.700094745319726</v>
      </c>
      <c r="L470" s="6">
        <f t="shared" si="206"/>
        <v>5.146408425117345</v>
      </c>
      <c r="M470" s="6">
        <f t="shared" si="206"/>
        <v>5.8599386346720381</v>
      </c>
      <c r="N470" s="6">
        <f t="shared" ref="N470:W472" si="207">$C470*N$526</f>
        <v>11.843911540546534</v>
      </c>
      <c r="O470" s="6">
        <f t="shared" si="207"/>
        <v>7.8134215566854737</v>
      </c>
      <c r="P470" s="6">
        <f t="shared" si="207"/>
        <v>7.688817017013525</v>
      </c>
      <c r="Q470" s="6">
        <f t="shared" si="207"/>
        <v>41.139368114561577</v>
      </c>
      <c r="R470" s="6">
        <f t="shared" si="207"/>
        <v>11.193462584085903</v>
      </c>
      <c r="S470" s="6">
        <f t="shared" si="207"/>
        <v>12.61219141872728</v>
      </c>
      <c r="T470" s="6">
        <f t="shared" si="207"/>
        <v>10.324901499916336</v>
      </c>
      <c r="U470" s="6">
        <f t="shared" si="207"/>
        <v>9.1902209904658907</v>
      </c>
      <c r="V470" s="6">
        <f t="shared" si="207"/>
        <v>15.314016005661671</v>
      </c>
      <c r="W470" s="6">
        <f t="shared" si="207"/>
        <v>2.0423414488510581</v>
      </c>
      <c r="X470" s="6">
        <f t="shared" ref="X470:AC472" si="208">$C470*X$526</f>
        <v>7.7447174156619347</v>
      </c>
      <c r="Y470" s="6">
        <f t="shared" si="208"/>
        <v>3.830254629073413</v>
      </c>
      <c r="Z470" s="6">
        <f t="shared" si="208"/>
        <v>4.1769082152806787</v>
      </c>
      <c r="AA470" s="6">
        <f t="shared" si="208"/>
        <v>4.8551180316963602</v>
      </c>
      <c r="AB470" s="6">
        <f t="shared" si="208"/>
        <v>10.146187115388139</v>
      </c>
      <c r="AC470" s="6">
        <f t="shared" si="208"/>
        <v>3.9124694850571404</v>
      </c>
    </row>
    <row r="471" spans="1:29" s="714" customFormat="1">
      <c r="A471" s="805" t="s">
        <v>1117</v>
      </c>
      <c r="B471" s="714" t="s">
        <v>1126</v>
      </c>
      <c r="C471" s="135">
        <f>C459+C460</f>
        <v>1140</v>
      </c>
      <c r="D471" s="6">
        <f t="shared" si="206"/>
        <v>17.58279755837189</v>
      </c>
      <c r="E471" s="6">
        <f t="shared" si="206"/>
        <v>259.80063167444416</v>
      </c>
      <c r="F471" s="6">
        <f t="shared" si="206"/>
        <v>47.65569975679508</v>
      </c>
      <c r="G471" s="6">
        <f t="shared" si="206"/>
        <v>30.646669137082128</v>
      </c>
      <c r="H471" s="6">
        <f t="shared" si="206"/>
        <v>21.828147301419712</v>
      </c>
      <c r="I471" s="6">
        <f t="shared" si="206"/>
        <v>10.533807155518234</v>
      </c>
      <c r="J471" s="6">
        <f t="shared" si="206"/>
        <v>27.604255237904827</v>
      </c>
      <c r="K471" s="6">
        <f t="shared" si="206"/>
        <v>41.774342498850984</v>
      </c>
      <c r="L471" s="6">
        <f t="shared" si="206"/>
        <v>20.09214248162251</v>
      </c>
      <c r="M471" s="6">
        <f t="shared" si="206"/>
        <v>22.877842614815492</v>
      </c>
      <c r="N471" s="6">
        <f t="shared" si="207"/>
        <v>46.239928617202224</v>
      </c>
      <c r="O471" s="6">
        <f t="shared" si="207"/>
        <v>30.504454022676164</v>
      </c>
      <c r="P471" s="6">
        <f t="shared" si="207"/>
        <v>30.017984244504856</v>
      </c>
      <c r="Q471" s="6">
        <f t="shared" si="207"/>
        <v>160.61260154315136</v>
      </c>
      <c r="R471" s="6">
        <f t="shared" si="207"/>
        <v>43.700504609102502</v>
      </c>
      <c r="S471" s="6">
        <f t="shared" si="207"/>
        <v>49.239377456675001</v>
      </c>
      <c r="T471" s="6">
        <f t="shared" si="207"/>
        <v>40.309546951728159</v>
      </c>
      <c r="U471" s="6">
        <f t="shared" si="207"/>
        <v>35.879629894284641</v>
      </c>
      <c r="V471" s="6">
        <f t="shared" si="207"/>
        <v>59.787596734432547</v>
      </c>
      <c r="W471" s="6">
        <f t="shared" si="207"/>
        <v>7.9735248345555005</v>
      </c>
      <c r="X471" s="6">
        <f t="shared" si="208"/>
        <v>30.236225526899336</v>
      </c>
      <c r="Y471" s="6">
        <f t="shared" si="208"/>
        <v>14.953733825834558</v>
      </c>
      <c r="Z471" s="6">
        <f t="shared" si="208"/>
        <v>16.307107415821825</v>
      </c>
      <c r="AA471" s="6">
        <f t="shared" si="208"/>
        <v>18.954912863472092</v>
      </c>
      <c r="AB471" s="6">
        <f t="shared" si="208"/>
        <v>39.611826409392052</v>
      </c>
      <c r="AC471" s="6">
        <f t="shared" si="208"/>
        <v>15.27470963344226</v>
      </c>
    </row>
    <row r="472" spans="1:29" s="714" customFormat="1">
      <c r="A472" s="805" t="s">
        <v>1118</v>
      </c>
      <c r="B472" s="714" t="s">
        <v>1127</v>
      </c>
      <c r="C472" s="714">
        <f>C461+C462</f>
        <v>10106</v>
      </c>
      <c r="D472" s="6">
        <f t="shared" si="206"/>
        <v>155.86995800430381</v>
      </c>
      <c r="E472" s="6">
        <f t="shared" si="206"/>
        <v>2303.1098102648534</v>
      </c>
      <c r="F472" s="6">
        <f t="shared" si="206"/>
        <v>422.46359801944828</v>
      </c>
      <c r="G472" s="6">
        <f t="shared" si="206"/>
        <v>271.68003359592279</v>
      </c>
      <c r="H472" s="6">
        <f t="shared" si="206"/>
        <v>193.50461107732247</v>
      </c>
      <c r="I472" s="6">
        <f t="shared" si="206"/>
        <v>93.381276415497609</v>
      </c>
      <c r="J472" s="6">
        <f t="shared" si="206"/>
        <v>244.70930125812822</v>
      </c>
      <c r="K472" s="6">
        <f t="shared" si="206"/>
        <v>370.32588183630531</v>
      </c>
      <c r="L472" s="6">
        <f t="shared" si="206"/>
        <v>178.11508063094482</v>
      </c>
      <c r="M472" s="6">
        <f t="shared" si="206"/>
        <v>202.81006795203979</v>
      </c>
      <c r="N472" s="6">
        <f t="shared" si="207"/>
        <v>409.91291105740851</v>
      </c>
      <c r="O472" s="6">
        <f t="shared" si="207"/>
        <v>270.41930908172395</v>
      </c>
      <c r="P472" s="6">
        <f t="shared" si="207"/>
        <v>266.10679717102289</v>
      </c>
      <c r="Q472" s="6">
        <f t="shared" si="207"/>
        <v>1423.8166238553399</v>
      </c>
      <c r="R472" s="6">
        <f t="shared" si="207"/>
        <v>387.40113998209637</v>
      </c>
      <c r="S472" s="6">
        <f t="shared" si="207"/>
        <v>436.5027619097873</v>
      </c>
      <c r="T472" s="6">
        <f t="shared" si="207"/>
        <v>357.34059780189892</v>
      </c>
      <c r="U472" s="6">
        <f t="shared" si="207"/>
        <v>318.06977167687774</v>
      </c>
      <c r="V472" s="6">
        <f t="shared" si="207"/>
        <v>530.01180052471523</v>
      </c>
      <c r="W472" s="6">
        <f t="shared" si="207"/>
        <v>70.684598226331474</v>
      </c>
      <c r="X472" s="6">
        <f t="shared" si="208"/>
        <v>268.04148699547778</v>
      </c>
      <c r="Y472" s="6">
        <f t="shared" si="208"/>
        <v>132.563538634986</v>
      </c>
      <c r="Z472" s="6">
        <f t="shared" si="208"/>
        <v>144.56107679324157</v>
      </c>
      <c r="AA472" s="6">
        <f t="shared" si="208"/>
        <v>168.03363982302542</v>
      </c>
      <c r="AB472" s="6">
        <f t="shared" si="208"/>
        <v>351.15536639764571</v>
      </c>
      <c r="AC472" s="6">
        <f t="shared" si="208"/>
        <v>135.4089610136557</v>
      </c>
    </row>
    <row r="473" spans="1:29" s="714" customFormat="1">
      <c r="A473" s="801"/>
      <c r="B473" s="801" t="s">
        <v>16</v>
      </c>
      <c r="C473" s="803">
        <f t="shared" ref="C473:AC473" si="209">SUM(C470:C472)</f>
        <v>11538</v>
      </c>
      <c r="D473" s="803">
        <f t="shared" si="209"/>
        <v>177.95641949867974</v>
      </c>
      <c r="E473" s="803">
        <f t="shared" si="209"/>
        <v>2629.455866894506</v>
      </c>
      <c r="F473" s="803">
        <f t="shared" si="209"/>
        <v>482.32584543324703</v>
      </c>
      <c r="G473" s="803">
        <f t="shared" si="209"/>
        <v>310.17655131899437</v>
      </c>
      <c r="H473" s="803">
        <f t="shared" si="209"/>
        <v>220.92382768752688</v>
      </c>
      <c r="I473" s="803">
        <f t="shared" si="209"/>
        <v>106.61321663190297</v>
      </c>
      <c r="J473" s="803">
        <f t="shared" si="209"/>
        <v>279.38412011837357</v>
      </c>
      <c r="K473" s="803">
        <f t="shared" si="209"/>
        <v>422.80031908047602</v>
      </c>
      <c r="L473" s="803">
        <f t="shared" si="209"/>
        <v>203.35363153768466</v>
      </c>
      <c r="M473" s="803">
        <f t="shared" si="209"/>
        <v>231.54784920152733</v>
      </c>
      <c r="N473" s="803">
        <f t="shared" si="209"/>
        <v>467.99675121515725</v>
      </c>
      <c r="O473" s="803">
        <f t="shared" si="209"/>
        <v>308.73718466108562</v>
      </c>
      <c r="P473" s="803">
        <f t="shared" si="209"/>
        <v>303.81359843254126</v>
      </c>
      <c r="Q473" s="803">
        <f t="shared" si="209"/>
        <v>1625.5685935130527</v>
      </c>
      <c r="R473" s="803">
        <f t="shared" si="209"/>
        <v>442.29510717528478</v>
      </c>
      <c r="S473" s="803">
        <f t="shared" si="209"/>
        <v>498.35433078518957</v>
      </c>
      <c r="T473" s="803">
        <f t="shared" si="209"/>
        <v>407.97504625354344</v>
      </c>
      <c r="U473" s="803">
        <f t="shared" si="209"/>
        <v>363.13962256162824</v>
      </c>
      <c r="V473" s="803">
        <f t="shared" si="209"/>
        <v>605.11341326480942</v>
      </c>
      <c r="W473" s="803">
        <f t="shared" si="209"/>
        <v>80.700464509738026</v>
      </c>
      <c r="X473" s="803">
        <f t="shared" si="209"/>
        <v>306.02242993803907</v>
      </c>
      <c r="Y473" s="803">
        <f t="shared" si="209"/>
        <v>151.34752708989396</v>
      </c>
      <c r="Z473" s="803">
        <f t="shared" si="209"/>
        <v>165.04509242434406</v>
      </c>
      <c r="AA473" s="803">
        <f t="shared" si="209"/>
        <v>191.84367071819389</v>
      </c>
      <c r="AB473" s="803">
        <f t="shared" si="209"/>
        <v>400.91337992242592</v>
      </c>
      <c r="AC473" s="803">
        <f t="shared" si="209"/>
        <v>154.59614013215509</v>
      </c>
    </row>
    <row r="474" spans="1:29" s="714" customFormat="1">
      <c r="A474" s="802"/>
      <c r="B474" s="802"/>
      <c r="C474" s="804"/>
      <c r="D474" s="804"/>
      <c r="E474" s="804"/>
      <c r="F474" s="804"/>
      <c r="G474" s="804"/>
      <c r="H474" s="804"/>
      <c r="I474" s="804"/>
      <c r="J474" s="804"/>
      <c r="K474" s="804"/>
      <c r="L474" s="804"/>
      <c r="M474" s="804"/>
      <c r="N474" s="804"/>
      <c r="O474" s="804"/>
      <c r="P474" s="804"/>
      <c r="Q474" s="804"/>
      <c r="R474" s="804"/>
      <c r="S474" s="804"/>
      <c r="T474" s="804"/>
      <c r="U474" s="804"/>
      <c r="V474" s="804"/>
      <c r="W474" s="804"/>
      <c r="X474" s="804"/>
      <c r="Y474" s="804"/>
      <c r="Z474" s="804"/>
      <c r="AA474" s="804"/>
      <c r="AB474" s="804"/>
      <c r="AC474" s="804"/>
    </row>
    <row r="475" spans="1:29" s="714" customFormat="1">
      <c r="A475" s="802"/>
      <c r="B475" s="802"/>
      <c r="C475" s="804"/>
      <c r="D475" s="823"/>
      <c r="E475" s="823"/>
      <c r="F475" s="823"/>
      <c r="G475" s="823"/>
      <c r="H475" s="823"/>
      <c r="I475" s="804"/>
      <c r="J475" s="804"/>
      <c r="K475" s="804"/>
      <c r="L475" s="804"/>
      <c r="M475" s="804"/>
      <c r="N475" s="804"/>
      <c r="O475" s="804"/>
      <c r="P475" s="804"/>
      <c r="Q475" s="804"/>
      <c r="R475" s="804"/>
      <c r="S475" s="804"/>
      <c r="T475" s="804"/>
      <c r="U475" s="804"/>
      <c r="V475" s="804"/>
      <c r="W475" s="804"/>
      <c r="X475" s="804"/>
      <c r="Y475" s="804"/>
      <c r="Z475" s="804"/>
      <c r="AA475" s="804"/>
      <c r="AB475" s="804"/>
      <c r="AC475" s="804"/>
    </row>
    <row r="476" spans="1:29" s="714" customFormat="1">
      <c r="A476" s="802"/>
      <c r="B476" s="802"/>
      <c r="C476" s="804"/>
      <c r="D476" s="804"/>
      <c r="E476" s="804"/>
      <c r="F476" s="804"/>
      <c r="G476" s="804"/>
      <c r="H476" s="804"/>
      <c r="I476" s="804"/>
      <c r="J476" s="804"/>
      <c r="K476" s="804"/>
      <c r="L476" s="804"/>
      <c r="M476" s="804"/>
      <c r="N476" s="804"/>
      <c r="O476" s="804"/>
      <c r="P476" s="804"/>
      <c r="Q476" s="804"/>
      <c r="R476" s="804"/>
      <c r="S476" s="804"/>
      <c r="T476" s="804"/>
      <c r="U476" s="804"/>
      <c r="V476" s="804"/>
      <c r="W476" s="804"/>
      <c r="X476" s="804"/>
      <c r="Y476" s="804"/>
      <c r="Z476" s="804"/>
      <c r="AA476" s="804"/>
      <c r="AB476" s="804"/>
      <c r="AC476" s="804"/>
    </row>
    <row r="477" spans="1:29" s="714" customFormat="1" ht="15.6">
      <c r="A477" s="401" t="s">
        <v>1136</v>
      </c>
    </row>
    <row r="478" spans="1:29" s="714" customFormat="1" ht="17.399999999999999">
      <c r="A478" s="716"/>
      <c r="B478" s="716" t="s">
        <v>677</v>
      </c>
      <c r="C478" s="130" t="str">
        <f>C469</f>
        <v>IE</v>
      </c>
      <c r="D478" s="130" t="str">
        <f t="shared" ref="D478:AC478" si="210">D469</f>
        <v>IE-CW</v>
      </c>
      <c r="E478" s="130" t="str">
        <f t="shared" si="210"/>
        <v>IE-D</v>
      </c>
      <c r="F478" s="130" t="str">
        <f t="shared" si="210"/>
        <v>IE-KE</v>
      </c>
      <c r="G478" s="130" t="str">
        <f t="shared" si="210"/>
        <v>IE-KK</v>
      </c>
      <c r="H478" s="130" t="str">
        <f t="shared" si="210"/>
        <v>IE-LS</v>
      </c>
      <c r="I478" s="130" t="str">
        <f t="shared" si="210"/>
        <v>IE-LD</v>
      </c>
      <c r="J478" s="130" t="str">
        <f t="shared" si="210"/>
        <v>IE-LH</v>
      </c>
      <c r="K478" s="130" t="str">
        <f t="shared" si="210"/>
        <v>IE-MH</v>
      </c>
      <c r="L478" s="130" t="str">
        <f t="shared" si="210"/>
        <v>IE-OY</v>
      </c>
      <c r="M478" s="130" t="str">
        <f t="shared" si="210"/>
        <v>IE-WH</v>
      </c>
      <c r="N478" s="130" t="str">
        <f t="shared" si="210"/>
        <v>IE-WX</v>
      </c>
      <c r="O478" s="130" t="str">
        <f t="shared" si="210"/>
        <v>IE-WW</v>
      </c>
      <c r="P478" s="130" t="str">
        <f t="shared" si="210"/>
        <v>IE-CE</v>
      </c>
      <c r="Q478" s="130" t="str">
        <f t="shared" si="210"/>
        <v>IE-CO</v>
      </c>
      <c r="R478" s="130" t="str">
        <f t="shared" si="210"/>
        <v>IE-KY</v>
      </c>
      <c r="S478" s="130" t="str">
        <f t="shared" si="210"/>
        <v>IE-LK</v>
      </c>
      <c r="T478" s="130" t="str">
        <f t="shared" si="210"/>
        <v>IE-TA</v>
      </c>
      <c r="U478" s="130" t="str">
        <f t="shared" si="210"/>
        <v>IE-WD</v>
      </c>
      <c r="V478" s="130" t="str">
        <f t="shared" si="210"/>
        <v>IE-G</v>
      </c>
      <c r="W478" s="130" t="str">
        <f t="shared" si="210"/>
        <v>IE-LM</v>
      </c>
      <c r="X478" s="130" t="str">
        <f t="shared" si="210"/>
        <v>IE-MO</v>
      </c>
      <c r="Y478" s="130" t="str">
        <f t="shared" si="210"/>
        <v>IE-RN</v>
      </c>
      <c r="Z478" s="130" t="str">
        <f t="shared" si="210"/>
        <v>IE-SO</v>
      </c>
      <c r="AA478" s="130" t="str">
        <f t="shared" si="210"/>
        <v>IE-CN</v>
      </c>
      <c r="AB478" s="130" t="str">
        <f t="shared" si="210"/>
        <v>IE-DL</v>
      </c>
      <c r="AC478" s="130" t="str">
        <f t="shared" si="210"/>
        <v>IE-MN</v>
      </c>
    </row>
    <row r="479" spans="1:29" s="714" customFormat="1">
      <c r="A479" s="805" t="s">
        <v>1116</v>
      </c>
      <c r="B479" s="714" t="s">
        <v>1125</v>
      </c>
      <c r="C479" s="5">
        <f t="shared" ref="C479:AC479" si="211">C470/SUM(C427:C428)</f>
        <v>4.5497039576191958E-2</v>
      </c>
      <c r="D479" s="5">
        <f t="shared" si="211"/>
        <v>4.3304460923115656E-2</v>
      </c>
      <c r="E479" s="5">
        <f t="shared" si="211"/>
        <v>4.5238222267306935E-2</v>
      </c>
      <c r="F479" s="5">
        <f t="shared" si="211"/>
        <v>4.0553314475095192E-2</v>
      </c>
      <c r="G479" s="5">
        <f t="shared" si="211"/>
        <v>5.6473730834456531E-2</v>
      </c>
      <c r="H479" s="5">
        <f t="shared" si="211"/>
        <v>5.1294213842061454E-2</v>
      </c>
      <c r="I479" s="5">
        <f t="shared" si="211"/>
        <v>3.9103377694016325E-2</v>
      </c>
      <c r="J479" s="5">
        <f t="shared" si="211"/>
        <v>4.876250774027955E-2</v>
      </c>
      <c r="K479" s="5">
        <f t="shared" si="211"/>
        <v>3.9338583622498993E-2</v>
      </c>
      <c r="L479" s="5">
        <f t="shared" si="211"/>
        <v>4.3613630721333431E-2</v>
      </c>
      <c r="M479" s="5">
        <f t="shared" si="211"/>
        <v>3.8552227859684464E-2</v>
      </c>
      <c r="N479" s="5">
        <f t="shared" si="211"/>
        <v>4.8740376710068041E-2</v>
      </c>
      <c r="O479" s="5">
        <f t="shared" si="211"/>
        <v>4.4904721590146399E-2</v>
      </c>
      <c r="P479" s="5">
        <f t="shared" si="211"/>
        <v>4.4702424517520496E-2</v>
      </c>
      <c r="Q479" s="5">
        <f t="shared" si="211"/>
        <v>5.810645213921127E-2</v>
      </c>
      <c r="R479" s="5">
        <f t="shared" si="211"/>
        <v>5.3302202781361448E-2</v>
      </c>
      <c r="S479" s="5">
        <f t="shared" si="211"/>
        <v>5.1478332321335835E-2</v>
      </c>
      <c r="T479" s="5">
        <f t="shared" si="211"/>
        <v>4.3200424685842412E-2</v>
      </c>
      <c r="U479" s="5">
        <f t="shared" si="211"/>
        <v>6.6116697773135905E-2</v>
      </c>
      <c r="V479" s="5">
        <f t="shared" si="211"/>
        <v>4.1727564048124444E-2</v>
      </c>
      <c r="W479" s="5">
        <f t="shared" si="211"/>
        <v>3.348100735821407E-2</v>
      </c>
      <c r="X479" s="5">
        <f t="shared" si="211"/>
        <v>3.2135756911460311E-2</v>
      </c>
      <c r="Y479" s="5">
        <f t="shared" si="211"/>
        <v>3.3019436457529423E-2</v>
      </c>
      <c r="Z479" s="5">
        <f t="shared" si="211"/>
        <v>3.9780078240768367E-2</v>
      </c>
      <c r="AA479" s="5">
        <f t="shared" si="211"/>
        <v>3.3951874347526993E-2</v>
      </c>
      <c r="AB479" s="5">
        <f t="shared" si="211"/>
        <v>4.1077680629101776E-2</v>
      </c>
      <c r="AC479" s="5">
        <f t="shared" si="211"/>
        <v>2.9866179275245347E-2</v>
      </c>
    </row>
    <row r="480" spans="1:29" s="714" customFormat="1">
      <c r="A480" s="805" t="s">
        <v>1117</v>
      </c>
      <c r="B480" s="714" t="s">
        <v>1126</v>
      </c>
      <c r="C480" s="5">
        <f t="shared" ref="C480:AC480" si="212">C471/SUM(C429:C430)</f>
        <v>3.4234234234234235</v>
      </c>
      <c r="D480" s="5">
        <f t="shared" si="212"/>
        <v>3.516559511674378</v>
      </c>
      <c r="E480" s="5">
        <f t="shared" si="212"/>
        <v>2.547065016416119</v>
      </c>
      <c r="F480" s="5">
        <f t="shared" si="212"/>
        <v>3.1770466504530055</v>
      </c>
      <c r="G480" s="5">
        <f t="shared" si="212"/>
        <v>5.107778189513688</v>
      </c>
      <c r="H480" s="5">
        <f t="shared" si="212"/>
        <v>3.6380245502366186</v>
      </c>
      <c r="I480" s="5">
        <f t="shared" si="212"/>
        <v>3.5112690518394114</v>
      </c>
      <c r="J480" s="5">
        <f t="shared" si="212"/>
        <v>2.3003546031587354</v>
      </c>
      <c r="K480" s="5">
        <f t="shared" si="212"/>
        <v>2.9838816070607845</v>
      </c>
      <c r="L480" s="5">
        <f t="shared" si="212"/>
        <v>5.0230356204056275</v>
      </c>
      <c r="M480" s="5">
        <f t="shared" si="212"/>
        <v>3.8129737691359153</v>
      </c>
      <c r="N480" s="5">
        <f t="shared" si="212"/>
        <v>3.5569175859386326</v>
      </c>
      <c r="O480" s="5">
        <f t="shared" si="212"/>
        <v>6.1008908045352328</v>
      </c>
      <c r="P480" s="5">
        <f t="shared" si="212"/>
        <v>6.0035968489009708</v>
      </c>
      <c r="Q480" s="5">
        <f t="shared" si="212"/>
        <v>4.723900045386805</v>
      </c>
      <c r="R480" s="5">
        <f t="shared" si="212"/>
        <v>6.2429292298717858</v>
      </c>
      <c r="S480" s="5">
        <f t="shared" si="212"/>
        <v>2.2381535207579546</v>
      </c>
      <c r="T480" s="5">
        <f t="shared" si="212"/>
        <v>3.6645042683389235</v>
      </c>
      <c r="U480" s="5">
        <f t="shared" si="212"/>
        <v>7.1759259788569283</v>
      </c>
      <c r="V480" s="5">
        <f t="shared" si="212"/>
        <v>3.985839782295503</v>
      </c>
      <c r="W480" s="5">
        <f t="shared" si="212"/>
        <v>3.9867624172777503</v>
      </c>
      <c r="X480" s="5">
        <f t="shared" si="212"/>
        <v>4.3194607895570476</v>
      </c>
      <c r="Y480" s="5">
        <f t="shared" si="212"/>
        <v>2.4922889709724263</v>
      </c>
      <c r="Z480" s="5">
        <f t="shared" si="212"/>
        <v>3.2614214831643649</v>
      </c>
      <c r="AA480" s="5">
        <f t="shared" si="212"/>
        <v>3.1591521439120154</v>
      </c>
      <c r="AB480" s="5">
        <f t="shared" si="212"/>
        <v>4.9514783011740064</v>
      </c>
      <c r="AC480" s="5">
        <f t="shared" si="212"/>
        <v>1.9093387041802825</v>
      </c>
    </row>
    <row r="481" spans="1:29" s="714" customFormat="1">
      <c r="A481" s="807" t="s">
        <v>1118</v>
      </c>
      <c r="B481" s="458" t="s">
        <v>1127</v>
      </c>
      <c r="C481" s="808">
        <f t="shared" ref="C481:AC481" si="213">C472/SUM(C431:C432)</f>
        <v>8.8649122807017537</v>
      </c>
      <c r="D481" s="808">
        <f t="shared" si="213"/>
        <v>7.4223789525858956</v>
      </c>
      <c r="E481" s="808">
        <f t="shared" si="213"/>
        <v>11.690912742461185</v>
      </c>
      <c r="F481" s="808">
        <f t="shared" si="213"/>
        <v>6.8139290003136823</v>
      </c>
      <c r="G481" s="808">
        <f t="shared" si="213"/>
        <v>6.3181403161842509</v>
      </c>
      <c r="H481" s="808">
        <f t="shared" si="213"/>
        <v>7.4424850414354795</v>
      </c>
      <c r="I481" s="808">
        <f t="shared" si="213"/>
        <v>6.2254184276998403</v>
      </c>
      <c r="J481" s="808">
        <f t="shared" si="213"/>
        <v>7.6471656643165069</v>
      </c>
      <c r="K481" s="808">
        <f t="shared" si="213"/>
        <v>5.1434150255042406</v>
      </c>
      <c r="L481" s="808">
        <f t="shared" si="213"/>
        <v>10.477357684173224</v>
      </c>
      <c r="M481" s="808">
        <f t="shared" si="213"/>
        <v>12.675629247002487</v>
      </c>
      <c r="N481" s="808">
        <f t="shared" si="213"/>
        <v>5.2552937315052377</v>
      </c>
      <c r="O481" s="808">
        <f t="shared" si="213"/>
        <v>12.877109956272569</v>
      </c>
      <c r="P481" s="808">
        <f t="shared" si="213"/>
        <v>12.671752246239185</v>
      </c>
      <c r="Q481" s="808">
        <f t="shared" si="213"/>
        <v>10.469239881289264</v>
      </c>
      <c r="R481" s="808">
        <f t="shared" si="213"/>
        <v>14.900043845465245</v>
      </c>
      <c r="S481" s="808">
        <f t="shared" si="213"/>
        <v>8.083384479810876</v>
      </c>
      <c r="T481" s="808">
        <f t="shared" si="213"/>
        <v>6.8719345731134407</v>
      </c>
      <c r="U481" s="808">
        <f t="shared" si="213"/>
        <v>16.74051429878304</v>
      </c>
      <c r="V481" s="808">
        <f t="shared" si="213"/>
        <v>11.521995663580766</v>
      </c>
      <c r="W481" s="808">
        <f t="shared" si="213"/>
        <v>10.097799746618781</v>
      </c>
      <c r="X481" s="808">
        <f t="shared" si="213"/>
        <v>12.183703954339899</v>
      </c>
      <c r="Y481" s="808">
        <f t="shared" si="213"/>
        <v>8.2852211646866252</v>
      </c>
      <c r="Z481" s="808">
        <f t="shared" si="213"/>
        <v>13.14191607211287</v>
      </c>
      <c r="AA481" s="808">
        <f t="shared" si="213"/>
        <v>5.6011213274341811</v>
      </c>
      <c r="AB481" s="808">
        <f t="shared" si="213"/>
        <v>10.033010468504163</v>
      </c>
      <c r="AC481" s="808">
        <f t="shared" si="213"/>
        <v>2.219819033010749</v>
      </c>
    </row>
    <row r="482" spans="1:29" s="714" customFormat="1">
      <c r="A482" s="802"/>
      <c r="B482" s="802"/>
      <c r="C482" s="804"/>
      <c r="D482" s="804"/>
      <c r="E482" s="804"/>
      <c r="F482" s="804"/>
      <c r="G482" s="804"/>
      <c r="H482" s="804"/>
      <c r="I482" s="804"/>
      <c r="J482" s="804"/>
      <c r="K482" s="804"/>
      <c r="L482" s="804"/>
      <c r="M482" s="804"/>
      <c r="N482" s="804"/>
      <c r="O482" s="804"/>
      <c r="P482" s="804"/>
      <c r="Q482" s="804"/>
      <c r="R482" s="804"/>
      <c r="S482" s="804"/>
      <c r="T482" s="804"/>
      <c r="U482" s="804"/>
      <c r="V482" s="804"/>
      <c r="W482" s="804"/>
      <c r="X482" s="804"/>
      <c r="Y482" s="804"/>
      <c r="Z482" s="804"/>
      <c r="AA482" s="804"/>
      <c r="AB482" s="804"/>
      <c r="AC482" s="804"/>
    </row>
    <row r="483" spans="1:29" s="714" customFormat="1">
      <c r="A483" s="802"/>
      <c r="B483" s="802"/>
      <c r="C483" s="804"/>
      <c r="D483" s="804"/>
      <c r="E483" s="804"/>
      <c r="F483" s="804"/>
      <c r="G483" s="804"/>
      <c r="H483" s="804"/>
      <c r="I483" s="804"/>
      <c r="J483" s="804"/>
      <c r="K483" s="804"/>
      <c r="L483" s="804"/>
      <c r="M483" s="804"/>
      <c r="N483" s="804"/>
      <c r="O483" s="804"/>
      <c r="P483" s="804"/>
      <c r="Q483" s="804"/>
      <c r="R483" s="804"/>
      <c r="S483" s="804"/>
      <c r="T483" s="804"/>
      <c r="U483" s="804"/>
      <c r="V483" s="804"/>
      <c r="W483" s="804"/>
      <c r="X483" s="804"/>
      <c r="Y483" s="804"/>
      <c r="Z483" s="804"/>
      <c r="AA483" s="804"/>
      <c r="AB483" s="804"/>
      <c r="AC483" s="804"/>
    </row>
    <row r="484" spans="1:29" s="714" customFormat="1">
      <c r="A484" s="802"/>
      <c r="B484" s="802"/>
      <c r="C484" s="804"/>
      <c r="D484" s="804"/>
      <c r="E484" s="804"/>
      <c r="F484" s="804"/>
      <c r="G484" s="804"/>
      <c r="H484" s="804"/>
      <c r="I484" s="804"/>
      <c r="J484" s="804"/>
      <c r="K484" s="804"/>
      <c r="L484" s="804"/>
      <c r="M484" s="804"/>
      <c r="N484" s="804"/>
      <c r="O484" s="804"/>
      <c r="P484" s="804"/>
      <c r="Q484" s="804"/>
      <c r="R484" s="804"/>
      <c r="S484" s="804"/>
      <c r="T484" s="804"/>
      <c r="U484" s="804"/>
      <c r="V484" s="804"/>
      <c r="W484" s="804"/>
      <c r="X484" s="804"/>
      <c r="Y484" s="804"/>
      <c r="Z484" s="804"/>
      <c r="AA484" s="804"/>
      <c r="AB484" s="804"/>
      <c r="AC484" s="804"/>
    </row>
    <row r="485" spans="1:29" s="714" customFormat="1">
      <c r="A485" s="802"/>
      <c r="B485" s="802"/>
      <c r="C485" s="700"/>
      <c r="D485" s="700"/>
      <c r="E485" s="700"/>
      <c r="F485" s="700"/>
      <c r="G485" s="700"/>
      <c r="H485" s="700"/>
      <c r="I485" s="700"/>
      <c r="J485" s="700"/>
      <c r="K485" s="700"/>
      <c r="L485" s="700"/>
      <c r="M485" s="700"/>
      <c r="N485" s="700"/>
      <c r="O485" s="700"/>
      <c r="P485" s="700"/>
      <c r="Q485" s="700"/>
      <c r="R485" s="700"/>
      <c r="S485" s="700"/>
      <c r="T485" s="700"/>
      <c r="U485" s="700"/>
      <c r="V485" s="700"/>
      <c r="W485" s="700"/>
      <c r="X485" s="700"/>
      <c r="Y485" s="700"/>
      <c r="Z485" s="700"/>
      <c r="AA485" s="700"/>
      <c r="AB485" s="700"/>
      <c r="AC485" s="700"/>
    </row>
    <row r="486" spans="1:29" s="714" customFormat="1">
      <c r="A486" s="802"/>
      <c r="B486" s="802"/>
      <c r="C486" s="700"/>
      <c r="D486" s="700"/>
      <c r="E486" s="700"/>
      <c r="F486" s="700"/>
      <c r="G486" s="700"/>
      <c r="H486" s="700"/>
      <c r="I486" s="700"/>
      <c r="J486" s="700"/>
      <c r="K486" s="700"/>
      <c r="L486" s="700"/>
      <c r="M486" s="700"/>
      <c r="N486" s="700"/>
      <c r="O486" s="700"/>
      <c r="P486" s="700"/>
      <c r="Q486" s="700"/>
      <c r="R486" s="700"/>
      <c r="S486" s="700"/>
      <c r="T486" s="700"/>
      <c r="U486" s="700"/>
      <c r="V486" s="700"/>
      <c r="W486" s="700"/>
      <c r="X486" s="700"/>
      <c r="Y486" s="700"/>
      <c r="Z486" s="700"/>
      <c r="AA486" s="700"/>
      <c r="AB486" s="700"/>
      <c r="AC486" s="700"/>
    </row>
    <row r="488" spans="1:29" ht="15.6">
      <c r="A488" s="401" t="s">
        <v>697</v>
      </c>
      <c r="B488" s="459"/>
      <c r="C488" s="459"/>
      <c r="D488" s="459"/>
      <c r="E488" s="459"/>
      <c r="F488" s="459"/>
      <c r="G488" s="459"/>
      <c r="H488" s="459"/>
      <c r="I488" s="459"/>
      <c r="J488" s="459"/>
      <c r="K488" s="459"/>
      <c r="L488" s="459"/>
    </row>
    <row r="489" spans="1:29" ht="15.6">
      <c r="A489" s="132" t="s">
        <v>344</v>
      </c>
      <c r="B489" s="866" t="s">
        <v>694</v>
      </c>
      <c r="C489" s="866"/>
      <c r="D489" s="866"/>
      <c r="E489" s="866"/>
      <c r="F489" s="866"/>
      <c r="G489" s="866"/>
      <c r="H489" s="866"/>
      <c r="I489" s="866"/>
      <c r="J489" s="866"/>
      <c r="K489" s="866"/>
      <c r="L489" s="866"/>
    </row>
    <row r="490" spans="1:29">
      <c r="A490" s="459"/>
      <c r="B490" s="526" t="s">
        <v>681</v>
      </c>
      <c r="C490" s="529" t="s">
        <v>682</v>
      </c>
      <c r="D490" s="532" t="s">
        <v>683</v>
      </c>
      <c r="E490" s="534" t="s">
        <v>684</v>
      </c>
      <c r="F490" s="43" t="s">
        <v>685</v>
      </c>
      <c r="G490" s="537" t="s">
        <v>686</v>
      </c>
      <c r="H490" s="459" t="s">
        <v>373</v>
      </c>
      <c r="I490" s="539" t="s">
        <v>687</v>
      </c>
      <c r="J490" s="540" t="s">
        <v>688</v>
      </c>
      <c r="K490" s="526" t="s">
        <v>689</v>
      </c>
      <c r="L490" s="526" t="s">
        <v>690</v>
      </c>
    </row>
    <row r="491" spans="1:29" ht="15.6">
      <c r="A491" s="528" t="s">
        <v>693</v>
      </c>
    </row>
    <row r="492" spans="1:29">
      <c r="A492" s="525" t="s">
        <v>691</v>
      </c>
      <c r="B492" s="459">
        <v>11537</v>
      </c>
      <c r="C492" s="459">
        <v>863</v>
      </c>
      <c r="D492" s="459">
        <v>913</v>
      </c>
      <c r="E492" s="459">
        <v>1054</v>
      </c>
      <c r="F492" s="459">
        <v>1180</v>
      </c>
      <c r="G492" s="459">
        <v>1840</v>
      </c>
      <c r="H492" s="459">
        <v>2185</v>
      </c>
      <c r="I492" s="459">
        <v>1266</v>
      </c>
      <c r="J492" s="459">
        <v>666</v>
      </c>
      <c r="K492" s="459">
        <v>401</v>
      </c>
      <c r="L492" s="459">
        <v>1169</v>
      </c>
    </row>
    <row r="493" spans="1:29">
      <c r="A493" s="525" t="s">
        <v>682</v>
      </c>
      <c r="B493" s="459">
        <v>1006</v>
      </c>
      <c r="C493" s="459">
        <v>302</v>
      </c>
      <c r="D493" s="459">
        <v>62</v>
      </c>
      <c r="E493" s="459">
        <v>34</v>
      </c>
      <c r="F493" s="459">
        <v>50</v>
      </c>
      <c r="G493" s="459">
        <v>65</v>
      </c>
      <c r="H493" s="459">
        <v>165</v>
      </c>
      <c r="I493" s="459">
        <v>110</v>
      </c>
      <c r="J493" s="459">
        <v>47</v>
      </c>
      <c r="K493" s="459">
        <v>77</v>
      </c>
      <c r="L493" s="459">
        <v>95</v>
      </c>
    </row>
    <row r="494" spans="1:29">
      <c r="A494" s="525" t="s">
        <v>683</v>
      </c>
      <c r="B494" s="459">
        <v>812</v>
      </c>
      <c r="C494" s="459">
        <v>44</v>
      </c>
      <c r="D494" s="459">
        <v>296</v>
      </c>
      <c r="E494" s="459">
        <v>62</v>
      </c>
      <c r="F494" s="459">
        <v>44</v>
      </c>
      <c r="G494" s="459">
        <v>53</v>
      </c>
      <c r="H494" s="459">
        <v>171</v>
      </c>
      <c r="I494" s="459">
        <v>41</v>
      </c>
      <c r="J494" s="459">
        <v>42</v>
      </c>
      <c r="K494" s="459">
        <v>14</v>
      </c>
      <c r="L494" s="459">
        <v>44</v>
      </c>
    </row>
    <row r="495" spans="1:29">
      <c r="A495" s="525" t="s">
        <v>684</v>
      </c>
      <c r="B495" s="459">
        <v>1086</v>
      </c>
      <c r="C495" s="459">
        <v>33</v>
      </c>
      <c r="D495" s="459">
        <v>83</v>
      </c>
      <c r="E495" s="459">
        <v>376</v>
      </c>
      <c r="F495" s="459">
        <v>106</v>
      </c>
      <c r="G495" s="459">
        <v>192</v>
      </c>
      <c r="H495" s="459">
        <v>147</v>
      </c>
      <c r="I495" s="459">
        <v>48</v>
      </c>
      <c r="J495" s="459">
        <v>47</v>
      </c>
      <c r="K495" s="459">
        <v>11</v>
      </c>
      <c r="L495" s="459">
        <v>42</v>
      </c>
    </row>
    <row r="496" spans="1:29">
      <c r="A496" s="525" t="s">
        <v>685</v>
      </c>
      <c r="B496" s="459">
        <v>1010</v>
      </c>
      <c r="C496" s="459">
        <v>25</v>
      </c>
      <c r="D496" s="459">
        <v>47</v>
      </c>
      <c r="E496" s="459">
        <v>66</v>
      </c>
      <c r="F496" s="459">
        <v>360</v>
      </c>
      <c r="G496" s="459">
        <v>113</v>
      </c>
      <c r="H496" s="459">
        <v>136</v>
      </c>
      <c r="I496" s="459">
        <v>90</v>
      </c>
      <c r="J496" s="459">
        <v>56</v>
      </c>
      <c r="K496" s="459">
        <v>37</v>
      </c>
      <c r="L496" s="459">
        <v>80</v>
      </c>
    </row>
    <row r="497" spans="1:30">
      <c r="A497" s="525" t="s">
        <v>686</v>
      </c>
      <c r="B497" s="459">
        <v>1518</v>
      </c>
      <c r="C497" s="459">
        <v>16</v>
      </c>
      <c r="D497" s="459">
        <v>30</v>
      </c>
      <c r="E497" s="459">
        <v>174</v>
      </c>
      <c r="F497" s="459">
        <v>156</v>
      </c>
      <c r="G497" s="459">
        <v>712</v>
      </c>
      <c r="H497" s="459">
        <v>249</v>
      </c>
      <c r="I497" s="459">
        <v>60</v>
      </c>
      <c r="J497" s="459">
        <v>53</v>
      </c>
      <c r="K497" s="459">
        <v>26</v>
      </c>
      <c r="L497" s="459">
        <v>43</v>
      </c>
    </row>
    <row r="498" spans="1:30">
      <c r="A498" s="525" t="s">
        <v>373</v>
      </c>
      <c r="B498" s="459">
        <v>2741</v>
      </c>
      <c r="C498" s="459">
        <v>190</v>
      </c>
      <c r="D498" s="459">
        <v>238</v>
      </c>
      <c r="E498" s="459">
        <v>228</v>
      </c>
      <c r="F498" s="459">
        <v>235</v>
      </c>
      <c r="G498" s="459">
        <v>490</v>
      </c>
      <c r="H498" s="459">
        <v>614</v>
      </c>
      <c r="I498" s="459">
        <v>374</v>
      </c>
      <c r="J498" s="459">
        <v>178</v>
      </c>
      <c r="K498" s="459">
        <v>108</v>
      </c>
      <c r="L498" s="459">
        <v>86</v>
      </c>
    </row>
    <row r="499" spans="1:30">
      <c r="A499" s="525" t="s">
        <v>687</v>
      </c>
      <c r="B499" s="459">
        <v>1308</v>
      </c>
      <c r="C499" s="459">
        <v>107</v>
      </c>
      <c r="D499" s="459">
        <v>48</v>
      </c>
      <c r="E499" s="459">
        <v>49</v>
      </c>
      <c r="F499" s="459">
        <v>120</v>
      </c>
      <c r="G499" s="459">
        <v>91</v>
      </c>
      <c r="H499" s="459">
        <v>300</v>
      </c>
      <c r="I499" s="459">
        <v>421</v>
      </c>
      <c r="J499" s="459">
        <v>73</v>
      </c>
      <c r="K499" s="459">
        <v>48</v>
      </c>
      <c r="L499" s="459">
        <v>51</v>
      </c>
    </row>
    <row r="500" spans="1:30">
      <c r="A500" s="525" t="s">
        <v>688</v>
      </c>
      <c r="B500" s="459">
        <v>697</v>
      </c>
      <c r="C500" s="459">
        <v>58</v>
      </c>
      <c r="D500" s="459">
        <v>73</v>
      </c>
      <c r="E500" s="459">
        <v>45</v>
      </c>
      <c r="F500" s="459">
        <v>64</v>
      </c>
      <c r="G500" s="459">
        <v>48</v>
      </c>
      <c r="H500" s="459">
        <v>122</v>
      </c>
      <c r="I500" s="459">
        <v>62</v>
      </c>
      <c r="J500" s="459">
        <v>156</v>
      </c>
      <c r="K500" s="459">
        <v>37</v>
      </c>
      <c r="L500" s="459">
        <v>31</v>
      </c>
    </row>
    <row r="501" spans="1:30">
      <c r="A501" s="525" t="s">
        <v>689</v>
      </c>
      <c r="B501" s="459">
        <v>231</v>
      </c>
      <c r="C501" s="459">
        <v>55</v>
      </c>
      <c r="D501" s="459">
        <v>12</v>
      </c>
      <c r="E501" s="459">
        <v>3</v>
      </c>
      <c r="F501" s="459">
        <v>12</v>
      </c>
      <c r="G501" s="459">
        <v>26</v>
      </c>
      <c r="H501" s="459">
        <v>51</v>
      </c>
      <c r="I501" s="459">
        <v>25</v>
      </c>
      <c r="J501" s="459">
        <v>5</v>
      </c>
      <c r="K501" s="459">
        <v>27</v>
      </c>
      <c r="L501" s="459">
        <v>15</v>
      </c>
    </row>
    <row r="502" spans="1:30">
      <c r="A502" s="527" t="s">
        <v>690</v>
      </c>
      <c r="B502" s="458">
        <v>1128</v>
      </c>
      <c r="C502" s="458">
        <v>32</v>
      </c>
      <c r="D502" s="458">
        <v>23</v>
      </c>
      <c r="E502" s="458">
        <v>18</v>
      </c>
      <c r="F502" s="458">
        <v>32</v>
      </c>
      <c r="G502" s="458">
        <v>50</v>
      </c>
      <c r="H502" s="458">
        <v>231</v>
      </c>
      <c r="I502" s="458">
        <v>35</v>
      </c>
      <c r="J502" s="458">
        <v>10</v>
      </c>
      <c r="K502" s="458">
        <v>15</v>
      </c>
      <c r="L502" s="458">
        <v>682</v>
      </c>
    </row>
    <row r="503" spans="1:30">
      <c r="A503" s="459" t="s">
        <v>692</v>
      </c>
      <c r="B503" s="448"/>
      <c r="C503" s="448"/>
      <c r="D503" s="448"/>
      <c r="E503" s="448"/>
      <c r="F503" s="448"/>
      <c r="G503" s="448"/>
      <c r="H503" s="448"/>
    </row>
    <row r="504" spans="1:30" s="459" customFormat="1"/>
    <row r="505" spans="1:30" s="459" customFormat="1"/>
    <row r="506" spans="1:30" s="459" customFormat="1"/>
    <row r="507" spans="1:30" s="459" customFormat="1">
      <c r="A507" s="132" t="s">
        <v>698</v>
      </c>
      <c r="B507" s="867" t="s">
        <v>699</v>
      </c>
      <c r="C507" s="867"/>
      <c r="D507" s="867"/>
      <c r="E507" s="867"/>
      <c r="F507" s="867"/>
      <c r="G507"/>
      <c r="H507"/>
      <c r="I507"/>
      <c r="J507"/>
      <c r="K507"/>
      <c r="L507"/>
      <c r="M507"/>
      <c r="N507"/>
      <c r="O507"/>
      <c r="P507"/>
      <c r="Q507"/>
      <c r="R507"/>
      <c r="S507"/>
      <c r="T507"/>
      <c r="U507"/>
      <c r="V507"/>
      <c r="W507"/>
      <c r="X507"/>
      <c r="Y507"/>
      <c r="Z507"/>
      <c r="AA507"/>
      <c r="AB507" s="42"/>
      <c r="AC507"/>
      <c r="AD507"/>
    </row>
    <row r="508" spans="1:30" s="459" customFormat="1">
      <c r="A508" s="529" t="s">
        <v>682</v>
      </c>
      <c r="B508" s="459" t="s">
        <v>396</v>
      </c>
      <c r="C508" t="s">
        <v>395</v>
      </c>
      <c r="D508" s="459" t="s">
        <v>397</v>
      </c>
      <c r="E508" s="459" t="s">
        <v>394</v>
      </c>
      <c r="F508" s="459" t="s">
        <v>391</v>
      </c>
      <c r="G508"/>
      <c r="H508"/>
      <c r="I508"/>
      <c r="J508"/>
      <c r="K508"/>
      <c r="L508"/>
      <c r="M508"/>
      <c r="N508"/>
      <c r="O508"/>
      <c r="P508"/>
      <c r="Q508"/>
      <c r="R508"/>
      <c r="S508"/>
      <c r="T508"/>
      <c r="U508"/>
      <c r="V508"/>
      <c r="W508"/>
      <c r="X508"/>
      <c r="Y508"/>
      <c r="Z508"/>
      <c r="AA508"/>
      <c r="AB508" s="42"/>
      <c r="AC508"/>
      <c r="AD508"/>
    </row>
    <row r="509" spans="1:30" s="459" customFormat="1">
      <c r="A509" s="532" t="s">
        <v>683</v>
      </c>
      <c r="B509" s="459" t="s">
        <v>392</v>
      </c>
      <c r="C509" t="s">
        <v>393</v>
      </c>
      <c r="D509" s="459" t="s">
        <v>390</v>
      </c>
      <c r="E509" s="24"/>
      <c r="F509"/>
      <c r="G509"/>
      <c r="H509"/>
      <c r="I509"/>
      <c r="J509"/>
      <c r="K509"/>
      <c r="L509"/>
      <c r="M509"/>
      <c r="N509"/>
      <c r="O509"/>
      <c r="P509"/>
      <c r="Q509"/>
      <c r="R509"/>
      <c r="S509"/>
      <c r="T509"/>
      <c r="U509"/>
      <c r="V509"/>
      <c r="W509"/>
      <c r="X509"/>
      <c r="Y509"/>
      <c r="Z509"/>
      <c r="AA509"/>
      <c r="AB509" s="42"/>
      <c r="AC509"/>
      <c r="AD509"/>
    </row>
    <row r="510" spans="1:30" s="459" customFormat="1">
      <c r="A510" s="534" t="s">
        <v>684</v>
      </c>
      <c r="B510" t="s">
        <v>384</v>
      </c>
      <c r="C510" s="459" t="s">
        <v>388</v>
      </c>
      <c r="D510" s="459" t="s">
        <v>387</v>
      </c>
      <c r="E510" s="24"/>
      <c r="F510"/>
      <c r="G510"/>
      <c r="H510"/>
      <c r="I510"/>
      <c r="J510"/>
      <c r="K510"/>
      <c r="L510"/>
      <c r="M510"/>
      <c r="N510"/>
      <c r="O510"/>
      <c r="P510"/>
      <c r="Q510"/>
      <c r="R510"/>
      <c r="S510"/>
      <c r="T510"/>
      <c r="U510"/>
      <c r="V510"/>
      <c r="W510"/>
      <c r="X510"/>
      <c r="Y510"/>
      <c r="Z510"/>
      <c r="AA510"/>
      <c r="AB510" s="42"/>
      <c r="AC510"/>
      <c r="AD510"/>
    </row>
    <row r="511" spans="1:30" s="459" customFormat="1">
      <c r="A511" s="43" t="s">
        <v>685</v>
      </c>
      <c r="B511" s="459" t="s">
        <v>372</v>
      </c>
      <c r="C511" t="s">
        <v>375</v>
      </c>
      <c r="D511" s="459" t="s">
        <v>382</v>
      </c>
      <c r="E511" s="459" t="s">
        <v>389</v>
      </c>
      <c r="F511"/>
      <c r="G511"/>
      <c r="H511"/>
      <c r="I511"/>
      <c r="J511"/>
      <c r="K511"/>
      <c r="L511"/>
      <c r="M511"/>
      <c r="N511"/>
      <c r="O511"/>
      <c r="P511"/>
      <c r="Q511"/>
      <c r="R511"/>
      <c r="S511"/>
      <c r="T511"/>
      <c r="U511"/>
      <c r="V511"/>
      <c r="W511"/>
      <c r="X511"/>
      <c r="Y511"/>
      <c r="Z511"/>
      <c r="AA511"/>
      <c r="AB511" s="42"/>
      <c r="AC511"/>
      <c r="AD511"/>
    </row>
    <row r="512" spans="1:30" s="459" customFormat="1">
      <c r="A512" s="537" t="s">
        <v>686</v>
      </c>
      <c r="B512" s="459" t="s">
        <v>386</v>
      </c>
      <c r="C512" t="s">
        <v>385</v>
      </c>
      <c r="D512" s="24"/>
      <c r="E512" s="24"/>
      <c r="F512"/>
      <c r="G512"/>
      <c r="H512"/>
      <c r="I512"/>
      <c r="J512"/>
      <c r="K512"/>
      <c r="L512"/>
      <c r="M512"/>
      <c r="N512"/>
      <c r="O512"/>
      <c r="P512"/>
      <c r="Q512"/>
      <c r="R512"/>
      <c r="S512"/>
      <c r="T512"/>
      <c r="U512"/>
      <c r="V512"/>
      <c r="W512"/>
      <c r="X512"/>
      <c r="Y512"/>
      <c r="Z512"/>
      <c r="AA512"/>
      <c r="AB512" s="42"/>
      <c r="AC512"/>
      <c r="AD512"/>
    </row>
    <row r="513" spans="1:30" s="459" customFormat="1">
      <c r="A513" s="459" t="s">
        <v>373</v>
      </c>
      <c r="B513" t="s">
        <v>373</v>
      </c>
      <c r="C513"/>
      <c r="D513" s="24"/>
      <c r="E513" s="24"/>
      <c r="F513"/>
      <c r="G513"/>
      <c r="H513"/>
      <c r="I513"/>
      <c r="J513"/>
      <c r="K513"/>
      <c r="L513"/>
      <c r="M513"/>
      <c r="N513"/>
      <c r="O513"/>
      <c r="P513"/>
      <c r="Q513"/>
      <c r="R513"/>
      <c r="S513"/>
      <c r="T513"/>
      <c r="U513"/>
      <c r="V513"/>
      <c r="W513"/>
      <c r="X513"/>
      <c r="Y513"/>
      <c r="Z513"/>
      <c r="AA513"/>
      <c r="AB513" s="42"/>
      <c r="AC513"/>
      <c r="AD513"/>
    </row>
    <row r="514" spans="1:30" s="459" customFormat="1">
      <c r="A514" s="539" t="s">
        <v>687</v>
      </c>
      <c r="B514" s="459" t="s">
        <v>374</v>
      </c>
      <c r="C514" s="459" t="s">
        <v>379</v>
      </c>
      <c r="D514" s="459" t="s">
        <v>700</v>
      </c>
      <c r="E514" s="24" t="s">
        <v>378</v>
      </c>
      <c r="F514"/>
      <c r="G514"/>
      <c r="H514"/>
      <c r="I514"/>
      <c r="J514"/>
      <c r="K514"/>
      <c r="L514"/>
      <c r="M514"/>
      <c r="N514"/>
      <c r="O514"/>
      <c r="P514"/>
      <c r="Q514"/>
      <c r="R514"/>
      <c r="S514"/>
      <c r="T514"/>
      <c r="U514"/>
      <c r="V514"/>
      <c r="W514"/>
      <c r="X514"/>
      <c r="Y514"/>
      <c r="Z514"/>
      <c r="AA514"/>
      <c r="AB514" s="42"/>
      <c r="AC514"/>
      <c r="AD514"/>
    </row>
    <row r="515" spans="1:30" s="459" customFormat="1">
      <c r="A515" s="540" t="s">
        <v>688</v>
      </c>
      <c r="B515" s="458" t="s">
        <v>376</v>
      </c>
      <c r="C515" s="458" t="s">
        <v>380</v>
      </c>
      <c r="D515" s="458" t="s">
        <v>701</v>
      </c>
      <c r="E515" s="458" t="s">
        <v>381</v>
      </c>
      <c r="F515" s="458"/>
      <c r="G515"/>
      <c r="H515"/>
      <c r="I515"/>
      <c r="J515"/>
      <c r="K515"/>
      <c r="L515"/>
      <c r="M515"/>
      <c r="N515"/>
      <c r="O515"/>
      <c r="P515"/>
      <c r="Q515"/>
      <c r="R515"/>
      <c r="S515"/>
      <c r="T515"/>
      <c r="U515"/>
      <c r="V515"/>
      <c r="W515"/>
      <c r="X515"/>
      <c r="Y515"/>
      <c r="Z515"/>
      <c r="AA515"/>
      <c r="AB515" s="42"/>
      <c r="AC515"/>
      <c r="AD515"/>
    </row>
    <row r="516" spans="1:30" s="459" customFormat="1">
      <c r="B516"/>
      <c r="C516"/>
      <c r="D516" s="24"/>
      <c r="E516" s="24"/>
      <c r="F516"/>
      <c r="G516"/>
      <c r="H516"/>
      <c r="I516"/>
      <c r="J516"/>
      <c r="K516"/>
      <c r="L516"/>
      <c r="M516"/>
      <c r="N516"/>
      <c r="O516"/>
      <c r="P516"/>
      <c r="Q516"/>
      <c r="R516"/>
      <c r="S516"/>
      <c r="T516"/>
      <c r="U516"/>
      <c r="V516"/>
      <c r="W516"/>
      <c r="X516"/>
      <c r="Y516"/>
      <c r="Z516"/>
      <c r="AA516"/>
      <c r="AB516" s="42"/>
      <c r="AC516"/>
      <c r="AD516"/>
    </row>
    <row r="517" spans="1:30" s="459" customFormat="1">
      <c r="B517"/>
      <c r="C517"/>
      <c r="D517" s="24"/>
      <c r="E517" s="24"/>
      <c r="F517"/>
      <c r="G517"/>
      <c r="H517"/>
      <c r="I517"/>
      <c r="J517"/>
      <c r="K517"/>
      <c r="L517"/>
      <c r="M517"/>
      <c r="N517"/>
      <c r="O517"/>
      <c r="P517"/>
      <c r="Q517"/>
      <c r="R517"/>
      <c r="S517"/>
      <c r="T517"/>
      <c r="U517"/>
      <c r="V517"/>
      <c r="W517"/>
      <c r="X517"/>
      <c r="Y517"/>
      <c r="Z517"/>
      <c r="AA517"/>
      <c r="AB517" s="42"/>
      <c r="AC517"/>
      <c r="AD517"/>
    </row>
    <row r="518" spans="1:30" s="459" customFormat="1">
      <c r="A518"/>
      <c r="B518"/>
      <c r="C518"/>
      <c r="D518" s="24"/>
      <c r="E518" s="24"/>
      <c r="F518"/>
      <c r="G518"/>
      <c r="H518"/>
      <c r="I518"/>
      <c r="J518"/>
      <c r="K518"/>
      <c r="L518"/>
      <c r="M518"/>
      <c r="N518"/>
      <c r="O518"/>
      <c r="P518"/>
      <c r="Q518"/>
      <c r="R518"/>
      <c r="S518"/>
      <c r="T518"/>
      <c r="U518"/>
      <c r="V518"/>
      <c r="W518"/>
      <c r="X518"/>
      <c r="Y518"/>
      <c r="Z518"/>
      <c r="AA518"/>
      <c r="AB518" s="42"/>
      <c r="AC518"/>
      <c r="AD518"/>
    </row>
    <row r="519" spans="1:30" s="459" customFormat="1">
      <c r="A519"/>
      <c r="B519"/>
      <c r="C519"/>
      <c r="D519" s="24"/>
      <c r="E519" s="24"/>
      <c r="F519"/>
      <c r="G519"/>
      <c r="H519"/>
      <c r="I519"/>
      <c r="J519"/>
      <c r="K519"/>
      <c r="L519"/>
      <c r="M519"/>
      <c r="N519"/>
      <c r="O519"/>
      <c r="P519"/>
      <c r="Q519"/>
      <c r="R519"/>
      <c r="S519"/>
      <c r="T519"/>
      <c r="U519"/>
      <c r="V519"/>
      <c r="W519"/>
      <c r="X519"/>
      <c r="Y519"/>
      <c r="Z519"/>
      <c r="AA519"/>
      <c r="AB519" s="42"/>
      <c r="AC519"/>
      <c r="AD519"/>
    </row>
    <row r="520" spans="1:30" s="459" customFormat="1" ht="15.6">
      <c r="A520" s="401" t="s">
        <v>702</v>
      </c>
      <c r="AD520"/>
    </row>
    <row r="521" spans="1:30" s="459" customFormat="1">
      <c r="A521" s="132"/>
      <c r="B521" s="132" t="s">
        <v>64</v>
      </c>
      <c r="C521" s="132" t="str">
        <f t="shared" ref="C521:AC521" si="214">C426</f>
        <v>IE</v>
      </c>
      <c r="D521" s="535" t="str">
        <f t="shared" si="214"/>
        <v>IE-CW</v>
      </c>
      <c r="E521" s="541" t="str">
        <f t="shared" si="214"/>
        <v>IE-D</v>
      </c>
      <c r="F521" s="538" t="str">
        <f t="shared" si="214"/>
        <v>IE-KE</v>
      </c>
      <c r="G521" s="535" t="str">
        <f t="shared" si="214"/>
        <v>IE-KK</v>
      </c>
      <c r="H521" s="132" t="str">
        <f t="shared" si="214"/>
        <v>IE-LS</v>
      </c>
      <c r="I521" s="132" t="str">
        <f t="shared" si="214"/>
        <v>IE-LD</v>
      </c>
      <c r="J521" s="538" t="str">
        <f t="shared" si="214"/>
        <v>IE-LH</v>
      </c>
      <c r="K521" s="538" t="str">
        <f t="shared" si="214"/>
        <v>IE-MH</v>
      </c>
      <c r="L521" s="132" t="str">
        <f t="shared" si="214"/>
        <v>IE-OY</v>
      </c>
      <c r="M521" s="132" t="str">
        <f t="shared" si="214"/>
        <v>IE-WH</v>
      </c>
      <c r="N521" s="535" t="str">
        <f t="shared" si="214"/>
        <v>IE-WX</v>
      </c>
      <c r="O521" s="538" t="str">
        <f t="shared" si="214"/>
        <v>IE-WW</v>
      </c>
      <c r="P521" s="533" t="str">
        <f t="shared" si="214"/>
        <v>IE-CE</v>
      </c>
      <c r="Q521" s="536" t="str">
        <f t="shared" si="214"/>
        <v>IE-CO</v>
      </c>
      <c r="R521" s="536" t="str">
        <f t="shared" si="214"/>
        <v>IE-KY</v>
      </c>
      <c r="S521" s="533" t="str">
        <f t="shared" si="214"/>
        <v>IE-LK</v>
      </c>
      <c r="T521" s="533" t="str">
        <f t="shared" si="214"/>
        <v>IE-TA</v>
      </c>
      <c r="U521" s="535" t="str">
        <f t="shared" si="214"/>
        <v>IE-WD</v>
      </c>
      <c r="V521" s="531" t="str">
        <f t="shared" si="214"/>
        <v>IE-G</v>
      </c>
      <c r="W521" s="530" t="str">
        <f t="shared" si="214"/>
        <v>IE-LM</v>
      </c>
      <c r="X521" s="531" t="str">
        <f t="shared" si="214"/>
        <v>IE-MO</v>
      </c>
      <c r="Y521" s="531" t="str">
        <f t="shared" si="214"/>
        <v>IE-RN</v>
      </c>
      <c r="Z521" s="530" t="str">
        <f t="shared" si="214"/>
        <v>IE-SO</v>
      </c>
      <c r="AA521" s="530" t="str">
        <f t="shared" si="214"/>
        <v>IE-CN</v>
      </c>
      <c r="AB521" s="530" t="str">
        <f t="shared" si="214"/>
        <v>IE-DL</v>
      </c>
      <c r="AC521" s="530" t="str">
        <f t="shared" si="214"/>
        <v>IE-MN</v>
      </c>
      <c r="AD521"/>
    </row>
    <row r="522" spans="1:30" s="459" customFormat="1">
      <c r="A522" s="459" t="s">
        <v>398</v>
      </c>
      <c r="B522" s="459" t="s">
        <v>704</v>
      </c>
      <c r="C522" s="542">
        <f t="shared" ref="C522:AC522" si="215">B184</f>
        <v>4857000.0000000037</v>
      </c>
      <c r="D522" s="542">
        <f t="shared" si="215"/>
        <v>58069.41691963128</v>
      </c>
      <c r="E522" s="542">
        <f t="shared" si="215"/>
        <v>1374277.23444491</v>
      </c>
      <c r="F522" s="542">
        <f t="shared" si="215"/>
        <v>226949.29990665423</v>
      </c>
      <c r="G522" s="542">
        <f t="shared" si="215"/>
        <v>101214.50818114332</v>
      </c>
      <c r="H522" s="542">
        <f t="shared" si="215"/>
        <v>86389.120439155668</v>
      </c>
      <c r="I522" s="542">
        <f t="shared" si="215"/>
        <v>41689.581918009018</v>
      </c>
      <c r="J522" s="542">
        <f t="shared" si="215"/>
        <v>131458.91116190821</v>
      </c>
      <c r="K522" s="542">
        <f t="shared" si="215"/>
        <v>198940.68983476012</v>
      </c>
      <c r="L522" s="542">
        <f t="shared" si="215"/>
        <v>79518.545149851998</v>
      </c>
      <c r="M522" s="542">
        <f t="shared" si="215"/>
        <v>90543.492938166033</v>
      </c>
      <c r="N522" s="542">
        <f t="shared" si="215"/>
        <v>152713.2234954162</v>
      </c>
      <c r="O522" s="542">
        <f t="shared" si="215"/>
        <v>145270.44025817615</v>
      </c>
      <c r="P522" s="542">
        <f t="shared" si="215"/>
        <v>121190.78743307506</v>
      </c>
      <c r="Q522" s="542">
        <f t="shared" si="215"/>
        <v>553713.69746937393</v>
      </c>
      <c r="R522" s="542">
        <f t="shared" si="215"/>
        <v>150657.96678402266</v>
      </c>
      <c r="S522" s="542">
        <f t="shared" si="215"/>
        <v>198792.79294982113</v>
      </c>
      <c r="T522" s="542">
        <f t="shared" si="215"/>
        <v>162740.63229427967</v>
      </c>
      <c r="U522" s="542">
        <f t="shared" si="215"/>
        <v>118497.02417015182</v>
      </c>
      <c r="V522" s="542">
        <f t="shared" si="215"/>
        <v>263213.61609369441</v>
      </c>
      <c r="W522" s="542">
        <f t="shared" si="215"/>
        <v>32684.191592999803</v>
      </c>
      <c r="X522" s="542">
        <f t="shared" si="215"/>
        <v>133114.33629470808</v>
      </c>
      <c r="Y522" s="542">
        <f t="shared" si="215"/>
        <v>65833.493389669806</v>
      </c>
      <c r="Z522" s="542">
        <f t="shared" si="215"/>
        <v>66844.292099839033</v>
      </c>
      <c r="AA522" s="542">
        <f t="shared" si="215"/>
        <v>77697.883497327202</v>
      </c>
      <c r="AB522" s="542">
        <f t="shared" si="215"/>
        <v>162372.42004970741</v>
      </c>
      <c r="AC522" s="542">
        <f t="shared" si="215"/>
        <v>62612.401233550299</v>
      </c>
      <c r="AD522"/>
    </row>
    <row r="523" spans="1:30" s="459" customFormat="1">
      <c r="A523" t="s">
        <v>705</v>
      </c>
      <c r="B523" t="s">
        <v>703</v>
      </c>
      <c r="C523" s="135">
        <f>SUM(D523:AC523)</f>
        <v>9966.9999999999982</v>
      </c>
      <c r="D523" s="135">
        <f>F492*D522/(D522+G522+N522+U522)</f>
        <v>159.1703588572295</v>
      </c>
      <c r="E523" s="135">
        <f>H492</f>
        <v>2185</v>
      </c>
      <c r="F523" s="135">
        <f>I492*F522/(F522+J522+K522+O522)</f>
        <v>408.92386083033193</v>
      </c>
      <c r="G523" s="135">
        <f>F492*G522/(D522+G522+N522+U522)</f>
        <v>277.43260468841072</v>
      </c>
      <c r="H523" s="135">
        <f>J492*H522/(H522+I522+L522+M522)</f>
        <v>192.97984611752955</v>
      </c>
      <c r="I523" s="135">
        <f>J492*I522/(H522+I522+L522+M522)</f>
        <v>93.128035826083391</v>
      </c>
      <c r="J523" s="135">
        <f>I492*J522/(F522+J522+K522+O522)</f>
        <v>236.86649623942267</v>
      </c>
      <c r="K523" s="135">
        <f>I492*K522/(F522+J522+K522+O522)</f>
        <v>358.45713116074887</v>
      </c>
      <c r="L523" s="135">
        <f>J492*L522/(H522+I522+L522+M522)</f>
        <v>177.63205052326197</v>
      </c>
      <c r="M523" s="135">
        <f>J492*M522/(H522+I522+L522+M522)</f>
        <v>202.2600675331251</v>
      </c>
      <c r="N523" s="135">
        <f>F492*N522/(D522+G522+N522+U522)</f>
        <v>418.5924342869057</v>
      </c>
      <c r="O523" s="135">
        <f>I492*O522/(F522+J522+K522+O522)</f>
        <v>261.75251176949638</v>
      </c>
      <c r="P523" s="135">
        <f>E492*P522/(P522+S522+T522)</f>
        <v>264.61297486207627</v>
      </c>
      <c r="Q523" s="135">
        <f>G492*Q522/(Q522+R522)</f>
        <v>1446.4426311407162</v>
      </c>
      <c r="R523" s="135">
        <f>G492*R522/(Q522+R522)</f>
        <v>393.55736885928394</v>
      </c>
      <c r="S523" s="135">
        <f>E492*S522/(P522+S522+T522)</f>
        <v>434.05240148837129</v>
      </c>
      <c r="T523" s="135">
        <f>E492*T522/(P522+S522+T522)</f>
        <v>355.33462364955238</v>
      </c>
      <c r="U523" s="135">
        <f>F492*U522/(D522+G522+N522+U522)</f>
        <v>324.80460216745405</v>
      </c>
      <c r="V523" s="135">
        <f>D492*V522/(V522+X522+Y522)</f>
        <v>519.97853496620019</v>
      </c>
      <c r="W523" s="135">
        <f>C492*W522/(W522+Z522+AA522+AB522+AC522)</f>
        <v>70.128475171999312</v>
      </c>
      <c r="X523" s="135">
        <f>D492*X522/(V522+X522+Y522)</f>
        <v>262.96738974507235</v>
      </c>
      <c r="Y523" s="135">
        <f>D492*Y522/(V522+X522+Y522)</f>
        <v>130.05407528872743</v>
      </c>
      <c r="Z523" s="135">
        <f>C492*Z522/(W522+Z522+AA522+AB522+AC522)</f>
        <v>143.42371802512091</v>
      </c>
      <c r="AA523" s="135">
        <f>C492*AA522/(W522+Z522+AA522+AB522+AC522)</f>
        <v>166.71160668774871</v>
      </c>
      <c r="AB523" s="135">
        <f>C492*AB522/(W522+Z522+AA522+AB522+AC522)</f>
        <v>348.39259204783781</v>
      </c>
      <c r="AC523" s="135">
        <f>C492*AC522/(W522+Z522+AA522+AB522+AC522)</f>
        <v>134.34360806729339</v>
      </c>
      <c r="AD523"/>
    </row>
    <row r="524" spans="1:30" s="459" customFormat="1">
      <c r="A524" t="s">
        <v>706</v>
      </c>
      <c r="B524" s="459" t="s">
        <v>703</v>
      </c>
      <c r="C524" s="135">
        <f>SUM(D524:AC524)</f>
        <v>1569.9999999999995</v>
      </c>
      <c r="D524" s="135">
        <f>(K492+L492)*D522/C522</f>
        <v>18.77063713482006</v>
      </c>
      <c r="E524" s="135">
        <f>(K492+L492)*E522/C522</f>
        <v>444.22797160356333</v>
      </c>
      <c r="F524" s="135">
        <f>(K492+L492)*F522/C522</f>
        <v>73.360181357514278</v>
      </c>
      <c r="G524" s="135">
        <f>(K492+L492)*G522/C522</f>
        <v>32.717063587480929</v>
      </c>
      <c r="H524" s="135">
        <f>(K492+L492)*H522/C522</f>
        <v>27.924834072364487</v>
      </c>
      <c r="I524" s="135">
        <f>(K492+L492)*I522/C522</f>
        <v>13.475940624104203</v>
      </c>
      <c r="J524" s="135">
        <f>(K492+L492)*J522/C522</f>
        <v>42.493409619970294</v>
      </c>
      <c r="K524" s="135">
        <f>(K492+L492)*K522/C522</f>
        <v>64.306543759640348</v>
      </c>
      <c r="L524" s="135">
        <f>(K492+L492)*L522/C522</f>
        <v>25.703956328035318</v>
      </c>
      <c r="M524" s="135">
        <f>(K492+L492)*M522/C522</f>
        <v>29.267713385406747</v>
      </c>
      <c r="N524" s="135">
        <f>(K492+L492)*N522/C522</f>
        <v>49.363755587359123</v>
      </c>
      <c r="O524" s="135">
        <f>(K492+L492)*O522/C522</f>
        <v>46.957914598586861</v>
      </c>
      <c r="P524" s="135">
        <f>(K492+L492)*P522/C522</f>
        <v>39.174292005338216</v>
      </c>
      <c r="Q524" s="135">
        <f>(K492+L492)*Q522/C522</f>
        <v>178.98507412536884</v>
      </c>
      <c r="R524" s="135">
        <f>(K492+L492)*R522/C522</f>
        <v>48.699404540027878</v>
      </c>
      <c r="S524" s="135">
        <f>(K492+L492)*S522/C522</f>
        <v>64.258736860452728</v>
      </c>
      <c r="T524" s="135">
        <f>(K492+L492)*T522/C522</f>
        <v>52.605063352278954</v>
      </c>
      <c r="U524" s="135">
        <f>(K492+L492)*U522/C522</f>
        <v>38.303547034617715</v>
      </c>
      <c r="V524" s="135">
        <f>(K492+L492)*V522/C522</f>
        <v>85.082433038315813</v>
      </c>
      <c r="W524" s="135">
        <f>(K492+L492)*W522/C522</f>
        <v>10.564995017708391</v>
      </c>
      <c r="X524" s="135">
        <f>(K492+L492)*X522/C522</f>
        <v>43.028517188118492</v>
      </c>
      <c r="Y524" s="135">
        <f>(K492+L492)*Y522/C522</f>
        <v>21.280334490792981</v>
      </c>
      <c r="Z524" s="135">
        <f>(K492+L492)*Z522/C522</f>
        <v>21.607069919033808</v>
      </c>
      <c r="AA524" s="135">
        <f>(K492+L492)*AA522/C522</f>
        <v>25.115436913898211</v>
      </c>
      <c r="AB524" s="135">
        <f>(K492+L492)*AB522/C522</f>
        <v>52.486040658439457</v>
      </c>
      <c r="AC524" s="135">
        <f>(K492+L492)*AC522/C522</f>
        <v>20.239133196762175</v>
      </c>
      <c r="AD524"/>
    </row>
    <row r="525" spans="1:30" s="1" customFormat="1">
      <c r="A525" s="1" t="s">
        <v>707</v>
      </c>
      <c r="B525" s="1" t="s">
        <v>703</v>
      </c>
      <c r="C525" s="135">
        <f>SUM(D525:AC525)</f>
        <v>11536.999999999998</v>
      </c>
      <c r="D525" s="2">
        <f>D523+D524</f>
        <v>177.94099599204955</v>
      </c>
      <c r="E525" s="2">
        <f>E523+E524</f>
        <v>2629.2279716035632</v>
      </c>
      <c r="F525" s="2">
        <f t="shared" ref="F525:AC525" si="216">F523+F524</f>
        <v>482.28404218784624</v>
      </c>
      <c r="G525" s="2">
        <f t="shared" si="216"/>
        <v>310.14966827589166</v>
      </c>
      <c r="H525" s="2">
        <f t="shared" si="216"/>
        <v>220.90468018989404</v>
      </c>
      <c r="I525" s="2">
        <f t="shared" si="216"/>
        <v>106.60397645018759</v>
      </c>
      <c r="J525" s="2">
        <f t="shared" si="216"/>
        <v>279.35990585939294</v>
      </c>
      <c r="K525" s="2">
        <f t="shared" si="216"/>
        <v>422.76367492038924</v>
      </c>
      <c r="L525" s="2">
        <f t="shared" si="216"/>
        <v>203.33600685129727</v>
      </c>
      <c r="M525" s="2">
        <f t="shared" si="216"/>
        <v>231.52778091853185</v>
      </c>
      <c r="N525" s="2">
        <f t="shared" si="216"/>
        <v>467.95618987426485</v>
      </c>
      <c r="O525" s="2">
        <f t="shared" si="216"/>
        <v>308.71042636808323</v>
      </c>
      <c r="P525" s="2">
        <f t="shared" si="216"/>
        <v>303.78726686741447</v>
      </c>
      <c r="Q525" s="2">
        <f t="shared" si="216"/>
        <v>1625.427705266085</v>
      </c>
      <c r="R525" s="2">
        <f t="shared" si="216"/>
        <v>442.25677339931184</v>
      </c>
      <c r="S525" s="2">
        <f t="shared" si="216"/>
        <v>498.31113834882399</v>
      </c>
      <c r="T525" s="2">
        <f t="shared" si="216"/>
        <v>407.93968700183132</v>
      </c>
      <c r="U525" s="2">
        <f t="shared" si="216"/>
        <v>363.10814920207179</v>
      </c>
      <c r="V525" s="2">
        <f t="shared" si="216"/>
        <v>605.06096800451598</v>
      </c>
      <c r="W525" s="2">
        <f t="shared" si="216"/>
        <v>80.69347018970771</v>
      </c>
      <c r="X525" s="2">
        <f t="shared" si="216"/>
        <v>305.99590693319084</v>
      </c>
      <c r="Y525" s="2">
        <f t="shared" si="216"/>
        <v>151.3344097795204</v>
      </c>
      <c r="Z525" s="2">
        <f t="shared" si="216"/>
        <v>165.03078794415472</v>
      </c>
      <c r="AA525" s="2">
        <f t="shared" si="216"/>
        <v>191.82704360164692</v>
      </c>
      <c r="AB525" s="2">
        <f t="shared" si="216"/>
        <v>400.87863270627724</v>
      </c>
      <c r="AC525" s="2">
        <f t="shared" si="216"/>
        <v>154.58274126405556</v>
      </c>
    </row>
    <row r="526" spans="1:30" s="1" customFormat="1">
      <c r="A526" s="21" t="s">
        <v>709</v>
      </c>
      <c r="B526" s="21" t="s">
        <v>610</v>
      </c>
      <c r="C526" s="34">
        <f>SUM(D526:AC526)</f>
        <v>1.0000000000000002</v>
      </c>
      <c r="D526" s="34">
        <f t="shared" ref="D526:AC526" si="217">D525/$C$525</f>
        <v>1.5423506630150782E-2</v>
      </c>
      <c r="E526" s="34">
        <f t="shared" si="217"/>
        <v>0.22789529094249489</v>
      </c>
      <c r="F526" s="34">
        <f t="shared" si="217"/>
        <v>4.1803245400697436E-2</v>
      </c>
      <c r="G526" s="34">
        <f t="shared" si="217"/>
        <v>2.6883043102703622E-2</v>
      </c>
      <c r="H526" s="34">
        <f t="shared" si="217"/>
        <v>1.914749763282431E-2</v>
      </c>
      <c r="I526" s="34">
        <f t="shared" si="217"/>
        <v>9.2401817153668717E-3</v>
      </c>
      <c r="J526" s="34">
        <f t="shared" si="217"/>
        <v>2.421425898061827E-2</v>
      </c>
      <c r="K526" s="34">
        <f t="shared" si="217"/>
        <v>3.664416008671139E-2</v>
      </c>
      <c r="L526" s="34">
        <f t="shared" si="217"/>
        <v>1.7624686387388167E-2</v>
      </c>
      <c r="M526" s="34">
        <f t="shared" si="217"/>
        <v>2.0068282995452186E-2</v>
      </c>
      <c r="N526" s="34">
        <f t="shared" si="217"/>
        <v>4.0561340892282652E-2</v>
      </c>
      <c r="O526" s="34">
        <f t="shared" si="217"/>
        <v>2.6758293002347514E-2</v>
      </c>
      <c r="P526" s="34">
        <f t="shared" si="217"/>
        <v>2.6331565126758646E-2</v>
      </c>
      <c r="Q526" s="34">
        <f t="shared" si="217"/>
        <v>0.14088824696767663</v>
      </c>
      <c r="R526" s="34">
        <f t="shared" si="217"/>
        <v>3.833377597289693E-2</v>
      </c>
      <c r="S526" s="34">
        <f t="shared" si="217"/>
        <v>4.3192436365504384E-2</v>
      </c>
      <c r="T526" s="34">
        <f t="shared" si="217"/>
        <v>3.5359251712042246E-2</v>
      </c>
      <c r="U526" s="34">
        <f t="shared" si="217"/>
        <v>3.1473359556390038E-2</v>
      </c>
      <c r="V526" s="34">
        <f t="shared" si="217"/>
        <v>5.2445260293361884E-2</v>
      </c>
      <c r="W526" s="34">
        <f t="shared" si="217"/>
        <v>6.9943200303118425E-3</v>
      </c>
      <c r="X526" s="34">
        <f t="shared" si="217"/>
        <v>2.6523004848157311E-2</v>
      </c>
      <c r="Y526" s="34">
        <f t="shared" si="217"/>
        <v>1.3117310373539085E-2</v>
      </c>
      <c r="Z526" s="34">
        <f t="shared" si="217"/>
        <v>1.4304480189317391E-2</v>
      </c>
      <c r="AA526" s="34">
        <f t="shared" si="217"/>
        <v>1.6627116546905345E-2</v>
      </c>
      <c r="AB526" s="34">
        <f t="shared" si="217"/>
        <v>3.474721614858952E-2</v>
      </c>
      <c r="AC526" s="34">
        <f t="shared" si="217"/>
        <v>1.3398868099510755E-2</v>
      </c>
    </row>
    <row r="527" spans="1:30" s="459" customFormat="1">
      <c r="A527" s="458" t="s">
        <v>710</v>
      </c>
      <c r="B527" s="458" t="s">
        <v>610</v>
      </c>
      <c r="C527" s="397">
        <f>SUM(D527:AC527)</f>
        <v>0.99999153639772187</v>
      </c>
      <c r="D527" s="397">
        <f t="shared" ref="D527:AC527" si="218">D420/$C$420</f>
        <v>1.6388355211745222E-2</v>
      </c>
      <c r="E527" s="397">
        <f t="shared" si="218"/>
        <v>0.21024434419777746</v>
      </c>
      <c r="F527" s="397">
        <f t="shared" si="218"/>
        <v>4.5395941420587428E-2</v>
      </c>
      <c r="G527" s="397">
        <f t="shared" si="218"/>
        <v>2.3193091443580217E-2</v>
      </c>
      <c r="H527" s="397">
        <f t="shared" si="218"/>
        <v>1.7023125382625352E-2</v>
      </c>
      <c r="I527" s="397">
        <f t="shared" si="218"/>
        <v>1.1112709791541477E-2</v>
      </c>
      <c r="J527" s="397">
        <f t="shared" si="218"/>
        <v>2.297303778434177E-2</v>
      </c>
      <c r="K527" s="397">
        <f t="shared" si="218"/>
        <v>4.1708632027963745E-2</v>
      </c>
      <c r="L527" s="397">
        <f t="shared" si="218"/>
        <v>1.8411156156283238E-2</v>
      </c>
      <c r="M527" s="397">
        <f t="shared" si="218"/>
        <v>2.2877116958519884E-2</v>
      </c>
      <c r="N527" s="397">
        <f t="shared" si="218"/>
        <v>3.9462956223427818E-2</v>
      </c>
      <c r="O527" s="397">
        <f t="shared" si="218"/>
        <v>2.662085036633292E-2</v>
      </c>
      <c r="P527" s="397">
        <f t="shared" si="218"/>
        <v>2.6618029165573452E-2</v>
      </c>
      <c r="Q527" s="397">
        <f t="shared" si="218"/>
        <v>0.11714471913535839</v>
      </c>
      <c r="R527" s="397">
        <f t="shared" si="218"/>
        <v>3.3625891852090084E-2</v>
      </c>
      <c r="S527" s="397">
        <f t="shared" si="218"/>
        <v>3.8503747965208952E-2</v>
      </c>
      <c r="T527" s="397">
        <f t="shared" si="218"/>
        <v>3.9389605003681667E-2</v>
      </c>
      <c r="U527" s="397">
        <f t="shared" si="218"/>
        <v>2.3026640598771648E-2</v>
      </c>
      <c r="V527" s="397">
        <f t="shared" si="218"/>
        <v>5.7431183860474695E-2</v>
      </c>
      <c r="W527" s="397">
        <f t="shared" si="218"/>
        <v>9.6033673852264998E-3</v>
      </c>
      <c r="X527" s="397">
        <f t="shared" si="218"/>
        <v>3.7694063347241853E-2</v>
      </c>
      <c r="Y527" s="397">
        <f t="shared" si="218"/>
        <v>1.8010545648438889E-2</v>
      </c>
      <c r="Z527" s="397">
        <f t="shared" si="218"/>
        <v>1.7056979791738959E-2</v>
      </c>
      <c r="AA527" s="397">
        <f t="shared" si="218"/>
        <v>2.2707844912951851E-2</v>
      </c>
      <c r="AB527" s="397">
        <f t="shared" si="218"/>
        <v>4.1288273114803126E-2</v>
      </c>
      <c r="AC527" s="397">
        <f t="shared" si="218"/>
        <v>2.2479327651435003E-2</v>
      </c>
    </row>
    <row r="528" spans="1:30" s="459" customFormat="1">
      <c r="A528" s="21" t="s">
        <v>708</v>
      </c>
    </row>
    <row r="529" spans="1:29" s="459" customFormat="1">
      <c r="D529" s="388"/>
      <c r="E529" s="388"/>
      <c r="F529" s="388"/>
      <c r="G529" s="388"/>
      <c r="H529" s="388"/>
      <c r="I529" s="388"/>
      <c r="J529" s="388"/>
      <c r="K529" s="388"/>
      <c r="L529" s="388"/>
      <c r="M529" s="388"/>
      <c r="N529" s="388"/>
      <c r="O529" s="388"/>
      <c r="P529" s="388"/>
      <c r="Q529" s="388"/>
      <c r="R529" s="388"/>
      <c r="S529" s="388"/>
      <c r="T529" s="388"/>
      <c r="U529" s="388"/>
      <c r="V529" s="388"/>
      <c r="W529" s="388"/>
      <c r="X529" s="388"/>
      <c r="Y529" s="388"/>
      <c r="Z529" s="388"/>
      <c r="AA529" s="388"/>
      <c r="AB529" s="388"/>
      <c r="AC529" s="388"/>
    </row>
    <row r="530" spans="1:29" s="459" customFormat="1">
      <c r="D530" s="388"/>
    </row>
    <row r="531" spans="1:29" s="459" customFormat="1"/>
    <row r="532" spans="1:29" s="459" customFormat="1" ht="15.6">
      <c r="A532" s="401" t="s">
        <v>695</v>
      </c>
    </row>
    <row r="533" spans="1:29" s="459" customFormat="1" ht="15.6">
      <c r="A533" s="132" t="s">
        <v>344</v>
      </c>
      <c r="B533" s="866" t="s">
        <v>694</v>
      </c>
      <c r="C533" s="866"/>
      <c r="D533" s="866"/>
      <c r="E533" s="866"/>
      <c r="F533" s="866"/>
      <c r="G533" s="866"/>
      <c r="H533" s="866"/>
      <c r="I533" s="866"/>
      <c r="J533" s="866"/>
      <c r="K533" s="866"/>
      <c r="L533" s="866"/>
    </row>
    <row r="534" spans="1:29" s="459" customFormat="1">
      <c r="B534" s="526" t="s">
        <v>681</v>
      </c>
      <c r="C534" s="526" t="s">
        <v>682</v>
      </c>
      <c r="D534" s="526" t="s">
        <v>683</v>
      </c>
      <c r="E534" s="526" t="s">
        <v>684</v>
      </c>
      <c r="F534" s="526" t="s">
        <v>685</v>
      </c>
      <c r="G534" s="526" t="s">
        <v>686</v>
      </c>
      <c r="H534" s="526" t="s">
        <v>373</v>
      </c>
      <c r="I534" s="526" t="s">
        <v>687</v>
      </c>
      <c r="J534" s="526" t="s">
        <v>688</v>
      </c>
      <c r="K534" s="526" t="s">
        <v>689</v>
      </c>
      <c r="L534" s="526" t="s">
        <v>690</v>
      </c>
    </row>
    <row r="535" spans="1:29" s="459" customFormat="1" ht="15.6">
      <c r="A535" s="528" t="s">
        <v>693</v>
      </c>
    </row>
    <row r="536" spans="1:29" s="459" customFormat="1">
      <c r="A536" s="525" t="s">
        <v>691</v>
      </c>
      <c r="B536" s="459">
        <v>150036</v>
      </c>
      <c r="C536" s="459">
        <v>12832</v>
      </c>
      <c r="D536" s="459">
        <v>11088</v>
      </c>
      <c r="E536" s="459">
        <v>15360</v>
      </c>
      <c r="F536" s="459">
        <v>16432</v>
      </c>
      <c r="G536" s="459">
        <v>22808</v>
      </c>
      <c r="H536" s="459">
        <v>33096</v>
      </c>
      <c r="I536" s="459">
        <v>24798</v>
      </c>
      <c r="J536" s="459">
        <v>8768</v>
      </c>
      <c r="K536" s="459">
        <v>2833</v>
      </c>
      <c r="L536" s="459">
        <v>2021</v>
      </c>
    </row>
    <row r="537" spans="1:29" s="459" customFormat="1">
      <c r="A537" s="525" t="s">
        <v>682</v>
      </c>
      <c r="B537" s="459">
        <v>12777</v>
      </c>
      <c r="C537" s="459">
        <v>7932</v>
      </c>
      <c r="D537" s="459">
        <v>509</v>
      </c>
      <c r="E537" s="459">
        <v>128</v>
      </c>
      <c r="F537" s="459">
        <v>221</v>
      </c>
      <c r="G537" s="459">
        <v>201</v>
      </c>
      <c r="H537" s="459">
        <v>1260</v>
      </c>
      <c r="I537" s="459">
        <v>1037</v>
      </c>
      <c r="J537" s="459">
        <v>472</v>
      </c>
      <c r="K537" s="459">
        <v>874</v>
      </c>
      <c r="L537" s="459">
        <v>144</v>
      </c>
    </row>
    <row r="538" spans="1:29" s="459" customFormat="1">
      <c r="A538" s="525" t="s">
        <v>683</v>
      </c>
      <c r="B538" s="459">
        <v>10377</v>
      </c>
      <c r="C538" s="459">
        <v>423</v>
      </c>
      <c r="D538" s="459">
        <v>7419</v>
      </c>
      <c r="E538" s="459">
        <v>507</v>
      </c>
      <c r="F538" s="459">
        <v>204</v>
      </c>
      <c r="G538" s="459">
        <v>266</v>
      </c>
      <c r="H538" s="459">
        <v>808</v>
      </c>
      <c r="I538" s="459">
        <v>209</v>
      </c>
      <c r="J538" s="459">
        <v>423</v>
      </c>
      <c r="K538" s="459">
        <v>76</v>
      </c>
      <c r="L538" s="459">
        <v>42</v>
      </c>
    </row>
    <row r="539" spans="1:29" s="459" customFormat="1">
      <c r="A539" s="525" t="s">
        <v>684</v>
      </c>
      <c r="B539" s="459">
        <v>16123</v>
      </c>
      <c r="C539" s="459">
        <v>157</v>
      </c>
      <c r="D539" s="459">
        <v>666</v>
      </c>
      <c r="E539" s="459">
        <v>10260</v>
      </c>
      <c r="F539" s="459">
        <v>1056</v>
      </c>
      <c r="G539" s="459">
        <v>2312</v>
      </c>
      <c r="H539" s="459">
        <v>802</v>
      </c>
      <c r="I539" s="459">
        <v>311</v>
      </c>
      <c r="J539" s="459">
        <v>460</v>
      </c>
      <c r="K539" s="459">
        <v>44</v>
      </c>
      <c r="L539" s="459">
        <v>53</v>
      </c>
    </row>
    <row r="540" spans="1:29" s="459" customFormat="1">
      <c r="A540" s="525" t="s">
        <v>685</v>
      </c>
      <c r="B540" s="459">
        <v>14354</v>
      </c>
      <c r="C540" s="459">
        <v>116</v>
      </c>
      <c r="D540" s="459">
        <v>214</v>
      </c>
      <c r="E540" s="459">
        <v>612</v>
      </c>
      <c r="F540" s="459">
        <v>9917</v>
      </c>
      <c r="G540" s="459">
        <v>875</v>
      </c>
      <c r="H540" s="459">
        <v>1006</v>
      </c>
      <c r="I540" s="459">
        <v>874</v>
      </c>
      <c r="J540" s="459">
        <v>534</v>
      </c>
      <c r="K540" s="459">
        <v>124</v>
      </c>
      <c r="L540" s="459">
        <v>83</v>
      </c>
    </row>
    <row r="541" spans="1:29" s="459" customFormat="1">
      <c r="A541" s="525" t="s">
        <v>686</v>
      </c>
      <c r="B541" s="459">
        <v>21387</v>
      </c>
      <c r="C541" s="459">
        <v>53</v>
      </c>
      <c r="D541" s="459">
        <v>135</v>
      </c>
      <c r="E541" s="459">
        <v>1943</v>
      </c>
      <c r="F541" s="459">
        <v>1173</v>
      </c>
      <c r="G541" s="459">
        <v>16468</v>
      </c>
      <c r="H541" s="459">
        <v>1001</v>
      </c>
      <c r="I541" s="459">
        <v>240</v>
      </c>
      <c r="J541" s="459">
        <v>266</v>
      </c>
      <c r="K541" s="459">
        <v>70</v>
      </c>
      <c r="L541" s="459">
        <v>37</v>
      </c>
    </row>
    <row r="542" spans="1:29" s="459" customFormat="1">
      <c r="A542" s="525" t="s">
        <v>373</v>
      </c>
      <c r="B542" s="459">
        <v>37815</v>
      </c>
      <c r="C542" s="459">
        <v>1334</v>
      </c>
      <c r="D542" s="459">
        <v>1109</v>
      </c>
      <c r="E542" s="459">
        <v>1141</v>
      </c>
      <c r="F542" s="459">
        <v>1754</v>
      </c>
      <c r="G542" s="459">
        <v>1952</v>
      </c>
      <c r="H542" s="459">
        <v>20253</v>
      </c>
      <c r="I542" s="459">
        <v>7895</v>
      </c>
      <c r="J542" s="459">
        <v>1556</v>
      </c>
      <c r="K542" s="459">
        <v>638</v>
      </c>
      <c r="L542" s="459">
        <v>182</v>
      </c>
    </row>
    <row r="543" spans="1:29" s="459" customFormat="1">
      <c r="A543" s="525" t="s">
        <v>687</v>
      </c>
      <c r="B543" s="459">
        <v>24113</v>
      </c>
      <c r="C543" s="459">
        <v>1251</v>
      </c>
      <c r="D543" s="459">
        <v>265</v>
      </c>
      <c r="E543" s="459">
        <v>288</v>
      </c>
      <c r="F543" s="459">
        <v>1378</v>
      </c>
      <c r="G543" s="459">
        <v>354</v>
      </c>
      <c r="H543" s="459">
        <v>6088</v>
      </c>
      <c r="I543" s="459">
        <v>13114</v>
      </c>
      <c r="J543" s="459">
        <v>906</v>
      </c>
      <c r="K543" s="459">
        <v>397</v>
      </c>
      <c r="L543" s="459">
        <v>71</v>
      </c>
    </row>
    <row r="544" spans="1:29" s="459" customFormat="1">
      <c r="A544" s="525" t="s">
        <v>688</v>
      </c>
      <c r="B544" s="459">
        <v>9093</v>
      </c>
      <c r="C544" s="459">
        <v>763</v>
      </c>
      <c r="D544" s="459">
        <v>679</v>
      </c>
      <c r="E544" s="459">
        <v>435</v>
      </c>
      <c r="F544" s="459">
        <v>636</v>
      </c>
      <c r="G544" s="459">
        <v>242</v>
      </c>
      <c r="H544" s="459">
        <v>1182</v>
      </c>
      <c r="I544" s="459">
        <v>796</v>
      </c>
      <c r="J544" s="459">
        <v>4097</v>
      </c>
      <c r="K544" s="459">
        <v>210</v>
      </c>
      <c r="L544" s="459">
        <v>54</v>
      </c>
    </row>
    <row r="545" spans="1:12" s="459" customFormat="1">
      <c r="A545" s="525" t="s">
        <v>689</v>
      </c>
      <c r="B545" s="459">
        <v>1932</v>
      </c>
      <c r="C545" s="459">
        <v>745</v>
      </c>
      <c r="D545" s="459">
        <v>53</v>
      </c>
      <c r="E545" s="459">
        <v>12</v>
      </c>
      <c r="F545" s="459">
        <v>46</v>
      </c>
      <c r="G545" s="459">
        <v>76</v>
      </c>
      <c r="H545" s="459">
        <v>316</v>
      </c>
      <c r="I545" s="459">
        <v>259</v>
      </c>
      <c r="J545" s="459">
        <v>30</v>
      </c>
      <c r="K545" s="459">
        <v>374</v>
      </c>
      <c r="L545" s="459">
        <v>21</v>
      </c>
    </row>
    <row r="546" spans="1:12" s="459" customFormat="1">
      <c r="A546" s="527" t="s">
        <v>690</v>
      </c>
      <c r="B546" s="458">
        <v>2066</v>
      </c>
      <c r="C546" s="458">
        <v>58</v>
      </c>
      <c r="D546" s="458">
        <v>38</v>
      </c>
      <c r="E546" s="458">
        <v>35</v>
      </c>
      <c r="F546" s="458">
        <v>46</v>
      </c>
      <c r="G546" s="458">
        <v>63</v>
      </c>
      <c r="H546" s="458">
        <v>380</v>
      </c>
      <c r="I546" s="458">
        <v>63</v>
      </c>
      <c r="J546" s="458">
        <v>24</v>
      </c>
      <c r="K546" s="458">
        <v>26</v>
      </c>
      <c r="L546" s="458">
        <v>1333</v>
      </c>
    </row>
    <row r="547" spans="1:12" s="459" customFormat="1">
      <c r="A547" s="459" t="s">
        <v>692</v>
      </c>
    </row>
    <row r="548" spans="1:12" s="459" customFormat="1"/>
    <row r="549" spans="1:12" s="459" customFormat="1"/>
    <row r="550" spans="1:12" s="459" customFormat="1"/>
    <row r="551" spans="1:12" s="459" customFormat="1" ht="15.6">
      <c r="A551" s="401" t="s">
        <v>696</v>
      </c>
    </row>
    <row r="552" spans="1:12" s="459" customFormat="1" ht="15.6">
      <c r="A552" s="132" t="s">
        <v>344</v>
      </c>
      <c r="B552" s="866" t="s">
        <v>694</v>
      </c>
      <c r="C552" s="866"/>
      <c r="D552" s="866"/>
      <c r="E552" s="866"/>
      <c r="F552" s="866"/>
      <c r="G552" s="866"/>
      <c r="H552" s="866"/>
      <c r="I552" s="866"/>
      <c r="J552" s="866"/>
      <c r="K552" s="866"/>
      <c r="L552" s="866"/>
    </row>
    <row r="553" spans="1:12" s="459" customFormat="1">
      <c r="B553" s="526" t="s">
        <v>681</v>
      </c>
      <c r="C553" s="526" t="s">
        <v>682</v>
      </c>
      <c r="D553" s="526" t="s">
        <v>683</v>
      </c>
      <c r="E553" s="526" t="s">
        <v>684</v>
      </c>
      <c r="F553" s="526" t="s">
        <v>685</v>
      </c>
      <c r="G553" s="526" t="s">
        <v>686</v>
      </c>
      <c r="H553" s="526" t="s">
        <v>373</v>
      </c>
      <c r="I553" s="526" t="s">
        <v>687</v>
      </c>
      <c r="J553" s="526" t="s">
        <v>688</v>
      </c>
      <c r="K553" s="526" t="s">
        <v>689</v>
      </c>
      <c r="L553" s="526" t="s">
        <v>690</v>
      </c>
    </row>
    <row r="554" spans="1:12" s="459" customFormat="1" ht="15.6">
      <c r="A554" s="528" t="s">
        <v>693</v>
      </c>
    </row>
    <row r="555" spans="1:12" s="459" customFormat="1">
      <c r="A555" s="525" t="s">
        <v>691</v>
      </c>
      <c r="B555" s="459">
        <v>1599</v>
      </c>
      <c r="C555" s="459">
        <v>130</v>
      </c>
      <c r="D555" s="459">
        <v>144</v>
      </c>
      <c r="E555" s="459">
        <v>160</v>
      </c>
      <c r="F555" s="459">
        <v>158</v>
      </c>
      <c r="G555" s="459">
        <v>228</v>
      </c>
      <c r="H555" s="459">
        <v>358</v>
      </c>
      <c r="I555" s="459">
        <v>192</v>
      </c>
      <c r="J555" s="459">
        <v>109</v>
      </c>
      <c r="K555" s="459">
        <v>35</v>
      </c>
      <c r="L555" s="459">
        <v>85</v>
      </c>
    </row>
    <row r="556" spans="1:12" s="459" customFormat="1">
      <c r="A556" s="525" t="s">
        <v>682</v>
      </c>
      <c r="B556" s="459">
        <v>136</v>
      </c>
      <c r="C556" s="459">
        <v>51</v>
      </c>
      <c r="D556" s="459">
        <v>11</v>
      </c>
      <c r="E556" s="459">
        <v>4</v>
      </c>
      <c r="F556" s="459">
        <v>4</v>
      </c>
      <c r="G556" s="459">
        <v>5</v>
      </c>
      <c r="H556" s="459">
        <v>25</v>
      </c>
      <c r="I556" s="459">
        <v>14</v>
      </c>
      <c r="J556" s="459">
        <v>9</v>
      </c>
      <c r="K556" s="459">
        <v>7</v>
      </c>
      <c r="L556" s="459">
        <v>6</v>
      </c>
    </row>
    <row r="557" spans="1:12" s="459" customFormat="1">
      <c r="A557" s="525" t="s">
        <v>683</v>
      </c>
      <c r="B557" s="459">
        <v>140</v>
      </c>
      <c r="C557" s="459">
        <v>10</v>
      </c>
      <c r="D557" s="459">
        <v>65</v>
      </c>
      <c r="E557" s="459">
        <v>10</v>
      </c>
      <c r="F557" s="459">
        <v>4</v>
      </c>
      <c r="G557" s="459">
        <v>5</v>
      </c>
      <c r="H557" s="459">
        <v>24</v>
      </c>
      <c r="I557" s="459">
        <v>6</v>
      </c>
      <c r="J557" s="459">
        <v>12</v>
      </c>
      <c r="K557" s="459">
        <v>1</v>
      </c>
      <c r="L557" s="459">
        <v>3</v>
      </c>
    </row>
    <row r="558" spans="1:12" s="459" customFormat="1">
      <c r="A558" s="525" t="s">
        <v>684</v>
      </c>
      <c r="B558" s="459">
        <v>159</v>
      </c>
      <c r="C558" s="459">
        <v>5</v>
      </c>
      <c r="D558" s="459">
        <v>10</v>
      </c>
      <c r="E558" s="459">
        <v>66</v>
      </c>
      <c r="F558" s="459">
        <v>10</v>
      </c>
      <c r="G558" s="459">
        <v>30</v>
      </c>
      <c r="H558" s="459">
        <v>21</v>
      </c>
      <c r="I558" s="459">
        <v>6</v>
      </c>
      <c r="J558" s="459">
        <v>6</v>
      </c>
      <c r="K558" s="459">
        <v>1</v>
      </c>
      <c r="L558" s="459">
        <v>4</v>
      </c>
    </row>
    <row r="559" spans="1:12" s="459" customFormat="1">
      <c r="A559" s="525" t="s">
        <v>685</v>
      </c>
      <c r="B559" s="459">
        <v>156</v>
      </c>
      <c r="C559" s="459">
        <v>3</v>
      </c>
      <c r="D559" s="459">
        <v>5</v>
      </c>
      <c r="E559" s="459">
        <v>10</v>
      </c>
      <c r="F559" s="459">
        <v>68</v>
      </c>
      <c r="G559" s="459">
        <v>15</v>
      </c>
      <c r="H559" s="459">
        <v>25</v>
      </c>
      <c r="I559" s="459">
        <v>14</v>
      </c>
      <c r="J559" s="459">
        <v>7</v>
      </c>
      <c r="K559" s="459">
        <v>2</v>
      </c>
      <c r="L559" s="459">
        <v>6</v>
      </c>
    </row>
    <row r="560" spans="1:12" s="459" customFormat="1">
      <c r="A560" s="525" t="s">
        <v>686</v>
      </c>
      <c r="B560" s="459">
        <v>227</v>
      </c>
      <c r="C560" s="459">
        <v>4</v>
      </c>
      <c r="D560" s="459">
        <v>6</v>
      </c>
      <c r="E560" s="459">
        <v>29</v>
      </c>
      <c r="F560" s="459">
        <v>17</v>
      </c>
      <c r="G560" s="459">
        <v>112</v>
      </c>
      <c r="H560" s="459">
        <v>37</v>
      </c>
      <c r="I560" s="459">
        <v>9</v>
      </c>
      <c r="J560" s="459">
        <v>7</v>
      </c>
      <c r="K560" s="459">
        <v>3</v>
      </c>
      <c r="L560" s="459">
        <v>3</v>
      </c>
    </row>
    <row r="561" spans="1:12" s="459" customFormat="1">
      <c r="A561" s="525" t="s">
        <v>373</v>
      </c>
      <c r="B561" s="459">
        <v>366</v>
      </c>
      <c r="C561" s="459">
        <v>25</v>
      </c>
      <c r="D561" s="459">
        <v>25</v>
      </c>
      <c r="E561" s="459">
        <v>23</v>
      </c>
      <c r="F561" s="459">
        <v>28</v>
      </c>
      <c r="G561" s="459">
        <v>39</v>
      </c>
      <c r="H561" s="459">
        <v>126</v>
      </c>
      <c r="I561" s="459">
        <v>58</v>
      </c>
      <c r="J561" s="459">
        <v>24</v>
      </c>
      <c r="K561" s="459">
        <v>9</v>
      </c>
      <c r="L561" s="459">
        <v>8</v>
      </c>
    </row>
    <row r="562" spans="1:12" s="459" customFormat="1">
      <c r="A562" s="525" t="s">
        <v>687</v>
      </c>
      <c r="B562" s="459">
        <v>193</v>
      </c>
      <c r="C562" s="459">
        <v>14</v>
      </c>
      <c r="D562" s="459">
        <v>6</v>
      </c>
      <c r="E562" s="459">
        <v>7</v>
      </c>
      <c r="F562" s="459">
        <v>15</v>
      </c>
      <c r="G562" s="459">
        <v>9</v>
      </c>
      <c r="H562" s="459">
        <v>55</v>
      </c>
      <c r="I562" s="459">
        <v>68</v>
      </c>
      <c r="J562" s="459">
        <v>12</v>
      </c>
      <c r="K562" s="459">
        <v>5</v>
      </c>
      <c r="L562" s="459">
        <v>3</v>
      </c>
    </row>
    <row r="563" spans="1:12" s="459" customFormat="1">
      <c r="A563" s="525" t="s">
        <v>688</v>
      </c>
      <c r="B563" s="459">
        <v>111</v>
      </c>
      <c r="C563" s="459">
        <v>9</v>
      </c>
      <c r="D563" s="459">
        <v>14</v>
      </c>
      <c r="E563" s="459">
        <v>7</v>
      </c>
      <c r="F563" s="459">
        <v>7</v>
      </c>
      <c r="G563" s="459">
        <v>7</v>
      </c>
      <c r="H563" s="459">
        <v>22</v>
      </c>
      <c r="I563" s="459">
        <v>12</v>
      </c>
      <c r="J563" s="459">
        <v>29</v>
      </c>
      <c r="K563" s="459">
        <v>3</v>
      </c>
      <c r="L563" s="459">
        <v>2</v>
      </c>
    </row>
    <row r="564" spans="1:12">
      <c r="A564" s="525" t="s">
        <v>689</v>
      </c>
      <c r="B564" s="459">
        <v>29</v>
      </c>
      <c r="C564" s="459">
        <v>6</v>
      </c>
      <c r="D564" s="459">
        <v>1</v>
      </c>
      <c r="E564" s="459">
        <v>1</v>
      </c>
      <c r="F564" s="459">
        <v>2</v>
      </c>
      <c r="G564" s="459">
        <v>3</v>
      </c>
      <c r="H564" s="459">
        <v>8</v>
      </c>
      <c r="I564" s="459">
        <v>4</v>
      </c>
      <c r="J564" s="459">
        <v>2</v>
      </c>
      <c r="K564" s="459">
        <v>2</v>
      </c>
      <c r="L564" s="459">
        <v>1</v>
      </c>
    </row>
    <row r="565" spans="1:12">
      <c r="A565" s="527" t="s">
        <v>690</v>
      </c>
      <c r="B565" s="458">
        <v>82</v>
      </c>
      <c r="C565" s="458">
        <v>2</v>
      </c>
      <c r="D565" s="458">
        <v>2</v>
      </c>
      <c r="E565" s="458">
        <v>2</v>
      </c>
      <c r="F565" s="458">
        <v>2</v>
      </c>
      <c r="G565" s="458">
        <v>3</v>
      </c>
      <c r="H565" s="458">
        <v>15</v>
      </c>
      <c r="I565" s="458">
        <v>3</v>
      </c>
      <c r="J565" s="458">
        <v>1</v>
      </c>
      <c r="K565" s="458">
        <v>1</v>
      </c>
      <c r="L565" s="458">
        <v>50</v>
      </c>
    </row>
    <row r="566" spans="1:12">
      <c r="A566" s="459" t="s">
        <v>692</v>
      </c>
      <c r="B566" s="459"/>
      <c r="C566" s="459"/>
      <c r="D566" s="459"/>
      <c r="E566" s="459"/>
      <c r="F566" s="459"/>
      <c r="G566" s="459"/>
      <c r="H566" s="459"/>
      <c r="I566" s="459"/>
      <c r="J566" s="459"/>
      <c r="K566" s="459"/>
      <c r="L566" s="459"/>
    </row>
    <row r="568" spans="1:12" s="459" customFormat="1"/>
    <row r="569" spans="1:12">
      <c r="A569" s="459"/>
    </row>
    <row r="570" spans="1:12">
      <c r="A570" s="856" t="s">
        <v>717</v>
      </c>
      <c r="B570" s="856"/>
      <c r="C570" s="856"/>
      <c r="D570" s="856"/>
      <c r="E570" s="856"/>
      <c r="F570" s="856"/>
      <c r="G570" s="856"/>
    </row>
    <row r="571" spans="1:12">
      <c r="A571" s="518"/>
      <c r="B571" s="518"/>
      <c r="C571" s="518"/>
      <c r="D571" s="518"/>
      <c r="E571" s="518"/>
      <c r="F571" s="518"/>
      <c r="G571" s="543" t="s">
        <v>714</v>
      </c>
    </row>
    <row r="572" spans="1:12">
      <c r="A572" s="544"/>
      <c r="B572" s="545">
        <v>2013</v>
      </c>
      <c r="C572" s="546">
        <v>2014</v>
      </c>
      <c r="D572" s="546">
        <v>2015</v>
      </c>
      <c r="E572" s="546">
        <v>2016</v>
      </c>
      <c r="F572" s="546">
        <v>2017</v>
      </c>
      <c r="G572" s="546">
        <v>2018</v>
      </c>
    </row>
    <row r="573" spans="1:12">
      <c r="A573" s="14" t="s">
        <v>21</v>
      </c>
      <c r="B573" s="13"/>
      <c r="C573" s="13"/>
      <c r="D573" s="13"/>
      <c r="E573" s="13"/>
      <c r="F573" s="13"/>
      <c r="G573" s="13"/>
    </row>
    <row r="574" spans="1:12">
      <c r="A574" s="547" t="s">
        <v>38</v>
      </c>
      <c r="B574" s="12">
        <v>8144</v>
      </c>
      <c r="C574" s="12">
        <v>10230</v>
      </c>
      <c r="D574" s="12">
        <v>10490</v>
      </c>
      <c r="E574" s="12">
        <v>10771.652254326058</v>
      </c>
      <c r="F574" s="12">
        <v>11557.033844917567</v>
      </c>
      <c r="G574" s="12">
        <v>12438</v>
      </c>
    </row>
    <row r="575" spans="1:12">
      <c r="A575" s="547" t="s">
        <v>39</v>
      </c>
      <c r="B575" s="12">
        <v>11730</v>
      </c>
      <c r="C575" s="12">
        <v>10584</v>
      </c>
      <c r="D575" s="12">
        <v>10962</v>
      </c>
      <c r="E575" s="12">
        <v>11953.521212477279</v>
      </c>
      <c r="F575" s="12">
        <v>12695.598551411398</v>
      </c>
      <c r="G575" s="12">
        <v>13299</v>
      </c>
    </row>
    <row r="576" spans="1:12">
      <c r="A576" s="547" t="s">
        <v>40</v>
      </c>
      <c r="B576" s="12">
        <v>15985</v>
      </c>
      <c r="C576" s="12">
        <v>15949</v>
      </c>
      <c r="D576" s="12">
        <v>17150</v>
      </c>
      <c r="E576" s="12">
        <v>18986.617545944344</v>
      </c>
      <c r="F576" s="12">
        <v>20077.245353236714</v>
      </c>
      <c r="G576" s="12">
        <v>20934</v>
      </c>
    </row>
    <row r="577" spans="1:32">
      <c r="A577" s="547" t="s">
        <v>41</v>
      </c>
      <c r="B577" s="12">
        <v>880</v>
      </c>
      <c r="C577" s="12">
        <v>1041</v>
      </c>
      <c r="D577" s="12">
        <v>1058</v>
      </c>
      <c r="E577" s="12">
        <v>1102.8053175033033</v>
      </c>
      <c r="F577" s="12">
        <v>1175.0163992303337</v>
      </c>
      <c r="G577" s="12">
        <v>1290</v>
      </c>
    </row>
    <row r="578" spans="1:32">
      <c r="A578" s="548" t="s">
        <v>1</v>
      </c>
      <c r="B578" s="549">
        <v>36739</v>
      </c>
      <c r="C578" s="549">
        <v>37804</v>
      </c>
      <c r="D578" s="549">
        <v>39660</v>
      </c>
      <c r="E578" s="549">
        <v>42815</v>
      </c>
      <c r="F578" s="549">
        <v>45505</v>
      </c>
      <c r="G578" s="549">
        <v>47960</v>
      </c>
    </row>
    <row r="579" spans="1:32">
      <c r="A579" s="14" t="s">
        <v>35</v>
      </c>
      <c r="B579" s="12">
        <v>1591851</v>
      </c>
      <c r="C579" s="12">
        <v>1862793</v>
      </c>
      <c r="D579" s="12">
        <v>1916722</v>
      </c>
      <c r="E579" s="12">
        <v>1989798</v>
      </c>
      <c r="F579" s="12">
        <v>2120987</v>
      </c>
      <c r="G579" s="12">
        <v>2281083</v>
      </c>
    </row>
    <row r="580" spans="1:32">
      <c r="A580" s="14" t="s">
        <v>42</v>
      </c>
      <c r="B580" s="12">
        <v>589</v>
      </c>
      <c r="C580" s="12">
        <v>578</v>
      </c>
      <c r="D580" s="12">
        <v>540</v>
      </c>
      <c r="E580" s="12">
        <v>581</v>
      </c>
      <c r="F580" s="12">
        <v>546</v>
      </c>
      <c r="G580" s="12">
        <v>516</v>
      </c>
    </row>
    <row r="581" spans="1:32">
      <c r="A581" s="550" t="s">
        <v>715</v>
      </c>
      <c r="B581" s="551">
        <v>98845</v>
      </c>
      <c r="C581" s="551">
        <v>99827</v>
      </c>
      <c r="D581" s="551">
        <v>96406</v>
      </c>
      <c r="E581" s="551">
        <v>101480</v>
      </c>
      <c r="F581" s="551">
        <v>100399</v>
      </c>
      <c r="G581" s="551">
        <v>88551</v>
      </c>
    </row>
    <row r="582" spans="1:32">
      <c r="A582" s="869" t="s">
        <v>716</v>
      </c>
      <c r="B582" s="869"/>
      <c r="C582" s="869"/>
      <c r="D582" s="869"/>
      <c r="E582" s="869"/>
      <c r="F582" s="869"/>
      <c r="G582" s="869"/>
    </row>
    <row r="583" spans="1:32">
      <c r="A583" s="870" t="s">
        <v>718</v>
      </c>
      <c r="B583" s="870"/>
      <c r="C583" s="870"/>
      <c r="D583" s="870"/>
      <c r="E583" s="870"/>
      <c r="F583" s="870"/>
      <c r="G583" s="870"/>
    </row>
    <row r="588" spans="1:32">
      <c r="A588" s="459"/>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row>
    <row r="590" spans="1:32" ht="15.6">
      <c r="A590" s="401" t="s">
        <v>736</v>
      </c>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row>
    <row r="591" spans="1:32" ht="15.6">
      <c r="A591" s="132" t="s">
        <v>344</v>
      </c>
      <c r="B591" s="866" t="s">
        <v>694</v>
      </c>
      <c r="C591" s="866"/>
      <c r="D591" s="866"/>
      <c r="E591" s="866"/>
      <c r="F591" s="866"/>
      <c r="G591" s="866"/>
      <c r="H591" s="866"/>
      <c r="I591" s="866"/>
      <c r="J591" s="866"/>
      <c r="K591" s="866"/>
      <c r="L591" s="866"/>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459"/>
      <c r="B592" s="526" t="s">
        <v>681</v>
      </c>
      <c r="C592" s="529" t="s">
        <v>682</v>
      </c>
      <c r="D592" s="532" t="s">
        <v>683</v>
      </c>
      <c r="E592" s="534" t="s">
        <v>684</v>
      </c>
      <c r="F592" s="43" t="s">
        <v>685</v>
      </c>
      <c r="G592" s="537" t="s">
        <v>686</v>
      </c>
      <c r="H592" s="459" t="s">
        <v>373</v>
      </c>
      <c r="I592" s="539" t="s">
        <v>687</v>
      </c>
      <c r="J592" s="540" t="s">
        <v>688</v>
      </c>
      <c r="K592" s="526" t="s">
        <v>689</v>
      </c>
      <c r="L592" s="526" t="s">
        <v>690</v>
      </c>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ht="15.6">
      <c r="A593" s="528" t="s">
        <v>693</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25" t="s">
        <v>691</v>
      </c>
      <c r="B594" s="6">
        <f>B492/B555</f>
        <v>7.2151344590368982</v>
      </c>
      <c r="C594" s="6">
        <f t="shared" ref="C594:L594" si="219">C492/C555</f>
        <v>6.6384615384615389</v>
      </c>
      <c r="D594" s="6">
        <f t="shared" si="219"/>
        <v>6.3402777777777777</v>
      </c>
      <c r="E594" s="6">
        <f t="shared" si="219"/>
        <v>6.5875000000000004</v>
      </c>
      <c r="F594" s="6">
        <f t="shared" si="219"/>
        <v>7.4683544303797467</v>
      </c>
      <c r="G594" s="6">
        <f t="shared" si="219"/>
        <v>8.0701754385964914</v>
      </c>
      <c r="H594" s="6">
        <f>H492/H555</f>
        <v>6.1033519553072626</v>
      </c>
      <c r="I594" s="6">
        <f t="shared" si="219"/>
        <v>6.59375</v>
      </c>
      <c r="J594" s="6">
        <f t="shared" si="219"/>
        <v>6.1100917431192663</v>
      </c>
      <c r="K594" s="6">
        <f t="shared" si="219"/>
        <v>11.457142857142857</v>
      </c>
      <c r="L594" s="6">
        <f t="shared" si="219"/>
        <v>13.752941176470589</v>
      </c>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25" t="s">
        <v>682</v>
      </c>
      <c r="B595" s="6">
        <f t="shared" ref="B595:L604" si="220">B493/B556</f>
        <v>7.3970588235294121</v>
      </c>
      <c r="C595" s="6">
        <f t="shared" si="220"/>
        <v>5.9215686274509807</v>
      </c>
      <c r="D595" s="6">
        <f t="shared" si="220"/>
        <v>5.6363636363636367</v>
      </c>
      <c r="E595" s="6">
        <f t="shared" si="220"/>
        <v>8.5</v>
      </c>
      <c r="F595" s="6">
        <f t="shared" si="220"/>
        <v>12.5</v>
      </c>
      <c r="G595" s="6">
        <f t="shared" si="220"/>
        <v>13</v>
      </c>
      <c r="H595" s="6">
        <f t="shared" si="220"/>
        <v>6.6</v>
      </c>
      <c r="I595" s="6">
        <f t="shared" si="220"/>
        <v>7.8571428571428568</v>
      </c>
      <c r="J595" s="6">
        <f t="shared" si="220"/>
        <v>5.2222222222222223</v>
      </c>
      <c r="K595" s="6">
        <f t="shared" si="220"/>
        <v>11</v>
      </c>
      <c r="L595" s="6">
        <f t="shared" si="220"/>
        <v>15.833333333333334</v>
      </c>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525" t="s">
        <v>683</v>
      </c>
      <c r="B596" s="6">
        <f t="shared" si="220"/>
        <v>5.8</v>
      </c>
      <c r="C596" s="6">
        <f t="shared" si="220"/>
        <v>4.4000000000000004</v>
      </c>
      <c r="D596" s="6">
        <f t="shared" si="220"/>
        <v>4.5538461538461537</v>
      </c>
      <c r="E596" s="6">
        <f t="shared" si="220"/>
        <v>6.2</v>
      </c>
      <c r="F596" s="6">
        <f t="shared" si="220"/>
        <v>11</v>
      </c>
      <c r="G596" s="6">
        <f t="shared" si="220"/>
        <v>10.6</v>
      </c>
      <c r="H596" s="6">
        <f t="shared" si="220"/>
        <v>7.125</v>
      </c>
      <c r="I596" s="6">
        <f t="shared" si="220"/>
        <v>6.833333333333333</v>
      </c>
      <c r="J596" s="6">
        <f t="shared" si="220"/>
        <v>3.5</v>
      </c>
      <c r="K596" s="6">
        <f t="shared" si="220"/>
        <v>14</v>
      </c>
      <c r="L596" s="6">
        <f t="shared" si="220"/>
        <v>14.666666666666666</v>
      </c>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25" t="s">
        <v>684</v>
      </c>
      <c r="B597" s="6">
        <f t="shared" si="220"/>
        <v>6.8301886792452828</v>
      </c>
      <c r="C597" s="6">
        <f t="shared" si="220"/>
        <v>6.6</v>
      </c>
      <c r="D597" s="6">
        <f t="shared" si="220"/>
        <v>8.3000000000000007</v>
      </c>
      <c r="E597" s="6">
        <f t="shared" si="220"/>
        <v>5.6969696969696972</v>
      </c>
      <c r="F597" s="6">
        <f t="shared" si="220"/>
        <v>10.6</v>
      </c>
      <c r="G597" s="6">
        <f t="shared" si="220"/>
        <v>6.4</v>
      </c>
      <c r="H597" s="6">
        <f t="shared" si="220"/>
        <v>7</v>
      </c>
      <c r="I597" s="6">
        <f t="shared" si="220"/>
        <v>8</v>
      </c>
      <c r="J597" s="6">
        <f t="shared" si="220"/>
        <v>7.833333333333333</v>
      </c>
      <c r="K597" s="6">
        <f t="shared" si="220"/>
        <v>11</v>
      </c>
      <c r="L597" s="6">
        <f t="shared" si="220"/>
        <v>10.5</v>
      </c>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525" t="s">
        <v>685</v>
      </c>
      <c r="B598" s="6">
        <f t="shared" si="220"/>
        <v>6.4743589743589745</v>
      </c>
      <c r="C598" s="6">
        <f t="shared" si="220"/>
        <v>8.3333333333333339</v>
      </c>
      <c r="D598" s="6">
        <f t="shared" si="220"/>
        <v>9.4</v>
      </c>
      <c r="E598" s="6">
        <f t="shared" si="220"/>
        <v>6.6</v>
      </c>
      <c r="F598" s="6">
        <f t="shared" si="220"/>
        <v>5.2941176470588234</v>
      </c>
      <c r="G598" s="6">
        <f t="shared" si="220"/>
        <v>7.5333333333333332</v>
      </c>
      <c r="H598" s="6">
        <f t="shared" si="220"/>
        <v>5.44</v>
      </c>
      <c r="I598" s="6">
        <f t="shared" si="220"/>
        <v>6.4285714285714288</v>
      </c>
      <c r="J598" s="6">
        <f t="shared" si="220"/>
        <v>8</v>
      </c>
      <c r="K598" s="6">
        <f t="shared" si="220"/>
        <v>18.5</v>
      </c>
      <c r="L598" s="6">
        <f t="shared" si="220"/>
        <v>13.333333333333334</v>
      </c>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25" t="s">
        <v>686</v>
      </c>
      <c r="B599" s="6">
        <f t="shared" si="220"/>
        <v>6.6872246696035242</v>
      </c>
      <c r="C599" s="6">
        <f t="shared" si="220"/>
        <v>4</v>
      </c>
      <c r="D599" s="6">
        <f t="shared" si="220"/>
        <v>5</v>
      </c>
      <c r="E599" s="6">
        <f t="shared" si="220"/>
        <v>6</v>
      </c>
      <c r="F599" s="6">
        <f t="shared" si="220"/>
        <v>9.1764705882352935</v>
      </c>
      <c r="G599" s="6">
        <f t="shared" si="220"/>
        <v>6.3571428571428568</v>
      </c>
      <c r="H599" s="6">
        <f t="shared" si="220"/>
        <v>6.7297297297297298</v>
      </c>
      <c r="I599" s="6">
        <f t="shared" si="220"/>
        <v>6.666666666666667</v>
      </c>
      <c r="J599" s="6">
        <f t="shared" si="220"/>
        <v>7.5714285714285712</v>
      </c>
      <c r="K599" s="6">
        <f t="shared" si="220"/>
        <v>8.6666666666666661</v>
      </c>
      <c r="L599" s="6">
        <f t="shared" si="220"/>
        <v>14.333333333333334</v>
      </c>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25" t="s">
        <v>373</v>
      </c>
      <c r="B600" s="6">
        <f t="shared" si="220"/>
        <v>7.4890710382513666</v>
      </c>
      <c r="C600" s="6">
        <f t="shared" si="220"/>
        <v>7.6</v>
      </c>
      <c r="D600" s="6">
        <f t="shared" si="220"/>
        <v>9.52</v>
      </c>
      <c r="E600" s="6">
        <f t="shared" si="220"/>
        <v>9.9130434782608692</v>
      </c>
      <c r="F600" s="6">
        <f t="shared" si="220"/>
        <v>8.3928571428571423</v>
      </c>
      <c r="G600" s="6">
        <f t="shared" si="220"/>
        <v>12.564102564102564</v>
      </c>
      <c r="H600" s="6">
        <f t="shared" si="220"/>
        <v>4.8730158730158726</v>
      </c>
      <c r="I600" s="6">
        <f t="shared" si="220"/>
        <v>6.4482758620689653</v>
      </c>
      <c r="J600" s="6">
        <f t="shared" si="220"/>
        <v>7.416666666666667</v>
      </c>
      <c r="K600" s="6">
        <f t="shared" si="220"/>
        <v>12</v>
      </c>
      <c r="L600" s="6">
        <f t="shared" si="220"/>
        <v>10.75</v>
      </c>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525" t="s">
        <v>687</v>
      </c>
      <c r="B601" s="6">
        <f t="shared" si="220"/>
        <v>6.7772020725388602</v>
      </c>
      <c r="C601" s="6">
        <f t="shared" si="220"/>
        <v>7.6428571428571432</v>
      </c>
      <c r="D601" s="6">
        <f t="shared" si="220"/>
        <v>8</v>
      </c>
      <c r="E601" s="6">
        <f t="shared" si="220"/>
        <v>7</v>
      </c>
      <c r="F601" s="6">
        <f t="shared" si="220"/>
        <v>8</v>
      </c>
      <c r="G601" s="6">
        <f t="shared" si="220"/>
        <v>10.111111111111111</v>
      </c>
      <c r="H601" s="6">
        <f t="shared" si="220"/>
        <v>5.4545454545454541</v>
      </c>
      <c r="I601" s="6">
        <f t="shared" si="220"/>
        <v>6.1911764705882355</v>
      </c>
      <c r="J601" s="6">
        <f t="shared" si="220"/>
        <v>6.083333333333333</v>
      </c>
      <c r="K601" s="6">
        <f t="shared" si="220"/>
        <v>9.6</v>
      </c>
      <c r="L601" s="6">
        <f t="shared" si="220"/>
        <v>17</v>
      </c>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525" t="s">
        <v>688</v>
      </c>
      <c r="B602" s="6">
        <f t="shared" si="220"/>
        <v>6.2792792792792795</v>
      </c>
      <c r="C602" s="6">
        <f t="shared" si="220"/>
        <v>6.4444444444444446</v>
      </c>
      <c r="D602" s="6">
        <f t="shared" si="220"/>
        <v>5.2142857142857144</v>
      </c>
      <c r="E602" s="6">
        <f t="shared" si="220"/>
        <v>6.4285714285714288</v>
      </c>
      <c r="F602" s="6">
        <f t="shared" si="220"/>
        <v>9.1428571428571423</v>
      </c>
      <c r="G602" s="6">
        <f t="shared" si="220"/>
        <v>6.8571428571428568</v>
      </c>
      <c r="H602" s="6">
        <f t="shared" si="220"/>
        <v>5.5454545454545459</v>
      </c>
      <c r="I602" s="6">
        <f t="shared" si="220"/>
        <v>5.166666666666667</v>
      </c>
      <c r="J602" s="6">
        <f t="shared" si="220"/>
        <v>5.3793103448275863</v>
      </c>
      <c r="K602" s="6">
        <f t="shared" si="220"/>
        <v>12.333333333333334</v>
      </c>
      <c r="L602" s="6">
        <f t="shared" si="220"/>
        <v>15.5</v>
      </c>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525" t="s">
        <v>689</v>
      </c>
      <c r="B603" s="6">
        <f t="shared" si="220"/>
        <v>7.9655172413793105</v>
      </c>
      <c r="C603" s="6">
        <f t="shared" si="220"/>
        <v>9.1666666666666661</v>
      </c>
      <c r="D603" s="6">
        <f t="shared" si="220"/>
        <v>12</v>
      </c>
      <c r="E603" s="6">
        <f t="shared" si="220"/>
        <v>3</v>
      </c>
      <c r="F603" s="6">
        <f t="shared" si="220"/>
        <v>6</v>
      </c>
      <c r="G603" s="6">
        <f t="shared" si="220"/>
        <v>8.6666666666666661</v>
      </c>
      <c r="H603" s="6">
        <f t="shared" si="220"/>
        <v>6.375</v>
      </c>
      <c r="I603" s="6">
        <f t="shared" si="220"/>
        <v>6.25</v>
      </c>
      <c r="J603" s="6">
        <f t="shared" si="220"/>
        <v>2.5</v>
      </c>
      <c r="K603" s="6">
        <f t="shared" si="220"/>
        <v>13.5</v>
      </c>
      <c r="L603" s="6">
        <f t="shared" si="220"/>
        <v>15</v>
      </c>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527" t="s">
        <v>690</v>
      </c>
      <c r="B604" s="516">
        <f t="shared" si="220"/>
        <v>13.75609756097561</v>
      </c>
      <c r="C604" s="516">
        <f t="shared" si="220"/>
        <v>16</v>
      </c>
      <c r="D604" s="516">
        <f t="shared" si="220"/>
        <v>11.5</v>
      </c>
      <c r="E604" s="516">
        <f t="shared" si="220"/>
        <v>9</v>
      </c>
      <c r="F604" s="516">
        <f t="shared" si="220"/>
        <v>16</v>
      </c>
      <c r="G604" s="516">
        <f t="shared" si="220"/>
        <v>16.666666666666668</v>
      </c>
      <c r="H604" s="516">
        <f t="shared" si="220"/>
        <v>15.4</v>
      </c>
      <c r="I604" s="516">
        <f t="shared" si="220"/>
        <v>11.666666666666666</v>
      </c>
      <c r="J604" s="516">
        <f t="shared" si="220"/>
        <v>10</v>
      </c>
      <c r="K604" s="516">
        <f t="shared" si="220"/>
        <v>15</v>
      </c>
      <c r="L604" s="516">
        <f t="shared" si="220"/>
        <v>13.64</v>
      </c>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c r="A605" s="459" t="s">
        <v>738</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459"/>
      <c r="B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c r="AD606" s="459"/>
      <c r="AE606" s="459"/>
      <c r="AF606" s="459"/>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132" t="s">
        <v>698</v>
      </c>
      <c r="B609" s="867" t="s">
        <v>699</v>
      </c>
      <c r="C609" s="867"/>
      <c r="D609" s="867"/>
      <c r="E609" s="867"/>
      <c r="F609" s="867"/>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529" t="s">
        <v>682</v>
      </c>
      <c r="B610" s="459" t="s">
        <v>396</v>
      </c>
      <c r="C610" s="459" t="s">
        <v>395</v>
      </c>
      <c r="D610" s="459" t="s">
        <v>397</v>
      </c>
      <c r="E610" s="459" t="s">
        <v>394</v>
      </c>
      <c r="F610" s="459" t="s">
        <v>391</v>
      </c>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532" t="s">
        <v>683</v>
      </c>
      <c r="B611" s="459" t="s">
        <v>392</v>
      </c>
      <c r="C611" s="459" t="s">
        <v>393</v>
      </c>
      <c r="D611" s="459" t="s">
        <v>390</v>
      </c>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534" t="s">
        <v>684</v>
      </c>
      <c r="B612" s="459" t="s">
        <v>384</v>
      </c>
      <c r="C612" s="459" t="s">
        <v>388</v>
      </c>
      <c r="D612" s="459" t="s">
        <v>387</v>
      </c>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3" t="s">
        <v>685</v>
      </c>
      <c r="B613" s="459" t="s">
        <v>372</v>
      </c>
      <c r="C613" s="459" t="s">
        <v>375</v>
      </c>
      <c r="D613" s="459" t="s">
        <v>382</v>
      </c>
      <c r="E613" s="459" t="s">
        <v>389</v>
      </c>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537" t="s">
        <v>686</v>
      </c>
      <c r="B614" s="459" t="s">
        <v>386</v>
      </c>
      <c r="C614" s="459" t="s">
        <v>385</v>
      </c>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c r="A615" s="459" t="s">
        <v>373</v>
      </c>
      <c r="B615" s="459" t="s">
        <v>373</v>
      </c>
      <c r="C615" s="459"/>
      <c r="D615" s="459"/>
      <c r="E615" s="459"/>
      <c r="F615" s="459"/>
      <c r="G615" s="459"/>
      <c r="H615" s="459"/>
      <c r="I615" s="459"/>
      <c r="J615" s="459"/>
      <c r="K615" s="459"/>
      <c r="L615" s="459"/>
      <c r="M615" s="459"/>
      <c r="N615" s="459"/>
      <c r="O615" s="459"/>
      <c r="P615" s="459"/>
      <c r="Q615" s="459"/>
      <c r="R615" s="459"/>
      <c r="S615" s="459"/>
      <c r="T615" s="459"/>
      <c r="U615" s="459"/>
      <c r="V615" s="459"/>
      <c r="W615" s="459"/>
      <c r="X615" s="459"/>
      <c r="Y615" s="459"/>
      <c r="Z615" s="459"/>
      <c r="AA615" s="459"/>
      <c r="AB615" s="459"/>
      <c r="AC615" s="459"/>
      <c r="AD615" s="459"/>
      <c r="AE615" s="459"/>
      <c r="AF615" s="459"/>
    </row>
    <row r="616" spans="1:32">
      <c r="A616" s="539" t="s">
        <v>687</v>
      </c>
      <c r="B616" s="459" t="s">
        <v>374</v>
      </c>
      <c r="C616" s="459" t="s">
        <v>379</v>
      </c>
      <c r="D616" s="459" t="s">
        <v>700</v>
      </c>
      <c r="E616" s="459" t="s">
        <v>378</v>
      </c>
      <c r="F616" s="459"/>
      <c r="G616" s="459"/>
      <c r="H616" s="459"/>
      <c r="I616" s="459"/>
      <c r="J616" s="459"/>
      <c r="K616" s="459"/>
      <c r="L616" s="459"/>
      <c r="M616" s="459"/>
      <c r="N616" s="459"/>
      <c r="O616" s="459"/>
      <c r="P616" s="459"/>
      <c r="Q616" s="459"/>
      <c r="R616" s="459"/>
      <c r="S616" s="459"/>
      <c r="T616" s="459"/>
      <c r="U616" s="459"/>
      <c r="V616" s="459"/>
      <c r="W616" s="459"/>
      <c r="X616" s="459"/>
      <c r="Y616" s="459"/>
      <c r="Z616" s="459"/>
      <c r="AA616" s="459"/>
      <c r="AB616" s="459"/>
      <c r="AC616" s="459"/>
      <c r="AD616" s="459"/>
      <c r="AE616" s="459"/>
      <c r="AF616" s="459"/>
    </row>
    <row r="617" spans="1:32">
      <c r="A617" s="540" t="s">
        <v>688</v>
      </c>
      <c r="B617" s="458" t="s">
        <v>376</v>
      </c>
      <c r="C617" s="458" t="s">
        <v>380</v>
      </c>
      <c r="D617" s="458" t="s">
        <v>701</v>
      </c>
      <c r="E617" s="458" t="s">
        <v>381</v>
      </c>
      <c r="F617" s="458"/>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c r="AD617" s="459"/>
      <c r="AE617" s="459"/>
      <c r="AF617" s="459"/>
    </row>
    <row r="618" spans="1:32">
      <c r="A618" s="459"/>
      <c r="B618" s="459"/>
      <c r="C618" s="459"/>
      <c r="D618" s="459"/>
      <c r="E618" s="459"/>
      <c r="F618" s="459"/>
      <c r="G618" s="459"/>
      <c r="H618" s="459"/>
      <c r="I618" s="459"/>
      <c r="J618" s="459"/>
      <c r="K618" s="459"/>
      <c r="L618" s="459"/>
      <c r="M618" s="459"/>
      <c r="N618" s="459"/>
      <c r="O618" s="459"/>
      <c r="P618" s="459"/>
      <c r="Q618" s="459"/>
      <c r="R618" s="459"/>
      <c r="S618" s="459"/>
      <c r="T618" s="459"/>
      <c r="U618" s="459"/>
      <c r="V618" s="459"/>
      <c r="W618" s="459"/>
      <c r="X618" s="459"/>
      <c r="Y618" s="459"/>
      <c r="Z618" s="459"/>
      <c r="AA618" s="459"/>
      <c r="AB618" s="459"/>
      <c r="AC618" s="459"/>
      <c r="AD618" s="459"/>
      <c r="AE618" s="459"/>
      <c r="AF618" s="459"/>
    </row>
    <row r="619" spans="1:32">
      <c r="A619" s="459"/>
      <c r="B619" s="459"/>
      <c r="C619" s="459"/>
      <c r="D619" s="459"/>
      <c r="E619" s="459"/>
      <c r="F619" s="459"/>
      <c r="G619" s="459"/>
      <c r="H619" s="459"/>
      <c r="I619" s="459"/>
      <c r="J619" s="459"/>
      <c r="K619" s="459"/>
      <c r="L619" s="459"/>
      <c r="M619" s="459"/>
      <c r="N619" s="459"/>
      <c r="O619" s="459"/>
      <c r="P619" s="459"/>
      <c r="Q619" s="459"/>
      <c r="R619" s="459"/>
      <c r="S619" s="459"/>
      <c r="T619" s="459"/>
      <c r="U619" s="459"/>
      <c r="V619" s="459"/>
      <c r="W619" s="459"/>
      <c r="X619" s="459"/>
      <c r="Y619" s="459"/>
      <c r="Z619" s="459"/>
      <c r="AA619" s="459"/>
      <c r="AB619" s="459"/>
      <c r="AC619" s="459"/>
      <c r="AD619" s="459"/>
      <c r="AE619" s="459"/>
      <c r="AF619" s="459"/>
    </row>
    <row r="620" spans="1:32">
      <c r="A620" s="459"/>
      <c r="B620" s="459"/>
      <c r="C620" s="459"/>
      <c r="D620" s="459"/>
      <c r="E620" s="459"/>
      <c r="F620" s="459"/>
      <c r="G620" s="459"/>
      <c r="H620" s="459"/>
      <c r="I620" s="459"/>
      <c r="J620" s="459"/>
      <c r="K620" s="459"/>
      <c r="L620" s="459"/>
      <c r="M620" s="459"/>
      <c r="N620" s="459"/>
      <c r="O620" s="459"/>
      <c r="P620" s="459"/>
      <c r="Q620" s="459"/>
      <c r="R620" s="459"/>
      <c r="S620" s="459"/>
      <c r="T620" s="459"/>
      <c r="U620" s="459"/>
      <c r="V620" s="459"/>
      <c r="W620" s="459"/>
      <c r="X620" s="459"/>
      <c r="Y620" s="459"/>
      <c r="Z620" s="459"/>
      <c r="AA620" s="459"/>
      <c r="AB620" s="459"/>
      <c r="AC620" s="459"/>
      <c r="AD620" s="459"/>
      <c r="AE620" s="459"/>
      <c r="AF620" s="459"/>
    </row>
    <row r="621" spans="1:32">
      <c r="A621" s="459"/>
      <c r="B621" s="459"/>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c r="AD621" s="459"/>
      <c r="AE621" s="459"/>
      <c r="AF621" s="459"/>
    </row>
    <row r="622" spans="1:32" ht="15.6">
      <c r="A622" s="401" t="s">
        <v>736</v>
      </c>
      <c r="B622" s="459"/>
      <c r="C622" s="459"/>
      <c r="D622" s="459"/>
      <c r="E622" s="459"/>
      <c r="F622" s="459"/>
      <c r="G622" s="459"/>
      <c r="H622" s="459"/>
      <c r="I622" s="459"/>
      <c r="J622" s="459"/>
      <c r="K622" s="459"/>
      <c r="L622" s="459"/>
      <c r="M622" s="459"/>
      <c r="N622" s="459"/>
      <c r="O622" s="459"/>
      <c r="P622" s="459"/>
      <c r="Q622" s="459"/>
      <c r="R622" s="459"/>
      <c r="S622" s="459"/>
      <c r="T622" s="459"/>
      <c r="U622" s="459"/>
      <c r="V622" s="459"/>
      <c r="W622" s="459"/>
      <c r="X622" s="459"/>
      <c r="Y622" s="459"/>
      <c r="Z622" s="459"/>
      <c r="AA622" s="459"/>
      <c r="AB622" s="459"/>
      <c r="AC622" s="459"/>
      <c r="AD622" s="459"/>
      <c r="AE622" s="459"/>
      <c r="AF622" s="459"/>
    </row>
    <row r="623" spans="1:32">
      <c r="A623" s="132"/>
      <c r="B623" s="132" t="s">
        <v>64</v>
      </c>
      <c r="C623" s="132" t="str">
        <f>C521</f>
        <v>IE</v>
      </c>
      <c r="D623" s="132" t="str">
        <f t="shared" ref="D623:AC623" si="221">D521</f>
        <v>IE-CW</v>
      </c>
      <c r="E623" s="132" t="str">
        <f t="shared" si="221"/>
        <v>IE-D</v>
      </c>
      <c r="F623" s="132" t="str">
        <f t="shared" si="221"/>
        <v>IE-KE</v>
      </c>
      <c r="G623" s="132" t="str">
        <f t="shared" si="221"/>
        <v>IE-KK</v>
      </c>
      <c r="H623" s="132" t="str">
        <f t="shared" si="221"/>
        <v>IE-LS</v>
      </c>
      <c r="I623" s="132" t="str">
        <f t="shared" si="221"/>
        <v>IE-LD</v>
      </c>
      <c r="J623" s="132" t="str">
        <f t="shared" si="221"/>
        <v>IE-LH</v>
      </c>
      <c r="K623" s="132" t="str">
        <f t="shared" si="221"/>
        <v>IE-MH</v>
      </c>
      <c r="L623" s="132" t="str">
        <f t="shared" si="221"/>
        <v>IE-OY</v>
      </c>
      <c r="M623" s="132" t="str">
        <f t="shared" si="221"/>
        <v>IE-WH</v>
      </c>
      <c r="N623" s="132" t="str">
        <f t="shared" si="221"/>
        <v>IE-WX</v>
      </c>
      <c r="O623" s="132" t="str">
        <f t="shared" si="221"/>
        <v>IE-WW</v>
      </c>
      <c r="P623" s="132" t="str">
        <f t="shared" si="221"/>
        <v>IE-CE</v>
      </c>
      <c r="Q623" s="132" t="str">
        <f t="shared" si="221"/>
        <v>IE-CO</v>
      </c>
      <c r="R623" s="132" t="str">
        <f t="shared" si="221"/>
        <v>IE-KY</v>
      </c>
      <c r="S623" s="132" t="str">
        <f t="shared" si="221"/>
        <v>IE-LK</v>
      </c>
      <c r="T623" s="132" t="str">
        <f t="shared" si="221"/>
        <v>IE-TA</v>
      </c>
      <c r="U623" s="132" t="str">
        <f t="shared" si="221"/>
        <v>IE-WD</v>
      </c>
      <c r="V623" s="132" t="str">
        <f t="shared" si="221"/>
        <v>IE-G</v>
      </c>
      <c r="W623" s="132" t="str">
        <f t="shared" si="221"/>
        <v>IE-LM</v>
      </c>
      <c r="X623" s="132" t="str">
        <f t="shared" si="221"/>
        <v>IE-MO</v>
      </c>
      <c r="Y623" s="132" t="str">
        <f t="shared" si="221"/>
        <v>IE-RN</v>
      </c>
      <c r="Z623" s="132" t="str">
        <f t="shared" si="221"/>
        <v>IE-SO</v>
      </c>
      <c r="AA623" s="132" t="str">
        <f t="shared" si="221"/>
        <v>IE-CN</v>
      </c>
      <c r="AB623" s="132" t="str">
        <f t="shared" si="221"/>
        <v>IE-DL</v>
      </c>
      <c r="AC623" s="132" t="str">
        <f t="shared" si="221"/>
        <v>IE-MN</v>
      </c>
      <c r="AD623" s="459"/>
      <c r="AE623" s="459"/>
      <c r="AF623" s="459"/>
    </row>
    <row r="624" spans="1:32">
      <c r="A624" s="459" t="s">
        <v>398</v>
      </c>
      <c r="B624" s="459" t="s">
        <v>704</v>
      </c>
      <c r="C624" s="542">
        <f t="shared" ref="C624:AC624" si="222">B184</f>
        <v>4857000.0000000037</v>
      </c>
      <c r="D624" s="542">
        <f t="shared" si="222"/>
        <v>58069.41691963128</v>
      </c>
      <c r="E624" s="542">
        <f t="shared" si="222"/>
        <v>1374277.23444491</v>
      </c>
      <c r="F624" s="542">
        <f t="shared" si="222"/>
        <v>226949.29990665423</v>
      </c>
      <c r="G624" s="542">
        <f t="shared" si="222"/>
        <v>101214.50818114332</v>
      </c>
      <c r="H624" s="542">
        <f t="shared" si="222"/>
        <v>86389.120439155668</v>
      </c>
      <c r="I624" s="542">
        <f t="shared" si="222"/>
        <v>41689.581918009018</v>
      </c>
      <c r="J624" s="542">
        <f t="shared" si="222"/>
        <v>131458.91116190821</v>
      </c>
      <c r="K624" s="542">
        <f t="shared" si="222"/>
        <v>198940.68983476012</v>
      </c>
      <c r="L624" s="542">
        <f t="shared" si="222"/>
        <v>79518.545149851998</v>
      </c>
      <c r="M624" s="542">
        <f t="shared" si="222"/>
        <v>90543.492938166033</v>
      </c>
      <c r="N624" s="542">
        <f t="shared" si="222"/>
        <v>152713.2234954162</v>
      </c>
      <c r="O624" s="542">
        <f t="shared" si="222"/>
        <v>145270.44025817615</v>
      </c>
      <c r="P624" s="542">
        <f t="shared" si="222"/>
        <v>121190.78743307506</v>
      </c>
      <c r="Q624" s="542">
        <f t="shared" si="222"/>
        <v>553713.69746937393</v>
      </c>
      <c r="R624" s="542">
        <f t="shared" si="222"/>
        <v>150657.96678402266</v>
      </c>
      <c r="S624" s="542">
        <f t="shared" si="222"/>
        <v>198792.79294982113</v>
      </c>
      <c r="T624" s="542">
        <f t="shared" si="222"/>
        <v>162740.63229427967</v>
      </c>
      <c r="U624" s="542">
        <f t="shared" si="222"/>
        <v>118497.02417015182</v>
      </c>
      <c r="V624" s="542">
        <f t="shared" si="222"/>
        <v>263213.61609369441</v>
      </c>
      <c r="W624" s="542">
        <f t="shared" si="222"/>
        <v>32684.191592999803</v>
      </c>
      <c r="X624" s="542">
        <f t="shared" si="222"/>
        <v>133114.33629470808</v>
      </c>
      <c r="Y624" s="542">
        <f t="shared" si="222"/>
        <v>65833.493389669806</v>
      </c>
      <c r="Z624" s="542">
        <f t="shared" si="222"/>
        <v>66844.292099839033</v>
      </c>
      <c r="AA624" s="542">
        <f t="shared" si="222"/>
        <v>77697.883497327202</v>
      </c>
      <c r="AB624" s="542">
        <f t="shared" si="222"/>
        <v>162372.42004970741</v>
      </c>
      <c r="AC624" s="542">
        <f t="shared" si="222"/>
        <v>62612.401233550299</v>
      </c>
      <c r="AD624" s="459"/>
      <c r="AE624" s="459"/>
      <c r="AF624" s="459"/>
    </row>
    <row r="625" spans="1:32">
      <c r="A625" s="459" t="s">
        <v>705</v>
      </c>
      <c r="B625" s="1" t="s">
        <v>737</v>
      </c>
      <c r="C625" s="6">
        <f>AVERAGE(D625:AC625)</f>
        <v>2.0735370339862342</v>
      </c>
      <c r="D625" s="6">
        <f>F594*D624/(D624+G624+N624+U624)</f>
        <v>1.0074073345394272</v>
      </c>
      <c r="E625" s="6">
        <f>H594</f>
        <v>6.1033519553072626</v>
      </c>
      <c r="F625" s="6">
        <f>I594*F624/(F624+J624+K624+O624)</f>
        <v>2.1298117751579788</v>
      </c>
      <c r="G625" s="6">
        <f>F594*G624/(D624+G624+N624+U624)</f>
        <v>1.7559025613190551</v>
      </c>
      <c r="H625" s="6">
        <f>J594*H624/(H624+I624+L624+M624)</f>
        <v>1.7704573038305462</v>
      </c>
      <c r="I625" s="6">
        <f>J594*I624/(H624+I624+L624+M624)</f>
        <v>0.85438564978058162</v>
      </c>
      <c r="J625" s="6">
        <f>I594*J624/(F624+J624+K624+O624)</f>
        <v>1.2336796679136599</v>
      </c>
      <c r="K625" s="6">
        <f>I594*K624/(F624+J624+K624+O624)</f>
        <v>1.8669642247955669</v>
      </c>
      <c r="L625" s="6">
        <f>J594*L624/(H624+I624+L624+M624)</f>
        <v>1.6296518396629538</v>
      </c>
      <c r="M625" s="6">
        <f>J594*M624/(H624+I624+L624+M624)</f>
        <v>1.8555969498451843</v>
      </c>
      <c r="N625" s="6">
        <f>F594*N624/(D624+G624+N624+U624)</f>
        <v>2.6493192043475045</v>
      </c>
      <c r="O625" s="6">
        <f>I594*O624/(F624+J624+K624+O624)</f>
        <v>1.3632943321327937</v>
      </c>
      <c r="P625" s="6">
        <f>E594*P624/(P624+S624+T624)</f>
        <v>1.6538310928879769</v>
      </c>
      <c r="Q625" s="6">
        <f>G594*Q624/(Q624+R624)</f>
        <v>6.344046627810159</v>
      </c>
      <c r="R625" s="6">
        <f>G594*R624/(Q624+R624)</f>
        <v>1.7261288107863333</v>
      </c>
      <c r="S625" s="6">
        <f>E594*S624/(P624+S624+T624)</f>
        <v>2.7128275093023206</v>
      </c>
      <c r="T625" s="6">
        <f>E594*T624/(P624+S624+T624)</f>
        <v>2.2208413978097026</v>
      </c>
      <c r="U625" s="6">
        <f>F594*U624/(D624+G624+N624+U624)</f>
        <v>2.0557253301737597</v>
      </c>
      <c r="V625" s="6">
        <f>D594*V624/(V624+X624+Y624)</f>
        <v>3.6109620483763902</v>
      </c>
      <c r="W625" s="6">
        <f>C594*W624/(W624+Z624+AA624+AB624+AC624)</f>
        <v>0.53944980901537942</v>
      </c>
      <c r="X625" s="6">
        <f>D594*X624/(V624+X624+Y624)</f>
        <v>1.8261624287852249</v>
      </c>
      <c r="Y625" s="6">
        <f>D594*Y624/(V624+X624+Y624)</f>
        <v>0.90315330061616272</v>
      </c>
      <c r="Z625" s="6">
        <f>C594*Z624/(W624+Z624+AA624+AB624+AC624)</f>
        <v>1.1032593694240072</v>
      </c>
      <c r="AA625" s="6">
        <f>C594*AA624/(W624+Z624+AA624+AB624+AC624)</f>
        <v>1.2823969745211439</v>
      </c>
      <c r="AB625" s="6">
        <f>C594*AB624/(W624+Z624+AA624+AB624+AC624)</f>
        <v>2.6799430157525985</v>
      </c>
      <c r="AC625" s="6">
        <f>C594*AC624/(W624+Z624+AA624+AB624+AC624)</f>
        <v>1.0334123697484108</v>
      </c>
      <c r="AD625" s="459"/>
      <c r="AE625" s="459"/>
      <c r="AF625" s="459"/>
    </row>
    <row r="626" spans="1:32">
      <c r="A626" s="459" t="s">
        <v>706</v>
      </c>
      <c r="B626" s="1" t="s">
        <v>737</v>
      </c>
      <c r="C626" s="6">
        <f>AVERAGE(D626:AC626)</f>
        <v>0.96961861667744009</v>
      </c>
      <c r="D626" s="6">
        <f>(K594+L594)*D624/C624</f>
        <v>0.30140722263266173</v>
      </c>
      <c r="E626" s="6">
        <f>(K594+L594)*E624/C624</f>
        <v>7.1331366205143176</v>
      </c>
      <c r="F626" s="6">
        <f>(K594+L594)*F624/C624</f>
        <v>1.1779721890089541</v>
      </c>
      <c r="G626" s="6">
        <f>(K594+L594)*G624/C624</f>
        <v>0.52535026902768722</v>
      </c>
      <c r="H626" s="6">
        <f>(K594+L594)*H624/C624</f>
        <v>0.44839962648982212</v>
      </c>
      <c r="I626" s="6">
        <f>(K594+L594)*I624/C624</f>
        <v>0.21638827743035172</v>
      </c>
      <c r="J626" s="6">
        <f>(K594+L594)*J624/C624</f>
        <v>0.68233275630204415</v>
      </c>
      <c r="K626" s="6">
        <f>(K594+L594)*K624/C624</f>
        <v>1.0325945045170533</v>
      </c>
      <c r="L626" s="6">
        <f>(K594+L594)*L624/C624</f>
        <v>0.41273815224592386</v>
      </c>
      <c r="M626" s="6">
        <f>(K594+L594)*M624/C624</f>
        <v>0.46996274771835495</v>
      </c>
      <c r="N626" s="6">
        <f>(K594+L594)*N624/C624</f>
        <v>0.79265250100132401</v>
      </c>
      <c r="O626" s="6">
        <f>(K594+L594)*O624/C624</f>
        <v>0.75402100195771871</v>
      </c>
      <c r="P626" s="6">
        <f>(K594+L594)*P624/C624</f>
        <v>0.6290364289247693</v>
      </c>
      <c r="Q626" s="6">
        <f>(K594+L594)*Q624/C624</f>
        <v>2.8740310569828535</v>
      </c>
      <c r="R626" s="6">
        <f>(K594+L594)*R624/C624</f>
        <v>0.78198476486690383</v>
      </c>
      <c r="S626" s="6">
        <f>(K594+L594)*S624/C624</f>
        <v>1.0318268510483233</v>
      </c>
      <c r="T626" s="6">
        <f>(K594+L594)*T624/C624</f>
        <v>0.84469940618121753</v>
      </c>
      <c r="U626" s="6">
        <f>(K594+L594)*U624/C624</f>
        <v>0.61505454747017685</v>
      </c>
      <c r="V626" s="6">
        <f>(K594+L594)*V624/C624</f>
        <v>1.3662008195415483</v>
      </c>
      <c r="W626" s="6">
        <f>(K594+L594)*W624/C624</f>
        <v>0.16964612242747509</v>
      </c>
      <c r="X626" s="6">
        <f>(K594+L594)*X624/C624</f>
        <v>0.6909251809899668</v>
      </c>
      <c r="Y626" s="6">
        <f>(K594+L594)*Y624/C624</f>
        <v>0.3417063826600597</v>
      </c>
      <c r="Z626" s="6">
        <f>(K594+L594)*Z624/C624</f>
        <v>0.34695289705669019</v>
      </c>
      <c r="AA626" s="6">
        <f>(K594+L594)*AA624/C624</f>
        <v>0.40328807333776506</v>
      </c>
      <c r="AB626" s="6">
        <f>(K594+L594)*AB624/C624</f>
        <v>0.8427882137521725</v>
      </c>
      <c r="AC626" s="6">
        <f>(K594+L594)*AC624/C624</f>
        <v>0.32498741952730581</v>
      </c>
      <c r="AD626" s="459"/>
      <c r="AE626" s="459"/>
      <c r="AF626" s="459"/>
    </row>
    <row r="627" spans="1:32">
      <c r="A627" s="458" t="s">
        <v>707</v>
      </c>
      <c r="B627" s="458" t="s">
        <v>737</v>
      </c>
      <c r="C627" s="516">
        <f>AVERAGE(C625:C626)</f>
        <v>1.5215778253318373</v>
      </c>
      <c r="D627" s="516">
        <f>D625+D626</f>
        <v>1.3088145571720888</v>
      </c>
      <c r="E627" s="516">
        <f>E625+E626</f>
        <v>13.23648857582158</v>
      </c>
      <c r="F627" s="516">
        <f t="shared" ref="F627:AC627" si="223">F625+F626</f>
        <v>3.3077839641669327</v>
      </c>
      <c r="G627" s="516">
        <f t="shared" si="223"/>
        <v>2.2812528303467423</v>
      </c>
      <c r="H627" s="516">
        <f t="shared" si="223"/>
        <v>2.2188569303203685</v>
      </c>
      <c r="I627" s="516">
        <f t="shared" si="223"/>
        <v>1.0707739272109333</v>
      </c>
      <c r="J627" s="516">
        <f t="shared" si="223"/>
        <v>1.9160124242157042</v>
      </c>
      <c r="K627" s="516">
        <f t="shared" si="223"/>
        <v>2.8995587293126199</v>
      </c>
      <c r="L627" s="516">
        <f t="shared" si="223"/>
        <v>2.0423899919088777</v>
      </c>
      <c r="M627" s="516">
        <f t="shared" si="223"/>
        <v>2.3255596975635391</v>
      </c>
      <c r="N627" s="516">
        <f t="shared" si="223"/>
        <v>3.4419717053488283</v>
      </c>
      <c r="O627" s="516">
        <f t="shared" si="223"/>
        <v>2.1173153340905122</v>
      </c>
      <c r="P627" s="516">
        <f t="shared" si="223"/>
        <v>2.2828675218127463</v>
      </c>
      <c r="Q627" s="516">
        <f t="shared" si="223"/>
        <v>9.2180776847930126</v>
      </c>
      <c r="R627" s="516">
        <f t="shared" si="223"/>
        <v>2.5081135756532369</v>
      </c>
      <c r="S627" s="516">
        <f t="shared" si="223"/>
        <v>3.7446543603506441</v>
      </c>
      <c r="T627" s="516">
        <f t="shared" si="223"/>
        <v>3.06554080399092</v>
      </c>
      <c r="U627" s="516">
        <f t="shared" si="223"/>
        <v>2.6707798776439367</v>
      </c>
      <c r="V627" s="516">
        <f t="shared" si="223"/>
        <v>4.9771628679179383</v>
      </c>
      <c r="W627" s="516">
        <f t="shared" si="223"/>
        <v>0.70909593144285454</v>
      </c>
      <c r="X627" s="516">
        <f t="shared" si="223"/>
        <v>2.5170876097751917</v>
      </c>
      <c r="Y627" s="516">
        <f t="shared" si="223"/>
        <v>1.2448596832762224</v>
      </c>
      <c r="Z627" s="516">
        <f t="shared" si="223"/>
        <v>1.4502122664806973</v>
      </c>
      <c r="AA627" s="516">
        <f t="shared" si="223"/>
        <v>1.6856850478589089</v>
      </c>
      <c r="AB627" s="516">
        <f t="shared" si="223"/>
        <v>3.522731229504771</v>
      </c>
      <c r="AC627" s="516">
        <f t="shared" si="223"/>
        <v>1.3583997892757167</v>
      </c>
      <c r="AD627" s="1"/>
      <c r="AE627" s="459"/>
      <c r="AF627" s="459"/>
    </row>
    <row r="628" spans="1:32">
      <c r="A628" s="21" t="s">
        <v>708</v>
      </c>
      <c r="B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c r="AD628" s="459"/>
      <c r="AE628" s="459"/>
      <c r="AF628" s="459"/>
    </row>
    <row r="629" spans="1:32">
      <c r="A629" s="459"/>
      <c r="B629" s="459"/>
      <c r="C629" s="459"/>
      <c r="D629" s="388"/>
      <c r="E629" s="388"/>
      <c r="F629" s="388"/>
      <c r="G629" s="388"/>
      <c r="H629" s="388"/>
      <c r="I629" s="388"/>
      <c r="J629" s="388"/>
      <c r="K629" s="388"/>
      <c r="L629" s="388"/>
      <c r="M629" s="388"/>
      <c r="N629" s="388"/>
      <c r="O629" s="388"/>
      <c r="P629" s="388"/>
      <c r="Q629" s="388"/>
      <c r="R629" s="388"/>
      <c r="S629" s="388"/>
      <c r="T629" s="388"/>
      <c r="U629" s="388"/>
      <c r="V629" s="388"/>
      <c r="W629" s="388"/>
      <c r="X629" s="388"/>
      <c r="Y629" s="388"/>
      <c r="Z629" s="388"/>
      <c r="AA629" s="388"/>
      <c r="AB629" s="388"/>
      <c r="AC629" s="388"/>
      <c r="AD629" s="459"/>
      <c r="AE629" s="459"/>
      <c r="AF629" s="459"/>
    </row>
    <row r="630" spans="1:32" s="459" customFormat="1">
      <c r="D630" s="388"/>
      <c r="E630" s="388"/>
      <c r="F630" s="388"/>
      <c r="G630" s="388"/>
      <c r="H630" s="388"/>
      <c r="I630" s="388"/>
      <c r="J630" s="388"/>
      <c r="K630" s="388"/>
      <c r="L630" s="388"/>
      <c r="M630" s="388"/>
      <c r="N630" s="388"/>
      <c r="O630" s="388"/>
      <c r="P630" s="388"/>
      <c r="Q630" s="388"/>
      <c r="R630" s="388"/>
      <c r="S630" s="388"/>
      <c r="T630" s="388"/>
      <c r="U630" s="388"/>
      <c r="V630" s="388"/>
      <c r="W630" s="388"/>
      <c r="X630" s="388"/>
      <c r="Y630" s="388"/>
      <c r="Z630" s="388"/>
      <c r="AA630" s="388"/>
      <c r="AB630" s="388"/>
      <c r="AC630" s="388"/>
    </row>
    <row r="631" spans="1:32" s="459" customFormat="1">
      <c r="D631" s="388"/>
      <c r="E631" s="388"/>
      <c r="F631" s="388"/>
      <c r="G631" s="388"/>
      <c r="H631" s="388"/>
      <c r="I631" s="388"/>
      <c r="J631" s="388"/>
      <c r="K631" s="388"/>
      <c r="L631" s="388"/>
      <c r="M631" s="388"/>
      <c r="N631" s="388"/>
      <c r="O631" s="388"/>
      <c r="P631" s="388"/>
      <c r="Q631" s="388"/>
      <c r="R631" s="388"/>
      <c r="S631" s="388"/>
      <c r="T631" s="388"/>
      <c r="U631" s="388"/>
      <c r="V631" s="388"/>
      <c r="W631" s="388"/>
      <c r="X631" s="388"/>
      <c r="Y631" s="388"/>
      <c r="Z631" s="388"/>
      <c r="AA631" s="388"/>
      <c r="AB631" s="388"/>
      <c r="AC631" s="388"/>
    </row>
    <row r="632" spans="1:32" s="459" customFormat="1" ht="15.6">
      <c r="A632" s="401" t="s">
        <v>790</v>
      </c>
    </row>
    <row r="633" spans="1:32" s="459" customFormat="1">
      <c r="A633" s="132"/>
      <c r="B633" s="132" t="s">
        <v>64</v>
      </c>
      <c r="C633" s="132" t="str">
        <f>C623</f>
        <v>IE</v>
      </c>
      <c r="D633" s="132" t="str">
        <f t="shared" ref="D633:AC633" si="224">D623</f>
        <v>IE-CW</v>
      </c>
      <c r="E633" s="132" t="str">
        <f t="shared" si="224"/>
        <v>IE-D</v>
      </c>
      <c r="F633" s="132" t="str">
        <f t="shared" si="224"/>
        <v>IE-KE</v>
      </c>
      <c r="G633" s="132" t="str">
        <f t="shared" si="224"/>
        <v>IE-KK</v>
      </c>
      <c r="H633" s="132" t="str">
        <f t="shared" si="224"/>
        <v>IE-LS</v>
      </c>
      <c r="I633" s="132" t="str">
        <f t="shared" si="224"/>
        <v>IE-LD</v>
      </c>
      <c r="J633" s="132" t="str">
        <f t="shared" si="224"/>
        <v>IE-LH</v>
      </c>
      <c r="K633" s="132" t="str">
        <f t="shared" si="224"/>
        <v>IE-MH</v>
      </c>
      <c r="L633" s="132" t="str">
        <f t="shared" si="224"/>
        <v>IE-OY</v>
      </c>
      <c r="M633" s="132" t="str">
        <f t="shared" si="224"/>
        <v>IE-WH</v>
      </c>
      <c r="N633" s="132" t="str">
        <f t="shared" si="224"/>
        <v>IE-WX</v>
      </c>
      <c r="O633" s="132" t="str">
        <f t="shared" si="224"/>
        <v>IE-WW</v>
      </c>
      <c r="P633" s="132" t="str">
        <f t="shared" si="224"/>
        <v>IE-CE</v>
      </c>
      <c r="Q633" s="132" t="str">
        <f t="shared" si="224"/>
        <v>IE-CO</v>
      </c>
      <c r="R633" s="132" t="str">
        <f t="shared" si="224"/>
        <v>IE-KY</v>
      </c>
      <c r="S633" s="132" t="str">
        <f t="shared" si="224"/>
        <v>IE-LK</v>
      </c>
      <c r="T633" s="132" t="str">
        <f t="shared" si="224"/>
        <v>IE-TA</v>
      </c>
      <c r="U633" s="132" t="str">
        <f t="shared" si="224"/>
        <v>IE-WD</v>
      </c>
      <c r="V633" s="132" t="str">
        <f t="shared" si="224"/>
        <v>IE-G</v>
      </c>
      <c r="W633" s="132" t="str">
        <f t="shared" si="224"/>
        <v>IE-LM</v>
      </c>
      <c r="X633" s="132" t="str">
        <f t="shared" si="224"/>
        <v>IE-MO</v>
      </c>
      <c r="Y633" s="132" t="str">
        <f t="shared" si="224"/>
        <v>IE-RN</v>
      </c>
      <c r="Z633" s="132" t="str">
        <f t="shared" si="224"/>
        <v>IE-SO</v>
      </c>
      <c r="AA633" s="132" t="str">
        <f t="shared" si="224"/>
        <v>IE-CN</v>
      </c>
      <c r="AB633" s="132" t="str">
        <f t="shared" si="224"/>
        <v>IE-DL</v>
      </c>
      <c r="AC633" s="132" t="str">
        <f t="shared" si="224"/>
        <v>IE-MN</v>
      </c>
    </row>
    <row r="634" spans="1:32" s="459" customFormat="1">
      <c r="A634" s="459" t="s">
        <v>791</v>
      </c>
      <c r="B634" s="459" t="s">
        <v>219</v>
      </c>
      <c r="C634" s="459">
        <v>7891</v>
      </c>
      <c r="D634" s="459">
        <v>129</v>
      </c>
      <c r="E634" s="459">
        <v>1769</v>
      </c>
      <c r="F634" s="459">
        <v>378</v>
      </c>
      <c r="G634" s="459">
        <v>189</v>
      </c>
      <c r="H634" s="459">
        <v>140</v>
      </c>
      <c r="I634" s="459">
        <v>88</v>
      </c>
      <c r="J634" s="459">
        <v>188</v>
      </c>
      <c r="K634" s="459">
        <v>357</v>
      </c>
      <c r="L634" s="459">
        <v>139</v>
      </c>
      <c r="M634" s="459">
        <v>174</v>
      </c>
      <c r="N634" s="459">
        <v>334</v>
      </c>
      <c r="O634" s="459">
        <v>200</v>
      </c>
      <c r="P634" s="459">
        <v>198</v>
      </c>
      <c r="Q634" s="459">
        <v>879</v>
      </c>
      <c r="R634" s="459">
        <v>245</v>
      </c>
      <c r="S634" s="459">
        <v>322</v>
      </c>
      <c r="T634" s="459">
        <v>302</v>
      </c>
      <c r="U634" s="459">
        <v>163</v>
      </c>
      <c r="V634" s="459">
        <v>429</v>
      </c>
      <c r="W634" s="459">
        <v>70</v>
      </c>
      <c r="X634" s="459">
        <v>271</v>
      </c>
      <c r="Y634" s="459">
        <v>138</v>
      </c>
      <c r="Z634" s="459">
        <v>121</v>
      </c>
      <c r="AA634" s="459">
        <v>178</v>
      </c>
      <c r="AB634" s="459">
        <v>289</v>
      </c>
      <c r="AC634" s="459">
        <v>199</v>
      </c>
    </row>
    <row r="635" spans="1:32" s="459" customFormat="1">
      <c r="A635" s="459" t="s">
        <v>792</v>
      </c>
      <c r="B635" s="1" t="s">
        <v>92</v>
      </c>
      <c r="C635" s="135">
        <f>C525</f>
        <v>11536.999999999998</v>
      </c>
      <c r="D635" s="135">
        <f t="shared" ref="D635:AC635" si="225">D525</f>
        <v>177.94099599204955</v>
      </c>
      <c r="E635" s="135">
        <f t="shared" si="225"/>
        <v>2629.2279716035632</v>
      </c>
      <c r="F635" s="135">
        <f t="shared" si="225"/>
        <v>482.28404218784624</v>
      </c>
      <c r="G635" s="135">
        <f t="shared" si="225"/>
        <v>310.14966827589166</v>
      </c>
      <c r="H635" s="135">
        <f t="shared" si="225"/>
        <v>220.90468018989404</v>
      </c>
      <c r="I635" s="135">
        <f t="shared" si="225"/>
        <v>106.60397645018759</v>
      </c>
      <c r="J635" s="135">
        <f t="shared" si="225"/>
        <v>279.35990585939294</v>
      </c>
      <c r="K635" s="135">
        <f t="shared" si="225"/>
        <v>422.76367492038924</v>
      </c>
      <c r="L635" s="135">
        <f t="shared" si="225"/>
        <v>203.33600685129727</v>
      </c>
      <c r="M635" s="135">
        <f t="shared" si="225"/>
        <v>231.52778091853185</v>
      </c>
      <c r="N635" s="135">
        <f t="shared" si="225"/>
        <v>467.95618987426485</v>
      </c>
      <c r="O635" s="135">
        <f t="shared" si="225"/>
        <v>308.71042636808323</v>
      </c>
      <c r="P635" s="135">
        <f t="shared" si="225"/>
        <v>303.78726686741447</v>
      </c>
      <c r="Q635" s="135">
        <f t="shared" si="225"/>
        <v>1625.427705266085</v>
      </c>
      <c r="R635" s="135">
        <f t="shared" si="225"/>
        <v>442.25677339931184</v>
      </c>
      <c r="S635" s="135">
        <f t="shared" si="225"/>
        <v>498.31113834882399</v>
      </c>
      <c r="T635" s="135">
        <f t="shared" si="225"/>
        <v>407.93968700183132</v>
      </c>
      <c r="U635" s="135">
        <f t="shared" si="225"/>
        <v>363.10814920207179</v>
      </c>
      <c r="V635" s="135">
        <f t="shared" si="225"/>
        <v>605.06096800451598</v>
      </c>
      <c r="W635" s="135">
        <f t="shared" si="225"/>
        <v>80.69347018970771</v>
      </c>
      <c r="X635" s="135">
        <f t="shared" si="225"/>
        <v>305.99590693319084</v>
      </c>
      <c r="Y635" s="135">
        <f t="shared" si="225"/>
        <v>151.3344097795204</v>
      </c>
      <c r="Z635" s="135">
        <f t="shared" si="225"/>
        <v>165.03078794415472</v>
      </c>
      <c r="AA635" s="135">
        <f t="shared" si="225"/>
        <v>191.82704360164692</v>
      </c>
      <c r="AB635" s="135">
        <f t="shared" si="225"/>
        <v>400.87863270627724</v>
      </c>
      <c r="AC635" s="135">
        <f t="shared" si="225"/>
        <v>154.58274126405556</v>
      </c>
    </row>
    <row r="636" spans="1:32" s="459" customFormat="1">
      <c r="A636" s="458" t="s">
        <v>789</v>
      </c>
      <c r="B636" s="458" t="s">
        <v>737</v>
      </c>
      <c r="C636" s="600">
        <f>C635/C634</f>
        <v>1.4620453681409198</v>
      </c>
      <c r="D636" s="600">
        <f t="shared" ref="D636:AC636" si="226">D635/D634</f>
        <v>1.3793875658298416</v>
      </c>
      <c r="E636" s="600">
        <f t="shared" si="226"/>
        <v>1.4862792377634615</v>
      </c>
      <c r="F636" s="600">
        <f t="shared" si="226"/>
        <v>1.2758837094916566</v>
      </c>
      <c r="G636" s="600">
        <f t="shared" si="226"/>
        <v>1.6410035358512787</v>
      </c>
      <c r="H636" s="600">
        <f t="shared" si="226"/>
        <v>1.5778905727849575</v>
      </c>
      <c r="I636" s="600">
        <f t="shared" si="226"/>
        <v>1.2114088232975861</v>
      </c>
      <c r="J636" s="600">
        <f t="shared" si="226"/>
        <v>1.4859569460606008</v>
      </c>
      <c r="K636" s="600">
        <f t="shared" si="226"/>
        <v>1.1842119745669166</v>
      </c>
      <c r="L636" s="600">
        <f t="shared" si="226"/>
        <v>1.4628489701532177</v>
      </c>
      <c r="M636" s="600">
        <f t="shared" si="226"/>
        <v>1.3306194305662751</v>
      </c>
      <c r="N636" s="600">
        <f t="shared" si="226"/>
        <v>1.401066436749296</v>
      </c>
      <c r="O636" s="600">
        <f t="shared" si="226"/>
        <v>1.5435521318404162</v>
      </c>
      <c r="P636" s="600">
        <f t="shared" si="226"/>
        <v>1.5342791255930024</v>
      </c>
      <c r="Q636" s="600">
        <f t="shared" si="226"/>
        <v>1.8491782767532252</v>
      </c>
      <c r="R636" s="600">
        <f t="shared" si="226"/>
        <v>1.80512968734413</v>
      </c>
      <c r="S636" s="600">
        <f t="shared" si="226"/>
        <v>1.5475501190957266</v>
      </c>
      <c r="T636" s="600">
        <f t="shared" si="226"/>
        <v>1.3507936655689778</v>
      </c>
      <c r="U636" s="600">
        <f t="shared" si="226"/>
        <v>2.2276573570679252</v>
      </c>
      <c r="V636" s="600">
        <f t="shared" si="226"/>
        <v>1.4103985268170536</v>
      </c>
      <c r="W636" s="600">
        <f t="shared" si="226"/>
        <v>1.1527638598529673</v>
      </c>
      <c r="X636" s="600">
        <f t="shared" si="226"/>
        <v>1.1291361879453536</v>
      </c>
      <c r="Y636" s="600">
        <f t="shared" si="226"/>
        <v>1.0966261578226115</v>
      </c>
      <c r="Z636" s="600">
        <f t="shared" si="226"/>
        <v>1.3638908094558242</v>
      </c>
      <c r="AA636" s="600">
        <f t="shared" si="226"/>
        <v>1.0776800202339714</v>
      </c>
      <c r="AB636" s="600">
        <f t="shared" si="226"/>
        <v>1.387123296561513</v>
      </c>
      <c r="AC636" s="600">
        <f t="shared" si="226"/>
        <v>0.77679769479424898</v>
      </c>
    </row>
    <row r="637" spans="1:32" s="459" customFormat="1">
      <c r="A637" s="21"/>
    </row>
    <row r="638" spans="1:32" s="714" customFormat="1">
      <c r="A638" s="21"/>
    </row>
    <row r="639" spans="1:32" s="714" customFormat="1">
      <c r="A639" s="21"/>
    </row>
    <row r="640" spans="1:32" s="714" customFormat="1" ht="15.6">
      <c r="A640" s="401" t="s">
        <v>1151</v>
      </c>
    </row>
    <row r="641" spans="1:29" s="714" customFormat="1" ht="17.399999999999999">
      <c r="A641" s="716" t="s">
        <v>1119</v>
      </c>
      <c r="B641" s="716" t="s">
        <v>677</v>
      </c>
      <c r="C641" s="130" t="str">
        <f>C469</f>
        <v>IE</v>
      </c>
      <c r="D641" s="130" t="str">
        <f t="shared" ref="D641:AC641" si="227">D469</f>
        <v>IE-CW</v>
      </c>
      <c r="E641" s="130" t="str">
        <f t="shared" si="227"/>
        <v>IE-D</v>
      </c>
      <c r="F641" s="130" t="str">
        <f t="shared" si="227"/>
        <v>IE-KE</v>
      </c>
      <c r="G641" s="130" t="str">
        <f t="shared" si="227"/>
        <v>IE-KK</v>
      </c>
      <c r="H641" s="130" t="str">
        <f t="shared" si="227"/>
        <v>IE-LS</v>
      </c>
      <c r="I641" s="130" t="str">
        <f t="shared" si="227"/>
        <v>IE-LD</v>
      </c>
      <c r="J641" s="130" t="str">
        <f t="shared" si="227"/>
        <v>IE-LH</v>
      </c>
      <c r="K641" s="130" t="str">
        <f t="shared" si="227"/>
        <v>IE-MH</v>
      </c>
      <c r="L641" s="130" t="str">
        <f t="shared" si="227"/>
        <v>IE-OY</v>
      </c>
      <c r="M641" s="130" t="str">
        <f t="shared" si="227"/>
        <v>IE-WH</v>
      </c>
      <c r="N641" s="130" t="str">
        <f t="shared" si="227"/>
        <v>IE-WX</v>
      </c>
      <c r="O641" s="130" t="str">
        <f t="shared" si="227"/>
        <v>IE-WW</v>
      </c>
      <c r="P641" s="130" t="str">
        <f t="shared" si="227"/>
        <v>IE-CE</v>
      </c>
      <c r="Q641" s="130" t="str">
        <f t="shared" si="227"/>
        <v>IE-CO</v>
      </c>
      <c r="R641" s="130" t="str">
        <f t="shared" si="227"/>
        <v>IE-KY</v>
      </c>
      <c r="S641" s="130" t="str">
        <f t="shared" si="227"/>
        <v>IE-LK</v>
      </c>
      <c r="T641" s="130" t="str">
        <f t="shared" si="227"/>
        <v>IE-TA</v>
      </c>
      <c r="U641" s="130" t="str">
        <f t="shared" si="227"/>
        <v>IE-WD</v>
      </c>
      <c r="V641" s="130" t="str">
        <f t="shared" si="227"/>
        <v>IE-G</v>
      </c>
      <c r="W641" s="130" t="str">
        <f t="shared" si="227"/>
        <v>IE-LM</v>
      </c>
      <c r="X641" s="130" t="str">
        <f t="shared" si="227"/>
        <v>IE-MO</v>
      </c>
      <c r="Y641" s="130" t="str">
        <f t="shared" si="227"/>
        <v>IE-RN</v>
      </c>
      <c r="Z641" s="130" t="str">
        <f t="shared" si="227"/>
        <v>IE-SO</v>
      </c>
      <c r="AA641" s="130" t="str">
        <f t="shared" si="227"/>
        <v>IE-CN</v>
      </c>
      <c r="AB641" s="130" t="str">
        <f t="shared" si="227"/>
        <v>IE-DL</v>
      </c>
      <c r="AC641" s="130" t="str">
        <f t="shared" si="227"/>
        <v>IE-MN</v>
      </c>
    </row>
    <row r="642" spans="1:29" s="714" customFormat="1">
      <c r="A642" s="820" t="s">
        <v>1116</v>
      </c>
      <c r="B642" s="714" t="s">
        <v>1125</v>
      </c>
      <c r="C642" s="38">
        <f>C470/1000</f>
        <v>0.29199999999999998</v>
      </c>
      <c r="D642" s="38">
        <f t="shared" ref="D642:AC642" si="228">D470/1000</f>
        <v>4.5036639360040284E-3</v>
      </c>
      <c r="E642" s="38">
        <f t="shared" si="228"/>
        <v>6.6545424955208501E-2</v>
      </c>
      <c r="F642" s="38">
        <f t="shared" si="228"/>
        <v>1.2206547657003653E-2</v>
      </c>
      <c r="G642" s="38">
        <f t="shared" si="228"/>
        <v>7.8498485859894579E-3</v>
      </c>
      <c r="H642" s="38">
        <f t="shared" si="228"/>
        <v>5.5910693087846981E-3</v>
      </c>
      <c r="I642" s="38">
        <f t="shared" si="228"/>
        <v>2.6981330608871262E-3</v>
      </c>
      <c r="J642" s="38">
        <f t="shared" si="228"/>
        <v>7.0705636223405343E-3</v>
      </c>
      <c r="K642" s="38">
        <f t="shared" si="228"/>
        <v>1.0700094745319726E-2</v>
      </c>
      <c r="L642" s="38">
        <f t="shared" si="228"/>
        <v>5.1464084251173449E-3</v>
      </c>
      <c r="M642" s="38">
        <f t="shared" si="228"/>
        <v>5.8599386346720383E-3</v>
      </c>
      <c r="N642" s="38">
        <f t="shared" si="228"/>
        <v>1.1843911540546533E-2</v>
      </c>
      <c r="O642" s="38">
        <f t="shared" si="228"/>
        <v>7.813421556685473E-3</v>
      </c>
      <c r="P642" s="38">
        <f t="shared" si="228"/>
        <v>7.6888170170135248E-3</v>
      </c>
      <c r="Q642" s="38">
        <f t="shared" si="228"/>
        <v>4.1139368114561578E-2</v>
      </c>
      <c r="R642" s="38">
        <f t="shared" si="228"/>
        <v>1.1193462584085904E-2</v>
      </c>
      <c r="S642" s="38">
        <f t="shared" si="228"/>
        <v>1.261219141872728E-2</v>
      </c>
      <c r="T642" s="38">
        <f t="shared" si="228"/>
        <v>1.0324901499916337E-2</v>
      </c>
      <c r="U642" s="38">
        <f t="shared" si="228"/>
        <v>9.1902209904658905E-3</v>
      </c>
      <c r="V642" s="38">
        <f t="shared" si="228"/>
        <v>1.5314016005661671E-2</v>
      </c>
      <c r="W642" s="38">
        <f t="shared" si="228"/>
        <v>2.0423414488510579E-3</v>
      </c>
      <c r="X642" s="38">
        <f t="shared" si="228"/>
        <v>7.7447174156619345E-3</v>
      </c>
      <c r="Y642" s="38">
        <f t="shared" si="228"/>
        <v>3.8302546290734131E-3</v>
      </c>
      <c r="Z642" s="38">
        <f t="shared" si="228"/>
        <v>4.1769082152806787E-3</v>
      </c>
      <c r="AA642" s="38">
        <f t="shared" si="228"/>
        <v>4.8551180316963602E-3</v>
      </c>
      <c r="AB642" s="38">
        <f t="shared" si="228"/>
        <v>1.0146187115388139E-2</v>
      </c>
      <c r="AC642" s="38">
        <f t="shared" si="228"/>
        <v>3.9124694850571403E-3</v>
      </c>
    </row>
    <row r="643" spans="1:29" s="714" customFormat="1">
      <c r="A643" s="820" t="s">
        <v>1117</v>
      </c>
      <c r="B643" s="714" t="s">
        <v>1126</v>
      </c>
      <c r="C643" s="38">
        <f>C471/1000</f>
        <v>1.1399999999999999</v>
      </c>
      <c r="D643" s="38">
        <f t="shared" ref="D643:AC643" si="229">D471/1000</f>
        <v>1.7582797558371891E-2</v>
      </c>
      <c r="E643" s="38">
        <f t="shared" si="229"/>
        <v>0.25980063167444417</v>
      </c>
      <c r="F643" s="38">
        <f t="shared" si="229"/>
        <v>4.7655699756795081E-2</v>
      </c>
      <c r="G643" s="38">
        <f t="shared" si="229"/>
        <v>3.0646669137082128E-2</v>
      </c>
      <c r="H643" s="38">
        <f t="shared" si="229"/>
        <v>2.1828147301419711E-2</v>
      </c>
      <c r="I643" s="38">
        <f t="shared" si="229"/>
        <v>1.0533807155518235E-2</v>
      </c>
      <c r="J643" s="38">
        <f t="shared" si="229"/>
        <v>2.7604255237904825E-2</v>
      </c>
      <c r="K643" s="38">
        <f t="shared" si="229"/>
        <v>4.1774342498850987E-2</v>
      </c>
      <c r="L643" s="38">
        <f t="shared" si="229"/>
        <v>2.009214248162251E-2</v>
      </c>
      <c r="M643" s="38">
        <f t="shared" si="229"/>
        <v>2.2877842614815493E-2</v>
      </c>
      <c r="N643" s="38">
        <f t="shared" si="229"/>
        <v>4.6239928617202226E-2</v>
      </c>
      <c r="O643" s="38">
        <f t="shared" si="229"/>
        <v>3.0504454022676163E-2</v>
      </c>
      <c r="P643" s="38">
        <f t="shared" si="229"/>
        <v>3.0017984244504855E-2</v>
      </c>
      <c r="Q643" s="38">
        <f t="shared" si="229"/>
        <v>0.16061260154315135</v>
      </c>
      <c r="R643" s="38">
        <f t="shared" si="229"/>
        <v>4.3700504609102506E-2</v>
      </c>
      <c r="S643" s="38">
        <f t="shared" si="229"/>
        <v>4.9239377456675004E-2</v>
      </c>
      <c r="T643" s="38">
        <f t="shared" si="229"/>
        <v>4.0309546951728156E-2</v>
      </c>
      <c r="U643" s="38">
        <f t="shared" si="229"/>
        <v>3.5879629894284643E-2</v>
      </c>
      <c r="V643" s="38">
        <f t="shared" si="229"/>
        <v>5.9787596734432548E-2</v>
      </c>
      <c r="W643" s="38">
        <f t="shared" si="229"/>
        <v>7.9735248345555003E-3</v>
      </c>
      <c r="X643" s="38">
        <f t="shared" si="229"/>
        <v>3.0236225526899335E-2</v>
      </c>
      <c r="Y643" s="38">
        <f t="shared" si="229"/>
        <v>1.4953733825834557E-2</v>
      </c>
      <c r="Z643" s="38">
        <f t="shared" si="229"/>
        <v>1.6307107415821826E-2</v>
      </c>
      <c r="AA643" s="38">
        <f t="shared" si="229"/>
        <v>1.8954912863472093E-2</v>
      </c>
      <c r="AB643" s="38">
        <f t="shared" si="229"/>
        <v>3.9611826409392051E-2</v>
      </c>
      <c r="AC643" s="38">
        <f t="shared" si="229"/>
        <v>1.527470963344226E-2</v>
      </c>
    </row>
    <row r="644" spans="1:29" s="714" customFormat="1">
      <c r="A644" s="820" t="s">
        <v>1118</v>
      </c>
      <c r="B644" s="714" t="s">
        <v>1127</v>
      </c>
      <c r="C644" s="38">
        <f>C472/1000</f>
        <v>10.106</v>
      </c>
      <c r="D644" s="38">
        <f t="shared" ref="D644:AC644" si="230">D472/1000</f>
        <v>0.15586995800430381</v>
      </c>
      <c r="E644" s="38">
        <f t="shared" si="230"/>
        <v>2.3031098102648535</v>
      </c>
      <c r="F644" s="38">
        <f t="shared" si="230"/>
        <v>0.42246359801944827</v>
      </c>
      <c r="G644" s="38">
        <f t="shared" si="230"/>
        <v>0.2716800335959228</v>
      </c>
      <c r="H644" s="38">
        <f t="shared" si="230"/>
        <v>0.19350461107732247</v>
      </c>
      <c r="I644" s="38">
        <f t="shared" si="230"/>
        <v>9.3381276415497608E-2</v>
      </c>
      <c r="J644" s="38">
        <f t="shared" si="230"/>
        <v>0.24470930125812823</v>
      </c>
      <c r="K644" s="38">
        <f t="shared" si="230"/>
        <v>0.37032588183630533</v>
      </c>
      <c r="L644" s="38">
        <f t="shared" si="230"/>
        <v>0.17811508063094481</v>
      </c>
      <c r="M644" s="38">
        <f t="shared" si="230"/>
        <v>0.20281006795203979</v>
      </c>
      <c r="N644" s="38">
        <f t="shared" si="230"/>
        <v>0.40991291105740851</v>
      </c>
      <c r="O644" s="38">
        <f t="shared" si="230"/>
        <v>0.27041930908172396</v>
      </c>
      <c r="P644" s="38">
        <f t="shared" si="230"/>
        <v>0.26610679717102287</v>
      </c>
      <c r="Q644" s="38">
        <f t="shared" si="230"/>
        <v>1.4238166238553398</v>
      </c>
      <c r="R644" s="38">
        <f t="shared" si="230"/>
        <v>0.38740113998209635</v>
      </c>
      <c r="S644" s="38">
        <f t="shared" si="230"/>
        <v>0.43650276190978732</v>
      </c>
      <c r="T644" s="38">
        <f t="shared" si="230"/>
        <v>0.35734059780189892</v>
      </c>
      <c r="U644" s="38">
        <f t="shared" si="230"/>
        <v>0.31806977167687772</v>
      </c>
      <c r="V644" s="38">
        <f t="shared" si="230"/>
        <v>0.53001180052471519</v>
      </c>
      <c r="W644" s="38">
        <f t="shared" si="230"/>
        <v>7.0684598226331469E-2</v>
      </c>
      <c r="X644" s="38">
        <f t="shared" si="230"/>
        <v>0.26804148699547781</v>
      </c>
      <c r="Y644" s="38">
        <f t="shared" si="230"/>
        <v>0.13256353863498599</v>
      </c>
      <c r="Z644" s="38">
        <f t="shared" si="230"/>
        <v>0.14456107679324157</v>
      </c>
      <c r="AA644" s="38">
        <f t="shared" si="230"/>
        <v>0.16803363982302544</v>
      </c>
      <c r="AB644" s="38">
        <f t="shared" si="230"/>
        <v>0.35115536639764572</v>
      </c>
      <c r="AC644" s="38">
        <f t="shared" si="230"/>
        <v>0.13540896101365571</v>
      </c>
    </row>
    <row r="645" spans="1:29" s="714" customFormat="1">
      <c r="A645" s="820" t="s">
        <v>24</v>
      </c>
      <c r="B645" s="714" t="s">
        <v>17</v>
      </c>
      <c r="C645" s="38">
        <f t="shared" ref="C645:AC645" si="231">C18</f>
        <v>8.8551000000000005E-2</v>
      </c>
      <c r="D645" s="38">
        <f t="shared" si="231"/>
        <v>0</v>
      </c>
      <c r="E645" s="38">
        <f t="shared" si="231"/>
        <v>2.8462821428571431E-2</v>
      </c>
      <c r="F645" s="38">
        <f t="shared" si="231"/>
        <v>0</v>
      </c>
      <c r="G645" s="38">
        <f t="shared" si="231"/>
        <v>0</v>
      </c>
      <c r="H645" s="38">
        <f t="shared" si="231"/>
        <v>0</v>
      </c>
      <c r="I645" s="38">
        <f t="shared" si="231"/>
        <v>0</v>
      </c>
      <c r="J645" s="38">
        <f t="shared" si="231"/>
        <v>0</v>
      </c>
      <c r="K645" s="38">
        <f t="shared" si="231"/>
        <v>9.4876071428571431E-3</v>
      </c>
      <c r="L645" s="38">
        <f t="shared" si="231"/>
        <v>0</v>
      </c>
      <c r="M645" s="38">
        <f t="shared" si="231"/>
        <v>0</v>
      </c>
      <c r="N645" s="38">
        <f t="shared" si="231"/>
        <v>0</v>
      </c>
      <c r="O645" s="38">
        <f t="shared" si="231"/>
        <v>0</v>
      </c>
      <c r="P645" s="38">
        <f t="shared" si="231"/>
        <v>0</v>
      </c>
      <c r="Q645" s="38">
        <f t="shared" si="231"/>
        <v>0</v>
      </c>
      <c r="R645" s="38">
        <f t="shared" si="231"/>
        <v>0</v>
      </c>
      <c r="S645" s="38">
        <f t="shared" si="231"/>
        <v>0</v>
      </c>
      <c r="T645" s="38">
        <f t="shared" si="231"/>
        <v>0</v>
      </c>
      <c r="U645" s="38">
        <f t="shared" si="231"/>
        <v>1.5812678571428571E-2</v>
      </c>
      <c r="V645" s="38">
        <f t="shared" si="231"/>
        <v>0</v>
      </c>
      <c r="W645" s="38">
        <f t="shared" si="231"/>
        <v>0</v>
      </c>
      <c r="X645" s="38">
        <f t="shared" si="231"/>
        <v>3.4787892857142858E-2</v>
      </c>
      <c r="Y645" s="38">
        <f t="shared" si="231"/>
        <v>0</v>
      </c>
      <c r="Z645" s="38">
        <f t="shared" si="231"/>
        <v>0</v>
      </c>
      <c r="AA645" s="38">
        <f t="shared" si="231"/>
        <v>0</v>
      </c>
      <c r="AB645" s="38">
        <f t="shared" si="231"/>
        <v>0</v>
      </c>
      <c r="AC645" s="38">
        <f t="shared" si="231"/>
        <v>0</v>
      </c>
    </row>
    <row r="646" spans="1:29" s="714" customFormat="1">
      <c r="A646" s="821"/>
      <c r="B646" s="821" t="s">
        <v>16</v>
      </c>
      <c r="C646" s="825">
        <f>SUM(C642:C645)</f>
        <v>11.626551000000001</v>
      </c>
      <c r="D646" s="825">
        <f t="shared" ref="D646:AC646" si="232">SUM(D642:D645)</f>
        <v>0.17795641949867974</v>
      </c>
      <c r="E646" s="825">
        <f t="shared" si="232"/>
        <v>2.6579186883230776</v>
      </c>
      <c r="F646" s="825">
        <f t="shared" si="232"/>
        <v>0.48232584543324702</v>
      </c>
      <c r="G646" s="825">
        <f t="shared" si="232"/>
        <v>0.31017655131899435</v>
      </c>
      <c r="H646" s="825">
        <f t="shared" si="232"/>
        <v>0.22092382768752689</v>
      </c>
      <c r="I646" s="825">
        <f t="shared" si="232"/>
        <v>0.10661321663190297</v>
      </c>
      <c r="J646" s="825">
        <f t="shared" si="232"/>
        <v>0.2793841201183736</v>
      </c>
      <c r="K646" s="825">
        <f t="shared" si="232"/>
        <v>0.43228792622333317</v>
      </c>
      <c r="L646" s="825">
        <f t="shared" si="232"/>
        <v>0.20335363153768465</v>
      </c>
      <c r="M646" s="825">
        <f t="shared" si="232"/>
        <v>0.23154784920152732</v>
      </c>
      <c r="N646" s="825">
        <f t="shared" si="232"/>
        <v>0.46799675121515727</v>
      </c>
      <c r="O646" s="825">
        <f t="shared" si="232"/>
        <v>0.30873718466108557</v>
      </c>
      <c r="P646" s="825">
        <f t="shared" si="232"/>
        <v>0.30381359843254124</v>
      </c>
      <c r="Q646" s="825">
        <f t="shared" si="232"/>
        <v>1.6255685935130528</v>
      </c>
      <c r="R646" s="825">
        <f t="shared" si="232"/>
        <v>0.44229510717528475</v>
      </c>
      <c r="S646" s="825">
        <f t="shared" si="232"/>
        <v>0.49835433078518959</v>
      </c>
      <c r="T646" s="825">
        <f t="shared" si="232"/>
        <v>0.40797504625354342</v>
      </c>
      <c r="U646" s="825">
        <f t="shared" si="232"/>
        <v>0.37895230113305683</v>
      </c>
      <c r="V646" s="825">
        <f t="shared" si="232"/>
        <v>0.60511341326480939</v>
      </c>
      <c r="W646" s="825">
        <f t="shared" si="232"/>
        <v>8.0700464509738029E-2</v>
      </c>
      <c r="X646" s="825">
        <f t="shared" si="232"/>
        <v>0.34081032279518192</v>
      </c>
      <c r="Y646" s="825">
        <f t="shared" si="232"/>
        <v>0.15134752708989396</v>
      </c>
      <c r="Z646" s="825">
        <f t="shared" si="232"/>
        <v>0.16504509242434406</v>
      </c>
      <c r="AA646" s="825">
        <f t="shared" si="232"/>
        <v>0.19184367071819389</v>
      </c>
      <c r="AB646" s="825">
        <f>SUM(AB642:AB645)</f>
        <v>0.40091337992242593</v>
      </c>
      <c r="AC646" s="825">
        <f t="shared" si="232"/>
        <v>0.15459614013215511</v>
      </c>
    </row>
    <row r="647" spans="1:29" s="714" customFormat="1">
      <c r="A647" s="802"/>
      <c r="B647" s="802"/>
      <c r="C647" s="804"/>
      <c r="D647" s="804"/>
      <c r="E647" s="804"/>
      <c r="F647" s="804"/>
      <c r="G647" s="804"/>
      <c r="H647" s="804"/>
      <c r="I647" s="804"/>
      <c r="J647" s="804"/>
      <c r="K647" s="804"/>
      <c r="L647" s="804"/>
      <c r="M647" s="804"/>
      <c r="N647" s="804"/>
      <c r="O647" s="804"/>
      <c r="P647" s="804"/>
      <c r="Q647" s="804"/>
      <c r="R647" s="804"/>
      <c r="S647" s="804"/>
      <c r="T647" s="804"/>
      <c r="U647" s="804"/>
      <c r="V647" s="804"/>
      <c r="W647" s="804"/>
      <c r="X647" s="804"/>
      <c r="Y647" s="804"/>
      <c r="Z647" s="804"/>
      <c r="AA647" s="804"/>
      <c r="AB647" s="804"/>
      <c r="AC647" s="804"/>
    </row>
    <row r="648" spans="1:29" s="714" customFormat="1">
      <c r="A648" s="802"/>
      <c r="B648" s="802"/>
      <c r="C648" s="804"/>
      <c r="D648" s="804"/>
      <c r="E648" s="804"/>
      <c r="F648" s="804"/>
      <c r="G648" s="804"/>
      <c r="H648" s="804"/>
      <c r="I648" s="804"/>
      <c r="J648" s="804"/>
      <c r="K648" s="804"/>
      <c r="L648" s="804"/>
      <c r="M648" s="804"/>
      <c r="N648" s="804"/>
      <c r="O648" s="804"/>
      <c r="P648" s="804"/>
      <c r="Q648" s="804"/>
      <c r="R648" s="804"/>
      <c r="S648" s="804"/>
      <c r="T648" s="804"/>
      <c r="U648" s="804"/>
      <c r="V648" s="804"/>
      <c r="W648" s="804"/>
      <c r="X648" s="804"/>
      <c r="Y648" s="804"/>
      <c r="Z648" s="804"/>
      <c r="AA648" s="804"/>
      <c r="AB648" s="804"/>
      <c r="AC648" s="804"/>
    </row>
    <row r="649" spans="1:29" s="714" customFormat="1">
      <c r="A649" s="802"/>
      <c r="B649" s="802"/>
      <c r="C649" s="804"/>
      <c r="D649" s="804"/>
      <c r="E649" s="804"/>
      <c r="F649" s="804"/>
      <c r="G649" s="804"/>
      <c r="H649" s="804"/>
      <c r="I649" s="804"/>
      <c r="J649" s="804"/>
      <c r="K649" s="804"/>
      <c r="L649" s="804"/>
      <c r="M649" s="804"/>
      <c r="N649" s="804"/>
      <c r="O649" s="804"/>
      <c r="P649" s="804"/>
      <c r="Q649" s="804"/>
      <c r="R649" s="804"/>
      <c r="S649" s="804"/>
      <c r="T649" s="804"/>
      <c r="U649" s="804"/>
      <c r="V649" s="804"/>
      <c r="W649" s="804"/>
      <c r="X649" s="804"/>
      <c r="Y649" s="804"/>
      <c r="Z649" s="804"/>
      <c r="AA649" s="804"/>
      <c r="AB649" s="804"/>
      <c r="AC649" s="804"/>
    </row>
    <row r="650" spans="1:29" s="714" customFormat="1" ht="15.6">
      <c r="A650" s="401" t="s">
        <v>1150</v>
      </c>
    </row>
    <row r="651" spans="1:29" s="714" customFormat="1" ht="17.399999999999999">
      <c r="A651" s="716" t="s">
        <v>1119</v>
      </c>
      <c r="B651" s="716" t="s">
        <v>677</v>
      </c>
      <c r="C651" s="130" t="str">
        <f>C641</f>
        <v>IE</v>
      </c>
      <c r="D651" s="130" t="str">
        <f t="shared" ref="D651:AC651" si="233">D641</f>
        <v>IE-CW</v>
      </c>
      <c r="E651" s="130" t="str">
        <f t="shared" si="233"/>
        <v>IE-D</v>
      </c>
      <c r="F651" s="130" t="str">
        <f t="shared" si="233"/>
        <v>IE-KE</v>
      </c>
      <c r="G651" s="130" t="str">
        <f t="shared" si="233"/>
        <v>IE-KK</v>
      </c>
      <c r="H651" s="130" t="str">
        <f t="shared" si="233"/>
        <v>IE-LS</v>
      </c>
      <c r="I651" s="130" t="str">
        <f t="shared" si="233"/>
        <v>IE-LD</v>
      </c>
      <c r="J651" s="130" t="str">
        <f t="shared" si="233"/>
        <v>IE-LH</v>
      </c>
      <c r="K651" s="130" t="str">
        <f t="shared" si="233"/>
        <v>IE-MH</v>
      </c>
      <c r="L651" s="130" t="str">
        <f t="shared" si="233"/>
        <v>IE-OY</v>
      </c>
      <c r="M651" s="130" t="str">
        <f t="shared" si="233"/>
        <v>IE-WH</v>
      </c>
      <c r="N651" s="130" t="str">
        <f t="shared" si="233"/>
        <v>IE-WX</v>
      </c>
      <c r="O651" s="130" t="str">
        <f t="shared" si="233"/>
        <v>IE-WW</v>
      </c>
      <c r="P651" s="130" t="str">
        <f t="shared" si="233"/>
        <v>IE-CE</v>
      </c>
      <c r="Q651" s="130" t="str">
        <f t="shared" si="233"/>
        <v>IE-CO</v>
      </c>
      <c r="R651" s="130" t="str">
        <f t="shared" si="233"/>
        <v>IE-KY</v>
      </c>
      <c r="S651" s="130" t="str">
        <f t="shared" si="233"/>
        <v>IE-LK</v>
      </c>
      <c r="T651" s="130" t="str">
        <f t="shared" si="233"/>
        <v>IE-TA</v>
      </c>
      <c r="U651" s="130" t="str">
        <f t="shared" si="233"/>
        <v>IE-WD</v>
      </c>
      <c r="V651" s="130" t="str">
        <f t="shared" si="233"/>
        <v>IE-G</v>
      </c>
      <c r="W651" s="130" t="str">
        <f t="shared" si="233"/>
        <v>IE-LM</v>
      </c>
      <c r="X651" s="130" t="str">
        <f t="shared" si="233"/>
        <v>IE-MO</v>
      </c>
      <c r="Y651" s="130" t="str">
        <f t="shared" si="233"/>
        <v>IE-RN</v>
      </c>
      <c r="Z651" s="130" t="str">
        <f t="shared" si="233"/>
        <v>IE-SO</v>
      </c>
      <c r="AA651" s="130" t="str">
        <f t="shared" si="233"/>
        <v>IE-CN</v>
      </c>
      <c r="AB651" s="130" t="str">
        <f t="shared" si="233"/>
        <v>IE-DL</v>
      </c>
      <c r="AC651" s="130" t="str">
        <f t="shared" si="233"/>
        <v>IE-MN</v>
      </c>
    </row>
    <row r="652" spans="1:29" s="714" customFormat="1">
      <c r="A652" s="820" t="s">
        <v>1116</v>
      </c>
      <c r="B652" s="714" t="s">
        <v>1125</v>
      </c>
      <c r="C652" s="388">
        <f>C642/C$646</f>
        <v>2.5114928752301518E-2</v>
      </c>
      <c r="D652" s="388">
        <f>D642/D$646</f>
        <v>2.5307678973825617E-2</v>
      </c>
      <c r="E652" s="388">
        <f t="shared" ref="E652:AC652" si="234">E642/E$646</f>
        <v>2.5036666940775772E-2</v>
      </c>
      <c r="F652" s="388">
        <f t="shared" si="234"/>
        <v>2.5307678973825621E-2</v>
      </c>
      <c r="G652" s="388">
        <f t="shared" si="234"/>
        <v>2.5307678973825624E-2</v>
      </c>
      <c r="H652" s="388">
        <f t="shared" si="234"/>
        <v>2.5307678973825617E-2</v>
      </c>
      <c r="I652" s="388">
        <f t="shared" si="234"/>
        <v>2.5307678973825614E-2</v>
      </c>
      <c r="J652" s="388">
        <f t="shared" si="234"/>
        <v>2.5307678973825617E-2</v>
      </c>
      <c r="K652" s="388">
        <f t="shared" si="234"/>
        <v>2.475224056984587E-2</v>
      </c>
      <c r="L652" s="388">
        <f t="shared" si="234"/>
        <v>2.5307678973825621E-2</v>
      </c>
      <c r="M652" s="388">
        <f t="shared" si="234"/>
        <v>2.5307678973825621E-2</v>
      </c>
      <c r="N652" s="388">
        <f t="shared" si="234"/>
        <v>2.5307678973825614E-2</v>
      </c>
      <c r="O652" s="388">
        <f t="shared" si="234"/>
        <v>2.5307678973825621E-2</v>
      </c>
      <c r="P652" s="388">
        <f t="shared" si="234"/>
        <v>2.5307678973825621E-2</v>
      </c>
      <c r="Q652" s="388">
        <f t="shared" si="234"/>
        <v>2.5307678973825624E-2</v>
      </c>
      <c r="R652" s="388">
        <f t="shared" si="234"/>
        <v>2.5307678973825621E-2</v>
      </c>
      <c r="S652" s="388">
        <f t="shared" si="234"/>
        <v>2.5307678973825621E-2</v>
      </c>
      <c r="T652" s="388">
        <f t="shared" si="234"/>
        <v>2.5307678973825624E-2</v>
      </c>
      <c r="U652" s="388">
        <f t="shared" si="234"/>
        <v>2.4251656377299691E-2</v>
      </c>
      <c r="V652" s="388">
        <f t="shared" si="234"/>
        <v>2.5307678973825621E-2</v>
      </c>
      <c r="W652" s="388">
        <f t="shared" si="234"/>
        <v>2.5307678973825621E-2</v>
      </c>
      <c r="X652" s="388">
        <f t="shared" si="234"/>
        <v>2.2724421467469186E-2</v>
      </c>
      <c r="Y652" s="388">
        <f t="shared" si="234"/>
        <v>2.5307678973825621E-2</v>
      </c>
      <c r="Z652" s="388">
        <f t="shared" si="234"/>
        <v>2.5307678973825621E-2</v>
      </c>
      <c r="AA652" s="388">
        <f t="shared" si="234"/>
        <v>2.5307678973825614E-2</v>
      </c>
      <c r="AB652" s="388">
        <f t="shared" si="234"/>
        <v>2.5307678973825614E-2</v>
      </c>
      <c r="AC652" s="388">
        <f t="shared" si="234"/>
        <v>2.5307678973825614E-2</v>
      </c>
    </row>
    <row r="653" spans="1:29" s="714" customFormat="1">
      <c r="A653" s="820" t="s">
        <v>1117</v>
      </c>
      <c r="B653" s="714" t="s">
        <v>1126</v>
      </c>
      <c r="C653" s="388">
        <f t="shared" ref="C653:C655" si="235">C643/C$646</f>
        <v>9.8051434169944274E-2</v>
      </c>
      <c r="D653" s="388">
        <f t="shared" ref="D653:AC653" si="236">D643/D$646</f>
        <v>9.8803952158086308E-2</v>
      </c>
      <c r="E653" s="388">
        <f t="shared" si="236"/>
        <v>9.7745891481110903E-2</v>
      </c>
      <c r="F653" s="388">
        <f t="shared" si="236"/>
        <v>9.8803952158086336E-2</v>
      </c>
      <c r="G653" s="388">
        <f t="shared" si="236"/>
        <v>9.8803952158086336E-2</v>
      </c>
      <c r="H653" s="388">
        <f t="shared" si="236"/>
        <v>9.8803952158086308E-2</v>
      </c>
      <c r="I653" s="388">
        <f t="shared" si="236"/>
        <v>9.8803952158086322E-2</v>
      </c>
      <c r="J653" s="388">
        <f t="shared" si="236"/>
        <v>9.8803952158086308E-2</v>
      </c>
      <c r="K653" s="388">
        <f t="shared" si="236"/>
        <v>9.663545975898731E-2</v>
      </c>
      <c r="L653" s="388">
        <f t="shared" si="236"/>
        <v>9.8803952158086322E-2</v>
      </c>
      <c r="M653" s="388">
        <f t="shared" si="236"/>
        <v>9.8803952158086322E-2</v>
      </c>
      <c r="N653" s="388">
        <f t="shared" si="236"/>
        <v>9.8803952158086322E-2</v>
      </c>
      <c r="O653" s="388">
        <f t="shared" si="236"/>
        <v>9.8803952158086322E-2</v>
      </c>
      <c r="P653" s="388">
        <f t="shared" si="236"/>
        <v>9.8803952158086322E-2</v>
      </c>
      <c r="Q653" s="388">
        <f t="shared" si="236"/>
        <v>9.8803952158086322E-2</v>
      </c>
      <c r="R653" s="388">
        <f t="shared" si="236"/>
        <v>9.8803952158086336E-2</v>
      </c>
      <c r="S653" s="388">
        <f t="shared" si="236"/>
        <v>9.8803952158086336E-2</v>
      </c>
      <c r="T653" s="388">
        <f t="shared" si="236"/>
        <v>9.8803952158086322E-2</v>
      </c>
      <c r="U653" s="388">
        <f t="shared" si="236"/>
        <v>9.4681124212745368E-2</v>
      </c>
      <c r="V653" s="388">
        <f t="shared" si="236"/>
        <v>9.8803952158086322E-2</v>
      </c>
      <c r="W653" s="388">
        <f t="shared" si="236"/>
        <v>9.8803952158086336E-2</v>
      </c>
      <c r="X653" s="388">
        <f t="shared" si="236"/>
        <v>8.8718631756557781E-2</v>
      </c>
      <c r="Y653" s="388">
        <f t="shared" si="236"/>
        <v>9.8803952158086322E-2</v>
      </c>
      <c r="Z653" s="388">
        <f t="shared" si="236"/>
        <v>9.8803952158086322E-2</v>
      </c>
      <c r="AA653" s="388">
        <f t="shared" si="236"/>
        <v>9.8803952158086308E-2</v>
      </c>
      <c r="AB653" s="388">
        <f t="shared" si="236"/>
        <v>9.8803952158086308E-2</v>
      </c>
      <c r="AC653" s="388">
        <f t="shared" si="236"/>
        <v>9.8803952158086308E-2</v>
      </c>
    </row>
    <row r="654" spans="1:29" s="714" customFormat="1">
      <c r="A654" s="820" t="s">
        <v>1118</v>
      </c>
      <c r="B654" s="714" t="s">
        <v>1127</v>
      </c>
      <c r="C654" s="388">
        <f t="shared" si="235"/>
        <v>0.86921736291355867</v>
      </c>
      <c r="D654" s="388">
        <f t="shared" ref="D654:AC654" si="237">D644/D$646</f>
        <v>0.87588836886808796</v>
      </c>
      <c r="E654" s="388">
        <f t="shared" si="237"/>
        <v>0.86650875377904113</v>
      </c>
      <c r="F654" s="388">
        <f t="shared" si="237"/>
        <v>0.87588836886808796</v>
      </c>
      <c r="G654" s="388">
        <f t="shared" si="237"/>
        <v>0.87588836886808819</v>
      </c>
      <c r="H654" s="388">
        <f>H644/H$646</f>
        <v>0.87588836886808807</v>
      </c>
      <c r="I654" s="388">
        <f t="shared" si="237"/>
        <v>0.87588836886808807</v>
      </c>
      <c r="J654" s="388">
        <f t="shared" si="237"/>
        <v>0.87588836886808807</v>
      </c>
      <c r="K654" s="388">
        <f t="shared" si="237"/>
        <v>0.85666487396870672</v>
      </c>
      <c r="L654" s="388">
        <f t="shared" si="237"/>
        <v>0.87588836886808807</v>
      </c>
      <c r="M654" s="388">
        <f t="shared" si="237"/>
        <v>0.87588836886808807</v>
      </c>
      <c r="N654" s="388">
        <f t="shared" si="237"/>
        <v>0.87588836886808807</v>
      </c>
      <c r="O654" s="388">
        <f t="shared" si="237"/>
        <v>0.87588836886808807</v>
      </c>
      <c r="P654" s="388">
        <f t="shared" si="237"/>
        <v>0.87588836886808807</v>
      </c>
      <c r="Q654" s="388">
        <f t="shared" si="237"/>
        <v>0.87588836886808796</v>
      </c>
      <c r="R654" s="388">
        <f t="shared" si="237"/>
        <v>0.87588836886808807</v>
      </c>
      <c r="S654" s="388">
        <f t="shared" si="237"/>
        <v>0.87588836886808807</v>
      </c>
      <c r="T654" s="388">
        <f t="shared" si="237"/>
        <v>0.87588836886808807</v>
      </c>
      <c r="U654" s="388">
        <f t="shared" si="237"/>
        <v>0.83933986078421463</v>
      </c>
      <c r="V654" s="388">
        <f t="shared" si="237"/>
        <v>0.87588836886808807</v>
      </c>
      <c r="W654" s="388">
        <f t="shared" si="237"/>
        <v>0.87588836886808796</v>
      </c>
      <c r="X654" s="388">
        <f t="shared" si="237"/>
        <v>0.78648288818576584</v>
      </c>
      <c r="Y654" s="388">
        <f t="shared" si="237"/>
        <v>0.87588836886808807</v>
      </c>
      <c r="Z654" s="388">
        <f t="shared" si="237"/>
        <v>0.87588836886808807</v>
      </c>
      <c r="AA654" s="388">
        <f t="shared" si="237"/>
        <v>0.87588836886808807</v>
      </c>
      <c r="AB654" s="388">
        <f t="shared" si="237"/>
        <v>0.87588836886808807</v>
      </c>
      <c r="AC654" s="388">
        <f t="shared" si="237"/>
        <v>0.87588836886808807</v>
      </c>
    </row>
    <row r="655" spans="1:29" s="714" customFormat="1">
      <c r="A655" s="820" t="s">
        <v>24</v>
      </c>
      <c r="B655" s="714" t="s">
        <v>17</v>
      </c>
      <c r="C655" s="822">
        <f t="shared" si="235"/>
        <v>7.6162741641953831E-3</v>
      </c>
      <c r="D655" s="822">
        <f t="shared" ref="D655:AC655" si="238">D645/D$646</f>
        <v>0</v>
      </c>
      <c r="E655" s="822">
        <f t="shared" si="238"/>
        <v>1.0708687799072239E-2</v>
      </c>
      <c r="F655" s="822">
        <f t="shared" si="238"/>
        <v>0</v>
      </c>
      <c r="G655" s="822">
        <f t="shared" si="238"/>
        <v>0</v>
      </c>
      <c r="H655" s="822">
        <f t="shared" si="238"/>
        <v>0</v>
      </c>
      <c r="I655" s="822">
        <f t="shared" si="238"/>
        <v>0</v>
      </c>
      <c r="J655" s="822">
        <f t="shared" si="238"/>
        <v>0</v>
      </c>
      <c r="K655" s="822">
        <f t="shared" si="238"/>
        <v>2.1947425702460065E-2</v>
      </c>
      <c r="L655" s="822">
        <f t="shared" si="238"/>
        <v>0</v>
      </c>
      <c r="M655" s="822">
        <f t="shared" si="238"/>
        <v>0</v>
      </c>
      <c r="N655" s="822">
        <f t="shared" si="238"/>
        <v>0</v>
      </c>
      <c r="O655" s="822">
        <f t="shared" si="238"/>
        <v>0</v>
      </c>
      <c r="P655" s="822">
        <f t="shared" si="238"/>
        <v>0</v>
      </c>
      <c r="Q655" s="822">
        <f t="shared" si="238"/>
        <v>0</v>
      </c>
      <c r="R655" s="822">
        <f t="shared" si="238"/>
        <v>0</v>
      </c>
      <c r="S655" s="822">
        <f t="shared" si="238"/>
        <v>0</v>
      </c>
      <c r="T655" s="822">
        <f t="shared" si="238"/>
        <v>0</v>
      </c>
      <c r="U655" s="822">
        <f t="shared" si="238"/>
        <v>4.1727358625740237E-2</v>
      </c>
      <c r="V655" s="822">
        <f t="shared" si="238"/>
        <v>0</v>
      </c>
      <c r="W655" s="822">
        <f t="shared" si="238"/>
        <v>0</v>
      </c>
      <c r="X655" s="822">
        <f>X645/X$646</f>
        <v>0.10207405859020728</v>
      </c>
      <c r="Y655" s="822">
        <f t="shared" si="238"/>
        <v>0</v>
      </c>
      <c r="Z655" s="822">
        <f t="shared" si="238"/>
        <v>0</v>
      </c>
      <c r="AA655" s="822">
        <f t="shared" si="238"/>
        <v>0</v>
      </c>
      <c r="AB655" s="822">
        <f t="shared" si="238"/>
        <v>0</v>
      </c>
      <c r="AC655" s="822">
        <f t="shared" si="238"/>
        <v>0</v>
      </c>
    </row>
    <row r="656" spans="1:29" s="714" customFormat="1">
      <c r="A656" s="821"/>
      <c r="B656" s="821" t="s">
        <v>16</v>
      </c>
      <c r="C656" s="803">
        <f>SUM(C652:C655)</f>
        <v>0.99999999999999989</v>
      </c>
      <c r="D656" s="803">
        <f t="shared" ref="D656:AC656" si="239">SUM(D652:D655)</f>
        <v>0.99999999999999989</v>
      </c>
      <c r="E656" s="803">
        <f t="shared" si="239"/>
        <v>1</v>
      </c>
      <c r="F656" s="803">
        <f t="shared" si="239"/>
        <v>0.99999999999999989</v>
      </c>
      <c r="G656" s="803">
        <f t="shared" si="239"/>
        <v>1.0000000000000002</v>
      </c>
      <c r="H656" s="803">
        <f t="shared" si="239"/>
        <v>1</v>
      </c>
      <c r="I656" s="803">
        <f t="shared" si="239"/>
        <v>1</v>
      </c>
      <c r="J656" s="803">
        <f t="shared" si="239"/>
        <v>1</v>
      </c>
      <c r="K656" s="803">
        <f t="shared" si="239"/>
        <v>1</v>
      </c>
      <c r="L656" s="803">
        <f t="shared" si="239"/>
        <v>1</v>
      </c>
      <c r="M656" s="803">
        <f t="shared" si="239"/>
        <v>1</v>
      </c>
      <c r="N656" s="803">
        <f t="shared" si="239"/>
        <v>1</v>
      </c>
      <c r="O656" s="803">
        <f t="shared" si="239"/>
        <v>1</v>
      </c>
      <c r="P656" s="803">
        <f t="shared" si="239"/>
        <v>1</v>
      </c>
      <c r="Q656" s="803">
        <f t="shared" si="239"/>
        <v>0.99999999999999989</v>
      </c>
      <c r="R656" s="803">
        <f t="shared" si="239"/>
        <v>1</v>
      </c>
      <c r="S656" s="803">
        <f t="shared" si="239"/>
        <v>1</v>
      </c>
      <c r="T656" s="803">
        <f t="shared" si="239"/>
        <v>1</v>
      </c>
      <c r="U656" s="803">
        <f t="shared" si="239"/>
        <v>1</v>
      </c>
      <c r="V656" s="803">
        <f t="shared" si="239"/>
        <v>1</v>
      </c>
      <c r="W656" s="803">
        <f t="shared" si="239"/>
        <v>0.99999999999999989</v>
      </c>
      <c r="X656" s="803">
        <f t="shared" si="239"/>
        <v>1</v>
      </c>
      <c r="Y656" s="803">
        <f t="shared" si="239"/>
        <v>1</v>
      </c>
      <c r="Z656" s="803">
        <f t="shared" si="239"/>
        <v>1</v>
      </c>
      <c r="AA656" s="803">
        <f t="shared" si="239"/>
        <v>1</v>
      </c>
      <c r="AB656" s="803">
        <f t="shared" si="239"/>
        <v>1</v>
      </c>
      <c r="AC656" s="803">
        <f t="shared" si="239"/>
        <v>1</v>
      </c>
    </row>
    <row r="657" spans="1:32" s="459" customFormat="1">
      <c r="D657" s="388"/>
      <c r="E657" s="388"/>
      <c r="F657" s="388"/>
      <c r="G657" s="388"/>
      <c r="H657" s="388"/>
      <c r="I657" s="388"/>
      <c r="J657" s="388"/>
      <c r="K657" s="388"/>
      <c r="L657" s="388"/>
      <c r="M657" s="388"/>
      <c r="N657" s="388"/>
      <c r="O657" s="388"/>
      <c r="P657" s="388"/>
      <c r="Q657" s="388"/>
      <c r="R657" s="388"/>
      <c r="S657" s="388"/>
      <c r="T657" s="388"/>
      <c r="U657" s="388"/>
      <c r="V657" s="388"/>
      <c r="W657" s="388"/>
      <c r="X657" s="388"/>
      <c r="Y657" s="388"/>
      <c r="Z657" s="388"/>
      <c r="AA657" s="388"/>
      <c r="AB657" s="388"/>
      <c r="AC657" s="388"/>
    </row>
    <row r="658" spans="1:32" s="714" customFormat="1">
      <c r="D658" s="388"/>
      <c r="E658" s="388"/>
      <c r="F658" s="388"/>
      <c r="G658" s="388"/>
      <c r="H658" s="388"/>
      <c r="I658" s="388"/>
      <c r="J658" s="388"/>
      <c r="K658" s="388"/>
      <c r="L658" s="388"/>
      <c r="M658" s="388"/>
      <c r="N658" s="388"/>
      <c r="O658" s="388"/>
      <c r="P658" s="388"/>
      <c r="Q658" s="388"/>
      <c r="R658" s="388"/>
      <c r="S658" s="388"/>
      <c r="T658" s="388"/>
      <c r="U658" s="388"/>
      <c r="V658" s="388"/>
      <c r="W658" s="388"/>
      <c r="X658" s="388"/>
      <c r="Y658" s="388"/>
      <c r="Z658" s="388"/>
      <c r="AA658" s="388"/>
      <c r="AB658" s="388"/>
      <c r="AC658" s="388"/>
    </row>
    <row r="659" spans="1:32">
      <c r="A659" s="459"/>
      <c r="B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c r="AD659" s="459"/>
      <c r="AE659" s="459"/>
      <c r="AF659" s="459"/>
    </row>
    <row r="660" spans="1:32" s="520" customFormat="1" ht="18">
      <c r="A660" s="522" t="s">
        <v>741</v>
      </c>
    </row>
    <row r="661" spans="1:32">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c r="AD661" s="459"/>
      <c r="AE661" s="459"/>
      <c r="AF661" s="459"/>
    </row>
    <row r="662" spans="1:32">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c r="AD662" s="459"/>
      <c r="AE662" s="459"/>
      <c r="AF662" s="459"/>
    </row>
    <row r="663" spans="1:32" ht="15.6">
      <c r="A663" s="401" t="s">
        <v>742</v>
      </c>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c r="AD663" s="459"/>
      <c r="AE663" s="459"/>
      <c r="AF663" s="459"/>
    </row>
    <row r="664" spans="1:32">
      <c r="A664" s="132" t="s">
        <v>118</v>
      </c>
      <c r="B664" s="132" t="str">
        <f t="shared" ref="B664:AC664" si="240">B521</f>
        <v>Unit</v>
      </c>
      <c r="C664" s="132" t="str">
        <f t="shared" si="240"/>
        <v>IE</v>
      </c>
      <c r="D664" s="132" t="str">
        <f t="shared" si="240"/>
        <v>IE-CW</v>
      </c>
      <c r="E664" s="132" t="str">
        <f t="shared" si="240"/>
        <v>IE-D</v>
      </c>
      <c r="F664" s="132" t="str">
        <f t="shared" si="240"/>
        <v>IE-KE</v>
      </c>
      <c r="G664" s="132" t="str">
        <f t="shared" si="240"/>
        <v>IE-KK</v>
      </c>
      <c r="H664" s="132" t="str">
        <f t="shared" si="240"/>
        <v>IE-LS</v>
      </c>
      <c r="I664" s="132" t="str">
        <f t="shared" si="240"/>
        <v>IE-LD</v>
      </c>
      <c r="J664" s="132" t="str">
        <f t="shared" si="240"/>
        <v>IE-LH</v>
      </c>
      <c r="K664" s="132" t="str">
        <f t="shared" si="240"/>
        <v>IE-MH</v>
      </c>
      <c r="L664" s="132" t="str">
        <f t="shared" si="240"/>
        <v>IE-OY</v>
      </c>
      <c r="M664" s="132" t="str">
        <f t="shared" si="240"/>
        <v>IE-WH</v>
      </c>
      <c r="N664" s="132" t="str">
        <f t="shared" si="240"/>
        <v>IE-WX</v>
      </c>
      <c r="O664" s="132" t="str">
        <f t="shared" si="240"/>
        <v>IE-WW</v>
      </c>
      <c r="P664" s="132" t="str">
        <f t="shared" si="240"/>
        <v>IE-CE</v>
      </c>
      <c r="Q664" s="132" t="str">
        <f t="shared" si="240"/>
        <v>IE-CO</v>
      </c>
      <c r="R664" s="132" t="str">
        <f t="shared" si="240"/>
        <v>IE-KY</v>
      </c>
      <c r="S664" s="132" t="str">
        <f t="shared" si="240"/>
        <v>IE-LK</v>
      </c>
      <c r="T664" s="132" t="str">
        <f t="shared" si="240"/>
        <v>IE-TA</v>
      </c>
      <c r="U664" s="132" t="str">
        <f t="shared" si="240"/>
        <v>IE-WD</v>
      </c>
      <c r="V664" s="132" t="str">
        <f t="shared" si="240"/>
        <v>IE-G</v>
      </c>
      <c r="W664" s="132" t="str">
        <f t="shared" si="240"/>
        <v>IE-LM</v>
      </c>
      <c r="X664" s="132" t="str">
        <f t="shared" si="240"/>
        <v>IE-MO</v>
      </c>
      <c r="Y664" s="132" t="str">
        <f t="shared" si="240"/>
        <v>IE-RN</v>
      </c>
      <c r="Z664" s="132" t="str">
        <f t="shared" si="240"/>
        <v>IE-SO</v>
      </c>
      <c r="AA664" s="132" t="str">
        <f t="shared" si="240"/>
        <v>IE-CN</v>
      </c>
      <c r="AB664" s="132" t="str">
        <f t="shared" si="240"/>
        <v>IE-DL</v>
      </c>
      <c r="AC664" s="132" t="str">
        <f t="shared" si="240"/>
        <v>IE-MN</v>
      </c>
      <c r="AD664" s="459"/>
      <c r="AE664" s="459"/>
      <c r="AF664" s="459"/>
    </row>
    <row r="665" spans="1:32">
      <c r="A665" s="459" t="str">
        <f>Commodities!C28</f>
        <v xml:space="preserve">Transport Demand: Turism fuel </v>
      </c>
      <c r="B665" s="459" t="s">
        <v>88</v>
      </c>
      <c r="C665" s="570">
        <f>'EB2018'!AM53*0.041868</f>
        <v>7.7245727925227738</v>
      </c>
      <c r="D665" s="6">
        <f t="shared" ref="D665:AC665" si="241">$C$665*C185</f>
        <v>9.2353600579585152E-2</v>
      </c>
      <c r="E665" s="6">
        <f t="shared" si="241"/>
        <v>2.1856505115455191</v>
      </c>
      <c r="F665" s="6">
        <f t="shared" si="241"/>
        <v>0.36094016622215996</v>
      </c>
      <c r="G665" s="6">
        <f t="shared" si="241"/>
        <v>0.16097155365547308</v>
      </c>
      <c r="H665" s="6">
        <f t="shared" si="241"/>
        <v>0.13739325701343924</v>
      </c>
      <c r="I665" s="6">
        <f t="shared" si="241"/>
        <v>6.6303111018221464E-2</v>
      </c>
      <c r="J665" s="6">
        <f t="shared" si="241"/>
        <v>0.20907225210952107</v>
      </c>
      <c r="K665" s="6">
        <f t="shared" si="241"/>
        <v>0.31639527280693819</v>
      </c>
      <c r="L665" s="6">
        <f t="shared" si="241"/>
        <v>0.12646629408390778</v>
      </c>
      <c r="M665" s="6">
        <f t="shared" si="241"/>
        <v>0.14400037102946978</v>
      </c>
      <c r="N665" s="6">
        <f t="shared" si="241"/>
        <v>0.24287511041201165</v>
      </c>
      <c r="O665" s="6">
        <f t="shared" si="241"/>
        <v>0.23103810796296309</v>
      </c>
      <c r="P665" s="6">
        <f t="shared" si="241"/>
        <v>0.19274182814699234</v>
      </c>
      <c r="Q665" s="6">
        <f t="shared" si="241"/>
        <v>0.88062626360286367</v>
      </c>
      <c r="R665" s="6">
        <f t="shared" si="241"/>
        <v>0.23960643014137542</v>
      </c>
      <c r="S665" s="6">
        <f t="shared" si="241"/>
        <v>0.3161600576013589</v>
      </c>
      <c r="T665" s="6">
        <f t="shared" si="241"/>
        <v>0.25882270135028718</v>
      </c>
      <c r="U665" s="6">
        <f t="shared" si="241"/>
        <v>0.18845766705778619</v>
      </c>
      <c r="V665" s="6">
        <f t="shared" si="241"/>
        <v>0.41861493463020066</v>
      </c>
      <c r="W665" s="6">
        <f t="shared" si="241"/>
        <v>5.1980938259190375E-2</v>
      </c>
      <c r="X665" s="6">
        <f t="shared" si="241"/>
        <v>0.21170504023817749</v>
      </c>
      <c r="Y665" s="6">
        <f t="shared" si="241"/>
        <v>0.10470158778558181</v>
      </c>
      <c r="Z665" s="6">
        <f t="shared" si="241"/>
        <v>0.10630916205267886</v>
      </c>
      <c r="AA665" s="6">
        <f t="shared" si="241"/>
        <v>0.1235707137945352</v>
      </c>
      <c r="AB665" s="6">
        <f t="shared" si="241"/>
        <v>0.25823709659708632</v>
      </c>
      <c r="AC665" s="6">
        <f t="shared" si="241"/>
        <v>9.9578762825448142E-2</v>
      </c>
      <c r="AD665" s="459"/>
      <c r="AE665" s="459"/>
      <c r="AF665" s="459"/>
    </row>
    <row r="666" spans="1:32">
      <c r="A666" s="459" t="str">
        <f>Commodities!C29</f>
        <v xml:space="preserve">Transport Demand: Navigation fuel </v>
      </c>
      <c r="B666" s="459" t="s">
        <v>88</v>
      </c>
      <c r="C666" s="570">
        <f>'EB2018'!AM54*0.041868</f>
        <v>3.513299808727715</v>
      </c>
      <c r="D666" s="6">
        <f t="shared" ref="D666:AC666" si="242">$C$666*C185</f>
        <v>4.2004379525771122E-2</v>
      </c>
      <c r="E666" s="6">
        <f t="shared" si="242"/>
        <v>0.99408028513777069</v>
      </c>
      <c r="F666" s="6">
        <f t="shared" si="242"/>
        <v>0.16416325549782509</v>
      </c>
      <c r="G666" s="6">
        <f t="shared" si="242"/>
        <v>7.3213282321037743E-2</v>
      </c>
      <c r="H666" s="6">
        <f t="shared" si="242"/>
        <v>6.2489372105217399E-2</v>
      </c>
      <c r="I666" s="6">
        <f t="shared" si="242"/>
        <v>3.0156063450376649E-2</v>
      </c>
      <c r="J666" s="6">
        <f t="shared" si="242"/>
        <v>9.5090501840783506E-2</v>
      </c>
      <c r="K666" s="6">
        <f t="shared" si="242"/>
        <v>0.14390329165011773</v>
      </c>
      <c r="L666" s="6">
        <f t="shared" si="242"/>
        <v>5.7519557229829314E-2</v>
      </c>
      <c r="M666" s="6">
        <f t="shared" si="242"/>
        <v>6.5494427922832554E-2</v>
      </c>
      <c r="N666" s="6">
        <f t="shared" si="242"/>
        <v>0.11046475991283469</v>
      </c>
      <c r="O666" s="6">
        <f t="shared" si="242"/>
        <v>0.10508103973087109</v>
      </c>
      <c r="P666" s="6">
        <f t="shared" si="242"/>
        <v>8.766307809515822E-2</v>
      </c>
      <c r="Q666" s="6">
        <f t="shared" si="242"/>
        <v>0.40052753292342302</v>
      </c>
      <c r="R666" s="6">
        <f t="shared" si="242"/>
        <v>0.10897809468511692</v>
      </c>
      <c r="S666" s="6">
        <f t="shared" si="242"/>
        <v>0.1437963107776517</v>
      </c>
      <c r="T666" s="6">
        <f t="shared" si="242"/>
        <v>0.11771806306603248</v>
      </c>
      <c r="U666" s="6">
        <f t="shared" si="242"/>
        <v>8.5714550618035304E-2</v>
      </c>
      <c r="V666" s="6">
        <f t="shared" si="242"/>
        <v>0.19039496542649909</v>
      </c>
      <c r="W666" s="6">
        <f t="shared" si="242"/>
        <v>2.3642035015875255E-2</v>
      </c>
      <c r="X666" s="6">
        <f t="shared" si="242"/>
        <v>9.6287949813282744E-2</v>
      </c>
      <c r="Y666" s="6">
        <f t="shared" si="242"/>
        <v>4.7620506430678201E-2</v>
      </c>
      <c r="Z666" s="6">
        <f t="shared" si="242"/>
        <v>4.8351665359049577E-2</v>
      </c>
      <c r="AA666" s="6">
        <f t="shared" si="242"/>
        <v>5.6202585799816289E-2</v>
      </c>
      <c r="AB666" s="6">
        <f t="shared" si="242"/>
        <v>0.11745171758354803</v>
      </c>
      <c r="AC666" s="6">
        <f t="shared" si="242"/>
        <v>4.529053680827981E-2</v>
      </c>
      <c r="AD666" s="459"/>
      <c r="AE666" s="459"/>
      <c r="AF666" s="459"/>
    </row>
    <row r="667" spans="1:32">
      <c r="A667" s="458" t="str">
        <f>Commodities!C30</f>
        <v>Transport Demand: Unspecified fuel</v>
      </c>
      <c r="B667" s="458" t="s">
        <v>88</v>
      </c>
      <c r="C667" s="574">
        <f>'EB2018'!AM55*0.041868</f>
        <v>22.296388375177408</v>
      </c>
      <c r="D667" s="516">
        <f t="shared" ref="D667:AC667" si="243">$C$667*C185</f>
        <v>0.26657160229775501</v>
      </c>
      <c r="E667" s="516">
        <f t="shared" si="243"/>
        <v>6.3087129821594452</v>
      </c>
      <c r="F667" s="516">
        <f t="shared" si="243"/>
        <v>1.0418261750449602</v>
      </c>
      <c r="G667" s="516">
        <f t="shared" si="243"/>
        <v>0.46463207403939483</v>
      </c>
      <c r="H667" s="516">
        <f t="shared" si="243"/>
        <v>0.39657512470689521</v>
      </c>
      <c r="I667" s="516">
        <f t="shared" si="243"/>
        <v>0.19137885724576939</v>
      </c>
      <c r="J667" s="516">
        <f t="shared" si="243"/>
        <v>0.60347106004608764</v>
      </c>
      <c r="K667" s="516">
        <f t="shared" si="243"/>
        <v>0.91325074823584851</v>
      </c>
      <c r="L667" s="516">
        <f t="shared" si="243"/>
        <v>0.36503528220921938</v>
      </c>
      <c r="M667" s="516">
        <f t="shared" si="243"/>
        <v>0.41564605381809372</v>
      </c>
      <c r="N667" s="516">
        <f t="shared" si="243"/>
        <v>0.7010404243522883</v>
      </c>
      <c r="O667" s="516">
        <f t="shared" si="243"/>
        <v>0.66687382240669146</v>
      </c>
      <c r="P667" s="516">
        <f t="shared" si="243"/>
        <v>0.55633454068383958</v>
      </c>
      <c r="Q667" s="516">
        <f t="shared" si="243"/>
        <v>2.5418603350695159</v>
      </c>
      <c r="R667" s="516">
        <f t="shared" si="243"/>
        <v>0.69160562883078947</v>
      </c>
      <c r="S667" s="516">
        <f t="shared" si="243"/>
        <v>0.91257181754075312</v>
      </c>
      <c r="T667" s="516">
        <f t="shared" si="243"/>
        <v>0.74707192547976031</v>
      </c>
      <c r="U667" s="516">
        <f t="shared" si="243"/>
        <v>0.54396863747179069</v>
      </c>
      <c r="V667" s="516">
        <f t="shared" si="243"/>
        <v>1.2082999814823661</v>
      </c>
      <c r="W667" s="516">
        <f t="shared" si="243"/>
        <v>0.15003900133543985</v>
      </c>
      <c r="X667" s="516">
        <f t="shared" si="243"/>
        <v>0.61107040155050096</v>
      </c>
      <c r="Y667" s="516">
        <f t="shared" si="243"/>
        <v>0.30221312264993849</v>
      </c>
      <c r="Z667" s="516">
        <f t="shared" si="243"/>
        <v>0.3068532627798668</v>
      </c>
      <c r="AA667" s="516">
        <f t="shared" si="243"/>
        <v>0.35667741123856156</v>
      </c>
      <c r="AB667" s="516">
        <f t="shared" si="243"/>
        <v>0.74538162216300519</v>
      </c>
      <c r="AC667" s="516">
        <f t="shared" si="243"/>
        <v>0.28742648033882506</v>
      </c>
      <c r="AD667" s="459"/>
      <c r="AE667" s="459"/>
      <c r="AF667" s="459"/>
    </row>
    <row r="668" spans="1:32">
      <c r="A668" s="575" t="s">
        <v>753</v>
      </c>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c r="AD668" s="459"/>
      <c r="AE668" s="459"/>
      <c r="AF668" s="459"/>
    </row>
    <row r="669" spans="1:32">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c r="AD669" s="459"/>
      <c r="AE669" s="459"/>
      <c r="AF669" s="459"/>
    </row>
    <row r="670" spans="1:32">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c r="AD670" s="459"/>
      <c r="AE670" s="459"/>
      <c r="AF670" s="459"/>
    </row>
    <row r="671" spans="1:32">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c r="AD671" s="459"/>
      <c r="AE671" s="459"/>
      <c r="AF671" s="459"/>
    </row>
    <row r="672" spans="1:32">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c r="AD672" s="459"/>
      <c r="AE672" s="459"/>
      <c r="AF672" s="459"/>
    </row>
    <row r="673" spans="1:32" ht="18">
      <c r="A673" s="522" t="s">
        <v>95</v>
      </c>
      <c r="B673" s="520"/>
      <c r="C673" s="520"/>
      <c r="D673" s="520"/>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459"/>
      <c r="AE673" s="459"/>
      <c r="AF673" s="459"/>
    </row>
    <row r="674" spans="1:32">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c r="AD674" s="459"/>
      <c r="AE674" s="459"/>
      <c r="AF674" s="459"/>
    </row>
    <row r="675" spans="1:32">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c r="AD675" s="459"/>
      <c r="AE675" s="459"/>
      <c r="AF675" s="459"/>
    </row>
    <row r="676" spans="1:32" ht="15.6">
      <c r="A676" s="401" t="s">
        <v>742</v>
      </c>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c r="AD676" s="459"/>
      <c r="AE676" s="459"/>
      <c r="AF676" s="459"/>
    </row>
    <row r="677" spans="1:32">
      <c r="A677" s="132" t="s">
        <v>118</v>
      </c>
      <c r="B677" s="132" t="str">
        <f>B664</f>
        <v>Unit</v>
      </c>
      <c r="C677" s="132" t="str">
        <f t="shared" ref="C677:AC677" si="244">C664</f>
        <v>IE</v>
      </c>
      <c r="D677" s="132" t="str">
        <f t="shared" si="244"/>
        <v>IE-CW</v>
      </c>
      <c r="E677" s="535" t="str">
        <f t="shared" si="244"/>
        <v>IE-D</v>
      </c>
      <c r="F677" s="132" t="str">
        <f t="shared" si="244"/>
        <v>IE-KE</v>
      </c>
      <c r="G677" s="132" t="str">
        <f t="shared" si="244"/>
        <v>IE-KK</v>
      </c>
      <c r="H677" s="132" t="str">
        <f t="shared" si="244"/>
        <v>IE-LS</v>
      </c>
      <c r="I677" s="132" t="str">
        <f t="shared" si="244"/>
        <v>IE-LD</v>
      </c>
      <c r="J677" s="132" t="str">
        <f t="shared" si="244"/>
        <v>IE-LH</v>
      </c>
      <c r="K677" s="132" t="str">
        <f t="shared" si="244"/>
        <v>IE-MH</v>
      </c>
      <c r="L677" s="132" t="str">
        <f t="shared" si="244"/>
        <v>IE-OY</v>
      </c>
      <c r="M677" s="132" t="str">
        <f t="shared" si="244"/>
        <v>IE-WH</v>
      </c>
      <c r="N677" s="132" t="str">
        <f t="shared" si="244"/>
        <v>IE-WX</v>
      </c>
      <c r="O677" s="132" t="str">
        <f t="shared" si="244"/>
        <v>IE-WW</v>
      </c>
      <c r="P677" s="535" t="str">
        <f t="shared" si="244"/>
        <v>IE-CE</v>
      </c>
      <c r="Q677" s="535" t="str">
        <f t="shared" si="244"/>
        <v>IE-CO</v>
      </c>
      <c r="R677" s="535" t="str">
        <f t="shared" si="244"/>
        <v>IE-KY</v>
      </c>
      <c r="S677" s="132" t="str">
        <f t="shared" si="244"/>
        <v>IE-LK</v>
      </c>
      <c r="T677" s="132" t="str">
        <f t="shared" si="244"/>
        <v>IE-TA</v>
      </c>
      <c r="U677" s="132" t="str">
        <f t="shared" si="244"/>
        <v>IE-WD</v>
      </c>
      <c r="V677" s="132" t="str">
        <f t="shared" si="244"/>
        <v>IE-G</v>
      </c>
      <c r="W677" s="132" t="str">
        <f t="shared" si="244"/>
        <v>IE-LM</v>
      </c>
      <c r="X677" s="535" t="str">
        <f t="shared" si="244"/>
        <v>IE-MO</v>
      </c>
      <c r="Y677" s="132" t="str">
        <f t="shared" si="244"/>
        <v>IE-RN</v>
      </c>
      <c r="Z677" s="132" t="str">
        <f t="shared" si="244"/>
        <v>IE-SO</v>
      </c>
      <c r="AA677" s="132" t="str">
        <f t="shared" si="244"/>
        <v>IE-CN</v>
      </c>
      <c r="AB677" s="132" t="str">
        <f t="shared" si="244"/>
        <v>IE-DL</v>
      </c>
      <c r="AC677" s="132" t="str">
        <f t="shared" si="244"/>
        <v>IE-MN</v>
      </c>
      <c r="AD677" s="459"/>
      <c r="AE677" s="459"/>
      <c r="AF677" s="459"/>
    </row>
    <row r="678" spans="1:32">
      <c r="A678" s="507" t="str">
        <f>Commodities!C31</f>
        <v>Transport Demand: Aviation domestic</v>
      </c>
      <c r="B678" s="459" t="s">
        <v>88</v>
      </c>
      <c r="C678" s="584">
        <f>'EB2018'!AM51*0.041868</f>
        <v>0.2334932002865788</v>
      </c>
      <c r="D678" s="135">
        <v>0</v>
      </c>
      <c r="E678" s="5">
        <f>C678*D698</f>
        <v>0.13599128494106466</v>
      </c>
      <c r="F678" s="135">
        <v>0</v>
      </c>
      <c r="G678" s="135">
        <v>0</v>
      </c>
      <c r="H678" s="135">
        <v>0</v>
      </c>
      <c r="I678" s="135">
        <v>0</v>
      </c>
      <c r="J678" s="135">
        <v>0</v>
      </c>
      <c r="K678" s="135">
        <v>0</v>
      </c>
      <c r="L678" s="135">
        <v>0</v>
      </c>
      <c r="M678" s="135">
        <v>0</v>
      </c>
      <c r="N678" s="135">
        <v>0</v>
      </c>
      <c r="O678" s="135">
        <v>0</v>
      </c>
      <c r="P678" s="5">
        <f>C678*G698</f>
        <v>4.7489540821759567E-2</v>
      </c>
      <c r="Q678" s="10">
        <f>C678*C698</f>
        <v>4.7056267691773237E-4</v>
      </c>
      <c r="R678" s="38">
        <f>C678*E698</f>
        <v>4.7235778638893708E-2</v>
      </c>
      <c r="S678" s="135">
        <v>0</v>
      </c>
      <c r="T678" s="135">
        <v>0</v>
      </c>
      <c r="U678" s="135">
        <v>0</v>
      </c>
      <c r="V678" s="135">
        <v>0</v>
      </c>
      <c r="W678" s="135">
        <v>0</v>
      </c>
      <c r="X678" s="10">
        <f>C678*F698</f>
        <v>9.4112535383546466E-5</v>
      </c>
      <c r="Y678" s="135">
        <v>0</v>
      </c>
      <c r="Z678" s="135">
        <v>0</v>
      </c>
      <c r="AA678" s="135">
        <v>0</v>
      </c>
      <c r="AB678" s="135">
        <v>0</v>
      </c>
      <c r="AC678" s="135">
        <v>0</v>
      </c>
      <c r="AD678" s="459"/>
      <c r="AE678" s="459"/>
      <c r="AF678" s="459"/>
    </row>
    <row r="679" spans="1:32">
      <c r="A679" s="458" t="str">
        <f>Commodities!C32</f>
        <v>Transport Demand: Aviation international</v>
      </c>
      <c r="B679" s="458" t="s">
        <v>88</v>
      </c>
      <c r="C679" s="574">
        <f>'EB2018'!AM52*0.041868</f>
        <v>45.935836654432045</v>
      </c>
      <c r="D679" s="508">
        <v>0</v>
      </c>
      <c r="E679" s="516">
        <f>$C$679*D726</f>
        <v>40.411547456014475</v>
      </c>
      <c r="F679" s="508">
        <v>0</v>
      </c>
      <c r="G679" s="508">
        <v>0</v>
      </c>
      <c r="H679" s="508">
        <v>0</v>
      </c>
      <c r="I679" s="508">
        <v>0</v>
      </c>
      <c r="J679" s="508">
        <v>0</v>
      </c>
      <c r="K679" s="508">
        <v>0</v>
      </c>
      <c r="L679" s="508">
        <v>0</v>
      </c>
      <c r="M679" s="508">
        <v>0</v>
      </c>
      <c r="N679" s="508">
        <v>0</v>
      </c>
      <c r="O679" s="508">
        <v>0</v>
      </c>
      <c r="P679" s="516">
        <f>$C$679*G726</f>
        <v>2.3928132767411885</v>
      </c>
      <c r="Q679" s="516">
        <f>$C$679*C726</f>
        <v>2.2124403851853933</v>
      </c>
      <c r="R679" s="516">
        <f>$C$679*E726</f>
        <v>0.2411025265315139</v>
      </c>
      <c r="S679" s="508">
        <v>0</v>
      </c>
      <c r="T679" s="508">
        <v>0</v>
      </c>
      <c r="U679" s="508">
        <v>0</v>
      </c>
      <c r="V679" s="508">
        <v>0</v>
      </c>
      <c r="W679" s="508">
        <v>0</v>
      </c>
      <c r="X679" s="516">
        <f>$C$679*F726</f>
        <v>0.68832808501139164</v>
      </c>
      <c r="Y679" s="508">
        <v>0</v>
      </c>
      <c r="Z679" s="508">
        <v>0</v>
      </c>
      <c r="AA679" s="508">
        <v>0</v>
      </c>
      <c r="AB679" s="508">
        <v>0</v>
      </c>
      <c r="AC679" s="508">
        <v>0</v>
      </c>
      <c r="AD679" s="459"/>
      <c r="AE679" s="459"/>
      <c r="AF679" s="459"/>
    </row>
    <row r="680" spans="1:32">
      <c r="A680" s="575" t="s">
        <v>769</v>
      </c>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c r="AD680" s="459"/>
      <c r="AE680" s="459"/>
      <c r="AF680" s="459"/>
    </row>
    <row r="681" spans="1:32" s="459" customFormat="1">
      <c r="A681" s="575"/>
    </row>
    <row r="682" spans="1:32">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c r="AD682" s="459"/>
      <c r="AE682" s="459"/>
      <c r="AF682" s="459"/>
    </row>
    <row r="683" spans="1:32">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c r="AD683" s="459"/>
      <c r="AE683" s="459"/>
      <c r="AF683" s="459"/>
    </row>
    <row r="684" spans="1:32">
      <c r="A684" s="459" t="s">
        <v>760</v>
      </c>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c r="AD684" s="459"/>
      <c r="AE684" s="459"/>
      <c r="AF684" s="459"/>
    </row>
    <row r="685" spans="1:32">
      <c r="A685" s="132" t="s">
        <v>761</v>
      </c>
      <c r="B685" s="132" t="s">
        <v>754</v>
      </c>
      <c r="C685" s="132" t="s">
        <v>385</v>
      </c>
      <c r="D685" s="132" t="s">
        <v>373</v>
      </c>
      <c r="E685" s="132" t="s">
        <v>386</v>
      </c>
      <c r="F685" s="132" t="s">
        <v>755</v>
      </c>
      <c r="G685" s="132" t="s">
        <v>756</v>
      </c>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c r="AD685" s="459"/>
      <c r="AE685" s="459"/>
      <c r="AF685" s="459"/>
    </row>
    <row r="686" spans="1:32">
      <c r="A686" s="459" t="s">
        <v>757</v>
      </c>
      <c r="B686" s="39">
        <v>165.4</v>
      </c>
      <c r="C686" s="577">
        <v>1</v>
      </c>
      <c r="D686" s="39">
        <v>99.7</v>
      </c>
      <c r="E686" s="39">
        <v>57.5</v>
      </c>
      <c r="F686" s="39">
        <v>0.2</v>
      </c>
      <c r="G686" s="39">
        <v>7</v>
      </c>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c r="AD686" s="459"/>
      <c r="AE686" s="459"/>
      <c r="AF686" s="459"/>
    </row>
    <row r="687" spans="1:32">
      <c r="A687" s="459" t="s">
        <v>758</v>
      </c>
      <c r="B687" s="39">
        <v>10.1</v>
      </c>
      <c r="C687" s="39">
        <v>0</v>
      </c>
      <c r="D687" s="39">
        <v>5.2</v>
      </c>
      <c r="E687" s="39">
        <v>0</v>
      </c>
      <c r="F687" s="576">
        <v>0</v>
      </c>
      <c r="G687" s="39">
        <v>4.8</v>
      </c>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c r="AD687" s="459"/>
      <c r="AE687" s="459"/>
      <c r="AF687" s="459"/>
    </row>
    <row r="688" spans="1:32">
      <c r="A688" s="458" t="s">
        <v>759</v>
      </c>
      <c r="B688" s="457">
        <v>5.4</v>
      </c>
      <c r="C688" s="457">
        <v>0</v>
      </c>
      <c r="D688" s="457">
        <v>3.4</v>
      </c>
      <c r="E688" s="457">
        <v>1.4</v>
      </c>
      <c r="F688" s="457">
        <v>0</v>
      </c>
      <c r="G688" s="457">
        <v>0.5</v>
      </c>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c r="AD688" s="459"/>
      <c r="AE688" s="459"/>
      <c r="AF688" s="459"/>
    </row>
    <row r="689" spans="1:32">
      <c r="A689" s="21" t="s">
        <v>762</v>
      </c>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c r="AD689" s="459"/>
      <c r="AE689" s="459"/>
      <c r="AF689" s="459"/>
    </row>
    <row r="690" spans="1:32" s="459" customFormat="1">
      <c r="A690" s="21"/>
    </row>
    <row r="691" spans="1:32" s="459" customFormat="1">
      <c r="A691" s="21"/>
    </row>
    <row r="692" spans="1:32" s="459" customFormat="1">
      <c r="A692" s="21"/>
    </row>
    <row r="693" spans="1:32" s="459" customFormat="1">
      <c r="A693" s="459" t="s">
        <v>765</v>
      </c>
    </row>
    <row r="694" spans="1:32" s="459" customFormat="1">
      <c r="A694" s="132" t="s">
        <v>761</v>
      </c>
      <c r="B694" s="132" t="s">
        <v>754</v>
      </c>
      <c r="C694" s="132" t="s">
        <v>385</v>
      </c>
      <c r="D694" s="132" t="s">
        <v>373</v>
      </c>
      <c r="E694" s="132" t="s">
        <v>386</v>
      </c>
      <c r="F694" s="132" t="s">
        <v>755</v>
      </c>
      <c r="G694" s="132" t="s">
        <v>756</v>
      </c>
    </row>
    <row r="695" spans="1:32" s="459" customFormat="1">
      <c r="A695" s="459" t="s">
        <v>757</v>
      </c>
      <c r="B695" s="578">
        <f>B686/$B686</f>
        <v>1</v>
      </c>
      <c r="C695" s="578">
        <f>C686/$B686</f>
        <v>6.0459492140266021E-3</v>
      </c>
      <c r="D695" s="578">
        <f t="shared" ref="D695:G695" si="245">D686/$B686</f>
        <v>0.60278113663845223</v>
      </c>
      <c r="E695" s="578">
        <f t="shared" si="245"/>
        <v>0.34764207980652961</v>
      </c>
      <c r="F695" s="580">
        <f t="shared" si="245"/>
        <v>1.2091898428053204E-3</v>
      </c>
      <c r="G695" s="578">
        <f t="shared" si="245"/>
        <v>4.2321644498186213E-2</v>
      </c>
    </row>
    <row r="696" spans="1:32" s="459" customFormat="1">
      <c r="A696" s="459" t="s">
        <v>758</v>
      </c>
      <c r="B696" s="578">
        <f t="shared" ref="B696" si="246">B687/$B687</f>
        <v>1</v>
      </c>
      <c r="C696" s="578">
        <f t="shared" ref="C696:G696" si="247">C687/$B687</f>
        <v>0</v>
      </c>
      <c r="D696" s="578">
        <f t="shared" si="247"/>
        <v>0.51485148514851486</v>
      </c>
      <c r="E696" s="578">
        <f t="shared" si="247"/>
        <v>0</v>
      </c>
      <c r="F696" s="578">
        <f t="shared" si="247"/>
        <v>0</v>
      </c>
      <c r="G696" s="578">
        <f t="shared" si="247"/>
        <v>0.47524752475247523</v>
      </c>
    </row>
    <row r="697" spans="1:32" s="459" customFormat="1">
      <c r="A697" s="1" t="s">
        <v>759</v>
      </c>
      <c r="B697" s="583">
        <f t="shared" ref="B697" si="248">B688/$B688</f>
        <v>1</v>
      </c>
      <c r="C697" s="583">
        <f t="shared" ref="C697:G697" si="249">C688/$B688</f>
        <v>0</v>
      </c>
      <c r="D697" s="583">
        <f>D688/$B688</f>
        <v>0.62962962962962954</v>
      </c>
      <c r="E697" s="583">
        <f t="shared" si="249"/>
        <v>0.25925925925925924</v>
      </c>
      <c r="F697" s="583">
        <f t="shared" si="249"/>
        <v>0</v>
      </c>
      <c r="G697" s="583">
        <f t="shared" si="249"/>
        <v>9.2592592592592587E-2</v>
      </c>
    </row>
    <row r="698" spans="1:32" s="459" customFormat="1">
      <c r="A698" s="458" t="s">
        <v>768</v>
      </c>
      <c r="B698" s="579"/>
      <c r="C698" s="407">
        <f>AVERAGE(C695:C697)</f>
        <v>2.015316404675534E-3</v>
      </c>
      <c r="D698" s="407">
        <f t="shared" ref="D698:G698" si="250">AVERAGE(D695:D697)</f>
        <v>0.58242075047219888</v>
      </c>
      <c r="E698" s="407">
        <f t="shared" si="250"/>
        <v>0.20230044635526298</v>
      </c>
      <c r="F698" s="407">
        <f t="shared" si="250"/>
        <v>4.0306328093510677E-4</v>
      </c>
      <c r="G698" s="407">
        <f t="shared" si="250"/>
        <v>0.20338725394775134</v>
      </c>
    </row>
    <row r="699" spans="1:32">
      <c r="A699" s="21" t="s">
        <v>766</v>
      </c>
      <c r="B699" s="459"/>
      <c r="C699" s="7"/>
      <c r="D699" s="7"/>
      <c r="E699" s="7"/>
      <c r="F699" s="7"/>
      <c r="G699" s="7"/>
      <c r="H699" s="459"/>
      <c r="I699" s="459"/>
      <c r="J699" s="459"/>
      <c r="K699" s="459"/>
      <c r="L699" s="459"/>
      <c r="M699" s="459"/>
      <c r="N699" s="459"/>
      <c r="O699" s="459"/>
      <c r="P699" s="459"/>
      <c r="Q699" s="459"/>
      <c r="R699" s="459"/>
      <c r="S699" s="459"/>
      <c r="T699" s="459"/>
      <c r="U699" s="459"/>
      <c r="V699" s="459"/>
      <c r="W699" s="459"/>
      <c r="X699" s="459"/>
      <c r="Y699" s="459"/>
      <c r="Z699" s="459"/>
      <c r="AA699" s="459"/>
      <c r="AB699" s="459"/>
      <c r="AC699" s="459"/>
      <c r="AD699" s="459"/>
      <c r="AE699" s="459"/>
      <c r="AF699" s="459"/>
    </row>
    <row r="701" spans="1:32" s="459" customFormat="1"/>
    <row r="703" spans="1:32">
      <c r="A703" s="459" t="s">
        <v>763</v>
      </c>
      <c r="B703" s="459"/>
      <c r="C703" s="459"/>
      <c r="D703" s="459"/>
      <c r="E703" s="459"/>
      <c r="F703" s="459"/>
      <c r="G703" s="459"/>
    </row>
    <row r="704" spans="1:32">
      <c r="A704" s="132" t="s">
        <v>761</v>
      </c>
      <c r="B704" s="132" t="s">
        <v>754</v>
      </c>
      <c r="C704" s="132" t="s">
        <v>385</v>
      </c>
      <c r="D704" s="132" t="s">
        <v>373</v>
      </c>
      <c r="E704" s="132" t="s">
        <v>386</v>
      </c>
      <c r="F704" s="132" t="s">
        <v>755</v>
      </c>
      <c r="G704" s="132" t="s">
        <v>756</v>
      </c>
    </row>
    <row r="705" spans="1:7">
      <c r="A705" s="459" t="s">
        <v>757</v>
      </c>
      <c r="B705" s="459">
        <v>36521.1</v>
      </c>
      <c r="C705" s="459">
        <v>2387.8000000000002</v>
      </c>
      <c r="D705" s="459">
        <v>31319.4</v>
      </c>
      <c r="E705" s="459">
        <v>365.3</v>
      </c>
      <c r="F705" s="459">
        <v>770.9</v>
      </c>
      <c r="G705" s="459">
        <v>1677.7</v>
      </c>
    </row>
    <row r="706" spans="1:7">
      <c r="A706" s="459" t="s">
        <v>758</v>
      </c>
      <c r="B706" s="459">
        <v>157.4</v>
      </c>
      <c r="C706" s="459">
        <v>0.1</v>
      </c>
      <c r="D706" s="459">
        <v>143.69999999999999</v>
      </c>
      <c r="E706" s="459">
        <v>0</v>
      </c>
      <c r="F706" s="459">
        <v>0</v>
      </c>
      <c r="G706" s="459">
        <v>13.6</v>
      </c>
    </row>
    <row r="707" spans="1:7">
      <c r="A707" s="458" t="s">
        <v>759</v>
      </c>
      <c r="B707" s="458">
        <v>266.39999999999998</v>
      </c>
      <c r="C707" s="458">
        <v>20.399999999999999</v>
      </c>
      <c r="D707" s="458">
        <v>222.7</v>
      </c>
      <c r="E707" s="458">
        <v>3.3</v>
      </c>
      <c r="F707" s="458">
        <v>6.2</v>
      </c>
      <c r="G707" s="458">
        <v>13.7</v>
      </c>
    </row>
    <row r="708" spans="1:7">
      <c r="A708" s="21" t="s">
        <v>762</v>
      </c>
      <c r="B708" s="459"/>
      <c r="C708" s="459"/>
      <c r="D708" s="459"/>
      <c r="E708" s="459"/>
      <c r="F708" s="459"/>
      <c r="G708" s="459"/>
    </row>
    <row r="712" spans="1:7">
      <c r="A712" s="459" t="s">
        <v>764</v>
      </c>
      <c r="B712" s="459"/>
      <c r="C712" s="459"/>
      <c r="D712" s="459"/>
      <c r="E712" s="459"/>
      <c r="F712" s="459"/>
      <c r="G712" s="459"/>
    </row>
    <row r="713" spans="1:7">
      <c r="A713" s="132" t="s">
        <v>761</v>
      </c>
      <c r="B713" s="132" t="s">
        <v>754</v>
      </c>
      <c r="C713" s="132" t="s">
        <v>385</v>
      </c>
      <c r="D713" s="132" t="s">
        <v>373</v>
      </c>
      <c r="E713" s="132" t="s">
        <v>386</v>
      </c>
      <c r="F713" s="132" t="s">
        <v>755</v>
      </c>
      <c r="G713" s="132" t="s">
        <v>756</v>
      </c>
    </row>
    <row r="714" spans="1:7">
      <c r="A714" s="459" t="s">
        <v>757</v>
      </c>
      <c r="B714" s="459">
        <f>B705-B686</f>
        <v>36355.699999999997</v>
      </c>
      <c r="C714" s="459">
        <f t="shared" ref="C714:G714" si="251">C705-C686</f>
        <v>2386.8000000000002</v>
      </c>
      <c r="D714" s="459">
        <f t="shared" si="251"/>
        <v>31219.7</v>
      </c>
      <c r="E714" s="459">
        <f t="shared" si="251"/>
        <v>307.8</v>
      </c>
      <c r="F714" s="459">
        <f t="shared" si="251"/>
        <v>770.69999999999993</v>
      </c>
      <c r="G714" s="459">
        <f t="shared" si="251"/>
        <v>1670.7</v>
      </c>
    </row>
    <row r="715" spans="1:7">
      <c r="A715" s="459" t="s">
        <v>758</v>
      </c>
      <c r="B715" s="459">
        <f>B706-B687</f>
        <v>147.30000000000001</v>
      </c>
      <c r="C715" s="459">
        <f t="shared" ref="C715:G716" si="252">C706-C687</f>
        <v>0.1</v>
      </c>
      <c r="D715" s="459">
        <f t="shared" si="252"/>
        <v>138.5</v>
      </c>
      <c r="E715" s="459">
        <f t="shared" si="252"/>
        <v>0</v>
      </c>
      <c r="F715" s="459">
        <f t="shared" si="252"/>
        <v>0</v>
      </c>
      <c r="G715" s="459">
        <f t="shared" si="252"/>
        <v>8.8000000000000007</v>
      </c>
    </row>
    <row r="716" spans="1:7">
      <c r="A716" s="458" t="s">
        <v>759</v>
      </c>
      <c r="B716" s="458">
        <f>B707-B688</f>
        <v>261</v>
      </c>
      <c r="C716" s="458">
        <f t="shared" si="252"/>
        <v>20.399999999999999</v>
      </c>
      <c r="D716" s="458">
        <f t="shared" si="252"/>
        <v>219.29999999999998</v>
      </c>
      <c r="E716" s="458">
        <f t="shared" si="252"/>
        <v>1.9</v>
      </c>
      <c r="F716" s="458">
        <f t="shared" si="252"/>
        <v>6.2</v>
      </c>
      <c r="G716" s="458">
        <f t="shared" si="252"/>
        <v>13.2</v>
      </c>
    </row>
    <row r="717" spans="1:7">
      <c r="A717" s="21" t="s">
        <v>762</v>
      </c>
      <c r="B717" s="459"/>
      <c r="C717" s="459"/>
      <c r="D717" s="459"/>
      <c r="E717" s="459"/>
      <c r="F717" s="459"/>
      <c r="G717" s="459"/>
    </row>
    <row r="718" spans="1:7">
      <c r="C718" s="357"/>
      <c r="D718" s="357"/>
      <c r="E718" s="357"/>
      <c r="F718" s="357"/>
      <c r="G718" s="357"/>
    </row>
    <row r="719" spans="1:7">
      <c r="C719" s="357"/>
      <c r="D719" s="357"/>
      <c r="E719" s="357"/>
      <c r="F719" s="357"/>
      <c r="G719" s="357"/>
    </row>
    <row r="721" spans="1:29">
      <c r="A721" s="459" t="s">
        <v>767</v>
      </c>
      <c r="B721" s="459"/>
      <c r="C721" s="459"/>
      <c r="D721" s="459"/>
      <c r="E721" s="459"/>
      <c r="F721" s="459"/>
      <c r="G721" s="459"/>
    </row>
    <row r="722" spans="1:29">
      <c r="A722" s="132" t="s">
        <v>761</v>
      </c>
      <c r="B722" s="132" t="s">
        <v>754</v>
      </c>
      <c r="C722" s="132" t="s">
        <v>385</v>
      </c>
      <c r="D722" s="132" t="s">
        <v>373</v>
      </c>
      <c r="E722" s="132" t="s">
        <v>386</v>
      </c>
      <c r="F722" s="132" t="s">
        <v>755</v>
      </c>
      <c r="G722" s="132" t="s">
        <v>756</v>
      </c>
    </row>
    <row r="723" spans="1:29">
      <c r="A723" s="459" t="s">
        <v>757</v>
      </c>
      <c r="B723" s="578">
        <f>B714/$B714</f>
        <v>1</v>
      </c>
      <c r="C723" s="578">
        <f>C714/$B714</f>
        <v>6.5651328402423839E-2</v>
      </c>
      <c r="D723" s="578">
        <f t="shared" ref="D723:G723" si="253">D714/$B714</f>
        <v>0.85872916764083773</v>
      </c>
      <c r="E723" s="578">
        <f t="shared" si="253"/>
        <v>8.4663477804030746E-3</v>
      </c>
      <c r="F723" s="578">
        <f t="shared" si="253"/>
        <v>2.1198876654829918E-2</v>
      </c>
      <c r="G723" s="578">
        <f t="shared" si="253"/>
        <v>4.5954279521505575E-2</v>
      </c>
    </row>
    <row r="724" spans="1:29">
      <c r="A724" s="1" t="s">
        <v>758</v>
      </c>
      <c r="B724" s="583">
        <f t="shared" ref="B724" si="254">B715/$B715</f>
        <v>1</v>
      </c>
      <c r="C724" s="583">
        <f t="shared" ref="C724:G724" si="255">C715/$B715</f>
        <v>6.7888662593346908E-4</v>
      </c>
      <c r="D724" s="583">
        <f>D715/$B715</f>
        <v>0.94025797691785462</v>
      </c>
      <c r="E724" s="583">
        <f t="shared" si="255"/>
        <v>0</v>
      </c>
      <c r="F724" s="583">
        <f t="shared" si="255"/>
        <v>0</v>
      </c>
      <c r="G724" s="583">
        <f t="shared" si="255"/>
        <v>5.9742023082145282E-2</v>
      </c>
    </row>
    <row r="725" spans="1:29">
      <c r="A725" s="1" t="s">
        <v>759</v>
      </c>
      <c r="B725" s="583">
        <f t="shared" ref="B725" si="256">B716/$B716</f>
        <v>1</v>
      </c>
      <c r="C725" s="583">
        <f>C716/$B716</f>
        <v>7.8160919540229884E-2</v>
      </c>
      <c r="D725" s="583">
        <f>D716/$B716</f>
        <v>0.8402298850574712</v>
      </c>
      <c r="E725" s="583">
        <f t="shared" ref="E725:G725" si="257">E716/$B716</f>
        <v>7.2796934865900376E-3</v>
      </c>
      <c r="F725" s="583">
        <f t="shared" si="257"/>
        <v>2.3754789272030653E-2</v>
      </c>
      <c r="G725" s="583">
        <f t="shared" si="257"/>
        <v>5.057471264367816E-2</v>
      </c>
    </row>
    <row r="726" spans="1:29" s="459" customFormat="1">
      <c r="A726" s="458" t="s">
        <v>768</v>
      </c>
      <c r="B726" s="579"/>
      <c r="C726" s="407">
        <f>AVERAGE(C723:C725)</f>
        <v>4.8163711522862397E-2</v>
      </c>
      <c r="D726" s="407">
        <f t="shared" ref="D726:G726" si="258">AVERAGE(D723:D725)</f>
        <v>0.87973900987205456</v>
      </c>
      <c r="E726" s="407">
        <f t="shared" si="258"/>
        <v>5.2486804223310368E-3</v>
      </c>
      <c r="F726" s="407">
        <f t="shared" si="258"/>
        <v>1.4984555308953524E-2</v>
      </c>
      <c r="G726" s="407">
        <f t="shared" si="258"/>
        <v>5.2090338415776337E-2</v>
      </c>
    </row>
    <row r="727" spans="1:29">
      <c r="A727" s="21" t="s">
        <v>766</v>
      </c>
      <c r="B727" s="459"/>
      <c r="C727" s="459"/>
      <c r="D727" s="459"/>
      <c r="E727" s="459"/>
      <c r="F727" s="459"/>
      <c r="G727" s="459"/>
    </row>
    <row r="729" spans="1:29">
      <c r="B729" s="581" t="s">
        <v>754</v>
      </c>
      <c r="C729" s="581" t="s">
        <v>385</v>
      </c>
      <c r="D729" s="581" t="s">
        <v>373</v>
      </c>
      <c r="E729" s="581" t="s">
        <v>386</v>
      </c>
      <c r="F729" s="581" t="s">
        <v>755</v>
      </c>
      <c r="G729" s="581" t="s">
        <v>756</v>
      </c>
    </row>
    <row r="730" spans="1:29">
      <c r="B730" s="582" t="s">
        <v>727</v>
      </c>
      <c r="C730" s="582" t="s">
        <v>385</v>
      </c>
      <c r="D730" s="582" t="s">
        <v>373</v>
      </c>
      <c r="E730" s="582" t="s">
        <v>386</v>
      </c>
      <c r="F730" s="582" t="s">
        <v>392</v>
      </c>
      <c r="G730" s="582" t="s">
        <v>384</v>
      </c>
    </row>
    <row r="735" spans="1:29">
      <c r="AC735" s="459"/>
    </row>
    <row r="736" spans="1:29">
      <c r="A736" s="459"/>
      <c r="B736" s="459"/>
      <c r="C736" s="459"/>
      <c r="D736" s="459"/>
      <c r="E736" s="459"/>
      <c r="F736" s="459"/>
      <c r="G736" s="459"/>
      <c r="H736" s="459"/>
      <c r="I736" s="459"/>
      <c r="J736" s="459"/>
      <c r="K736" s="459"/>
      <c r="L736" s="459"/>
      <c r="M736" s="459"/>
      <c r="N736" s="459"/>
      <c r="O736" s="459"/>
      <c r="P736" s="459"/>
      <c r="Q736" s="459"/>
      <c r="R736" s="459"/>
      <c r="S736" s="459"/>
      <c r="T736" s="459"/>
      <c r="U736" s="459"/>
      <c r="V736" s="459"/>
      <c r="W736" s="459"/>
      <c r="X736" s="459"/>
      <c r="Y736" s="459"/>
      <c r="Z736" s="459"/>
      <c r="AA736" s="459"/>
      <c r="AB736" s="459"/>
      <c r="AC736" s="459"/>
    </row>
    <row r="737" spans="1:29">
      <c r="A737" s="459"/>
      <c r="B737" s="459"/>
      <c r="C737" s="459"/>
      <c r="D737" s="459"/>
      <c r="E737" s="459"/>
      <c r="F737" s="459"/>
      <c r="G737" s="459"/>
      <c r="H737" s="459"/>
      <c r="I737" s="459"/>
      <c r="J737" s="459"/>
      <c r="K737" s="459"/>
      <c r="L737" s="459"/>
      <c r="M737" s="459"/>
      <c r="N737" s="459"/>
      <c r="O737" s="459"/>
      <c r="P737" s="459"/>
      <c r="Q737" s="459"/>
      <c r="R737" s="459"/>
      <c r="S737" s="459"/>
      <c r="T737" s="459"/>
      <c r="U737" s="459"/>
      <c r="V737" s="459"/>
      <c r="W737" s="459"/>
      <c r="X737" s="459"/>
      <c r="Y737" s="459"/>
      <c r="Z737" s="459"/>
      <c r="AA737" s="459"/>
      <c r="AB737" s="459"/>
      <c r="AC737" s="459"/>
    </row>
    <row r="738" spans="1:29">
      <c r="A738" s="459"/>
      <c r="B738" s="459"/>
      <c r="C738" s="459"/>
      <c r="D738" s="459"/>
      <c r="E738" s="459"/>
      <c r="F738" s="459"/>
      <c r="G738" s="459"/>
      <c r="H738" s="459"/>
      <c r="I738" s="459"/>
      <c r="J738" s="459"/>
      <c r="K738" s="459"/>
      <c r="L738" s="459"/>
      <c r="M738" s="459"/>
      <c r="N738" s="459"/>
      <c r="O738" s="459"/>
      <c r="P738" s="459"/>
      <c r="Q738" s="459"/>
      <c r="R738" s="459"/>
      <c r="S738" s="459"/>
      <c r="T738" s="459"/>
      <c r="U738" s="459"/>
      <c r="V738" s="459"/>
      <c r="W738" s="459"/>
      <c r="X738" s="459"/>
      <c r="Y738" s="459"/>
      <c r="Z738" s="459"/>
      <c r="AA738" s="459"/>
      <c r="AB738" s="459"/>
      <c r="AC738" s="459"/>
    </row>
    <row r="739" spans="1:29">
      <c r="A739" s="459"/>
      <c r="B739" s="459"/>
      <c r="C739" s="459"/>
      <c r="D739" s="459"/>
      <c r="E739" s="459"/>
      <c r="F739" s="459"/>
      <c r="G739" s="459"/>
      <c r="H739" s="459"/>
      <c r="I739" s="459"/>
      <c r="J739" s="459"/>
      <c r="K739" s="459"/>
      <c r="L739" s="459"/>
      <c r="M739" s="459"/>
      <c r="N739" s="459"/>
      <c r="O739" s="459"/>
      <c r="P739" s="459"/>
      <c r="Q739" s="459"/>
      <c r="R739" s="459"/>
      <c r="S739" s="459"/>
      <c r="T739" s="459"/>
      <c r="U739" s="459"/>
      <c r="V739" s="459"/>
      <c r="W739" s="459"/>
      <c r="X739" s="459"/>
      <c r="Y739" s="459"/>
      <c r="Z739" s="459"/>
      <c r="AA739" s="459"/>
      <c r="AB739" s="459"/>
      <c r="AC739" s="459"/>
    </row>
    <row r="740" spans="1:29">
      <c r="A740" s="459"/>
      <c r="B740" s="459"/>
      <c r="C740" s="459"/>
      <c r="D740" s="459"/>
      <c r="E740" s="459"/>
      <c r="F740" s="459"/>
      <c r="G740" s="459"/>
      <c r="H740" s="459"/>
      <c r="I740" s="459"/>
      <c r="J740" s="459"/>
      <c r="K740" s="459"/>
      <c r="L740" s="459"/>
      <c r="M740" s="459"/>
      <c r="N740" s="459"/>
      <c r="O740" s="459"/>
      <c r="P740" s="459"/>
      <c r="Q740" s="459"/>
      <c r="R740" s="459"/>
      <c r="S740" s="459"/>
      <c r="T740" s="459"/>
      <c r="U740" s="459"/>
      <c r="V740" s="459"/>
      <c r="W740" s="459"/>
      <c r="X740" s="459"/>
      <c r="Y740" s="459"/>
      <c r="Z740" s="459"/>
      <c r="AA740" s="459"/>
      <c r="AB740" s="459"/>
      <c r="AC740" s="459"/>
    </row>
    <row r="741" spans="1:29">
      <c r="A741" s="459"/>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row>
    <row r="742" spans="1:29">
      <c r="A742" s="459"/>
      <c r="B742" s="459"/>
      <c r="C742" s="459"/>
      <c r="D742" s="459"/>
      <c r="E742" s="459"/>
      <c r="F742" s="459"/>
      <c r="G742" s="459"/>
      <c r="H742" s="459"/>
      <c r="I742" s="459"/>
      <c r="J742" s="459"/>
      <c r="K742" s="459"/>
      <c r="L742" s="459"/>
      <c r="M742" s="459"/>
      <c r="N742" s="459"/>
      <c r="O742" s="459"/>
      <c r="P742" s="459"/>
      <c r="Q742" s="459"/>
      <c r="R742" s="459"/>
      <c r="S742" s="459"/>
      <c r="T742" s="459"/>
      <c r="U742" s="459"/>
      <c r="V742" s="459"/>
      <c r="W742" s="459"/>
      <c r="X742" s="459"/>
      <c r="Y742" s="459"/>
      <c r="Z742" s="459"/>
      <c r="AA742" s="459"/>
      <c r="AB742" s="459"/>
      <c r="AC742" s="459"/>
    </row>
    <row r="743" spans="1:29">
      <c r="A743" s="459"/>
      <c r="B743" s="459"/>
      <c r="C743" s="459"/>
      <c r="D743" s="459"/>
      <c r="E743" s="459"/>
      <c r="F743" s="459"/>
      <c r="G743" s="459"/>
      <c r="H743" s="459"/>
      <c r="I743" s="459"/>
      <c r="J743" s="459"/>
      <c r="K743" s="459"/>
      <c r="L743" s="459"/>
      <c r="M743" s="459"/>
      <c r="N743" s="459"/>
      <c r="O743" s="459"/>
      <c r="P743" s="459"/>
      <c r="Q743" s="459"/>
      <c r="R743" s="459"/>
      <c r="S743" s="459"/>
      <c r="T743" s="459"/>
      <c r="U743" s="459"/>
      <c r="V743" s="459"/>
      <c r="W743" s="459"/>
      <c r="X743" s="459"/>
      <c r="Y743" s="459"/>
      <c r="Z743" s="459"/>
      <c r="AA743" s="459"/>
      <c r="AB743" s="459"/>
      <c r="AC743" s="459"/>
    </row>
    <row r="744" spans="1:29">
      <c r="A744" s="459"/>
      <c r="B744" s="459"/>
      <c r="C744" s="459"/>
      <c r="D744" s="459"/>
      <c r="E744" s="459"/>
      <c r="F744" s="459"/>
      <c r="G744" s="459"/>
      <c r="H744" s="459"/>
      <c r="I744" s="459"/>
      <c r="J744" s="459"/>
      <c r="K744" s="459"/>
      <c r="L744" s="459"/>
      <c r="M744" s="459"/>
      <c r="N744" s="459"/>
      <c r="O744" s="459"/>
      <c r="P744" s="459"/>
      <c r="Q744" s="459"/>
      <c r="R744" s="459"/>
      <c r="S744" s="459"/>
      <c r="T744" s="459"/>
      <c r="U744" s="459"/>
      <c r="V744" s="459"/>
      <c r="W744" s="459"/>
      <c r="X744" s="459"/>
      <c r="Y744" s="459"/>
      <c r="Z744" s="459"/>
      <c r="AA744" s="459"/>
      <c r="AB744" s="459"/>
      <c r="AC744" s="459"/>
    </row>
    <row r="745" spans="1:29">
      <c r="A745" s="459"/>
      <c r="B745" s="459"/>
      <c r="C745" s="459"/>
      <c r="D745" s="459"/>
      <c r="E745" s="459"/>
      <c r="F745" s="459"/>
      <c r="G745" s="459"/>
      <c r="H745" s="459"/>
      <c r="I745" s="459"/>
      <c r="J745" s="459"/>
      <c r="K745" s="459"/>
      <c r="L745" s="459"/>
      <c r="M745" s="459"/>
      <c r="N745" s="459"/>
      <c r="O745" s="459"/>
      <c r="P745" s="459"/>
      <c r="Q745" s="459"/>
      <c r="R745" s="459"/>
      <c r="S745" s="459"/>
      <c r="T745" s="459"/>
      <c r="U745" s="459"/>
      <c r="V745" s="459"/>
      <c r="W745" s="459"/>
      <c r="X745" s="459"/>
      <c r="Y745" s="459"/>
      <c r="Z745" s="459"/>
      <c r="AA745" s="459"/>
      <c r="AB745" s="459"/>
      <c r="AC745" s="459"/>
    </row>
    <row r="746" spans="1:29">
      <c r="A746" s="459"/>
      <c r="B746" s="459"/>
      <c r="C746" s="459"/>
      <c r="D746" s="459"/>
      <c r="E746" s="459"/>
      <c r="F746" s="459"/>
      <c r="G746" s="459"/>
      <c r="H746" s="459"/>
      <c r="I746" s="459"/>
      <c r="J746" s="459"/>
      <c r="K746" s="459"/>
      <c r="L746" s="459"/>
      <c r="M746" s="459"/>
      <c r="N746" s="459"/>
      <c r="O746" s="459"/>
      <c r="P746" s="459"/>
      <c r="Q746" s="459"/>
      <c r="R746" s="459"/>
      <c r="S746" s="459"/>
      <c r="T746" s="459"/>
      <c r="U746" s="459"/>
      <c r="V746" s="459"/>
      <c r="W746" s="459"/>
      <c r="X746" s="459"/>
      <c r="Y746" s="459"/>
      <c r="Z746" s="459"/>
      <c r="AA746" s="459"/>
      <c r="AB746" s="459"/>
      <c r="AC746" s="459"/>
    </row>
    <row r="747" spans="1:29">
      <c r="A747" s="459"/>
      <c r="B747" s="459"/>
      <c r="C747" s="459"/>
      <c r="D747" s="459"/>
      <c r="E747" s="459"/>
      <c r="F747" s="459"/>
      <c r="G747" s="459"/>
      <c r="H747" s="459"/>
      <c r="I747" s="459"/>
      <c r="J747" s="459"/>
      <c r="K747" s="459"/>
      <c r="L747" s="459"/>
      <c r="M747" s="459"/>
      <c r="N747" s="459"/>
      <c r="O747" s="459"/>
      <c r="P747" s="459"/>
      <c r="Q747" s="459"/>
      <c r="R747" s="459"/>
      <c r="S747" s="459"/>
      <c r="T747" s="459"/>
      <c r="U747" s="459"/>
      <c r="V747" s="459"/>
      <c r="W747" s="459"/>
      <c r="X747" s="459"/>
      <c r="Y747" s="459"/>
      <c r="Z747" s="459"/>
      <c r="AA747" s="459"/>
      <c r="AB747" s="459"/>
      <c r="AC747" s="459"/>
    </row>
    <row r="748" spans="1:29">
      <c r="A748" s="459"/>
      <c r="B748" s="459"/>
      <c r="C748" s="459"/>
      <c r="D748" s="459"/>
      <c r="E748" s="459"/>
      <c r="F748" s="459"/>
      <c r="G748" s="459"/>
      <c r="H748" s="459"/>
      <c r="I748" s="459"/>
      <c r="J748" s="459"/>
      <c r="K748" s="459"/>
      <c r="L748" s="459"/>
      <c r="M748" s="459"/>
      <c r="N748" s="459"/>
      <c r="O748" s="459"/>
      <c r="P748" s="459"/>
      <c r="Q748" s="459"/>
      <c r="R748" s="459"/>
      <c r="S748" s="459"/>
      <c r="T748" s="459"/>
      <c r="U748" s="459"/>
      <c r="V748" s="459"/>
      <c r="W748" s="459"/>
      <c r="X748" s="459"/>
      <c r="Y748" s="459"/>
      <c r="Z748" s="459"/>
      <c r="AA748" s="459"/>
      <c r="AB748" s="459"/>
      <c r="AC748" s="459"/>
    </row>
    <row r="749" spans="1:29">
      <c r="A749" s="459"/>
      <c r="B749" s="459"/>
      <c r="C749" s="459"/>
      <c r="D749" s="459"/>
      <c r="E749" s="459"/>
      <c r="F749" s="459"/>
      <c r="G749" s="459"/>
      <c r="H749" s="459"/>
      <c r="I749" s="459"/>
      <c r="J749" s="459"/>
      <c r="K749" s="459"/>
      <c r="L749" s="459"/>
      <c r="M749" s="459"/>
      <c r="N749" s="459"/>
      <c r="O749" s="459"/>
      <c r="P749" s="459"/>
      <c r="Q749" s="459"/>
      <c r="R749" s="459"/>
      <c r="S749" s="459"/>
      <c r="T749" s="459"/>
      <c r="U749" s="459"/>
      <c r="V749" s="459"/>
      <c r="W749" s="459"/>
      <c r="X749" s="459"/>
      <c r="Y749" s="459"/>
      <c r="Z749" s="459"/>
      <c r="AA749" s="459"/>
      <c r="AB749" s="459"/>
      <c r="AC749" s="459"/>
    </row>
    <row r="750" spans="1:29">
      <c r="A750" s="459"/>
      <c r="B750" s="459"/>
      <c r="C750" s="459"/>
      <c r="D750" s="459"/>
      <c r="E750" s="459"/>
      <c r="F750" s="459"/>
      <c r="G750" s="459"/>
      <c r="H750" s="459"/>
      <c r="I750" s="459"/>
      <c r="J750" s="459"/>
      <c r="K750" s="459"/>
      <c r="L750" s="459"/>
      <c r="M750" s="459"/>
      <c r="N750" s="459"/>
      <c r="O750" s="459"/>
      <c r="P750" s="459"/>
      <c r="Q750" s="459"/>
      <c r="R750" s="459"/>
      <c r="S750" s="459"/>
      <c r="T750" s="459"/>
      <c r="U750" s="459"/>
      <c r="V750" s="459"/>
      <c r="W750" s="459"/>
      <c r="X750" s="459"/>
      <c r="Y750" s="459"/>
      <c r="Z750" s="459"/>
      <c r="AA750" s="459"/>
      <c r="AB750" s="459"/>
      <c r="AC750" s="459"/>
    </row>
    <row r="751" spans="1:29">
      <c r="A751" s="459"/>
      <c r="B751" s="459"/>
      <c r="C751" s="459"/>
      <c r="D751" s="459"/>
      <c r="E751" s="459"/>
      <c r="F751" s="459"/>
      <c r="G751" s="459"/>
      <c r="H751" s="459"/>
      <c r="I751" s="459"/>
      <c r="J751" s="459"/>
      <c r="K751" s="459"/>
      <c r="L751" s="459"/>
      <c r="M751" s="459"/>
      <c r="N751" s="459"/>
      <c r="O751" s="459"/>
      <c r="P751" s="459"/>
      <c r="Q751" s="459"/>
      <c r="R751" s="459"/>
      <c r="S751" s="459"/>
      <c r="T751" s="459"/>
      <c r="U751" s="459"/>
      <c r="V751" s="459"/>
      <c r="W751" s="459"/>
      <c r="X751" s="459"/>
      <c r="Y751" s="459"/>
      <c r="Z751" s="459"/>
      <c r="AA751" s="459"/>
      <c r="AB751" s="459"/>
      <c r="AC751" s="459"/>
    </row>
    <row r="752" spans="1:29">
      <c r="A752" s="459"/>
      <c r="B752" s="459"/>
      <c r="C752" s="459"/>
      <c r="D752" s="459"/>
      <c r="E752" s="459"/>
      <c r="F752" s="459"/>
      <c r="G752" s="459"/>
      <c r="H752" s="459"/>
      <c r="I752" s="459"/>
      <c r="J752" s="459"/>
      <c r="K752" s="459"/>
      <c r="L752" s="459"/>
      <c r="M752" s="459"/>
      <c r="N752" s="459"/>
      <c r="O752" s="459"/>
      <c r="P752" s="459"/>
      <c r="Q752" s="459"/>
      <c r="R752" s="459"/>
      <c r="S752" s="459"/>
      <c r="T752" s="459"/>
      <c r="U752" s="459"/>
      <c r="V752" s="459"/>
      <c r="W752" s="459"/>
      <c r="X752" s="459"/>
      <c r="Y752" s="459"/>
      <c r="Z752" s="459"/>
      <c r="AA752" s="459"/>
      <c r="AB752" s="459"/>
      <c r="AC752" s="459"/>
    </row>
    <row r="753" spans="1:29">
      <c r="A753" s="459"/>
      <c r="B753" s="459"/>
      <c r="C753" s="459"/>
      <c r="D753" s="459"/>
      <c r="E753" s="459"/>
      <c r="F753" s="459"/>
      <c r="G753" s="459"/>
      <c r="H753" s="459"/>
      <c r="I753" s="459"/>
      <c r="J753" s="459"/>
      <c r="K753" s="459"/>
      <c r="L753" s="459"/>
      <c r="M753" s="459"/>
      <c r="N753" s="459"/>
      <c r="O753" s="459"/>
      <c r="P753" s="459"/>
      <c r="Q753" s="459"/>
      <c r="R753" s="459"/>
      <c r="S753" s="459"/>
      <c r="T753" s="459"/>
      <c r="U753" s="459"/>
      <c r="V753" s="459"/>
      <c r="W753" s="459"/>
      <c r="X753" s="459"/>
      <c r="Y753" s="459"/>
      <c r="Z753" s="459"/>
      <c r="AA753" s="459"/>
      <c r="AB753" s="459"/>
      <c r="AC753" s="459"/>
    </row>
    <row r="754" spans="1:29">
      <c r="A754" s="459"/>
      <c r="B754" s="459"/>
      <c r="C754" s="459"/>
      <c r="D754" s="459"/>
      <c r="E754" s="459"/>
      <c r="F754" s="459"/>
      <c r="G754" s="459"/>
      <c r="H754" s="459"/>
      <c r="I754" s="459"/>
      <c r="J754" s="459"/>
      <c r="K754" s="459"/>
      <c r="L754" s="459"/>
      <c r="M754" s="459"/>
      <c r="N754" s="459"/>
      <c r="O754" s="459"/>
      <c r="P754" s="459"/>
      <c r="Q754" s="459"/>
      <c r="R754" s="459"/>
      <c r="S754" s="459"/>
      <c r="T754" s="459"/>
      <c r="U754" s="459"/>
      <c r="V754" s="459"/>
      <c r="W754" s="459"/>
      <c r="X754" s="459"/>
      <c r="Y754" s="459"/>
      <c r="Z754" s="459"/>
      <c r="AA754" s="459"/>
      <c r="AB754" s="459"/>
      <c r="AC754" s="459"/>
    </row>
    <row r="755" spans="1:29">
      <c r="A755" s="459"/>
      <c r="B755" s="459"/>
      <c r="C755" s="459"/>
      <c r="D755" s="459"/>
      <c r="E755" s="459"/>
      <c r="F755" s="459"/>
      <c r="G755" s="459"/>
      <c r="H755" s="459"/>
      <c r="I755" s="459"/>
      <c r="J755" s="459"/>
      <c r="K755" s="459"/>
      <c r="L755" s="459"/>
      <c r="M755" s="459"/>
      <c r="N755" s="459"/>
      <c r="O755" s="459"/>
      <c r="P755" s="459"/>
      <c r="Q755" s="459"/>
      <c r="R755" s="459"/>
      <c r="S755" s="459"/>
      <c r="T755" s="459"/>
      <c r="U755" s="459"/>
      <c r="V755" s="459"/>
      <c r="W755" s="459"/>
      <c r="X755" s="459"/>
      <c r="Y755" s="459"/>
      <c r="Z755" s="459"/>
      <c r="AA755" s="459"/>
      <c r="AB755" s="459"/>
      <c r="AC755" s="459"/>
    </row>
    <row r="756" spans="1:29">
      <c r="A756" s="459"/>
      <c r="B756" s="459"/>
      <c r="C756" s="459"/>
      <c r="D756" s="459"/>
      <c r="E756" s="459"/>
      <c r="F756" s="459"/>
      <c r="G756" s="459"/>
      <c r="H756" s="459"/>
      <c r="I756" s="459"/>
      <c r="J756" s="459"/>
      <c r="K756" s="459"/>
      <c r="L756" s="459"/>
      <c r="M756" s="459"/>
      <c r="N756" s="459"/>
      <c r="O756" s="459"/>
      <c r="P756" s="459"/>
      <c r="Q756" s="459"/>
      <c r="R756" s="459"/>
      <c r="S756" s="459"/>
      <c r="T756" s="459"/>
      <c r="U756" s="459"/>
      <c r="V756" s="459"/>
      <c r="W756" s="459"/>
      <c r="X756" s="459"/>
      <c r="Y756" s="459"/>
      <c r="Z756" s="459"/>
      <c r="AA756" s="459"/>
      <c r="AB756" s="459"/>
      <c r="AC756" s="459"/>
    </row>
    <row r="757" spans="1:29">
      <c r="A757" s="459"/>
      <c r="B757" s="459"/>
      <c r="C757" s="459"/>
      <c r="D757" s="459"/>
      <c r="E757" s="459"/>
      <c r="F757" s="459"/>
      <c r="G757" s="459"/>
      <c r="H757" s="459"/>
      <c r="I757" s="459"/>
      <c r="J757" s="459"/>
      <c r="K757" s="459"/>
      <c r="L757" s="459"/>
      <c r="M757" s="459"/>
      <c r="N757" s="459"/>
      <c r="O757" s="459"/>
      <c r="P757" s="459"/>
      <c r="Q757" s="459"/>
      <c r="R757" s="459"/>
      <c r="S757" s="459"/>
      <c r="T757" s="459"/>
      <c r="U757" s="459"/>
      <c r="V757" s="459"/>
      <c r="W757" s="459"/>
      <c r="X757" s="459"/>
      <c r="Y757" s="459"/>
      <c r="Z757" s="459"/>
      <c r="AA757" s="459"/>
      <c r="AB757" s="459"/>
      <c r="AC757" s="459"/>
    </row>
    <row r="758" spans="1:29">
      <c r="A758" s="459"/>
      <c r="B758" s="459"/>
      <c r="C758" s="459"/>
      <c r="D758" s="459"/>
      <c r="E758" s="459"/>
      <c r="F758" s="459"/>
      <c r="G758" s="459"/>
      <c r="H758" s="459"/>
      <c r="I758" s="459"/>
      <c r="J758" s="459"/>
      <c r="K758" s="459"/>
      <c r="L758" s="459"/>
      <c r="M758" s="459"/>
      <c r="N758" s="459"/>
      <c r="O758" s="459"/>
      <c r="P758" s="459"/>
      <c r="Q758" s="459"/>
      <c r="R758" s="459"/>
      <c r="S758" s="459"/>
      <c r="T758" s="459"/>
      <c r="U758" s="459"/>
      <c r="V758" s="459"/>
      <c r="W758" s="459"/>
      <c r="X758" s="459"/>
      <c r="Y758" s="459"/>
      <c r="Z758" s="459"/>
      <c r="AA758" s="459"/>
      <c r="AB758" s="459"/>
      <c r="AC758" s="459"/>
    </row>
    <row r="759" spans="1:29">
      <c r="A759" s="459"/>
      <c r="B759" s="459"/>
      <c r="C759" s="459"/>
      <c r="D759" s="459"/>
      <c r="E759" s="459"/>
      <c r="F759" s="459"/>
      <c r="G759" s="459"/>
      <c r="H759" s="459"/>
      <c r="I759" s="459"/>
      <c r="J759" s="459"/>
      <c r="K759" s="459"/>
      <c r="L759" s="459"/>
      <c r="M759" s="459"/>
      <c r="N759" s="459"/>
      <c r="O759" s="459"/>
      <c r="P759" s="459"/>
      <c r="Q759" s="459"/>
      <c r="R759" s="459"/>
      <c r="S759" s="459"/>
      <c r="T759" s="459"/>
      <c r="U759" s="459"/>
      <c r="V759" s="459"/>
      <c r="W759" s="459"/>
      <c r="X759" s="459"/>
      <c r="Y759" s="459"/>
      <c r="Z759" s="459"/>
      <c r="AA759" s="459"/>
      <c r="AB759" s="459"/>
      <c r="AC759" s="459"/>
    </row>
    <row r="760" spans="1:29">
      <c r="A760" s="459"/>
      <c r="B760" s="459"/>
      <c r="C760" s="459"/>
      <c r="D760" s="459"/>
      <c r="E760" s="459"/>
      <c r="F760" s="459"/>
      <c r="G760" s="459"/>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row>
    <row r="761" spans="1:29">
      <c r="A761" s="459"/>
      <c r="B761" s="459"/>
      <c r="C761" s="459"/>
      <c r="D761" s="459"/>
      <c r="E761" s="459"/>
      <c r="F761" s="459"/>
      <c r="G761" s="459"/>
      <c r="H761" s="459"/>
      <c r="I761" s="459"/>
      <c r="J761" s="459"/>
      <c r="K761" s="459"/>
      <c r="L761" s="459"/>
      <c r="M761" s="459"/>
      <c r="N761" s="459"/>
      <c r="O761" s="459"/>
      <c r="P761" s="459"/>
      <c r="Q761" s="459"/>
      <c r="R761" s="459"/>
      <c r="S761" s="459"/>
      <c r="T761" s="459"/>
      <c r="U761" s="459"/>
      <c r="V761" s="459"/>
      <c r="W761" s="459"/>
      <c r="X761" s="459"/>
      <c r="Y761" s="459"/>
      <c r="Z761" s="459"/>
      <c r="AA761" s="459"/>
      <c r="AB761" s="459"/>
      <c r="AC761" s="459"/>
    </row>
    <row r="762" spans="1:29">
      <c r="A762" s="459"/>
      <c r="B762" s="459"/>
      <c r="C762" s="459"/>
      <c r="D762" s="459"/>
      <c r="E762" s="459"/>
      <c r="F762" s="459"/>
      <c r="G762" s="459"/>
      <c r="H762" s="459"/>
      <c r="I762" s="459"/>
      <c r="J762" s="459"/>
      <c r="K762" s="459"/>
      <c r="L762" s="459"/>
      <c r="M762" s="459"/>
      <c r="N762" s="459"/>
      <c r="O762" s="459"/>
      <c r="P762" s="459"/>
      <c r="Q762" s="459"/>
      <c r="R762" s="459"/>
      <c r="S762" s="459"/>
      <c r="T762" s="459"/>
      <c r="U762" s="459"/>
      <c r="V762" s="459"/>
      <c r="W762" s="459"/>
      <c r="X762" s="459"/>
      <c r="Y762" s="459"/>
      <c r="Z762" s="459"/>
      <c r="AA762" s="459"/>
      <c r="AB762" s="459"/>
      <c r="AC762" s="459"/>
    </row>
    <row r="763" spans="1:29">
      <c r="A763" s="459"/>
      <c r="B763" s="459"/>
      <c r="C763" s="459"/>
      <c r="D763" s="459"/>
      <c r="E763" s="459"/>
      <c r="F763" s="459"/>
      <c r="G763" s="459"/>
      <c r="H763" s="459"/>
      <c r="I763" s="459"/>
      <c r="J763" s="459"/>
      <c r="K763" s="459"/>
      <c r="L763" s="459"/>
      <c r="M763" s="459"/>
      <c r="N763" s="459"/>
      <c r="O763" s="459"/>
      <c r="P763" s="459"/>
      <c r="Q763" s="459"/>
      <c r="R763" s="459"/>
      <c r="S763" s="459"/>
      <c r="T763" s="459"/>
      <c r="U763" s="459"/>
      <c r="V763" s="459"/>
      <c r="W763" s="459"/>
      <c r="X763" s="459"/>
      <c r="Y763" s="459"/>
      <c r="Z763" s="459"/>
      <c r="AA763" s="459"/>
      <c r="AB763" s="459"/>
      <c r="AC763" s="459"/>
    </row>
    <row r="764" spans="1:29">
      <c r="B764" s="459"/>
      <c r="C764" s="459"/>
      <c r="D764" s="459"/>
      <c r="E764" s="459"/>
      <c r="F764" s="459"/>
      <c r="G764" s="459"/>
      <c r="H764" s="459"/>
      <c r="I764" s="459"/>
      <c r="J764" s="459"/>
      <c r="K764" s="459"/>
      <c r="L764" s="459"/>
      <c r="M764" s="459"/>
      <c r="N764" s="459"/>
      <c r="O764" s="459"/>
      <c r="P764" s="459"/>
      <c r="Q764" s="459"/>
      <c r="R764" s="459"/>
      <c r="S764" s="459"/>
      <c r="T764" s="459"/>
      <c r="U764" s="459"/>
      <c r="V764" s="459"/>
      <c r="W764" s="459"/>
      <c r="X764" s="459"/>
      <c r="Y764" s="459"/>
      <c r="Z764" s="459"/>
      <c r="AA764" s="459"/>
      <c r="AB764" s="459"/>
      <c r="AC764" s="459"/>
    </row>
    <row r="765" spans="1:29">
      <c r="A765" s="459"/>
      <c r="B765" s="459"/>
      <c r="C765" s="459"/>
      <c r="D765" s="459"/>
      <c r="E765" s="459"/>
      <c r="F765" s="459"/>
      <c r="G765" s="459"/>
      <c r="H765" s="459"/>
      <c r="I765" s="459"/>
      <c r="J765" s="459"/>
      <c r="K765" s="459"/>
      <c r="L765" s="459"/>
      <c r="M765" s="459"/>
      <c r="N765" s="459"/>
      <c r="O765" s="459"/>
      <c r="P765" s="459"/>
      <c r="Q765" s="459"/>
      <c r="R765" s="459"/>
      <c r="S765" s="459"/>
      <c r="T765" s="459"/>
      <c r="U765" s="459"/>
      <c r="V765" s="459"/>
      <c r="W765" s="459"/>
      <c r="X765" s="459"/>
      <c r="Y765" s="459"/>
      <c r="Z765" s="459"/>
      <c r="AA765" s="459"/>
      <c r="AB765" s="459"/>
      <c r="AC765" s="459"/>
    </row>
    <row r="766" spans="1:29">
      <c r="A766" s="459"/>
      <c r="B766" s="459"/>
      <c r="C766" s="459"/>
      <c r="D766" s="459"/>
      <c r="E766" s="459"/>
      <c r="F766" s="459"/>
      <c r="G766" s="459"/>
      <c r="H766" s="459"/>
      <c r="I766" s="459"/>
      <c r="J766" s="459"/>
      <c r="K766" s="459"/>
      <c r="L766" s="459"/>
      <c r="M766" s="459"/>
      <c r="N766" s="459"/>
      <c r="O766" s="459"/>
      <c r="P766" s="459"/>
      <c r="Q766" s="459"/>
      <c r="R766" s="459"/>
      <c r="S766" s="459"/>
      <c r="T766" s="459"/>
      <c r="U766" s="459"/>
      <c r="V766" s="459"/>
      <c r="W766" s="459"/>
      <c r="X766" s="459"/>
      <c r="Y766" s="459"/>
      <c r="Z766" s="459"/>
      <c r="AA766" s="459"/>
      <c r="AB766" s="459"/>
      <c r="AC766" s="459"/>
    </row>
  </sheetData>
  <mergeCells count="44">
    <mergeCell ref="B73:C73"/>
    <mergeCell ref="B89:C89"/>
    <mergeCell ref="C91:C94"/>
    <mergeCell ref="A429:A430"/>
    <mergeCell ref="A431:A432"/>
    <mergeCell ref="B110:C110"/>
    <mergeCell ref="C112:C116"/>
    <mergeCell ref="A427:A428"/>
    <mergeCell ref="A414:A415"/>
    <mergeCell ref="A416:A417"/>
    <mergeCell ref="A418:A419"/>
    <mergeCell ref="D91:D94"/>
    <mergeCell ref="D75:D84"/>
    <mergeCell ref="A156:B156"/>
    <mergeCell ref="A135:B135"/>
    <mergeCell ref="G176:H176"/>
    <mergeCell ref="C75:C84"/>
    <mergeCell ref="B99:C99"/>
    <mergeCell ref="C101:C105"/>
    <mergeCell ref="D101:D105"/>
    <mergeCell ref="D112:D116"/>
    <mergeCell ref="G177:H177"/>
    <mergeCell ref="B489:L489"/>
    <mergeCell ref="I252:AB252"/>
    <mergeCell ref="I253:I254"/>
    <mergeCell ref="J253:L253"/>
    <mergeCell ref="N253:P253"/>
    <mergeCell ref="R253:T253"/>
    <mergeCell ref="V253:X253"/>
    <mergeCell ref="Z253:AB253"/>
    <mergeCell ref="F457:F458"/>
    <mergeCell ref="F459:F460"/>
    <mergeCell ref="F461:F462"/>
    <mergeCell ref="B591:L591"/>
    <mergeCell ref="B609:F609"/>
    <mergeCell ref="A570:G570"/>
    <mergeCell ref="A582:G582"/>
    <mergeCell ref="A583:G583"/>
    <mergeCell ref="B533:L533"/>
    <mergeCell ref="B552:L552"/>
    <mergeCell ref="B507:F507"/>
    <mergeCell ref="A457:A458"/>
    <mergeCell ref="A459:A460"/>
    <mergeCell ref="A461:A462"/>
  </mergeCells>
  <phoneticPr fontId="37" type="noConversion"/>
  <pageMargins left="0.7" right="0.7" top="0.75" bottom="0.75" header="0.3" footer="0.3"/>
  <pageSetup paperSize="9" orientation="portrait" r:id="rId1"/>
  <ignoredErrors>
    <ignoredError sqref="C480:AC481 D479:AC479"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opLeftCell="A4" zoomScale="85" zoomScaleNormal="85" workbookViewId="0">
      <selection activeCell="D30" sqref="D30"/>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89" t="s">
        <v>864</v>
      </c>
      <c r="B3" s="889"/>
      <c r="C3" s="889"/>
      <c r="D3" s="889"/>
    </row>
    <row r="4" spans="1:30" s="714" customFormat="1"/>
    <row r="5" spans="1:30" s="714" customFormat="1">
      <c r="D5" s="816" t="s">
        <v>983</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734</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T-LPT-BEV_ELC00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T-HPT-BEV_ELC00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735</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09">
        <f>ROUNDUP(Demands!C449,3)</f>
        <v>4.5999999999999999E-2</v>
      </c>
      <c r="E28" s="809">
        <f>ROUNDUP(Demands!D449,3)</f>
        <v>4.3999999999999997E-2</v>
      </c>
      <c r="F28" s="809">
        <f>ROUNDUP(Demands!E449,3)</f>
        <v>4.5999999999999999E-2</v>
      </c>
      <c r="G28" s="809">
        <f>ROUNDUP(Demands!F449,3)</f>
        <v>4.1000000000000002E-2</v>
      </c>
      <c r="H28" s="809">
        <f>ROUNDUP(Demands!G449,3)</f>
        <v>5.7000000000000002E-2</v>
      </c>
      <c r="I28" s="809">
        <f>ROUNDUP(Demands!H449,3)</f>
        <v>5.1999999999999998E-2</v>
      </c>
      <c r="J28" s="809">
        <f>ROUNDUP(Demands!I449,3)</f>
        <v>4.2000000000000003E-2</v>
      </c>
      <c r="K28" s="809">
        <f>ROUNDUP(Demands!J449,3)</f>
        <v>4.9000000000000002E-2</v>
      </c>
      <c r="L28" s="809">
        <f>ROUNDUP(Demands!K449,3)</f>
        <v>0.04</v>
      </c>
      <c r="M28" s="809">
        <f>ROUNDUP(Demands!L449,3)</f>
        <v>4.3999999999999997E-2</v>
      </c>
      <c r="N28" s="809">
        <f>ROUNDUP(Demands!M449,3)</f>
        <v>3.9E-2</v>
      </c>
      <c r="O28" s="809">
        <f>ROUNDUP(Demands!N449,3)</f>
        <v>4.9000000000000002E-2</v>
      </c>
      <c r="P28" s="809">
        <f>ROUNDUP(Demands!O449,3)</f>
        <v>4.4999999999999998E-2</v>
      </c>
      <c r="Q28" s="809">
        <f>ROUNDUP(Demands!P449,3)</f>
        <v>4.8000000000000001E-2</v>
      </c>
      <c r="R28" s="809">
        <f>ROUNDUP(Demands!Q449,3)</f>
        <v>5.9000000000000004E-2</v>
      </c>
      <c r="S28" s="809">
        <f>ROUNDUP(Demands!R449,3)</f>
        <v>5.8000000000000003E-2</v>
      </c>
      <c r="T28" s="809">
        <f>ROUNDUP(Demands!S449,3)</f>
        <v>5.1999999999999998E-2</v>
      </c>
      <c r="U28" s="809">
        <f>ROUNDUP(Demands!T449,3)</f>
        <v>4.3999999999999997E-2</v>
      </c>
      <c r="V28" s="809">
        <f>ROUNDUP(Demands!U449,3)</f>
        <v>6.7000000000000004E-2</v>
      </c>
      <c r="W28" s="809">
        <f>ROUNDUP(Demands!V449,3)</f>
        <v>4.2000000000000003E-2</v>
      </c>
      <c r="X28" s="809">
        <f>ROUNDUP(Demands!W449,3)</f>
        <v>3.4000000000000002E-2</v>
      </c>
      <c r="Y28" s="809">
        <f>ROUNDUP(Demands!X449,3)</f>
        <v>3.3000000000000002E-2</v>
      </c>
      <c r="Z28" s="809">
        <f>ROUNDUP(Demands!Y449,3)</f>
        <v>3.4000000000000002E-2</v>
      </c>
      <c r="AA28" s="809">
        <f>ROUNDUP(Demands!Z449,3)</f>
        <v>0.04</v>
      </c>
      <c r="AB28" s="809">
        <f>ROUNDUP(Demands!AA449,3)</f>
        <v>3.5000000000000003E-2</v>
      </c>
      <c r="AC28" s="809">
        <f>ROUNDUP(Demands!AB449,3)</f>
        <v>4.2000000000000003E-2</v>
      </c>
      <c r="AD28" s="809">
        <f>ROUNDUP(Demands!AC449,3)</f>
        <v>3.0000000000000002E-2</v>
      </c>
    </row>
    <row r="29" spans="1:30" s="714" customFormat="1">
      <c r="A29" s="480" t="str">
        <f>A71</f>
        <v>T-LGT-ICE_DST00</v>
      </c>
      <c r="B29" s="480" t="str">
        <f t="shared" ref="B29:C31" si="27">B71</f>
        <v>DEMO</v>
      </c>
      <c r="C29" s="480" t="str">
        <f t="shared" si="27"/>
        <v>tonne/vehicle</v>
      </c>
      <c r="D29" s="809">
        <f>ROUNDUP(Demands!C449,3)</f>
        <v>4.5999999999999999E-2</v>
      </c>
      <c r="E29" s="809">
        <f>ROUNDUP(Demands!D449,3)</f>
        <v>4.3999999999999997E-2</v>
      </c>
      <c r="F29" s="809">
        <f>ROUNDUP(Demands!E449,3)</f>
        <v>4.5999999999999999E-2</v>
      </c>
      <c r="G29" s="809">
        <f>ROUNDUP(Demands!F449,3)</f>
        <v>4.1000000000000002E-2</v>
      </c>
      <c r="H29" s="809">
        <f>ROUNDUP(Demands!G449,3)</f>
        <v>5.7000000000000002E-2</v>
      </c>
      <c r="I29" s="809">
        <f>ROUNDUP(Demands!H449,3)</f>
        <v>5.1999999999999998E-2</v>
      </c>
      <c r="J29" s="809">
        <f>ROUNDUP(Demands!I449,3)</f>
        <v>4.2000000000000003E-2</v>
      </c>
      <c r="K29" s="809">
        <f>ROUNDUP(Demands!J449,3)</f>
        <v>4.9000000000000002E-2</v>
      </c>
      <c r="L29" s="809">
        <f>ROUNDUP(Demands!K449,3)</f>
        <v>0.04</v>
      </c>
      <c r="M29" s="809">
        <f>ROUNDUP(Demands!L449,3)</f>
        <v>4.3999999999999997E-2</v>
      </c>
      <c r="N29" s="809">
        <f>ROUNDUP(Demands!M449,3)</f>
        <v>3.9E-2</v>
      </c>
      <c r="O29" s="809">
        <f>ROUNDUP(Demands!N449,3)</f>
        <v>4.9000000000000002E-2</v>
      </c>
      <c r="P29" s="809">
        <f>ROUNDUP(Demands!O449,3)</f>
        <v>4.4999999999999998E-2</v>
      </c>
      <c r="Q29" s="809">
        <f>ROUNDUP(Demands!P449,3)</f>
        <v>4.8000000000000001E-2</v>
      </c>
      <c r="R29" s="809">
        <f>ROUNDUP(Demands!Q449,3)</f>
        <v>5.9000000000000004E-2</v>
      </c>
      <c r="S29" s="809">
        <f>ROUNDUP(Demands!R449,3)</f>
        <v>5.8000000000000003E-2</v>
      </c>
      <c r="T29" s="809">
        <f>ROUNDUP(Demands!S449,3)</f>
        <v>5.1999999999999998E-2</v>
      </c>
      <c r="U29" s="809">
        <f>ROUNDUP(Demands!T449,3)</f>
        <v>4.3999999999999997E-2</v>
      </c>
      <c r="V29" s="809">
        <f>ROUNDUP(Demands!U449,3)</f>
        <v>6.7000000000000004E-2</v>
      </c>
      <c r="W29" s="809">
        <f>ROUNDUP(Demands!V449,3)</f>
        <v>4.2000000000000003E-2</v>
      </c>
      <c r="X29" s="809">
        <f>ROUNDUP(Demands!W449,3)</f>
        <v>3.4000000000000002E-2</v>
      </c>
      <c r="Y29" s="809">
        <f>ROUNDUP(Demands!X449,3)</f>
        <v>3.3000000000000002E-2</v>
      </c>
      <c r="Z29" s="809">
        <f>ROUNDUP(Demands!Y449,3)</f>
        <v>3.4000000000000002E-2</v>
      </c>
      <c r="AA29" s="809">
        <f>ROUNDUP(Demands!Z449,3)</f>
        <v>0.04</v>
      </c>
      <c r="AB29" s="809">
        <f>ROUNDUP(Demands!AA449,3)</f>
        <v>3.5000000000000003E-2</v>
      </c>
      <c r="AC29" s="809">
        <f>ROUNDUP(Demands!AB449,3)</f>
        <v>4.2000000000000003E-2</v>
      </c>
      <c r="AD29" s="809">
        <f>ROUNDUP(Demands!AC449,3)</f>
        <v>3.0000000000000002E-2</v>
      </c>
    </row>
    <row r="30" spans="1:30" s="714" customFormat="1">
      <c r="A30" s="480" t="str">
        <f>A72</f>
        <v>T-MGT-ICE_DST00</v>
      </c>
      <c r="B30" s="480" t="str">
        <f t="shared" si="27"/>
        <v>DEMO</v>
      </c>
      <c r="C30" s="480" t="str">
        <f t="shared" si="27"/>
        <v>tonne/vehicle</v>
      </c>
      <c r="D30" s="809">
        <f>ROUNDUP(Demands!C450,3)</f>
        <v>3.593</v>
      </c>
      <c r="E30" s="809">
        <f>ROUNDUP(Demands!D450,3)</f>
        <v>4.0730000000000004</v>
      </c>
      <c r="F30" s="809">
        <f>ROUNDUP(Demands!E450,3)</f>
        <v>2.6839999999999997</v>
      </c>
      <c r="G30" s="809">
        <f>ROUNDUP(Demands!F450,3)</f>
        <v>3.4339999999999997</v>
      </c>
      <c r="H30" s="809">
        <f>ROUNDUP(Demands!G450,3)</f>
        <v>5.0129999999999999</v>
      </c>
      <c r="I30" s="809">
        <f>ROUNDUP(Demands!H450,3)</f>
        <v>4.0440000000000005</v>
      </c>
      <c r="J30" s="809">
        <f>ROUNDUP(Demands!I450,3)</f>
        <v>3.4119999999999999</v>
      </c>
      <c r="K30" s="809">
        <f>ROUNDUP(Demands!J450,3)</f>
        <v>2.5469999999999997</v>
      </c>
      <c r="L30" s="809">
        <f>ROUNDUP(Demands!K450,3)</f>
        <v>3.1069999999999998</v>
      </c>
      <c r="M30" s="809">
        <f>ROUNDUP(Demands!L450,3)</f>
        <v>5.0840000000000005</v>
      </c>
      <c r="N30" s="809">
        <f>ROUNDUP(Demands!M450,3)</f>
        <v>4.4800000000000004</v>
      </c>
      <c r="O30" s="809">
        <f>ROUNDUP(Demands!N450,3)</f>
        <v>3.7559999999999998</v>
      </c>
      <c r="P30" s="809">
        <f>ROUNDUP(Demands!O450,3)</f>
        <v>6.0070000000000006</v>
      </c>
      <c r="Q30" s="809">
        <f>ROUNDUP(Demands!P450,3)</f>
        <v>5.7880000000000003</v>
      </c>
      <c r="R30" s="809">
        <f>ROUNDUP(Demands!Q450,3)</f>
        <v>4.9420000000000002</v>
      </c>
      <c r="S30" s="809">
        <f>ROUNDUP(Demands!R450,3)</f>
        <v>6.6140000000000008</v>
      </c>
      <c r="T30" s="809">
        <f>ROUNDUP(Demands!S450,3)</f>
        <v>2.3759999999999999</v>
      </c>
      <c r="U30" s="809">
        <f>ROUNDUP(Demands!T450,3)</f>
        <v>3.984</v>
      </c>
      <c r="V30" s="809">
        <f>ROUNDUP(Demands!U450,3)</f>
        <v>7.0140000000000002</v>
      </c>
      <c r="W30" s="809">
        <f>ROUNDUP(Demands!V450,3)</f>
        <v>4.0600000000000005</v>
      </c>
      <c r="X30" s="809">
        <f>ROUNDUP(Demands!W450,3)</f>
        <v>4.2869999999999999</v>
      </c>
      <c r="Y30" s="809">
        <f>ROUNDUP(Demands!X450,3)</f>
        <v>4.3070000000000004</v>
      </c>
      <c r="Z30" s="809">
        <f>ROUNDUP(Demands!Y450,3)</f>
        <v>3.0309999999999997</v>
      </c>
      <c r="AA30" s="809">
        <f>ROUNDUP(Demands!Z450,3)</f>
        <v>3.7549999999999999</v>
      </c>
      <c r="AB30" s="809">
        <f>ROUNDUP(Demands!AA450,3)</f>
        <v>3.3779999999999997</v>
      </c>
      <c r="AC30" s="809">
        <f>ROUNDUP(Demands!AB450,3)</f>
        <v>5.5580000000000007</v>
      </c>
      <c r="AD30" s="809">
        <f>ROUNDUP(Demands!AC450,3)</f>
        <v>1.9569999999999999</v>
      </c>
    </row>
    <row r="31" spans="1:30" s="714" customFormat="1">
      <c r="A31" s="480" t="str">
        <f>A73</f>
        <v>T-HGT-ICE_DST00</v>
      </c>
      <c r="B31" s="480" t="str">
        <f t="shared" si="27"/>
        <v>DEMO</v>
      </c>
      <c r="C31" s="480" t="str">
        <f t="shared" si="27"/>
        <v>tonne/vehicle</v>
      </c>
      <c r="D31" s="809">
        <f>ROUNDUP(Demands!C451,3)</f>
        <v>9.2240000000000002</v>
      </c>
      <c r="E31" s="809">
        <f>ROUNDUP(Demands!D451,3)</f>
        <v>8.2939999999999987</v>
      </c>
      <c r="F31" s="809">
        <f>ROUNDUP(Demands!E451,3)</f>
        <v>12.189</v>
      </c>
      <c r="G31" s="809">
        <f>ROUNDUP(Demands!F451,3)</f>
        <v>7.1030000000000006</v>
      </c>
      <c r="H31" s="809">
        <f>ROUNDUP(Demands!G451,3)</f>
        <v>6.4540000000000006</v>
      </c>
      <c r="I31" s="809">
        <f>ROUNDUP(Demands!H451,3)</f>
        <v>8.1589999999999989</v>
      </c>
      <c r="J31" s="809">
        <f>ROUNDUP(Demands!I451,3)</f>
        <v>6.6640000000000006</v>
      </c>
      <c r="K31" s="809">
        <f>ROUNDUP(Demands!J451,3)</f>
        <v>8.0190000000000001</v>
      </c>
      <c r="L31" s="809">
        <f>ROUNDUP(Demands!K451,3)</f>
        <v>5.3720000000000008</v>
      </c>
      <c r="M31" s="809">
        <f>ROUNDUP(Demands!L451,3)</f>
        <v>11.385</v>
      </c>
      <c r="N31" s="809">
        <f>ROUNDUP(Demands!M451,3)</f>
        <v>13.610999999999999</v>
      </c>
      <c r="O31" s="809">
        <f>ROUNDUP(Demands!N451,3)</f>
        <v>5.7490000000000006</v>
      </c>
      <c r="P31" s="809">
        <f>ROUNDUP(Demands!O451,3)</f>
        <v>13.93</v>
      </c>
      <c r="Q31" s="809">
        <f>ROUNDUP(Demands!P451,3)</f>
        <v>13.993</v>
      </c>
      <c r="R31" s="809">
        <f>ROUNDUP(Demands!Q451,3)</f>
        <v>11.366</v>
      </c>
      <c r="S31" s="809">
        <f>ROUNDUP(Demands!R451,3)</f>
        <v>15.776</v>
      </c>
      <c r="T31" s="809">
        <f>ROUNDUP(Demands!S451,3)</f>
        <v>8.6289999999999996</v>
      </c>
      <c r="U31" s="809">
        <f>ROUNDUP(Demands!T451,3)</f>
        <v>7.7360000000000007</v>
      </c>
      <c r="V31" s="809">
        <f>ROUNDUP(Demands!U451,3)</f>
        <v>17.77</v>
      </c>
      <c r="W31" s="809">
        <f>ROUNDUP(Demands!V451,3)</f>
        <v>12.26</v>
      </c>
      <c r="X31" s="809">
        <f>ROUNDUP(Demands!W451,3)</f>
        <v>9.8940000000000001</v>
      </c>
      <c r="Y31" s="809">
        <f>ROUNDUP(Demands!X451,3)</f>
        <v>12.536</v>
      </c>
      <c r="Z31" s="809">
        <f>ROUNDUP(Demands!Y451,3)</f>
        <v>8.3769999999999989</v>
      </c>
      <c r="AA31" s="809">
        <f>ROUNDUP(Demands!Z451,3)</f>
        <v>13.545</v>
      </c>
      <c r="AB31" s="809">
        <f>ROUNDUP(Demands!AA451,3)</f>
        <v>5.8640000000000008</v>
      </c>
      <c r="AC31" s="809">
        <f>ROUNDUP(Demands!AB451,3)</f>
        <v>10.508999999999999</v>
      </c>
      <c r="AD31" s="809">
        <f>ROUNDUP(Demands!AC451,3)</f>
        <v>2.3140000000000001</v>
      </c>
    </row>
    <row r="32" spans="1:30" s="714" customFormat="1">
      <c r="A32" s="496" t="str">
        <f t="shared" ref="A32:C32" si="28">A74</f>
        <v>T-GTR-ICE_DST00</v>
      </c>
      <c r="B32" s="496" t="str">
        <f t="shared" si="28"/>
        <v>DEMO</v>
      </c>
      <c r="C32" s="496" t="str">
        <f t="shared" si="28"/>
        <v>tonne/vehicle</v>
      </c>
      <c r="D32" s="726">
        <f>ROUNDUP(D74,2)</f>
        <v>164.84</v>
      </c>
      <c r="E32" s="726">
        <f t="shared" ref="E32:AD32" si="29">ROUNDUP(E74,2)</f>
        <v>164.84</v>
      </c>
      <c r="F32" s="726">
        <f t="shared" si="29"/>
        <v>164.84</v>
      </c>
      <c r="G32" s="726">
        <f t="shared" si="29"/>
        <v>164.84</v>
      </c>
      <c r="H32" s="726">
        <f t="shared" si="29"/>
        <v>164.84</v>
      </c>
      <c r="I32" s="726">
        <f t="shared" si="29"/>
        <v>164.84</v>
      </c>
      <c r="J32" s="726">
        <f t="shared" si="29"/>
        <v>164.84</v>
      </c>
      <c r="K32" s="726">
        <f t="shared" si="29"/>
        <v>164.84</v>
      </c>
      <c r="L32" s="726">
        <f t="shared" si="29"/>
        <v>164.84</v>
      </c>
      <c r="M32" s="726">
        <f t="shared" si="29"/>
        <v>164.84</v>
      </c>
      <c r="N32" s="726">
        <f t="shared" si="29"/>
        <v>164.84</v>
      </c>
      <c r="O32" s="726">
        <f t="shared" si="29"/>
        <v>164.84</v>
      </c>
      <c r="P32" s="726">
        <f t="shared" si="29"/>
        <v>164.84</v>
      </c>
      <c r="Q32" s="726">
        <f t="shared" si="29"/>
        <v>164.84</v>
      </c>
      <c r="R32" s="726">
        <f t="shared" si="29"/>
        <v>164.84</v>
      </c>
      <c r="S32" s="726">
        <f t="shared" si="29"/>
        <v>164.84</v>
      </c>
      <c r="T32" s="726">
        <f t="shared" si="29"/>
        <v>164.84</v>
      </c>
      <c r="U32" s="726">
        <f t="shared" si="29"/>
        <v>164.84</v>
      </c>
      <c r="V32" s="726">
        <f t="shared" si="29"/>
        <v>164.84</v>
      </c>
      <c r="W32" s="726">
        <f t="shared" si="29"/>
        <v>164.84</v>
      </c>
      <c r="X32" s="726">
        <f t="shared" si="29"/>
        <v>164.84</v>
      </c>
      <c r="Y32" s="726">
        <f t="shared" si="29"/>
        <v>164.84</v>
      </c>
      <c r="Z32" s="726">
        <f t="shared" si="29"/>
        <v>164.84</v>
      </c>
      <c r="AA32" s="726">
        <f t="shared" si="29"/>
        <v>164.84</v>
      </c>
      <c r="AB32" s="726">
        <f t="shared" si="29"/>
        <v>164.84</v>
      </c>
      <c r="AC32" s="726">
        <f t="shared" si="29"/>
        <v>164.84</v>
      </c>
      <c r="AD32" s="726">
        <f t="shared" si="29"/>
        <v>164.84</v>
      </c>
    </row>
    <row r="33" spans="1:35" s="714" customFormat="1"/>
    <row r="34" spans="1:35" s="714" customFormat="1">
      <c r="D34" s="824">
        <f>ROUNDUP(D74,2)</f>
        <v>164.84</v>
      </c>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731</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734</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849</v>
      </c>
      <c r="C50" s="480" t="s">
        <v>732</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849</v>
      </c>
      <c r="C51" s="480" t="s">
        <v>732</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849</v>
      </c>
      <c r="C52" s="480" t="s">
        <v>732</v>
      </c>
      <c r="D52" s="478">
        <v>1.1000000000000001</v>
      </c>
      <c r="E52" s="478">
        <f>D52</f>
        <v>1.1000000000000001</v>
      </c>
      <c r="F52" s="478">
        <f t="shared" ref="F52:AD52" si="30">E52</f>
        <v>1.1000000000000001</v>
      </c>
      <c r="G52" s="478">
        <f t="shared" si="30"/>
        <v>1.1000000000000001</v>
      </c>
      <c r="H52" s="478">
        <f t="shared" si="30"/>
        <v>1.1000000000000001</v>
      </c>
      <c r="I52" s="478">
        <f t="shared" si="30"/>
        <v>1.1000000000000001</v>
      </c>
      <c r="J52" s="478">
        <f t="shared" si="30"/>
        <v>1.1000000000000001</v>
      </c>
      <c r="K52" s="478">
        <f t="shared" si="30"/>
        <v>1.1000000000000001</v>
      </c>
      <c r="L52" s="478">
        <f t="shared" si="30"/>
        <v>1.1000000000000001</v>
      </c>
      <c r="M52" s="478">
        <f t="shared" si="30"/>
        <v>1.1000000000000001</v>
      </c>
      <c r="N52" s="478">
        <f t="shared" si="30"/>
        <v>1.1000000000000001</v>
      </c>
      <c r="O52" s="478">
        <f t="shared" si="30"/>
        <v>1.1000000000000001</v>
      </c>
      <c r="P52" s="478">
        <f t="shared" si="30"/>
        <v>1.1000000000000001</v>
      </c>
      <c r="Q52" s="478">
        <f t="shared" si="30"/>
        <v>1.1000000000000001</v>
      </c>
      <c r="R52" s="478">
        <f t="shared" si="30"/>
        <v>1.1000000000000001</v>
      </c>
      <c r="S52" s="478">
        <f t="shared" si="30"/>
        <v>1.1000000000000001</v>
      </c>
      <c r="T52" s="478">
        <f t="shared" si="30"/>
        <v>1.1000000000000001</v>
      </c>
      <c r="U52" s="478">
        <f t="shared" si="30"/>
        <v>1.1000000000000001</v>
      </c>
      <c r="V52" s="478">
        <f t="shared" si="30"/>
        <v>1.1000000000000001</v>
      </c>
      <c r="W52" s="478">
        <f t="shared" si="30"/>
        <v>1.1000000000000001</v>
      </c>
      <c r="X52" s="478">
        <f t="shared" si="30"/>
        <v>1.1000000000000001</v>
      </c>
      <c r="Y52" s="478">
        <f t="shared" si="30"/>
        <v>1.1000000000000001</v>
      </c>
      <c r="Z52" s="478">
        <f t="shared" si="30"/>
        <v>1.1000000000000001</v>
      </c>
      <c r="AA52" s="478">
        <f t="shared" si="30"/>
        <v>1.1000000000000001</v>
      </c>
      <c r="AB52" s="478">
        <f t="shared" si="30"/>
        <v>1.1000000000000001</v>
      </c>
      <c r="AC52" s="478">
        <f t="shared" si="30"/>
        <v>1.1000000000000001</v>
      </c>
      <c r="AD52" s="478">
        <f t="shared" si="30"/>
        <v>1.1000000000000001</v>
      </c>
      <c r="AE52" s="448"/>
      <c r="AF52" s="448"/>
      <c r="AG52" s="448"/>
      <c r="AH52" s="448"/>
      <c r="AI52" s="448"/>
    </row>
    <row r="53" spans="1:35">
      <c r="A53" s="480" t="str">
        <f>Commodities!K13</f>
        <v>T-CAR-ICE_GSL00</v>
      </c>
      <c r="B53" s="480" t="s">
        <v>849</v>
      </c>
      <c r="C53" s="480" t="s">
        <v>732</v>
      </c>
      <c r="D53" s="478">
        <f>M95</f>
        <v>1.49201152283105</v>
      </c>
      <c r="E53" s="478">
        <f>D53</f>
        <v>1.49201152283105</v>
      </c>
      <c r="F53" s="478">
        <f t="shared" ref="F53:AD64" si="31">E53</f>
        <v>1.49201152283105</v>
      </c>
      <c r="G53" s="478">
        <f t="shared" si="31"/>
        <v>1.49201152283105</v>
      </c>
      <c r="H53" s="478">
        <f t="shared" si="31"/>
        <v>1.49201152283105</v>
      </c>
      <c r="I53" s="478">
        <f t="shared" si="31"/>
        <v>1.49201152283105</v>
      </c>
      <c r="J53" s="478">
        <f t="shared" si="31"/>
        <v>1.49201152283105</v>
      </c>
      <c r="K53" s="478">
        <f t="shared" si="31"/>
        <v>1.49201152283105</v>
      </c>
      <c r="L53" s="478">
        <f t="shared" si="31"/>
        <v>1.49201152283105</v>
      </c>
      <c r="M53" s="478">
        <f t="shared" si="31"/>
        <v>1.49201152283105</v>
      </c>
      <c r="N53" s="478">
        <f t="shared" si="31"/>
        <v>1.49201152283105</v>
      </c>
      <c r="O53" s="478">
        <f t="shared" si="31"/>
        <v>1.49201152283105</v>
      </c>
      <c r="P53" s="478">
        <f t="shared" si="31"/>
        <v>1.49201152283105</v>
      </c>
      <c r="Q53" s="478">
        <f t="shared" si="31"/>
        <v>1.49201152283105</v>
      </c>
      <c r="R53" s="478">
        <f t="shared" si="31"/>
        <v>1.49201152283105</v>
      </c>
      <c r="S53" s="478">
        <f t="shared" si="31"/>
        <v>1.49201152283105</v>
      </c>
      <c r="T53" s="478">
        <f t="shared" si="31"/>
        <v>1.49201152283105</v>
      </c>
      <c r="U53" s="478">
        <f t="shared" si="31"/>
        <v>1.49201152283105</v>
      </c>
      <c r="V53" s="478">
        <f t="shared" si="31"/>
        <v>1.49201152283105</v>
      </c>
      <c r="W53" s="478">
        <f t="shared" si="31"/>
        <v>1.49201152283105</v>
      </c>
      <c r="X53" s="478">
        <f t="shared" si="31"/>
        <v>1.49201152283105</v>
      </c>
      <c r="Y53" s="478">
        <f t="shared" si="31"/>
        <v>1.49201152283105</v>
      </c>
      <c r="Z53" s="478">
        <f t="shared" si="31"/>
        <v>1.49201152283105</v>
      </c>
      <c r="AA53" s="478">
        <f t="shared" si="31"/>
        <v>1.49201152283105</v>
      </c>
      <c r="AB53" s="478">
        <f t="shared" si="31"/>
        <v>1.49201152283105</v>
      </c>
      <c r="AC53" s="478">
        <f t="shared" si="31"/>
        <v>1.49201152283105</v>
      </c>
      <c r="AD53" s="478">
        <f t="shared" si="31"/>
        <v>1.49201152283105</v>
      </c>
      <c r="AE53" s="448"/>
      <c r="AF53" s="448"/>
      <c r="AG53" s="448"/>
      <c r="AH53" s="448"/>
      <c r="AI53" s="448"/>
    </row>
    <row r="54" spans="1:35">
      <c r="A54" s="480" t="str">
        <f>Commodities!K14</f>
        <v>T-CAR-ICE_DST00</v>
      </c>
      <c r="B54" s="480" t="s">
        <v>849</v>
      </c>
      <c r="C54" s="480" t="s">
        <v>732</v>
      </c>
      <c r="D54" s="478">
        <f>M95</f>
        <v>1.49201152283105</v>
      </c>
      <c r="E54" s="478">
        <f t="shared" ref="E54:E65" si="32">D54</f>
        <v>1.49201152283105</v>
      </c>
      <c r="F54" s="478">
        <f t="shared" si="31"/>
        <v>1.49201152283105</v>
      </c>
      <c r="G54" s="478">
        <f t="shared" si="31"/>
        <v>1.49201152283105</v>
      </c>
      <c r="H54" s="478">
        <f t="shared" si="31"/>
        <v>1.49201152283105</v>
      </c>
      <c r="I54" s="478">
        <f t="shared" si="31"/>
        <v>1.49201152283105</v>
      </c>
      <c r="J54" s="478">
        <f t="shared" si="31"/>
        <v>1.49201152283105</v>
      </c>
      <c r="K54" s="478">
        <f t="shared" si="31"/>
        <v>1.49201152283105</v>
      </c>
      <c r="L54" s="478">
        <f t="shared" si="31"/>
        <v>1.49201152283105</v>
      </c>
      <c r="M54" s="478">
        <f t="shared" si="31"/>
        <v>1.49201152283105</v>
      </c>
      <c r="N54" s="478">
        <f t="shared" si="31"/>
        <v>1.49201152283105</v>
      </c>
      <c r="O54" s="478">
        <f t="shared" si="31"/>
        <v>1.49201152283105</v>
      </c>
      <c r="P54" s="478">
        <f t="shared" si="31"/>
        <v>1.49201152283105</v>
      </c>
      <c r="Q54" s="478">
        <f t="shared" si="31"/>
        <v>1.49201152283105</v>
      </c>
      <c r="R54" s="478">
        <f t="shared" si="31"/>
        <v>1.49201152283105</v>
      </c>
      <c r="S54" s="478">
        <f t="shared" si="31"/>
        <v>1.49201152283105</v>
      </c>
      <c r="T54" s="478">
        <f t="shared" si="31"/>
        <v>1.49201152283105</v>
      </c>
      <c r="U54" s="478">
        <f t="shared" si="31"/>
        <v>1.49201152283105</v>
      </c>
      <c r="V54" s="478">
        <f t="shared" si="31"/>
        <v>1.49201152283105</v>
      </c>
      <c r="W54" s="478">
        <f t="shared" si="31"/>
        <v>1.49201152283105</v>
      </c>
      <c r="X54" s="478">
        <f t="shared" si="31"/>
        <v>1.49201152283105</v>
      </c>
      <c r="Y54" s="478">
        <f t="shared" si="31"/>
        <v>1.49201152283105</v>
      </c>
      <c r="Z54" s="478">
        <f t="shared" si="31"/>
        <v>1.49201152283105</v>
      </c>
      <c r="AA54" s="478">
        <f t="shared" si="31"/>
        <v>1.49201152283105</v>
      </c>
      <c r="AB54" s="478">
        <f t="shared" si="31"/>
        <v>1.49201152283105</v>
      </c>
      <c r="AC54" s="478">
        <f t="shared" si="31"/>
        <v>1.49201152283105</v>
      </c>
      <c r="AD54" s="478">
        <f t="shared" si="31"/>
        <v>1.49201152283105</v>
      </c>
      <c r="AE54" s="448"/>
      <c r="AF54" s="448"/>
      <c r="AG54" s="448"/>
      <c r="AH54" s="448"/>
      <c r="AI54" s="448"/>
    </row>
    <row r="55" spans="1:35">
      <c r="A55" s="480" t="str">
        <f>Commodities!K15</f>
        <v>T-CAR-ICE_DF00</v>
      </c>
      <c r="B55" s="480" t="s">
        <v>849</v>
      </c>
      <c r="C55" s="480" t="s">
        <v>732</v>
      </c>
      <c r="D55" s="478">
        <f>M95</f>
        <v>1.49201152283105</v>
      </c>
      <c r="E55" s="478">
        <f t="shared" si="32"/>
        <v>1.49201152283105</v>
      </c>
      <c r="F55" s="478">
        <f t="shared" si="31"/>
        <v>1.49201152283105</v>
      </c>
      <c r="G55" s="478">
        <f t="shared" si="31"/>
        <v>1.49201152283105</v>
      </c>
      <c r="H55" s="478">
        <f t="shared" si="31"/>
        <v>1.49201152283105</v>
      </c>
      <c r="I55" s="478">
        <f t="shared" si="31"/>
        <v>1.49201152283105</v>
      </c>
      <c r="J55" s="478">
        <f t="shared" si="31"/>
        <v>1.49201152283105</v>
      </c>
      <c r="K55" s="478">
        <f t="shared" si="31"/>
        <v>1.49201152283105</v>
      </c>
      <c r="L55" s="478">
        <f t="shared" si="31"/>
        <v>1.49201152283105</v>
      </c>
      <c r="M55" s="478">
        <f t="shared" si="31"/>
        <v>1.49201152283105</v>
      </c>
      <c r="N55" s="478">
        <f t="shared" si="31"/>
        <v>1.49201152283105</v>
      </c>
      <c r="O55" s="478">
        <f t="shared" si="31"/>
        <v>1.49201152283105</v>
      </c>
      <c r="P55" s="478">
        <f t="shared" si="31"/>
        <v>1.49201152283105</v>
      </c>
      <c r="Q55" s="478">
        <f t="shared" si="31"/>
        <v>1.49201152283105</v>
      </c>
      <c r="R55" s="478">
        <f t="shared" si="31"/>
        <v>1.49201152283105</v>
      </c>
      <c r="S55" s="478">
        <f t="shared" si="31"/>
        <v>1.49201152283105</v>
      </c>
      <c r="T55" s="478">
        <f t="shared" si="31"/>
        <v>1.49201152283105</v>
      </c>
      <c r="U55" s="478">
        <f t="shared" si="31"/>
        <v>1.49201152283105</v>
      </c>
      <c r="V55" s="478">
        <f t="shared" si="31"/>
        <v>1.49201152283105</v>
      </c>
      <c r="W55" s="478">
        <f t="shared" si="31"/>
        <v>1.49201152283105</v>
      </c>
      <c r="X55" s="478">
        <f t="shared" si="31"/>
        <v>1.49201152283105</v>
      </c>
      <c r="Y55" s="478">
        <f t="shared" si="31"/>
        <v>1.49201152283105</v>
      </c>
      <c r="Z55" s="478">
        <f t="shared" si="31"/>
        <v>1.49201152283105</v>
      </c>
      <c r="AA55" s="478">
        <f t="shared" si="31"/>
        <v>1.49201152283105</v>
      </c>
      <c r="AB55" s="478">
        <f t="shared" si="31"/>
        <v>1.49201152283105</v>
      </c>
      <c r="AC55" s="478">
        <f t="shared" si="31"/>
        <v>1.49201152283105</v>
      </c>
      <c r="AD55" s="478">
        <f t="shared" si="31"/>
        <v>1.49201152283105</v>
      </c>
      <c r="AE55" s="448"/>
      <c r="AG55" s="448"/>
      <c r="AH55" s="448"/>
      <c r="AI55" s="448"/>
    </row>
    <row r="56" spans="1:35">
      <c r="A56" s="480" t="str">
        <f>Commodities!K16</f>
        <v>T-CAR-ICE_E8500</v>
      </c>
      <c r="B56" s="480" t="s">
        <v>849</v>
      </c>
      <c r="C56" s="480" t="s">
        <v>732</v>
      </c>
      <c r="D56" s="478">
        <f>M95</f>
        <v>1.49201152283105</v>
      </c>
      <c r="E56" s="478">
        <f t="shared" si="32"/>
        <v>1.49201152283105</v>
      </c>
      <c r="F56" s="478">
        <f t="shared" si="31"/>
        <v>1.49201152283105</v>
      </c>
      <c r="G56" s="478">
        <f t="shared" si="31"/>
        <v>1.49201152283105</v>
      </c>
      <c r="H56" s="478">
        <f t="shared" si="31"/>
        <v>1.49201152283105</v>
      </c>
      <c r="I56" s="478">
        <f t="shared" si="31"/>
        <v>1.49201152283105</v>
      </c>
      <c r="J56" s="478">
        <f t="shared" si="31"/>
        <v>1.49201152283105</v>
      </c>
      <c r="K56" s="478">
        <f t="shared" si="31"/>
        <v>1.49201152283105</v>
      </c>
      <c r="L56" s="478">
        <f t="shared" si="31"/>
        <v>1.49201152283105</v>
      </c>
      <c r="M56" s="478">
        <f t="shared" si="31"/>
        <v>1.49201152283105</v>
      </c>
      <c r="N56" s="478">
        <f t="shared" si="31"/>
        <v>1.49201152283105</v>
      </c>
      <c r="O56" s="478">
        <f t="shared" si="31"/>
        <v>1.49201152283105</v>
      </c>
      <c r="P56" s="478">
        <f t="shared" si="31"/>
        <v>1.49201152283105</v>
      </c>
      <c r="Q56" s="478">
        <f t="shared" si="31"/>
        <v>1.49201152283105</v>
      </c>
      <c r="R56" s="478">
        <f t="shared" si="31"/>
        <v>1.49201152283105</v>
      </c>
      <c r="S56" s="478">
        <f t="shared" si="31"/>
        <v>1.49201152283105</v>
      </c>
      <c r="T56" s="478">
        <f t="shared" si="31"/>
        <v>1.49201152283105</v>
      </c>
      <c r="U56" s="478">
        <f t="shared" si="31"/>
        <v>1.49201152283105</v>
      </c>
      <c r="V56" s="478">
        <f t="shared" si="31"/>
        <v>1.49201152283105</v>
      </c>
      <c r="W56" s="478">
        <f t="shared" si="31"/>
        <v>1.49201152283105</v>
      </c>
      <c r="X56" s="478">
        <f t="shared" si="31"/>
        <v>1.49201152283105</v>
      </c>
      <c r="Y56" s="478">
        <f t="shared" si="31"/>
        <v>1.49201152283105</v>
      </c>
      <c r="Z56" s="478">
        <f t="shared" si="31"/>
        <v>1.49201152283105</v>
      </c>
      <c r="AA56" s="478">
        <f t="shared" si="31"/>
        <v>1.49201152283105</v>
      </c>
      <c r="AB56" s="478">
        <f t="shared" si="31"/>
        <v>1.49201152283105</v>
      </c>
      <c r="AC56" s="478">
        <f t="shared" si="31"/>
        <v>1.49201152283105</v>
      </c>
      <c r="AD56" s="478">
        <f t="shared" si="31"/>
        <v>1.49201152283105</v>
      </c>
    </row>
    <row r="57" spans="1:35">
      <c r="A57" s="480" t="str">
        <f>Commodities!K17</f>
        <v>T-CAR-HEV_GSL00</v>
      </c>
      <c r="B57" s="480" t="s">
        <v>849</v>
      </c>
      <c r="C57" s="480" t="s">
        <v>732</v>
      </c>
      <c r="D57" s="478">
        <f>M95</f>
        <v>1.49201152283105</v>
      </c>
      <c r="E57" s="478">
        <f>D57</f>
        <v>1.49201152283105</v>
      </c>
      <c r="F57" s="478">
        <f t="shared" si="31"/>
        <v>1.49201152283105</v>
      </c>
      <c r="G57" s="478">
        <f t="shared" si="31"/>
        <v>1.49201152283105</v>
      </c>
      <c r="H57" s="478">
        <f t="shared" si="31"/>
        <v>1.49201152283105</v>
      </c>
      <c r="I57" s="478">
        <f t="shared" si="31"/>
        <v>1.49201152283105</v>
      </c>
      <c r="J57" s="478">
        <f t="shared" si="31"/>
        <v>1.49201152283105</v>
      </c>
      <c r="K57" s="478">
        <f t="shared" si="31"/>
        <v>1.49201152283105</v>
      </c>
      <c r="L57" s="478">
        <f t="shared" si="31"/>
        <v>1.49201152283105</v>
      </c>
      <c r="M57" s="478">
        <f t="shared" si="31"/>
        <v>1.49201152283105</v>
      </c>
      <c r="N57" s="478">
        <f t="shared" si="31"/>
        <v>1.49201152283105</v>
      </c>
      <c r="O57" s="478">
        <f t="shared" si="31"/>
        <v>1.49201152283105</v>
      </c>
      <c r="P57" s="478">
        <f t="shared" si="31"/>
        <v>1.49201152283105</v>
      </c>
      <c r="Q57" s="478">
        <f t="shared" si="31"/>
        <v>1.49201152283105</v>
      </c>
      <c r="R57" s="478">
        <f t="shared" si="31"/>
        <v>1.49201152283105</v>
      </c>
      <c r="S57" s="478">
        <f t="shared" si="31"/>
        <v>1.49201152283105</v>
      </c>
      <c r="T57" s="478">
        <f t="shared" si="31"/>
        <v>1.49201152283105</v>
      </c>
      <c r="U57" s="478">
        <f t="shared" si="31"/>
        <v>1.49201152283105</v>
      </c>
      <c r="V57" s="478">
        <f t="shared" si="31"/>
        <v>1.49201152283105</v>
      </c>
      <c r="W57" s="478">
        <f t="shared" si="31"/>
        <v>1.49201152283105</v>
      </c>
      <c r="X57" s="478">
        <f t="shared" si="31"/>
        <v>1.49201152283105</v>
      </c>
      <c r="Y57" s="478">
        <f t="shared" si="31"/>
        <v>1.49201152283105</v>
      </c>
      <c r="Z57" s="478">
        <f t="shared" si="31"/>
        <v>1.49201152283105</v>
      </c>
      <c r="AA57" s="478">
        <f t="shared" si="31"/>
        <v>1.49201152283105</v>
      </c>
      <c r="AB57" s="478">
        <f t="shared" si="31"/>
        <v>1.49201152283105</v>
      </c>
      <c r="AC57" s="478">
        <f t="shared" si="31"/>
        <v>1.49201152283105</v>
      </c>
      <c r="AD57" s="478">
        <f t="shared" si="31"/>
        <v>1.49201152283105</v>
      </c>
    </row>
    <row r="58" spans="1:35" s="459" customFormat="1">
      <c r="A58" s="480" t="str">
        <f>Commodities!K18</f>
        <v>T-CAR-HEV_DST00</v>
      </c>
      <c r="B58" s="480" t="s">
        <v>849</v>
      </c>
      <c r="C58" s="480" t="s">
        <v>732</v>
      </c>
      <c r="D58" s="478">
        <f>M95</f>
        <v>1.49201152283105</v>
      </c>
      <c r="E58" s="478">
        <f>D58</f>
        <v>1.49201152283105</v>
      </c>
      <c r="F58" s="478">
        <f t="shared" ref="F58:AD58" si="33">E58</f>
        <v>1.49201152283105</v>
      </c>
      <c r="G58" s="478">
        <f t="shared" si="33"/>
        <v>1.49201152283105</v>
      </c>
      <c r="H58" s="478">
        <f t="shared" si="33"/>
        <v>1.49201152283105</v>
      </c>
      <c r="I58" s="478">
        <f t="shared" si="33"/>
        <v>1.49201152283105</v>
      </c>
      <c r="J58" s="478">
        <f t="shared" si="33"/>
        <v>1.49201152283105</v>
      </c>
      <c r="K58" s="478">
        <f t="shared" si="33"/>
        <v>1.49201152283105</v>
      </c>
      <c r="L58" s="478">
        <f t="shared" si="33"/>
        <v>1.49201152283105</v>
      </c>
      <c r="M58" s="478">
        <f t="shared" si="33"/>
        <v>1.49201152283105</v>
      </c>
      <c r="N58" s="478">
        <f t="shared" si="33"/>
        <v>1.49201152283105</v>
      </c>
      <c r="O58" s="478">
        <f t="shared" si="33"/>
        <v>1.49201152283105</v>
      </c>
      <c r="P58" s="478">
        <f t="shared" si="33"/>
        <v>1.49201152283105</v>
      </c>
      <c r="Q58" s="478">
        <f t="shared" si="33"/>
        <v>1.49201152283105</v>
      </c>
      <c r="R58" s="478">
        <f t="shared" si="33"/>
        <v>1.49201152283105</v>
      </c>
      <c r="S58" s="478">
        <f t="shared" si="33"/>
        <v>1.49201152283105</v>
      </c>
      <c r="T58" s="478">
        <f t="shared" si="33"/>
        <v>1.49201152283105</v>
      </c>
      <c r="U58" s="478">
        <f t="shared" si="33"/>
        <v>1.49201152283105</v>
      </c>
      <c r="V58" s="478">
        <f t="shared" si="33"/>
        <v>1.49201152283105</v>
      </c>
      <c r="W58" s="478">
        <f t="shared" si="33"/>
        <v>1.49201152283105</v>
      </c>
      <c r="X58" s="478">
        <f t="shared" si="33"/>
        <v>1.49201152283105</v>
      </c>
      <c r="Y58" s="478">
        <f t="shared" si="33"/>
        <v>1.49201152283105</v>
      </c>
      <c r="Z58" s="478">
        <f t="shared" si="33"/>
        <v>1.49201152283105</v>
      </c>
      <c r="AA58" s="478">
        <f t="shared" si="33"/>
        <v>1.49201152283105</v>
      </c>
      <c r="AB58" s="478">
        <f t="shared" si="33"/>
        <v>1.49201152283105</v>
      </c>
      <c r="AC58" s="478">
        <f t="shared" si="33"/>
        <v>1.49201152283105</v>
      </c>
      <c r="AD58" s="478">
        <f t="shared" si="33"/>
        <v>1.49201152283105</v>
      </c>
    </row>
    <row r="59" spans="1:35">
      <c r="A59" s="480" t="str">
        <f>Commodities!K19</f>
        <v>T-CAR-PHEV_GSL00</v>
      </c>
      <c r="B59" s="480" t="s">
        <v>849</v>
      </c>
      <c r="C59" s="480" t="s">
        <v>732</v>
      </c>
      <c r="D59" s="478">
        <f>M95</f>
        <v>1.49201152283105</v>
      </c>
      <c r="E59" s="478">
        <f t="shared" si="32"/>
        <v>1.49201152283105</v>
      </c>
      <c r="F59" s="478">
        <f t="shared" si="31"/>
        <v>1.49201152283105</v>
      </c>
      <c r="G59" s="478">
        <f t="shared" si="31"/>
        <v>1.49201152283105</v>
      </c>
      <c r="H59" s="478">
        <f t="shared" si="31"/>
        <v>1.49201152283105</v>
      </c>
      <c r="I59" s="478">
        <f t="shared" si="31"/>
        <v>1.49201152283105</v>
      </c>
      <c r="J59" s="478">
        <f t="shared" si="31"/>
        <v>1.49201152283105</v>
      </c>
      <c r="K59" s="478">
        <f t="shared" si="31"/>
        <v>1.49201152283105</v>
      </c>
      <c r="L59" s="478">
        <f t="shared" si="31"/>
        <v>1.49201152283105</v>
      </c>
      <c r="M59" s="478">
        <f t="shared" si="31"/>
        <v>1.49201152283105</v>
      </c>
      <c r="N59" s="478">
        <f t="shared" si="31"/>
        <v>1.49201152283105</v>
      </c>
      <c r="O59" s="478">
        <f t="shared" si="31"/>
        <v>1.49201152283105</v>
      </c>
      <c r="P59" s="478">
        <f t="shared" si="31"/>
        <v>1.49201152283105</v>
      </c>
      <c r="Q59" s="478">
        <f t="shared" si="31"/>
        <v>1.49201152283105</v>
      </c>
      <c r="R59" s="478">
        <f t="shared" si="31"/>
        <v>1.49201152283105</v>
      </c>
      <c r="S59" s="478">
        <f t="shared" si="31"/>
        <v>1.49201152283105</v>
      </c>
      <c r="T59" s="478">
        <f t="shared" si="31"/>
        <v>1.49201152283105</v>
      </c>
      <c r="U59" s="478">
        <f t="shared" si="31"/>
        <v>1.49201152283105</v>
      </c>
      <c r="V59" s="478">
        <f t="shared" si="31"/>
        <v>1.49201152283105</v>
      </c>
      <c r="W59" s="478">
        <f t="shared" si="31"/>
        <v>1.49201152283105</v>
      </c>
      <c r="X59" s="478">
        <f t="shared" si="31"/>
        <v>1.49201152283105</v>
      </c>
      <c r="Y59" s="478">
        <f t="shared" si="31"/>
        <v>1.49201152283105</v>
      </c>
      <c r="Z59" s="478">
        <f t="shared" si="31"/>
        <v>1.49201152283105</v>
      </c>
      <c r="AA59" s="478">
        <f t="shared" si="31"/>
        <v>1.49201152283105</v>
      </c>
      <c r="AB59" s="478">
        <f t="shared" si="31"/>
        <v>1.49201152283105</v>
      </c>
      <c r="AC59" s="478">
        <f t="shared" si="31"/>
        <v>1.49201152283105</v>
      </c>
      <c r="AD59" s="478">
        <f t="shared" si="31"/>
        <v>1.49201152283105</v>
      </c>
    </row>
    <row r="60" spans="1:35">
      <c r="A60" s="480" t="str">
        <f>Commodities!K20</f>
        <v>T-CAR-PHEV_DST00</v>
      </c>
      <c r="B60" s="480" t="s">
        <v>849</v>
      </c>
      <c r="C60" s="480" t="s">
        <v>732</v>
      </c>
      <c r="D60" s="478">
        <f>M95</f>
        <v>1.49201152283105</v>
      </c>
      <c r="E60" s="478">
        <f t="shared" si="32"/>
        <v>1.49201152283105</v>
      </c>
      <c r="F60" s="478">
        <f t="shared" si="31"/>
        <v>1.49201152283105</v>
      </c>
      <c r="G60" s="478">
        <f t="shared" si="31"/>
        <v>1.49201152283105</v>
      </c>
      <c r="H60" s="478">
        <f t="shared" si="31"/>
        <v>1.49201152283105</v>
      </c>
      <c r="I60" s="478">
        <f t="shared" si="31"/>
        <v>1.49201152283105</v>
      </c>
      <c r="J60" s="478">
        <f t="shared" si="31"/>
        <v>1.49201152283105</v>
      </c>
      <c r="K60" s="478">
        <f t="shared" si="31"/>
        <v>1.49201152283105</v>
      </c>
      <c r="L60" s="478">
        <f t="shared" si="31"/>
        <v>1.49201152283105</v>
      </c>
      <c r="M60" s="478">
        <f t="shared" si="31"/>
        <v>1.49201152283105</v>
      </c>
      <c r="N60" s="478">
        <f t="shared" si="31"/>
        <v>1.49201152283105</v>
      </c>
      <c r="O60" s="478">
        <f t="shared" si="31"/>
        <v>1.49201152283105</v>
      </c>
      <c r="P60" s="478">
        <f t="shared" si="31"/>
        <v>1.49201152283105</v>
      </c>
      <c r="Q60" s="478">
        <f t="shared" si="31"/>
        <v>1.49201152283105</v>
      </c>
      <c r="R60" s="478">
        <f t="shared" si="31"/>
        <v>1.49201152283105</v>
      </c>
      <c r="S60" s="478">
        <f t="shared" si="31"/>
        <v>1.49201152283105</v>
      </c>
      <c r="T60" s="478">
        <f t="shared" si="31"/>
        <v>1.49201152283105</v>
      </c>
      <c r="U60" s="478">
        <f t="shared" si="31"/>
        <v>1.49201152283105</v>
      </c>
      <c r="V60" s="478">
        <f t="shared" si="31"/>
        <v>1.49201152283105</v>
      </c>
      <c r="W60" s="478">
        <f t="shared" si="31"/>
        <v>1.49201152283105</v>
      </c>
      <c r="X60" s="478">
        <f t="shared" si="31"/>
        <v>1.49201152283105</v>
      </c>
      <c r="Y60" s="478">
        <f t="shared" si="31"/>
        <v>1.49201152283105</v>
      </c>
      <c r="Z60" s="478">
        <f t="shared" si="31"/>
        <v>1.49201152283105</v>
      </c>
      <c r="AA60" s="478">
        <f t="shared" si="31"/>
        <v>1.49201152283105</v>
      </c>
      <c r="AB60" s="478">
        <f t="shared" si="31"/>
        <v>1.49201152283105</v>
      </c>
      <c r="AC60" s="478">
        <f t="shared" si="31"/>
        <v>1.49201152283105</v>
      </c>
      <c r="AD60" s="478">
        <f t="shared" si="31"/>
        <v>1.49201152283105</v>
      </c>
    </row>
    <row r="61" spans="1:35">
      <c r="A61" s="480" t="str">
        <f>Commodities!K21</f>
        <v>T-CAR-BEV_ELC00</v>
      </c>
      <c r="B61" s="480" t="s">
        <v>849</v>
      </c>
      <c r="C61" s="480" t="s">
        <v>732</v>
      </c>
      <c r="D61" s="478">
        <f>M95</f>
        <v>1.49201152283105</v>
      </c>
      <c r="E61" s="478">
        <f t="shared" si="32"/>
        <v>1.49201152283105</v>
      </c>
      <c r="F61" s="478">
        <f t="shared" si="31"/>
        <v>1.49201152283105</v>
      </c>
      <c r="G61" s="478">
        <f t="shared" si="31"/>
        <v>1.49201152283105</v>
      </c>
      <c r="H61" s="478">
        <f t="shared" si="31"/>
        <v>1.49201152283105</v>
      </c>
      <c r="I61" s="478">
        <f t="shared" si="31"/>
        <v>1.49201152283105</v>
      </c>
      <c r="J61" s="478">
        <f t="shared" si="31"/>
        <v>1.49201152283105</v>
      </c>
      <c r="K61" s="478">
        <f t="shared" si="31"/>
        <v>1.49201152283105</v>
      </c>
      <c r="L61" s="478">
        <f t="shared" si="31"/>
        <v>1.49201152283105</v>
      </c>
      <c r="M61" s="478">
        <f t="shared" si="31"/>
        <v>1.49201152283105</v>
      </c>
      <c r="N61" s="478">
        <f t="shared" si="31"/>
        <v>1.49201152283105</v>
      </c>
      <c r="O61" s="478">
        <f t="shared" si="31"/>
        <v>1.49201152283105</v>
      </c>
      <c r="P61" s="478">
        <f t="shared" si="31"/>
        <v>1.49201152283105</v>
      </c>
      <c r="Q61" s="478">
        <f t="shared" si="31"/>
        <v>1.49201152283105</v>
      </c>
      <c r="R61" s="478">
        <f t="shared" si="31"/>
        <v>1.49201152283105</v>
      </c>
      <c r="S61" s="478">
        <f t="shared" si="31"/>
        <v>1.49201152283105</v>
      </c>
      <c r="T61" s="478">
        <f t="shared" si="31"/>
        <v>1.49201152283105</v>
      </c>
      <c r="U61" s="478">
        <f t="shared" si="31"/>
        <v>1.49201152283105</v>
      </c>
      <c r="V61" s="478">
        <f t="shared" si="31"/>
        <v>1.49201152283105</v>
      </c>
      <c r="W61" s="478">
        <f t="shared" si="31"/>
        <v>1.49201152283105</v>
      </c>
      <c r="X61" s="478">
        <f t="shared" si="31"/>
        <v>1.49201152283105</v>
      </c>
      <c r="Y61" s="478">
        <f t="shared" si="31"/>
        <v>1.49201152283105</v>
      </c>
      <c r="Z61" s="478">
        <f t="shared" si="31"/>
        <v>1.49201152283105</v>
      </c>
      <c r="AA61" s="478">
        <f t="shared" si="31"/>
        <v>1.49201152283105</v>
      </c>
      <c r="AB61" s="478">
        <f t="shared" si="31"/>
        <v>1.49201152283105</v>
      </c>
      <c r="AC61" s="478">
        <f t="shared" si="31"/>
        <v>1.49201152283105</v>
      </c>
      <c r="AD61" s="478">
        <f t="shared" si="31"/>
        <v>1.49201152283105</v>
      </c>
    </row>
    <row r="62" spans="1:35">
      <c r="A62" s="480" t="str">
        <f>Commodities!K23</f>
        <v>T-TAX-ICE_GSL00</v>
      </c>
      <c r="B62" s="480" t="s">
        <v>849</v>
      </c>
      <c r="C62" s="480" t="s">
        <v>732</v>
      </c>
      <c r="D62" s="478">
        <f>M95</f>
        <v>1.49201152283105</v>
      </c>
      <c r="E62" s="478">
        <f t="shared" si="32"/>
        <v>1.49201152283105</v>
      </c>
      <c r="F62" s="478">
        <f t="shared" si="31"/>
        <v>1.49201152283105</v>
      </c>
      <c r="G62" s="478">
        <f t="shared" si="31"/>
        <v>1.49201152283105</v>
      </c>
      <c r="H62" s="478">
        <f t="shared" si="31"/>
        <v>1.49201152283105</v>
      </c>
      <c r="I62" s="478">
        <f t="shared" si="31"/>
        <v>1.49201152283105</v>
      </c>
      <c r="J62" s="478">
        <f t="shared" si="31"/>
        <v>1.49201152283105</v>
      </c>
      <c r="K62" s="478">
        <f t="shared" si="31"/>
        <v>1.49201152283105</v>
      </c>
      <c r="L62" s="478">
        <f t="shared" si="31"/>
        <v>1.49201152283105</v>
      </c>
      <c r="M62" s="478">
        <f t="shared" si="31"/>
        <v>1.49201152283105</v>
      </c>
      <c r="N62" s="478">
        <f t="shared" si="31"/>
        <v>1.49201152283105</v>
      </c>
      <c r="O62" s="478">
        <f t="shared" si="31"/>
        <v>1.49201152283105</v>
      </c>
      <c r="P62" s="478">
        <f t="shared" si="31"/>
        <v>1.49201152283105</v>
      </c>
      <c r="Q62" s="478">
        <f t="shared" si="31"/>
        <v>1.49201152283105</v>
      </c>
      <c r="R62" s="478">
        <f t="shared" si="31"/>
        <v>1.49201152283105</v>
      </c>
      <c r="S62" s="478">
        <f t="shared" si="31"/>
        <v>1.49201152283105</v>
      </c>
      <c r="T62" s="478">
        <f t="shared" si="31"/>
        <v>1.49201152283105</v>
      </c>
      <c r="U62" s="478">
        <f t="shared" si="31"/>
        <v>1.49201152283105</v>
      </c>
      <c r="V62" s="478">
        <f t="shared" si="31"/>
        <v>1.49201152283105</v>
      </c>
      <c r="W62" s="478">
        <f t="shared" si="31"/>
        <v>1.49201152283105</v>
      </c>
      <c r="X62" s="478">
        <f t="shared" si="31"/>
        <v>1.49201152283105</v>
      </c>
      <c r="Y62" s="478">
        <f t="shared" si="31"/>
        <v>1.49201152283105</v>
      </c>
      <c r="Z62" s="478">
        <f t="shared" si="31"/>
        <v>1.49201152283105</v>
      </c>
      <c r="AA62" s="478">
        <f t="shared" si="31"/>
        <v>1.49201152283105</v>
      </c>
      <c r="AB62" s="478">
        <f t="shared" si="31"/>
        <v>1.49201152283105</v>
      </c>
      <c r="AC62" s="478">
        <f t="shared" si="31"/>
        <v>1.49201152283105</v>
      </c>
      <c r="AD62" s="478">
        <f t="shared" si="31"/>
        <v>1.49201152283105</v>
      </c>
    </row>
    <row r="63" spans="1:35">
      <c r="A63" s="480" t="str">
        <f>Commodities!K24</f>
        <v>T-TAX-ICE_DST00</v>
      </c>
      <c r="B63" s="480" t="s">
        <v>849</v>
      </c>
      <c r="C63" s="480" t="s">
        <v>732</v>
      </c>
      <c r="D63" s="478">
        <f>M95</f>
        <v>1.49201152283105</v>
      </c>
      <c r="E63" s="478">
        <f t="shared" si="32"/>
        <v>1.49201152283105</v>
      </c>
      <c r="F63" s="478">
        <f t="shared" si="31"/>
        <v>1.49201152283105</v>
      </c>
      <c r="G63" s="478">
        <f t="shared" si="31"/>
        <v>1.49201152283105</v>
      </c>
      <c r="H63" s="478">
        <f t="shared" si="31"/>
        <v>1.49201152283105</v>
      </c>
      <c r="I63" s="478">
        <f t="shared" si="31"/>
        <v>1.49201152283105</v>
      </c>
      <c r="J63" s="478">
        <f t="shared" si="31"/>
        <v>1.49201152283105</v>
      </c>
      <c r="K63" s="478">
        <f t="shared" si="31"/>
        <v>1.49201152283105</v>
      </c>
      <c r="L63" s="478">
        <f t="shared" si="31"/>
        <v>1.49201152283105</v>
      </c>
      <c r="M63" s="478">
        <f t="shared" si="31"/>
        <v>1.49201152283105</v>
      </c>
      <c r="N63" s="478">
        <f t="shared" si="31"/>
        <v>1.49201152283105</v>
      </c>
      <c r="O63" s="478">
        <f t="shared" si="31"/>
        <v>1.49201152283105</v>
      </c>
      <c r="P63" s="478">
        <f t="shared" si="31"/>
        <v>1.49201152283105</v>
      </c>
      <c r="Q63" s="478">
        <f t="shared" si="31"/>
        <v>1.49201152283105</v>
      </c>
      <c r="R63" s="478">
        <f t="shared" si="31"/>
        <v>1.49201152283105</v>
      </c>
      <c r="S63" s="478">
        <f t="shared" si="31"/>
        <v>1.49201152283105</v>
      </c>
      <c r="T63" s="478">
        <f t="shared" si="31"/>
        <v>1.49201152283105</v>
      </c>
      <c r="U63" s="478">
        <f t="shared" si="31"/>
        <v>1.49201152283105</v>
      </c>
      <c r="V63" s="478">
        <f t="shared" si="31"/>
        <v>1.49201152283105</v>
      </c>
      <c r="W63" s="478">
        <f t="shared" si="31"/>
        <v>1.49201152283105</v>
      </c>
      <c r="X63" s="478">
        <f t="shared" si="31"/>
        <v>1.49201152283105</v>
      </c>
      <c r="Y63" s="478">
        <f t="shared" si="31"/>
        <v>1.49201152283105</v>
      </c>
      <c r="Z63" s="478">
        <f t="shared" si="31"/>
        <v>1.49201152283105</v>
      </c>
      <c r="AA63" s="478">
        <f t="shared" si="31"/>
        <v>1.49201152283105</v>
      </c>
      <c r="AB63" s="478">
        <f t="shared" si="31"/>
        <v>1.49201152283105</v>
      </c>
      <c r="AC63" s="478">
        <f t="shared" si="31"/>
        <v>1.49201152283105</v>
      </c>
      <c r="AD63" s="478">
        <f t="shared" si="31"/>
        <v>1.49201152283105</v>
      </c>
    </row>
    <row r="64" spans="1:35">
      <c r="A64" s="480" t="str">
        <f>Commodities!K25</f>
        <v>T-TAX-HEV_GSL00</v>
      </c>
      <c r="B64" s="480" t="s">
        <v>849</v>
      </c>
      <c r="C64" s="480" t="s">
        <v>732</v>
      </c>
      <c r="D64" s="478">
        <f>M95</f>
        <v>1.49201152283105</v>
      </c>
      <c r="E64" s="478">
        <f t="shared" si="32"/>
        <v>1.49201152283105</v>
      </c>
      <c r="F64" s="478">
        <f t="shared" si="31"/>
        <v>1.49201152283105</v>
      </c>
      <c r="G64" s="478">
        <f t="shared" si="31"/>
        <v>1.49201152283105</v>
      </c>
      <c r="H64" s="478">
        <f t="shared" si="31"/>
        <v>1.49201152283105</v>
      </c>
      <c r="I64" s="478">
        <f t="shared" si="31"/>
        <v>1.49201152283105</v>
      </c>
      <c r="J64" s="478">
        <f t="shared" si="31"/>
        <v>1.49201152283105</v>
      </c>
      <c r="K64" s="478">
        <f t="shared" ref="K64:K68" si="34">J64</f>
        <v>1.49201152283105</v>
      </c>
      <c r="L64" s="478">
        <f t="shared" ref="L64:L68" si="35">K64</f>
        <v>1.49201152283105</v>
      </c>
      <c r="M64" s="478">
        <f t="shared" ref="M64:M68" si="36">L64</f>
        <v>1.49201152283105</v>
      </c>
      <c r="N64" s="478">
        <f t="shared" ref="N64:N68" si="37">M64</f>
        <v>1.49201152283105</v>
      </c>
      <c r="O64" s="478">
        <f t="shared" ref="O64:O68" si="38">N64</f>
        <v>1.49201152283105</v>
      </c>
      <c r="P64" s="478">
        <f t="shared" ref="P64:P68" si="39">O64</f>
        <v>1.49201152283105</v>
      </c>
      <c r="Q64" s="478">
        <f t="shared" ref="Q64:Q68" si="40">P64</f>
        <v>1.49201152283105</v>
      </c>
      <c r="R64" s="478">
        <f t="shared" ref="R64:R68" si="41">Q64</f>
        <v>1.49201152283105</v>
      </c>
      <c r="S64" s="478">
        <f t="shared" ref="S64:S68" si="42">R64</f>
        <v>1.49201152283105</v>
      </c>
      <c r="T64" s="478">
        <f t="shared" ref="T64:T68" si="43">S64</f>
        <v>1.49201152283105</v>
      </c>
      <c r="U64" s="478">
        <f t="shared" ref="U64:U68" si="44">T64</f>
        <v>1.49201152283105</v>
      </c>
      <c r="V64" s="478">
        <f t="shared" ref="V64:V68" si="45">U64</f>
        <v>1.49201152283105</v>
      </c>
      <c r="W64" s="478">
        <f t="shared" ref="W64:W68" si="46">V64</f>
        <v>1.49201152283105</v>
      </c>
      <c r="X64" s="478">
        <f t="shared" ref="X64:X68" si="47">W64</f>
        <v>1.49201152283105</v>
      </c>
      <c r="Y64" s="478">
        <f t="shared" ref="Y64:Y68" si="48">X64</f>
        <v>1.49201152283105</v>
      </c>
      <c r="Z64" s="478">
        <f t="shared" ref="Z64:Z68" si="49">Y64</f>
        <v>1.49201152283105</v>
      </c>
      <c r="AA64" s="478">
        <f t="shared" ref="AA64:AA68" si="50">Z64</f>
        <v>1.49201152283105</v>
      </c>
      <c r="AB64" s="478">
        <f t="shared" ref="AB64:AB68" si="51">AA64</f>
        <v>1.49201152283105</v>
      </c>
      <c r="AC64" s="478">
        <f t="shared" ref="AC64:AC68" si="52">AB64</f>
        <v>1.49201152283105</v>
      </c>
      <c r="AD64" s="478">
        <f t="shared" ref="AD64:AD68" si="53">AC64</f>
        <v>1.49201152283105</v>
      </c>
    </row>
    <row r="65" spans="1:30">
      <c r="A65" s="480" t="str">
        <f>Commodities!K27</f>
        <v>T-BUS-ICE_DST00</v>
      </c>
      <c r="B65" s="480" t="s">
        <v>849</v>
      </c>
      <c r="C65" s="480" t="s">
        <v>732</v>
      </c>
      <c r="D65" s="479">
        <v>27.25</v>
      </c>
      <c r="E65" s="478">
        <f t="shared" si="32"/>
        <v>27.25</v>
      </c>
      <c r="F65" s="478">
        <f t="shared" ref="F65" si="54">E65</f>
        <v>27.25</v>
      </c>
      <c r="G65" s="478">
        <f t="shared" ref="G65" si="55">F65</f>
        <v>27.25</v>
      </c>
      <c r="H65" s="478">
        <f t="shared" ref="H65" si="56">G65</f>
        <v>27.25</v>
      </c>
      <c r="I65" s="478">
        <f t="shared" ref="I65:I68" si="57">H65</f>
        <v>27.25</v>
      </c>
      <c r="J65" s="478">
        <f t="shared" ref="J65:J68" si="58">I65</f>
        <v>27.25</v>
      </c>
      <c r="K65" s="478">
        <f t="shared" si="34"/>
        <v>27.25</v>
      </c>
      <c r="L65" s="478">
        <f t="shared" si="35"/>
        <v>27.25</v>
      </c>
      <c r="M65" s="478">
        <f t="shared" si="36"/>
        <v>27.25</v>
      </c>
      <c r="N65" s="478">
        <f t="shared" si="37"/>
        <v>27.25</v>
      </c>
      <c r="O65" s="478">
        <f t="shared" si="38"/>
        <v>27.25</v>
      </c>
      <c r="P65" s="478">
        <f t="shared" si="39"/>
        <v>27.25</v>
      </c>
      <c r="Q65" s="478">
        <f t="shared" si="40"/>
        <v>27.25</v>
      </c>
      <c r="R65" s="478">
        <f t="shared" si="41"/>
        <v>27.25</v>
      </c>
      <c r="S65" s="478">
        <f t="shared" si="42"/>
        <v>27.25</v>
      </c>
      <c r="T65" s="478">
        <f t="shared" si="43"/>
        <v>27.25</v>
      </c>
      <c r="U65" s="478">
        <f t="shared" si="44"/>
        <v>27.25</v>
      </c>
      <c r="V65" s="478">
        <f t="shared" si="45"/>
        <v>27.25</v>
      </c>
      <c r="W65" s="478">
        <f t="shared" si="46"/>
        <v>27.25</v>
      </c>
      <c r="X65" s="478">
        <f t="shared" si="47"/>
        <v>27.25</v>
      </c>
      <c r="Y65" s="478">
        <f t="shared" si="48"/>
        <v>27.25</v>
      </c>
      <c r="Z65" s="478">
        <f t="shared" si="49"/>
        <v>27.25</v>
      </c>
      <c r="AA65" s="478">
        <f t="shared" si="50"/>
        <v>27.25</v>
      </c>
      <c r="AB65" s="478">
        <f t="shared" si="51"/>
        <v>27.25</v>
      </c>
      <c r="AC65" s="478">
        <f t="shared" si="52"/>
        <v>27.25</v>
      </c>
      <c r="AD65" s="478">
        <f t="shared" si="53"/>
        <v>27.25</v>
      </c>
    </row>
    <row r="66" spans="1:30" s="459" customFormat="1">
      <c r="A66" s="480" t="str">
        <f>Commodities!K29</f>
        <v>T-LPT-BEV_ELC00</v>
      </c>
      <c r="B66" s="480" t="s">
        <v>849</v>
      </c>
      <c r="C66" s="480" t="s">
        <v>732</v>
      </c>
      <c r="D66" s="724">
        <f>B113</f>
        <v>78.019401157895544</v>
      </c>
      <c r="E66" s="724">
        <v>0</v>
      </c>
      <c r="F66" s="724">
        <f>D66</f>
        <v>78.019401157895544</v>
      </c>
      <c r="G66" s="724">
        <f>E66</f>
        <v>0</v>
      </c>
      <c r="H66" s="724">
        <f>G66</f>
        <v>0</v>
      </c>
      <c r="I66" s="724">
        <f t="shared" si="57"/>
        <v>0</v>
      </c>
      <c r="J66" s="724">
        <f t="shared" si="58"/>
        <v>0</v>
      </c>
      <c r="K66" s="724">
        <f t="shared" si="34"/>
        <v>0</v>
      </c>
      <c r="L66" s="724">
        <f t="shared" si="35"/>
        <v>0</v>
      </c>
      <c r="M66" s="724">
        <f t="shared" si="36"/>
        <v>0</v>
      </c>
      <c r="N66" s="724">
        <f t="shared" si="37"/>
        <v>0</v>
      </c>
      <c r="O66" s="724">
        <f t="shared" si="38"/>
        <v>0</v>
      </c>
      <c r="P66" s="724">
        <f t="shared" si="39"/>
        <v>0</v>
      </c>
      <c r="Q66" s="724">
        <f t="shared" si="40"/>
        <v>0</v>
      </c>
      <c r="R66" s="724">
        <f t="shared" si="41"/>
        <v>0</v>
      </c>
      <c r="S66" s="724">
        <f t="shared" si="42"/>
        <v>0</v>
      </c>
      <c r="T66" s="724">
        <f t="shared" si="43"/>
        <v>0</v>
      </c>
      <c r="U66" s="724">
        <f t="shared" si="44"/>
        <v>0</v>
      </c>
      <c r="V66" s="724">
        <f t="shared" si="45"/>
        <v>0</v>
      </c>
      <c r="W66" s="724">
        <f t="shared" si="46"/>
        <v>0</v>
      </c>
      <c r="X66" s="724">
        <f t="shared" si="47"/>
        <v>0</v>
      </c>
      <c r="Y66" s="724">
        <f t="shared" si="48"/>
        <v>0</v>
      </c>
      <c r="Z66" s="724">
        <f t="shared" si="49"/>
        <v>0</v>
      </c>
      <c r="AA66" s="724">
        <f t="shared" si="50"/>
        <v>0</v>
      </c>
      <c r="AB66" s="724">
        <f t="shared" si="51"/>
        <v>0</v>
      </c>
      <c r="AC66" s="724">
        <f t="shared" si="52"/>
        <v>0</v>
      </c>
      <c r="AD66" s="724">
        <f t="shared" si="53"/>
        <v>0</v>
      </c>
    </row>
    <row r="67" spans="1:30" s="459" customFormat="1">
      <c r="A67" s="480" t="str">
        <f>Commodities!K30</f>
        <v>T-HPT-BEV_ELC00</v>
      </c>
      <c r="B67" s="480" t="s">
        <v>849</v>
      </c>
      <c r="C67" s="480" t="s">
        <v>732</v>
      </c>
      <c r="D67" s="724">
        <f>D66</f>
        <v>78.019401157895544</v>
      </c>
      <c r="E67" s="724">
        <f>D67</f>
        <v>78.019401157895544</v>
      </c>
      <c r="F67" s="724">
        <f t="shared" ref="F67:H67" si="59">E67</f>
        <v>78.019401157895544</v>
      </c>
      <c r="G67" s="724">
        <f t="shared" si="59"/>
        <v>78.019401157895544</v>
      </c>
      <c r="H67" s="724">
        <f t="shared" si="59"/>
        <v>78.019401157895544</v>
      </c>
      <c r="I67" s="724">
        <f t="shared" si="57"/>
        <v>78.019401157895544</v>
      </c>
      <c r="J67" s="724">
        <f t="shared" si="58"/>
        <v>78.019401157895544</v>
      </c>
      <c r="K67" s="724">
        <f t="shared" si="34"/>
        <v>78.019401157895544</v>
      </c>
      <c r="L67" s="724">
        <f t="shared" si="35"/>
        <v>78.019401157895544</v>
      </c>
      <c r="M67" s="724">
        <f t="shared" si="36"/>
        <v>78.019401157895544</v>
      </c>
      <c r="N67" s="724">
        <f t="shared" si="37"/>
        <v>78.019401157895544</v>
      </c>
      <c r="O67" s="724">
        <f t="shared" si="38"/>
        <v>78.019401157895544</v>
      </c>
      <c r="P67" s="724">
        <f t="shared" si="39"/>
        <v>78.019401157895544</v>
      </c>
      <c r="Q67" s="724">
        <f t="shared" si="40"/>
        <v>78.019401157895544</v>
      </c>
      <c r="R67" s="724">
        <f t="shared" si="41"/>
        <v>78.019401157895544</v>
      </c>
      <c r="S67" s="724">
        <f t="shared" si="42"/>
        <v>78.019401157895544</v>
      </c>
      <c r="T67" s="724">
        <f t="shared" si="43"/>
        <v>78.019401157895544</v>
      </c>
      <c r="U67" s="724">
        <f t="shared" si="44"/>
        <v>78.019401157895544</v>
      </c>
      <c r="V67" s="724">
        <f t="shared" si="45"/>
        <v>78.019401157895544</v>
      </c>
      <c r="W67" s="724">
        <f t="shared" si="46"/>
        <v>78.019401157895544</v>
      </c>
      <c r="X67" s="724">
        <f t="shared" si="47"/>
        <v>78.019401157895544</v>
      </c>
      <c r="Y67" s="724">
        <f t="shared" si="48"/>
        <v>78.019401157895544</v>
      </c>
      <c r="Z67" s="724">
        <f t="shared" si="49"/>
        <v>78.019401157895544</v>
      </c>
      <c r="AA67" s="724">
        <f t="shared" si="50"/>
        <v>78.019401157895544</v>
      </c>
      <c r="AB67" s="724">
        <f t="shared" si="51"/>
        <v>78.019401157895544</v>
      </c>
      <c r="AC67" s="724">
        <f t="shared" si="52"/>
        <v>78.019401157895544</v>
      </c>
      <c r="AD67" s="724">
        <f t="shared" si="53"/>
        <v>78.019401157895544</v>
      </c>
    </row>
    <row r="68" spans="1:30" s="459" customFormat="1">
      <c r="A68" s="480" t="str">
        <f>Commodities!K31</f>
        <v>T-HPT-ICE_DST00</v>
      </c>
      <c r="B68" s="480" t="s">
        <v>849</v>
      </c>
      <c r="C68" s="480" t="s">
        <v>732</v>
      </c>
      <c r="D68" s="724">
        <v>120</v>
      </c>
      <c r="E68" s="724">
        <f>D68</f>
        <v>120</v>
      </c>
      <c r="F68" s="724">
        <f t="shared" ref="F68:H68" si="60">E68</f>
        <v>120</v>
      </c>
      <c r="G68" s="724">
        <f t="shared" si="60"/>
        <v>120</v>
      </c>
      <c r="H68" s="724">
        <f t="shared" si="60"/>
        <v>120</v>
      </c>
      <c r="I68" s="724">
        <f t="shared" si="57"/>
        <v>120</v>
      </c>
      <c r="J68" s="724">
        <f t="shared" si="58"/>
        <v>120</v>
      </c>
      <c r="K68" s="724">
        <f t="shared" si="34"/>
        <v>120</v>
      </c>
      <c r="L68" s="724">
        <f t="shared" si="35"/>
        <v>120</v>
      </c>
      <c r="M68" s="724">
        <f t="shared" si="36"/>
        <v>120</v>
      </c>
      <c r="N68" s="724">
        <f t="shared" si="37"/>
        <v>120</v>
      </c>
      <c r="O68" s="724">
        <f t="shared" si="38"/>
        <v>120</v>
      </c>
      <c r="P68" s="724">
        <f t="shared" si="39"/>
        <v>120</v>
      </c>
      <c r="Q68" s="724">
        <f t="shared" si="40"/>
        <v>120</v>
      </c>
      <c r="R68" s="724">
        <f t="shared" si="41"/>
        <v>120</v>
      </c>
      <c r="S68" s="724">
        <f t="shared" si="42"/>
        <v>120</v>
      </c>
      <c r="T68" s="724">
        <f t="shared" si="43"/>
        <v>120</v>
      </c>
      <c r="U68" s="724">
        <f t="shared" si="44"/>
        <v>120</v>
      </c>
      <c r="V68" s="724">
        <f t="shared" si="45"/>
        <v>120</v>
      </c>
      <c r="W68" s="724">
        <f t="shared" si="46"/>
        <v>120</v>
      </c>
      <c r="X68" s="724">
        <f t="shared" si="47"/>
        <v>120</v>
      </c>
      <c r="Y68" s="724">
        <f t="shared" si="48"/>
        <v>120</v>
      </c>
      <c r="Z68" s="724">
        <f t="shared" si="49"/>
        <v>120</v>
      </c>
      <c r="AA68" s="724">
        <f t="shared" si="50"/>
        <v>120</v>
      </c>
      <c r="AB68" s="724">
        <f t="shared" si="51"/>
        <v>120</v>
      </c>
      <c r="AC68" s="724">
        <f t="shared" si="52"/>
        <v>120</v>
      </c>
      <c r="AD68" s="724">
        <f t="shared" si="53"/>
        <v>120</v>
      </c>
    </row>
    <row r="69" spans="1:30" s="459" customFormat="1">
      <c r="A69" s="725" t="s">
        <v>735</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849</v>
      </c>
      <c r="C70" s="480" t="s">
        <v>733</v>
      </c>
      <c r="D70" s="839">
        <v>4.2999999999999997E-2</v>
      </c>
      <c r="E70" s="839">
        <f>D70</f>
        <v>4.2999999999999997E-2</v>
      </c>
      <c r="F70" s="839">
        <f t="shared" ref="F70:AD73" si="61">E70</f>
        <v>4.2999999999999997E-2</v>
      </c>
      <c r="G70" s="839">
        <f t="shared" si="61"/>
        <v>4.2999999999999997E-2</v>
      </c>
      <c r="H70" s="839">
        <f t="shared" si="61"/>
        <v>4.2999999999999997E-2</v>
      </c>
      <c r="I70" s="839">
        <f t="shared" si="61"/>
        <v>4.2999999999999997E-2</v>
      </c>
      <c r="J70" s="839">
        <f t="shared" si="61"/>
        <v>4.2999999999999997E-2</v>
      </c>
      <c r="K70" s="839">
        <f t="shared" si="61"/>
        <v>4.2999999999999997E-2</v>
      </c>
      <c r="L70" s="839">
        <f t="shared" si="61"/>
        <v>4.2999999999999997E-2</v>
      </c>
      <c r="M70" s="839">
        <f t="shared" si="61"/>
        <v>4.2999999999999997E-2</v>
      </c>
      <c r="N70" s="839">
        <f t="shared" si="61"/>
        <v>4.2999999999999997E-2</v>
      </c>
      <c r="O70" s="839">
        <f t="shared" si="61"/>
        <v>4.2999999999999997E-2</v>
      </c>
      <c r="P70" s="839">
        <f t="shared" si="61"/>
        <v>4.2999999999999997E-2</v>
      </c>
      <c r="Q70" s="839">
        <f t="shared" si="61"/>
        <v>4.2999999999999997E-2</v>
      </c>
      <c r="R70" s="839">
        <f t="shared" si="61"/>
        <v>4.2999999999999997E-2</v>
      </c>
      <c r="S70" s="839">
        <f t="shared" si="61"/>
        <v>4.2999999999999997E-2</v>
      </c>
      <c r="T70" s="839">
        <f t="shared" si="61"/>
        <v>4.2999999999999997E-2</v>
      </c>
      <c r="U70" s="839">
        <f t="shared" si="61"/>
        <v>4.2999999999999997E-2</v>
      </c>
      <c r="V70" s="839">
        <f t="shared" si="61"/>
        <v>4.2999999999999997E-2</v>
      </c>
      <c r="W70" s="839">
        <f t="shared" si="61"/>
        <v>4.2999999999999997E-2</v>
      </c>
      <c r="X70" s="839">
        <f t="shared" si="61"/>
        <v>4.2999999999999997E-2</v>
      </c>
      <c r="Y70" s="839">
        <f t="shared" si="61"/>
        <v>4.2999999999999997E-2</v>
      </c>
      <c r="Z70" s="839">
        <f t="shared" si="61"/>
        <v>4.2999999999999997E-2</v>
      </c>
      <c r="AA70" s="839">
        <f t="shared" si="61"/>
        <v>4.2999999999999997E-2</v>
      </c>
      <c r="AB70" s="839">
        <f t="shared" si="61"/>
        <v>4.2999999999999997E-2</v>
      </c>
      <c r="AC70" s="839">
        <f t="shared" si="61"/>
        <v>4.2999999999999997E-2</v>
      </c>
      <c r="AD70" s="839">
        <f t="shared" si="61"/>
        <v>4.2999999999999997E-2</v>
      </c>
    </row>
    <row r="71" spans="1:30" s="714" customFormat="1">
      <c r="A71" s="480" t="str">
        <f>Commodities!K35</f>
        <v>T-LGT-ICE_DST00</v>
      </c>
      <c r="B71" s="480" t="s">
        <v>849</v>
      </c>
      <c r="C71" s="480" t="s">
        <v>733</v>
      </c>
      <c r="D71" s="839">
        <v>4.2999999999999997E-2</v>
      </c>
      <c r="E71" s="839">
        <f>D71</f>
        <v>4.2999999999999997E-2</v>
      </c>
      <c r="F71" s="839">
        <f t="shared" ref="E71:T73" si="62">E71</f>
        <v>4.2999999999999997E-2</v>
      </c>
      <c r="G71" s="839">
        <f t="shared" si="62"/>
        <v>4.2999999999999997E-2</v>
      </c>
      <c r="H71" s="839">
        <f t="shared" si="62"/>
        <v>4.2999999999999997E-2</v>
      </c>
      <c r="I71" s="839">
        <f t="shared" si="62"/>
        <v>4.2999999999999997E-2</v>
      </c>
      <c r="J71" s="839">
        <f t="shared" si="62"/>
        <v>4.2999999999999997E-2</v>
      </c>
      <c r="K71" s="839">
        <f t="shared" si="62"/>
        <v>4.2999999999999997E-2</v>
      </c>
      <c r="L71" s="839">
        <f t="shared" si="62"/>
        <v>4.2999999999999997E-2</v>
      </c>
      <c r="M71" s="839">
        <f t="shared" si="62"/>
        <v>4.2999999999999997E-2</v>
      </c>
      <c r="N71" s="839">
        <f t="shared" si="62"/>
        <v>4.2999999999999997E-2</v>
      </c>
      <c r="O71" s="839">
        <f t="shared" si="62"/>
        <v>4.2999999999999997E-2</v>
      </c>
      <c r="P71" s="839">
        <f t="shared" si="62"/>
        <v>4.2999999999999997E-2</v>
      </c>
      <c r="Q71" s="839">
        <f t="shared" si="62"/>
        <v>4.2999999999999997E-2</v>
      </c>
      <c r="R71" s="839">
        <f t="shared" si="62"/>
        <v>4.2999999999999997E-2</v>
      </c>
      <c r="S71" s="839">
        <f t="shared" si="62"/>
        <v>4.2999999999999997E-2</v>
      </c>
      <c r="T71" s="839">
        <f t="shared" si="62"/>
        <v>4.2999999999999997E-2</v>
      </c>
      <c r="U71" s="839">
        <f t="shared" si="61"/>
        <v>4.2999999999999997E-2</v>
      </c>
      <c r="V71" s="839">
        <f t="shared" si="61"/>
        <v>4.2999999999999997E-2</v>
      </c>
      <c r="W71" s="839">
        <f t="shared" si="61"/>
        <v>4.2999999999999997E-2</v>
      </c>
      <c r="X71" s="839">
        <f t="shared" si="61"/>
        <v>4.2999999999999997E-2</v>
      </c>
      <c r="Y71" s="839">
        <f t="shared" si="61"/>
        <v>4.2999999999999997E-2</v>
      </c>
      <c r="Z71" s="839">
        <f t="shared" si="61"/>
        <v>4.2999999999999997E-2</v>
      </c>
      <c r="AA71" s="839">
        <f t="shared" si="61"/>
        <v>4.2999999999999997E-2</v>
      </c>
      <c r="AB71" s="839">
        <f t="shared" si="61"/>
        <v>4.2999999999999997E-2</v>
      </c>
      <c r="AC71" s="839">
        <f t="shared" si="61"/>
        <v>4.2999999999999997E-2</v>
      </c>
      <c r="AD71" s="839">
        <f t="shared" si="61"/>
        <v>4.2999999999999997E-2</v>
      </c>
    </row>
    <row r="72" spans="1:30" s="714" customFormat="1">
      <c r="A72" s="480" t="str">
        <f>Commodities!K36</f>
        <v>T-MGT-ICE_DST00</v>
      </c>
      <c r="B72" s="480" t="s">
        <v>849</v>
      </c>
      <c r="C72" s="480" t="s">
        <v>733</v>
      </c>
      <c r="D72" s="839">
        <v>3.5129999999999999</v>
      </c>
      <c r="E72" s="839">
        <f t="shared" si="62"/>
        <v>3.5129999999999999</v>
      </c>
      <c r="F72" s="839">
        <f t="shared" si="61"/>
        <v>3.5129999999999999</v>
      </c>
      <c r="G72" s="839">
        <f t="shared" si="61"/>
        <v>3.5129999999999999</v>
      </c>
      <c r="H72" s="839">
        <f t="shared" si="61"/>
        <v>3.5129999999999999</v>
      </c>
      <c r="I72" s="839">
        <f t="shared" si="61"/>
        <v>3.5129999999999999</v>
      </c>
      <c r="J72" s="839">
        <f t="shared" si="61"/>
        <v>3.5129999999999999</v>
      </c>
      <c r="K72" s="839">
        <f t="shared" si="61"/>
        <v>3.5129999999999999</v>
      </c>
      <c r="L72" s="839">
        <f t="shared" si="61"/>
        <v>3.5129999999999999</v>
      </c>
      <c r="M72" s="839">
        <f t="shared" si="61"/>
        <v>3.5129999999999999</v>
      </c>
      <c r="N72" s="839">
        <f t="shared" si="61"/>
        <v>3.5129999999999999</v>
      </c>
      <c r="O72" s="839">
        <f t="shared" si="61"/>
        <v>3.5129999999999999</v>
      </c>
      <c r="P72" s="839">
        <f t="shared" si="61"/>
        <v>3.5129999999999999</v>
      </c>
      <c r="Q72" s="839">
        <f t="shared" si="61"/>
        <v>3.5129999999999999</v>
      </c>
      <c r="R72" s="839">
        <f t="shared" si="61"/>
        <v>3.5129999999999999</v>
      </c>
      <c r="S72" s="839">
        <f t="shared" si="61"/>
        <v>3.5129999999999999</v>
      </c>
      <c r="T72" s="839">
        <f t="shared" si="61"/>
        <v>3.5129999999999999</v>
      </c>
      <c r="U72" s="839">
        <f t="shared" si="61"/>
        <v>3.5129999999999999</v>
      </c>
      <c r="V72" s="839">
        <f t="shared" si="61"/>
        <v>3.5129999999999999</v>
      </c>
      <c r="W72" s="839">
        <f t="shared" si="61"/>
        <v>3.5129999999999999</v>
      </c>
      <c r="X72" s="839">
        <f t="shared" si="61"/>
        <v>3.5129999999999999</v>
      </c>
      <c r="Y72" s="839">
        <f t="shared" si="61"/>
        <v>3.5129999999999999</v>
      </c>
      <c r="Z72" s="839">
        <f t="shared" si="61"/>
        <v>3.5129999999999999</v>
      </c>
      <c r="AA72" s="839">
        <f t="shared" si="61"/>
        <v>3.5129999999999999</v>
      </c>
      <c r="AB72" s="839">
        <f t="shared" si="61"/>
        <v>3.5129999999999999</v>
      </c>
      <c r="AC72" s="839">
        <f t="shared" si="61"/>
        <v>3.5129999999999999</v>
      </c>
      <c r="AD72" s="839">
        <f t="shared" si="61"/>
        <v>3.5129999999999999</v>
      </c>
    </row>
    <row r="73" spans="1:30" s="459" customFormat="1">
      <c r="A73" s="493" t="str">
        <f>Commodities!K37</f>
        <v>T-HGT-ICE_DST00</v>
      </c>
      <c r="B73" s="480" t="s">
        <v>849</v>
      </c>
      <c r="C73" s="493" t="s">
        <v>733</v>
      </c>
      <c r="D73" s="809">
        <v>9.1679999999999993</v>
      </c>
      <c r="E73" s="839">
        <f t="shared" si="62"/>
        <v>9.1679999999999993</v>
      </c>
      <c r="F73" s="839">
        <f t="shared" si="61"/>
        <v>9.1679999999999993</v>
      </c>
      <c r="G73" s="839">
        <f t="shared" si="61"/>
        <v>9.1679999999999993</v>
      </c>
      <c r="H73" s="839">
        <f t="shared" si="61"/>
        <v>9.1679999999999993</v>
      </c>
      <c r="I73" s="839">
        <f t="shared" si="61"/>
        <v>9.1679999999999993</v>
      </c>
      <c r="J73" s="839">
        <f t="shared" si="61"/>
        <v>9.1679999999999993</v>
      </c>
      <c r="K73" s="839">
        <f t="shared" si="61"/>
        <v>9.1679999999999993</v>
      </c>
      <c r="L73" s="839">
        <f t="shared" si="61"/>
        <v>9.1679999999999993</v>
      </c>
      <c r="M73" s="839">
        <f t="shared" si="61"/>
        <v>9.1679999999999993</v>
      </c>
      <c r="N73" s="839">
        <f t="shared" si="61"/>
        <v>9.1679999999999993</v>
      </c>
      <c r="O73" s="839">
        <f t="shared" si="61"/>
        <v>9.1679999999999993</v>
      </c>
      <c r="P73" s="839">
        <f t="shared" si="61"/>
        <v>9.1679999999999993</v>
      </c>
      <c r="Q73" s="839">
        <f t="shared" si="61"/>
        <v>9.1679999999999993</v>
      </c>
      <c r="R73" s="839">
        <f t="shared" si="61"/>
        <v>9.1679999999999993</v>
      </c>
      <c r="S73" s="839">
        <f t="shared" si="61"/>
        <v>9.1679999999999993</v>
      </c>
      <c r="T73" s="839">
        <f t="shared" si="61"/>
        <v>9.1679999999999993</v>
      </c>
      <c r="U73" s="839">
        <f t="shared" si="61"/>
        <v>9.1679999999999993</v>
      </c>
      <c r="V73" s="839">
        <f t="shared" si="61"/>
        <v>9.1679999999999993</v>
      </c>
      <c r="W73" s="839">
        <f t="shared" si="61"/>
        <v>9.1679999999999993</v>
      </c>
      <c r="X73" s="839">
        <f t="shared" si="61"/>
        <v>9.1679999999999993</v>
      </c>
      <c r="Y73" s="839">
        <f t="shared" si="61"/>
        <v>9.1679999999999993</v>
      </c>
      <c r="Z73" s="839">
        <f t="shared" si="61"/>
        <v>9.1679999999999993</v>
      </c>
      <c r="AA73" s="839">
        <f t="shared" si="61"/>
        <v>9.1679999999999993</v>
      </c>
      <c r="AB73" s="839">
        <f t="shared" si="61"/>
        <v>9.1679999999999993</v>
      </c>
      <c r="AC73" s="839">
        <f t="shared" si="61"/>
        <v>9.1679999999999993</v>
      </c>
      <c r="AD73" s="839">
        <f t="shared" si="61"/>
        <v>9.1679999999999993</v>
      </c>
    </row>
    <row r="74" spans="1:30" s="459" customFormat="1">
      <c r="A74" s="496" t="str">
        <f>Commodities!K38</f>
        <v>T-GTR-ICE_DST00</v>
      </c>
      <c r="B74" s="496" t="s">
        <v>849</v>
      </c>
      <c r="C74" s="496" t="s">
        <v>733</v>
      </c>
      <c r="D74" s="842">
        <v>164.83335026928157</v>
      </c>
      <c r="E74" s="843">
        <f t="shared" ref="E74" si="63">D74</f>
        <v>164.83335026928157</v>
      </c>
      <c r="F74" s="843">
        <f t="shared" ref="F74:AD74" si="64">E74</f>
        <v>164.83335026928157</v>
      </c>
      <c r="G74" s="843">
        <f t="shared" si="64"/>
        <v>164.83335026928157</v>
      </c>
      <c r="H74" s="843">
        <f t="shared" si="64"/>
        <v>164.83335026928157</v>
      </c>
      <c r="I74" s="843">
        <f t="shared" si="64"/>
        <v>164.83335026928157</v>
      </c>
      <c r="J74" s="843">
        <f t="shared" si="64"/>
        <v>164.83335026928157</v>
      </c>
      <c r="K74" s="843">
        <f t="shared" si="64"/>
        <v>164.83335026928157</v>
      </c>
      <c r="L74" s="843">
        <f t="shared" si="64"/>
        <v>164.83335026928157</v>
      </c>
      <c r="M74" s="843">
        <f t="shared" si="64"/>
        <v>164.83335026928157</v>
      </c>
      <c r="N74" s="843">
        <f t="shared" si="64"/>
        <v>164.83335026928157</v>
      </c>
      <c r="O74" s="843">
        <f t="shared" si="64"/>
        <v>164.83335026928157</v>
      </c>
      <c r="P74" s="843">
        <f t="shared" si="64"/>
        <v>164.83335026928157</v>
      </c>
      <c r="Q74" s="843">
        <f t="shared" si="64"/>
        <v>164.83335026928157</v>
      </c>
      <c r="R74" s="843">
        <f t="shared" si="64"/>
        <v>164.83335026928157</v>
      </c>
      <c r="S74" s="843">
        <f t="shared" si="64"/>
        <v>164.83335026928157</v>
      </c>
      <c r="T74" s="843">
        <f t="shared" si="64"/>
        <v>164.83335026928157</v>
      </c>
      <c r="U74" s="843">
        <f t="shared" si="64"/>
        <v>164.83335026928157</v>
      </c>
      <c r="V74" s="843">
        <f t="shared" si="64"/>
        <v>164.83335026928157</v>
      </c>
      <c r="W74" s="843">
        <f t="shared" si="64"/>
        <v>164.83335026928157</v>
      </c>
      <c r="X74" s="843">
        <f t="shared" si="64"/>
        <v>164.83335026928157</v>
      </c>
      <c r="Y74" s="843">
        <f t="shared" si="64"/>
        <v>164.83335026928157</v>
      </c>
      <c r="Z74" s="843">
        <f t="shared" si="64"/>
        <v>164.83335026928157</v>
      </c>
      <c r="AA74" s="843">
        <f t="shared" si="64"/>
        <v>164.83335026928157</v>
      </c>
      <c r="AB74" s="843">
        <f t="shared" si="64"/>
        <v>164.83335026928157</v>
      </c>
      <c r="AC74" s="843">
        <f t="shared" si="64"/>
        <v>164.83335026928157</v>
      </c>
      <c r="AD74" s="843">
        <f t="shared" si="64"/>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739</v>
      </c>
      <c r="B78" s="448"/>
      <c r="E78" s="448"/>
      <c r="F78" s="448"/>
      <c r="G78" s="448"/>
      <c r="H78" s="448"/>
    </row>
    <row r="79" spans="1:30">
      <c r="A79" t="s">
        <v>740</v>
      </c>
      <c r="E79" s="448"/>
      <c r="F79" s="448"/>
      <c r="G79" s="448"/>
      <c r="H79" s="448"/>
    </row>
    <row r="80" spans="1:30" s="459" customFormat="1">
      <c r="A80" s="459" t="s">
        <v>801</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88" t="s">
        <v>9</v>
      </c>
      <c r="B96" s="444" t="s">
        <v>456</v>
      </c>
      <c r="C96" s="386">
        <v>1.24</v>
      </c>
      <c r="D96" s="386">
        <v>1.25</v>
      </c>
      <c r="E96" s="386">
        <v>1.26</v>
      </c>
      <c r="F96" s="386">
        <v>1.26</v>
      </c>
      <c r="G96" s="386">
        <v>1.33</v>
      </c>
      <c r="H96" s="386">
        <v>1.34</v>
      </c>
      <c r="I96" s="386">
        <v>1.38</v>
      </c>
      <c r="J96" s="386">
        <v>1.38</v>
      </c>
      <c r="K96" s="459"/>
      <c r="L96" s="459"/>
      <c r="M96" s="448"/>
    </row>
    <row r="97" spans="1:13">
      <c r="A97" s="888"/>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88" t="s">
        <v>10</v>
      </c>
      <c r="B98" s="444" t="s">
        <v>456</v>
      </c>
      <c r="C98" s="386">
        <v>1.21</v>
      </c>
      <c r="D98" s="386">
        <v>1.22</v>
      </c>
      <c r="E98" s="386">
        <v>1.23</v>
      </c>
      <c r="F98" s="386">
        <v>1.23</v>
      </c>
      <c r="G98" s="386">
        <v>1.2</v>
      </c>
      <c r="H98" s="386">
        <v>1.23</v>
      </c>
      <c r="I98" s="386">
        <v>1.22</v>
      </c>
      <c r="J98" s="386">
        <v>1.22</v>
      </c>
      <c r="K98" s="459"/>
      <c r="L98" s="459"/>
      <c r="M98" s="448"/>
    </row>
    <row r="99" spans="1:13">
      <c r="A99" s="888"/>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88" t="s">
        <v>11</v>
      </c>
      <c r="B100" s="444" t="s">
        <v>456</v>
      </c>
      <c r="C100" s="386">
        <v>1.64</v>
      </c>
      <c r="D100" s="386">
        <v>1.65</v>
      </c>
      <c r="E100" s="386">
        <v>1.66</v>
      </c>
      <c r="F100" s="386">
        <v>1.68</v>
      </c>
      <c r="G100" s="386">
        <v>1.7</v>
      </c>
      <c r="H100" s="386">
        <v>1.83</v>
      </c>
      <c r="I100" s="386">
        <v>1.85</v>
      </c>
      <c r="J100" s="386">
        <v>1.85</v>
      </c>
      <c r="K100" s="459"/>
      <c r="L100" s="459"/>
      <c r="M100" s="448"/>
    </row>
    <row r="101" spans="1:13">
      <c r="A101" s="888"/>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5">(D96*D97)+(D98*D99)+(D100*D101)</f>
        <v>1.4245899999999998</v>
      </c>
      <c r="E102" s="413">
        <f t="shared" si="65"/>
        <v>1.4167399999999999</v>
      </c>
      <c r="F102" s="413">
        <f t="shared" si="65"/>
        <v>1.43655</v>
      </c>
      <c r="G102" s="413">
        <f t="shared" si="65"/>
        <v>1.5623499999999999</v>
      </c>
      <c r="H102" s="413">
        <f t="shared" si="65"/>
        <v>1.7737799999999999</v>
      </c>
      <c r="I102" s="413">
        <f t="shared" si="65"/>
        <v>1.7982100000000001</v>
      </c>
      <c r="J102" s="413">
        <f t="shared" si="65"/>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799</v>
      </c>
      <c r="D110" s="445"/>
    </row>
    <row r="111" spans="1:13">
      <c r="A111" s="128" t="s">
        <v>26</v>
      </c>
      <c r="B111" s="483">
        <f>Demands!B172+Demands!C172</f>
        <v>4065479</v>
      </c>
      <c r="D111" s="445"/>
    </row>
    <row r="112" spans="1:13">
      <c r="A112" s="128" t="s">
        <v>35</v>
      </c>
      <c r="B112" s="483">
        <f>Demands!B173+Demands!C173</f>
        <v>317186237</v>
      </c>
      <c r="D112" s="445"/>
    </row>
    <row r="113" spans="1:4">
      <c r="A113" s="496" t="s">
        <v>800</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topLeftCell="A34"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977</v>
      </c>
      <c r="C5" s="459" t="s">
        <v>865</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977</v>
      </c>
      <c r="C6" s="459" t="s">
        <v>865</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977</v>
      </c>
      <c r="C7" t="s">
        <v>865</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977</v>
      </c>
      <c r="C8" s="459" t="s">
        <v>865</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977</v>
      </c>
      <c r="C9" s="459" t="s">
        <v>865</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977</v>
      </c>
      <c r="C10" s="459" t="s">
        <v>865</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977</v>
      </c>
      <c r="C11" s="459" t="s">
        <v>865</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977</v>
      </c>
      <c r="C12" s="459" t="s">
        <v>865</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977</v>
      </c>
      <c r="C13" s="459" t="s">
        <v>865</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977</v>
      </c>
      <c r="C14" s="459" t="s">
        <v>865</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977</v>
      </c>
      <c r="C15" s="459" t="s">
        <v>865</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977</v>
      </c>
      <c r="C16" s="459" t="s">
        <v>865</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977</v>
      </c>
      <c r="C17" s="459" t="s">
        <v>865</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977</v>
      </c>
      <c r="C18" s="459" t="s">
        <v>865</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977</v>
      </c>
      <c r="C19" s="459" t="s">
        <v>865</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977</v>
      </c>
      <c r="C20" s="459" t="s">
        <v>865</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T-LPT-BEV_ELC00</v>
      </c>
      <c r="B21" s="459" t="s">
        <v>977</v>
      </c>
      <c r="C21" s="459" t="s">
        <v>865</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T-HPT-BEV_ELC00</v>
      </c>
      <c r="B22" s="459" t="s">
        <v>977</v>
      </c>
      <c r="C22" s="459" t="s">
        <v>865</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977</v>
      </c>
      <c r="C23" s="459" t="s">
        <v>865</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977</v>
      </c>
      <c r="C24" s="459" t="s">
        <v>865</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977</v>
      </c>
      <c r="C25" s="714" t="s">
        <v>865</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977</v>
      </c>
      <c r="C26" s="714" t="s">
        <v>865</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977</v>
      </c>
      <c r="C27" s="459" t="s">
        <v>865</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977</v>
      </c>
      <c r="C28" s="459" t="s">
        <v>865</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865</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865</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865</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865</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865</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795</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869</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869</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869</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869</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869</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869</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869</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869</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869</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869</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869</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869</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869</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869</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869</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869</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T-LPT-BEV_ELC00</v>
      </c>
      <c r="B56" s="459" t="s">
        <v>869</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T-HPT-BEV_ELC00</v>
      </c>
      <c r="B57" s="459" t="s">
        <v>869</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869</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869</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869</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869</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869</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869</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795</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803</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802</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808</v>
      </c>
      <c r="B699" s="459" t="s">
        <v>804</v>
      </c>
      <c r="C699" s="134">
        <f>C677+C679</f>
        <v>56600</v>
      </c>
      <c r="D699" s="134">
        <f t="shared" ref="D699:G699" si="556">D677+D679</f>
        <v>56600</v>
      </c>
      <c r="E699" s="134">
        <f t="shared" si="556"/>
        <v>61347</v>
      </c>
      <c r="F699" s="134">
        <f t="shared" si="556"/>
        <v>62056</v>
      </c>
      <c r="G699" s="134">
        <f t="shared" si="556"/>
        <v>63253</v>
      </c>
    </row>
    <row r="700" spans="1:14">
      <c r="A700" s="21" t="s">
        <v>807</v>
      </c>
      <c r="B700" s="459" t="s">
        <v>804</v>
      </c>
      <c r="C700" s="134">
        <f>C676+C678</f>
        <v>430200</v>
      </c>
      <c r="D700" s="134">
        <f t="shared" ref="D700:G700" si="557">D676+D678</f>
        <v>430200</v>
      </c>
      <c r="E700" s="134">
        <f t="shared" si="557"/>
        <v>444700</v>
      </c>
      <c r="F700" s="134">
        <f t="shared" si="557"/>
        <v>453527</v>
      </c>
      <c r="G700" s="134">
        <f t="shared" si="557"/>
        <v>460505</v>
      </c>
    </row>
    <row r="701" spans="1:14">
      <c r="A701" s="21" t="s">
        <v>810</v>
      </c>
      <c r="B701" s="459" t="s">
        <v>809</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811</v>
      </c>
      <c r="B702" s="459" t="s">
        <v>809</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809</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805</v>
      </c>
      <c r="B704" s="459" t="s">
        <v>806</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812</v>
      </c>
      <c r="C705">
        <v>80</v>
      </c>
      <c r="D705" s="459">
        <v>80</v>
      </c>
      <c r="E705" s="459">
        <v>80</v>
      </c>
      <c r="F705" s="459">
        <v>80</v>
      </c>
      <c r="G705" s="459">
        <v>80</v>
      </c>
    </row>
    <row r="706" spans="1:7">
      <c r="A706" s="613" t="s">
        <v>813</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topLeftCell="A118" zoomScale="85" zoomScaleNormal="85" workbookViewId="0">
      <selection activeCell="D135" sqref="D135"/>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984</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788</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788</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788</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788</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788</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788</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788</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788</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788</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788</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788</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788</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788</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788</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788</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788</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T-LPT-BEV_ELC00</v>
      </c>
      <c r="C20" s="459" t="s">
        <v>788</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T-HPT-BEV_ELC00</v>
      </c>
      <c r="C21" s="459" t="s">
        <v>788</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788</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788</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788</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788</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788</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788</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T-LPT-BEV_ELC00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T-HPT-BEV_ELC00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850</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788</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788</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788</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788</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788</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788</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788</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788</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788</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788</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788</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788</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788</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788</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T-LPT-BEV_ELC00</v>
      </c>
      <c r="C90" s="459" t="s">
        <v>788</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T-HPT-BEV_ELC00</v>
      </c>
      <c r="C91" s="459" t="s">
        <v>788</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788</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788</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1137</v>
      </c>
      <c r="AG93" s="459"/>
    </row>
    <row r="94" spans="2:33" s="714" customFormat="1">
      <c r="B94" s="714" t="str">
        <f t="shared" ref="B94:B96" si="60">B24</f>
        <v>T-LGT-ICE_DST00</v>
      </c>
      <c r="C94" s="714" t="s">
        <v>788</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788</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788</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788</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851</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852</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852</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852</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852</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852</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852</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852</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852</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852</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852</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852</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852</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852</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852</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T-LPT-BEV_ELC00</v>
      </c>
      <c r="C121" s="459" t="s">
        <v>852</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T-HPT-BEV_ELC00</v>
      </c>
      <c r="C122" s="459" t="s">
        <v>852</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852</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853</v>
      </c>
      <c r="D124" s="657">
        <f>Stock!E74*AF!D93*ACT2FLO!D70*AF!D59</f>
        <v>7.9580551500000023E-4</v>
      </c>
      <c r="E124" s="657">
        <f>Stock!F74*AF!E93*ACT2FLO!E70*AF!E59</f>
        <v>8.8792850000000005E-6</v>
      </c>
      <c r="F124" s="657">
        <f>Stock!G74*AF!F93*ACT2FLO!F70*AF!F59</f>
        <v>2.6747075000000005E-4</v>
      </c>
      <c r="G124" s="657">
        <f>Stock!H74*AF!G93*ACT2FLO!G70*AF!G59</f>
        <v>4.5203578000000002E-5</v>
      </c>
      <c r="H124" s="657">
        <f>Stock!I74*AF!H93*ACT2FLO!H70*AF!H59</f>
        <v>1.2900645000000001E-5</v>
      </c>
      <c r="I124" s="657">
        <f>Stock!J74*AF!I93*ACT2FLO!I70*AF!I59</f>
        <v>1.86392745E-5</v>
      </c>
      <c r="J124" s="657">
        <f>Stock!K74*AF!J93*ACT2FLO!J70*AF!J59</f>
        <v>7.00212E-6</v>
      </c>
      <c r="K124" s="657">
        <f>Stock!L74*AF!K93*ACT2FLO!K70*AF!K59</f>
        <v>1.3527584999999996E-5</v>
      </c>
      <c r="L124" s="657">
        <f>Stock!M74*AF!L93*ACT2FLO!L70*AF!L59</f>
        <v>1.9826719500000001E-5</v>
      </c>
      <c r="M124" s="657">
        <f>Stock!N74*AF!M93*ACT2FLO!M70*AF!M59</f>
        <v>8.6595549999999995E-6</v>
      </c>
      <c r="N124" s="657">
        <f>Stock!O74*AF!N93*ACT2FLO!N70*AF!N59</f>
        <v>1.2437620999999998E-5</v>
      </c>
      <c r="O124" s="657">
        <f>Stock!P74*AF!O93*ACT2FLO!O70*AF!O59</f>
        <v>2.4790961999999996E-5</v>
      </c>
      <c r="P124" s="657">
        <f>Stock!Q74*AF!P93*ACT2FLO!P70*AF!P59</f>
        <v>3.9364177999999991E-5</v>
      </c>
      <c r="Q124" s="657">
        <f>Stock!R74*AF!Q93*ACT2FLO!Q70*AF!Q59</f>
        <v>1.3978439999999999E-5</v>
      </c>
      <c r="R124" s="657">
        <f>Stock!S74*AF!R93*ACT2FLO!R70*AF!R59</f>
        <v>1.1095038449999999E-4</v>
      </c>
      <c r="S124" s="657">
        <f>Stock!T74*AF!S93*ACT2FLO!S70*AF!S59</f>
        <v>1.8081220499999998E-5</v>
      </c>
      <c r="T124" s="657">
        <f>Stock!U74*AF!T93*ACT2FLO!T70*AF!T59</f>
        <v>1.2736513999999999E-5</v>
      </c>
      <c r="U124" s="657">
        <f>Stock!V74*AF!U93*ACT2FLO!U70*AF!U59</f>
        <v>2.3156725499999998E-5</v>
      </c>
      <c r="V124" s="657">
        <f>Stock!W74*AF!V93*ACT2FLO!V70*AF!V59</f>
        <v>2.4261674999999997E-5</v>
      </c>
      <c r="W124" s="657">
        <f>Stock!X74*AF!W93*ACT2FLO!W70*AF!W59</f>
        <v>3.8513551999999999E-5</v>
      </c>
      <c r="X124" s="657">
        <f>Stock!Y74*AF!X93*ACT2FLO!X70*AF!X59</f>
        <v>1.762183E-6</v>
      </c>
      <c r="Y124" s="657">
        <f>Stock!Z74*AF!Y93*ACT2FLO!Y70*AF!Y59</f>
        <v>1.6610018499999996E-5</v>
      </c>
      <c r="Z124" s="657">
        <f>Stock!AA74*AF!Z93*ACT2FLO!Z70*AF!Z59</f>
        <v>1.2470730999999997E-5</v>
      </c>
      <c r="AA124" s="657">
        <f>Stock!AB74*AF!AA93*ACT2FLO!AA70*AF!AA59</f>
        <v>7.6587299999999988E-6</v>
      </c>
      <c r="AB124" s="657">
        <f>Stock!AC74*AF!AB93*ACT2FLO!AB70*AF!AB59</f>
        <v>6.3089600000000007E-6</v>
      </c>
      <c r="AC124" s="657">
        <f>Stock!AD74*AF!AC93*ACT2FLO!AC70*AF!AC59</f>
        <v>2.4140673E-5</v>
      </c>
      <c r="AD124" s="657">
        <f>Stock!AE74*AF!AD93*ACT2FLO!AD70*AF!AD59</f>
        <v>1.0767887999999998E-5</v>
      </c>
    </row>
    <row r="125" spans="2:30">
      <c r="B125" s="459" t="str">
        <f t="shared" ref="B125:B126" si="91">B26</f>
        <v>T-HGT-ICE_DST00</v>
      </c>
      <c r="C125" s="459" t="s">
        <v>853</v>
      </c>
      <c r="D125" s="657">
        <f>Stock!E77*AF!D96*ACT2FLO!D73*AF!D62</f>
        <v>10.105240679424002</v>
      </c>
      <c r="E125" s="657">
        <f>Stock!F77*AF!E96*ACT2FLO!E73*AF!E62</f>
        <v>0.17478035640000003</v>
      </c>
      <c r="F125" s="657">
        <f>Stock!G77*AF!F96*ACT2FLO!F73*AF!F62</f>
        <v>1.7660122571519998</v>
      </c>
      <c r="G125" s="657">
        <f>Stock!H77*AF!G96*ACT2FLO!G73*AF!G62</f>
        <v>0.55782974707200006</v>
      </c>
      <c r="H125" s="657">
        <f>Stock!I77*AF!H96*ACT2FLO!H73*AF!H62</f>
        <v>0.38957271604799998</v>
      </c>
      <c r="I125" s="657">
        <f>Stock!J77*AF!I96*ACT2FLO!I73*AF!I62</f>
        <v>0.21890465687999999</v>
      </c>
      <c r="J125" s="657">
        <f>Stock!K77*AF!J96*ACT2FLO!J73*AF!J62</f>
        <v>0.12980281766400001</v>
      </c>
      <c r="K125" s="657">
        <f>Stock!L77*AF!K96*ACT2FLO!K73*AF!K62</f>
        <v>0.29275740295199998</v>
      </c>
      <c r="L125" s="657">
        <f>Stock!M77*AF!L96*ACT2FLO!L73*AF!L62</f>
        <v>0.65733745881599992</v>
      </c>
      <c r="M125" s="657">
        <f>Stock!N77*AF!M96*ACT2FLO!M73*AF!M62</f>
        <v>0.145710475752</v>
      </c>
      <c r="N125" s="657">
        <f>Stock!O77*AF!N96*ACT2FLO!N73*AF!N62</f>
        <v>0.14000757177599998</v>
      </c>
      <c r="O125" s="657">
        <f>Stock!P77*AF!O96*ACT2FLO!O73*AF!O62</f>
        <v>0.72348148919999999</v>
      </c>
      <c r="P125" s="657">
        <f>Stock!Q77*AF!P96*ACT2FLO!P73*AF!P62</f>
        <v>0.17663607878399998</v>
      </c>
      <c r="Q125" s="657">
        <f>Stock!R77*AF!Q96*ACT2FLO!Q73*AF!Q62</f>
        <v>0.17715128371199998</v>
      </c>
      <c r="R125" s="657">
        <f>Stock!S77*AF!R96*ACT2FLO!R73*AF!R62</f>
        <v>1.2023005596480001</v>
      </c>
      <c r="S125" s="657">
        <f>Stock!T77*AF!S96*ACT2FLO!S73*AF!S62</f>
        <v>0.227006794368</v>
      </c>
      <c r="T125" s="657">
        <f>Stock!U77*AF!T96*ACT2FLO!T73*AF!T62</f>
        <v>0.46909359645599991</v>
      </c>
      <c r="U125" s="657">
        <f>Stock!V77*AF!U96*ACT2FLO!U73*AF!U62</f>
        <v>0.43790974919999998</v>
      </c>
      <c r="V125" s="657">
        <f>Stock!W77*AF!V96*ACT2FLO!V73*AF!V62</f>
        <v>0.164397669744</v>
      </c>
      <c r="W125" s="657">
        <f>Stock!X77*AF!W96*ACT2FLO!W73*AF!W62</f>
        <v>0.40004812785599997</v>
      </c>
      <c r="X125" s="657">
        <f>Stock!Y77*AF!X96*ACT2FLO!X73*AF!X62</f>
        <v>6.500295360000001E-2</v>
      </c>
      <c r="Y125" s="657">
        <f>Stock!Z77*AF!Y96*ACT2FLO!Y73*AF!Y62</f>
        <v>0.19419185447999995</v>
      </c>
      <c r="Z125" s="657">
        <f>Stock!AA77*AF!Z96*ACT2FLO!Z73*AF!Z62</f>
        <v>0.14537068675200002</v>
      </c>
      <c r="AA125" s="657">
        <f>Stock!AB77*AF!AA96*ACT2FLO!AA73*AF!AA62</f>
        <v>9.9499937280000006E-2</v>
      </c>
      <c r="AB125" s="657">
        <f>Stock!AC77*AF!AB96*ACT2FLO!AB73*AF!AB62</f>
        <v>0.27589940831999998</v>
      </c>
      <c r="AC125" s="657">
        <f>Stock!AD77*AF!AC96*ACT2FLO!AC73*AF!AC62</f>
        <v>0.312390432</v>
      </c>
      <c r="AD125" s="657">
        <f>Stock!AE77*AF!AD96*ACT2FLO!AD73*AF!AD62</f>
        <v>0.54207259545599995</v>
      </c>
    </row>
    <row r="126" spans="2:30">
      <c r="B126" s="458" t="str">
        <f t="shared" si="91"/>
        <v>T-GTR-ICE_DST00</v>
      </c>
      <c r="C126" s="458" t="s">
        <v>853</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1138</v>
      </c>
      <c r="C131" s="714"/>
    </row>
    <row r="132" spans="2:31" ht="17.399999999999999">
      <c r="B132" s="716" t="s">
        <v>1119</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68" t="s">
        <v>1116</v>
      </c>
      <c r="C133" s="714" t="s">
        <v>671</v>
      </c>
      <c r="D133" s="810">
        <v>18812</v>
      </c>
      <c r="E133" s="810">
        <v>18327</v>
      </c>
      <c r="F133" s="810">
        <v>20874</v>
      </c>
      <c r="G133" s="810">
        <v>19721</v>
      </c>
      <c r="H133" s="810">
        <v>17550</v>
      </c>
      <c r="I133" s="810">
        <v>18496</v>
      </c>
      <c r="J133" s="810">
        <v>18161</v>
      </c>
      <c r="K133" s="810">
        <v>19163</v>
      </c>
      <c r="L133" s="810">
        <v>19238</v>
      </c>
      <c r="M133" s="810">
        <v>18565</v>
      </c>
      <c r="N133" s="810">
        <v>19338</v>
      </c>
      <c r="O133" s="810">
        <v>18918</v>
      </c>
      <c r="P133" s="810">
        <v>17802</v>
      </c>
      <c r="Q133" s="810">
        <v>18458</v>
      </c>
      <c r="R133" s="810">
        <v>17796</v>
      </c>
      <c r="S133" s="810">
        <v>17679</v>
      </c>
      <c r="T133" s="810">
        <v>18705</v>
      </c>
      <c r="U133" s="810">
        <v>17793</v>
      </c>
      <c r="V133" s="810">
        <v>17605</v>
      </c>
      <c r="W133" s="810">
        <v>18640</v>
      </c>
      <c r="X133" s="810">
        <v>18071</v>
      </c>
      <c r="Y133" s="810">
        <v>17930</v>
      </c>
      <c r="Z133" s="810">
        <v>18533</v>
      </c>
      <c r="AA133" s="810">
        <v>17813</v>
      </c>
      <c r="AB133" s="810">
        <v>17732</v>
      </c>
      <c r="AC133" s="810">
        <v>17350</v>
      </c>
      <c r="AD133" s="810">
        <v>17979</v>
      </c>
    </row>
    <row r="134" spans="2:31">
      <c r="B134" s="868"/>
      <c r="C134" s="714" t="s">
        <v>672</v>
      </c>
      <c r="D134" s="810">
        <v>22777</v>
      </c>
      <c r="E134" s="810">
        <v>22972</v>
      </c>
      <c r="F134" s="810">
        <v>23876</v>
      </c>
      <c r="G134" s="810">
        <v>23187</v>
      </c>
      <c r="H134" s="810">
        <v>22452</v>
      </c>
      <c r="I134" s="810">
        <v>22787</v>
      </c>
      <c r="J134" s="810">
        <v>22549</v>
      </c>
      <c r="K134" s="810">
        <v>22783</v>
      </c>
      <c r="L134" s="810">
        <v>24675</v>
      </c>
      <c r="M134" s="810">
        <v>21712</v>
      </c>
      <c r="N134" s="810">
        <v>21983</v>
      </c>
      <c r="O134" s="810">
        <v>22263</v>
      </c>
      <c r="P134" s="810">
        <v>22000</v>
      </c>
      <c r="Q134" s="810">
        <v>22177</v>
      </c>
      <c r="R134" s="810">
        <v>21597</v>
      </c>
      <c r="S134" s="810">
        <v>22368</v>
      </c>
      <c r="T134" s="810">
        <v>23609</v>
      </c>
      <c r="U134" s="810">
        <v>22098</v>
      </c>
      <c r="V134" s="810">
        <v>20010</v>
      </c>
      <c r="W134" s="810">
        <v>22072</v>
      </c>
      <c r="X134" s="810">
        <v>22910</v>
      </c>
      <c r="Y134" s="810">
        <v>22731</v>
      </c>
      <c r="Z134" s="810">
        <v>22898</v>
      </c>
      <c r="AA134" s="810">
        <v>21767</v>
      </c>
      <c r="AB134" s="810">
        <v>24188</v>
      </c>
      <c r="AC134" s="810">
        <v>21368</v>
      </c>
      <c r="AD134" s="810">
        <v>23757</v>
      </c>
    </row>
    <row r="135" spans="2:31">
      <c r="B135" s="868" t="s">
        <v>1117</v>
      </c>
      <c r="C135" s="714" t="s">
        <v>673</v>
      </c>
      <c r="D135" s="810">
        <v>24886</v>
      </c>
      <c r="E135" s="810">
        <v>26210</v>
      </c>
      <c r="F135" s="810">
        <v>29256</v>
      </c>
      <c r="G135" s="810">
        <v>17558</v>
      </c>
      <c r="H135" s="810">
        <v>19522</v>
      </c>
      <c r="I135" s="810">
        <v>21770</v>
      </c>
      <c r="J135" s="810">
        <v>20540</v>
      </c>
      <c r="K135" s="810">
        <v>23423</v>
      </c>
      <c r="L135" s="810">
        <v>22646</v>
      </c>
      <c r="M135" s="810">
        <v>16971</v>
      </c>
      <c r="N135" s="810">
        <v>20521</v>
      </c>
      <c r="O135" s="810">
        <v>25577</v>
      </c>
      <c r="P135" s="810">
        <v>21935</v>
      </c>
      <c r="Q135" s="810">
        <v>21810</v>
      </c>
      <c r="R135" s="810">
        <v>27526</v>
      </c>
      <c r="S135" s="810">
        <v>20496</v>
      </c>
      <c r="T135" s="810">
        <v>25046</v>
      </c>
      <c r="U135" s="810">
        <v>24342</v>
      </c>
      <c r="V135" s="810">
        <v>23562</v>
      </c>
      <c r="W135" s="810">
        <v>25393</v>
      </c>
      <c r="X135" s="810">
        <v>27179</v>
      </c>
      <c r="Y135" s="810">
        <v>20837</v>
      </c>
      <c r="Z135" s="810">
        <v>29842</v>
      </c>
      <c r="AA135" s="810">
        <v>15596</v>
      </c>
      <c r="AB135" s="810">
        <v>25082</v>
      </c>
      <c r="AC135" s="810">
        <v>21056</v>
      </c>
      <c r="AD135" s="810">
        <v>31334</v>
      </c>
    </row>
    <row r="136" spans="2:31">
      <c r="B136" s="868"/>
      <c r="C136" s="714" t="s">
        <v>674</v>
      </c>
      <c r="D136" s="810">
        <v>33909</v>
      </c>
      <c r="E136" s="810">
        <v>36135</v>
      </c>
      <c r="F136" s="810">
        <v>37356</v>
      </c>
      <c r="G136" s="810">
        <v>32526</v>
      </c>
      <c r="H136" s="810">
        <v>30053</v>
      </c>
      <c r="I136" s="810">
        <v>30410</v>
      </c>
      <c r="J136" s="810">
        <v>28673</v>
      </c>
      <c r="K136" s="810">
        <v>35555</v>
      </c>
      <c r="L136" s="810">
        <v>33548</v>
      </c>
      <c r="M136" s="810">
        <v>32090</v>
      </c>
      <c r="N136" s="810">
        <v>33034</v>
      </c>
      <c r="O136" s="810">
        <v>39121</v>
      </c>
      <c r="P136" s="810">
        <v>30965</v>
      </c>
      <c r="Q136" s="810">
        <v>29562</v>
      </c>
      <c r="R136" s="810">
        <v>31318</v>
      </c>
      <c r="S136" s="810">
        <v>32713</v>
      </c>
      <c r="T136" s="810">
        <v>35585</v>
      </c>
      <c r="U136" s="810">
        <v>29017</v>
      </c>
      <c r="V136" s="810">
        <v>28410</v>
      </c>
      <c r="W136" s="810">
        <v>32278</v>
      </c>
      <c r="X136" s="810">
        <v>25860</v>
      </c>
      <c r="Y136" s="810">
        <v>33906</v>
      </c>
      <c r="Z136" s="810">
        <v>38159</v>
      </c>
      <c r="AA136" s="810">
        <v>29685</v>
      </c>
      <c r="AB136" s="810">
        <v>36598</v>
      </c>
      <c r="AC136" s="810">
        <v>25343</v>
      </c>
      <c r="AD136" s="810">
        <v>32265</v>
      </c>
    </row>
    <row r="137" spans="2:31">
      <c r="B137" s="868" t="s">
        <v>1118</v>
      </c>
      <c r="C137" s="1" t="s">
        <v>675</v>
      </c>
      <c r="D137" s="811">
        <v>43778</v>
      </c>
      <c r="E137" s="811">
        <v>33395</v>
      </c>
      <c r="F137" s="811">
        <v>43605</v>
      </c>
      <c r="G137" s="811">
        <v>50666</v>
      </c>
      <c r="H137" s="811">
        <v>53428</v>
      </c>
      <c r="I137" s="811">
        <v>41522</v>
      </c>
      <c r="J137" s="811">
        <v>38587</v>
      </c>
      <c r="K137" s="811">
        <v>45110</v>
      </c>
      <c r="L137" s="811">
        <v>50321</v>
      </c>
      <c r="M137" s="811">
        <v>37139</v>
      </c>
      <c r="N137" s="811">
        <v>39912</v>
      </c>
      <c r="O137" s="811">
        <v>47642</v>
      </c>
      <c r="P137" s="811">
        <v>36894</v>
      </c>
      <c r="Q137" s="811">
        <v>39750</v>
      </c>
      <c r="R137" s="811">
        <v>45961</v>
      </c>
      <c r="S137" s="811">
        <v>39555</v>
      </c>
      <c r="T137" s="811">
        <v>47304</v>
      </c>
      <c r="U137" s="811">
        <v>34552</v>
      </c>
      <c r="V137" s="811">
        <v>38682</v>
      </c>
      <c r="W137" s="811">
        <v>34222</v>
      </c>
      <c r="X137" s="811">
        <v>42807</v>
      </c>
      <c r="Y137" s="811">
        <v>29929</v>
      </c>
      <c r="Z137" s="811">
        <v>39795</v>
      </c>
      <c r="AA137" s="811">
        <v>37003</v>
      </c>
      <c r="AB137" s="811">
        <v>53670</v>
      </c>
      <c r="AC137" s="811">
        <v>35221</v>
      </c>
      <c r="AD137" s="811">
        <v>47146</v>
      </c>
    </row>
    <row r="138" spans="2:31">
      <c r="B138" s="890"/>
      <c r="C138" s="458" t="s">
        <v>676</v>
      </c>
      <c r="D138" s="812">
        <v>58054</v>
      </c>
      <c r="E138" s="812">
        <v>64370</v>
      </c>
      <c r="F138" s="812">
        <v>55611</v>
      </c>
      <c r="G138" s="812">
        <v>58768</v>
      </c>
      <c r="H138" s="812">
        <v>65766</v>
      </c>
      <c r="I138" s="812">
        <v>63432</v>
      </c>
      <c r="J138" s="812">
        <v>64009</v>
      </c>
      <c r="K138" s="812">
        <v>58399</v>
      </c>
      <c r="L138" s="812">
        <v>50380</v>
      </c>
      <c r="M138" s="812">
        <v>61272</v>
      </c>
      <c r="N138" s="812">
        <v>56742</v>
      </c>
      <c r="O138" s="812">
        <v>65903</v>
      </c>
      <c r="P138" s="812">
        <v>60412</v>
      </c>
      <c r="Q138" s="812">
        <v>57594</v>
      </c>
      <c r="R138" s="812">
        <v>56573</v>
      </c>
      <c r="S138" s="812">
        <v>56417</v>
      </c>
      <c r="T138" s="812">
        <v>61445</v>
      </c>
      <c r="U138" s="812">
        <v>56429</v>
      </c>
      <c r="V138" s="812">
        <v>61495</v>
      </c>
      <c r="W138" s="812">
        <v>50837</v>
      </c>
      <c r="X138" s="812">
        <v>62233</v>
      </c>
      <c r="Y138" s="812">
        <v>44392</v>
      </c>
      <c r="Z138" s="812">
        <v>57483</v>
      </c>
      <c r="AA138" s="812">
        <v>56557</v>
      </c>
      <c r="AB138" s="812">
        <v>69665</v>
      </c>
      <c r="AC138" s="812">
        <v>59429</v>
      </c>
      <c r="AD138" s="812">
        <v>66998</v>
      </c>
    </row>
    <row r="139" spans="2:31">
      <c r="B139" s="714" t="s">
        <v>678</v>
      </c>
      <c r="C139" s="802"/>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7" t="s">
        <v>1114</v>
      </c>
      <c r="C3" s="29"/>
      <c r="D3" s="29"/>
      <c r="E3" s="29"/>
      <c r="F3" s="29"/>
      <c r="G3" s="29"/>
      <c r="H3" s="29"/>
      <c r="I3" s="29"/>
      <c r="J3" s="29"/>
      <c r="K3" s="29"/>
      <c r="L3" s="29"/>
      <c r="M3" s="29"/>
      <c r="N3" s="29"/>
      <c r="O3" s="29"/>
    </row>
    <row r="4" spans="2:15" ht="15" thickBot="1">
      <c r="B4" s="41" t="s">
        <v>62</v>
      </c>
      <c r="C4" s="728" t="str">
        <f>Commodities!B8</f>
        <v>TRAGSL</v>
      </c>
      <c r="D4" s="728" t="str">
        <f>Commodities!B9</f>
        <v>TRADST</v>
      </c>
      <c r="E4" s="728" t="str">
        <f>Commodities!B10</f>
        <v>TRAETH</v>
      </c>
      <c r="F4" s="728" t="str">
        <f>Commodities!B11</f>
        <v>TRABDL</v>
      </c>
      <c r="G4" s="728" t="str">
        <f>Commodities!B13</f>
        <v>TRACNG</v>
      </c>
      <c r="H4" s="728" t="str">
        <f>Commodities!B14</f>
        <v>TRABNG</v>
      </c>
      <c r="I4" s="728" t="str">
        <f>Commodities!B15</f>
        <v>TRAELC</v>
      </c>
      <c r="J4" s="728" t="str">
        <f>Commodities!B16</f>
        <v>TRALNG</v>
      </c>
      <c r="K4" s="728" t="str">
        <f>Commodities!B17</f>
        <v>TRAHYD</v>
      </c>
      <c r="L4" s="728" t="str">
        <f>Commodities!B18</f>
        <v>TRAKER</v>
      </c>
      <c r="M4" s="728" t="str">
        <f>Commodities!B22</f>
        <v>TRAE85</v>
      </c>
      <c r="N4" s="728" t="str">
        <f>Commodities!B23</f>
        <v>TRANGB</v>
      </c>
      <c r="O4" s="728" t="s">
        <v>96</v>
      </c>
    </row>
    <row r="5" spans="2:15">
      <c r="B5" s="29" t="str">
        <f>[1]Commodities!C33</f>
        <v>Carbon Dioxide - Combustion (TRA)</v>
      </c>
      <c r="C5" s="798">
        <v>69.3</v>
      </c>
      <c r="D5" s="799">
        <v>74.099999999999994</v>
      </c>
      <c r="E5" s="800"/>
      <c r="F5" s="800"/>
      <c r="G5" s="800">
        <v>56.1</v>
      </c>
      <c r="H5" s="800"/>
      <c r="I5" s="800"/>
      <c r="J5" s="800">
        <v>56.1</v>
      </c>
      <c r="K5" s="800"/>
      <c r="L5" s="800">
        <v>71.900000000000006</v>
      </c>
      <c r="M5" s="800"/>
      <c r="N5" s="800"/>
      <c r="O5" s="800" t="s">
        <v>1115</v>
      </c>
    </row>
    <row r="6" spans="2:15">
      <c r="B6" s="29" t="str">
        <f>[1]Commodities!C34</f>
        <v>Methane (TRA)</v>
      </c>
      <c r="C6" s="800"/>
      <c r="D6" s="800"/>
      <c r="E6" s="29"/>
      <c r="F6" s="29"/>
      <c r="G6" s="800"/>
      <c r="H6" s="800"/>
      <c r="I6" s="800"/>
      <c r="J6" s="800"/>
      <c r="K6" s="800"/>
      <c r="L6" s="800"/>
      <c r="M6" s="800"/>
      <c r="N6" s="800"/>
      <c r="O6" s="800" t="s">
        <v>1115</v>
      </c>
    </row>
    <row r="7" spans="2:15">
      <c r="B7" s="29" t="str">
        <f>[1]Commodities!C35</f>
        <v>Sulphur Oxides (TRA)</v>
      </c>
      <c r="C7" s="800"/>
      <c r="D7" s="800"/>
      <c r="E7" s="29"/>
      <c r="F7" s="29"/>
      <c r="G7" s="800"/>
      <c r="H7" s="800"/>
      <c r="I7" s="800"/>
      <c r="J7" s="800"/>
      <c r="K7" s="800"/>
      <c r="L7" s="800"/>
      <c r="M7" s="800"/>
      <c r="N7" s="800"/>
      <c r="O7" s="800" t="s">
        <v>1115</v>
      </c>
    </row>
    <row r="8" spans="2:15">
      <c r="B8" s="29" t="str">
        <f>[1]Commodities!C36</f>
        <v>Nitrogen Oxide (TRA)</v>
      </c>
      <c r="C8" s="800"/>
      <c r="D8" s="800"/>
      <c r="E8" s="29"/>
      <c r="F8" s="29"/>
      <c r="G8" s="800"/>
      <c r="H8" s="800"/>
      <c r="I8" s="800"/>
      <c r="J8" s="800"/>
      <c r="K8" s="800"/>
      <c r="L8" s="800"/>
      <c r="M8" s="800"/>
      <c r="N8" s="800"/>
      <c r="O8" s="800" t="s">
        <v>1115</v>
      </c>
    </row>
    <row r="9" spans="2:15">
      <c r="B9" s="56" t="s">
        <v>110</v>
      </c>
      <c r="C9" s="29"/>
      <c r="D9" s="29"/>
      <c r="E9" s="29"/>
      <c r="F9" s="29"/>
      <c r="G9" s="29"/>
      <c r="H9" s="29"/>
      <c r="I9" s="29"/>
      <c r="J9" s="29"/>
      <c r="K9" s="29"/>
      <c r="L9" s="29"/>
      <c r="M9" s="29"/>
      <c r="N9" s="29"/>
      <c r="O9" s="800" t="s">
        <v>1115</v>
      </c>
    </row>
    <row r="10" spans="2:15">
      <c r="B10" s="56" t="s">
        <v>111</v>
      </c>
      <c r="C10" s="29"/>
      <c r="D10" s="29"/>
      <c r="E10" s="29"/>
      <c r="F10" s="29"/>
      <c r="G10" s="29"/>
      <c r="H10" s="29"/>
      <c r="I10" s="29"/>
      <c r="J10" s="29"/>
      <c r="K10" s="29"/>
      <c r="L10" s="29"/>
      <c r="M10" s="29"/>
      <c r="N10" s="29"/>
      <c r="O10" s="800" t="s">
        <v>1115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780</v>
      </c>
    </row>
    <row r="3" spans="1:4">
      <c r="A3" s="385" t="s">
        <v>778</v>
      </c>
      <c r="B3" s="592">
        <v>0.36</v>
      </c>
      <c r="C3" s="592">
        <v>0.34</v>
      </c>
      <c r="D3" s="592">
        <v>0.35</v>
      </c>
    </row>
    <row r="4" spans="1:4">
      <c r="A4" s="385" t="s">
        <v>779</v>
      </c>
      <c r="B4" s="592">
        <v>0.41</v>
      </c>
      <c r="C4" s="592">
        <v>0.41</v>
      </c>
      <c r="D4" s="592">
        <v>0.41</v>
      </c>
    </row>
    <row r="5" spans="1:4" s="459" customFormat="1">
      <c r="A5" s="385" t="s">
        <v>793</v>
      </c>
      <c r="B5" s="592">
        <v>0.45</v>
      </c>
      <c r="C5" s="592">
        <v>0.45</v>
      </c>
      <c r="D5" s="592">
        <v>0.45</v>
      </c>
    </row>
    <row r="6" spans="1:4">
      <c r="A6" s="385" t="s">
        <v>781</v>
      </c>
      <c r="B6" s="592">
        <v>0.4</v>
      </c>
      <c r="C6" s="592">
        <v>0.4</v>
      </c>
      <c r="D6" s="592">
        <v>0.4</v>
      </c>
    </row>
    <row r="30" spans="1:2">
      <c r="A30" s="133" t="s">
        <v>773</v>
      </c>
      <c r="B30" s="591" t="s">
        <v>772</v>
      </c>
    </row>
    <row r="31" spans="1:2">
      <c r="B31" s="591" t="s">
        <v>774</v>
      </c>
    </row>
    <row r="32" spans="1:2" s="459" customFormat="1">
      <c r="B32" s="591"/>
    </row>
    <row r="33" spans="2:2" s="459" customFormat="1">
      <c r="B33" s="591"/>
    </row>
    <row r="35" spans="2:2">
      <c r="B35" t="s">
        <v>776</v>
      </c>
    </row>
    <row r="57" spans="2:2">
      <c r="B57" s="389" t="s">
        <v>775</v>
      </c>
    </row>
    <row r="60" spans="2:2">
      <c r="B60" t="s">
        <v>777</v>
      </c>
    </row>
    <row r="80" spans="2:2">
      <c r="B80" s="389" t="s">
        <v>775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2021-02-02T23:35:24Z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189480006694793</vt:r8>
  </property>
</Properties>
</file>