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D62181A-9EF0-4122-837C-73B94786B6F8}" xr6:coauthVersionLast="45" xr6:coauthVersionMax="45" xr10:uidLastSave="{00000000-0000-0000-0000-000000000000}"/>
  <bookViews>
    <workbookView xWindow="-120" yWindow="-16320" windowWidth="29040" windowHeight="15840" firstSheet="13" activeTab="17" xr2:uid="{E49705B1-562B-405C-A86E-C3D51EF063D8}"/>
    <workbookView minimized="1" xWindow="1815" yWindow="1815" windowWidth="21600" windowHeight="11385" firstSheet="9" activeTab="15" xr2:uid="{FBA10DB6-0BF3-45A5-84ED-E4EEB10161E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" i="28" l="1"/>
  <c r="M22" i="28"/>
  <c r="S36" i="28" l="1"/>
  <c r="S35" i="28"/>
  <c r="S12" i="28"/>
  <c r="S11" i="28"/>
  <c r="S36" i="51"/>
  <c r="S35" i="51"/>
  <c r="S12" i="51"/>
  <c r="S11" i="51"/>
  <c r="Y11" i="51" s="1"/>
  <c r="S36" i="52"/>
  <c r="S35" i="52"/>
  <c r="S12" i="52"/>
  <c r="S11" i="52"/>
  <c r="S20" i="52"/>
  <c r="S44" i="52"/>
  <c r="S39" i="52"/>
  <c r="S39" i="51"/>
  <c r="S39" i="28"/>
  <c r="S37" i="28"/>
  <c r="S37" i="51"/>
  <c r="S37" i="52"/>
  <c r="S10" i="28"/>
  <c r="S10" i="51"/>
  <c r="S10" i="52"/>
  <c r="S41" i="52"/>
  <c r="S17" i="52"/>
  <c r="S31" i="28"/>
  <c r="S7" i="28"/>
  <c r="S31" i="51"/>
  <c r="S7" i="51"/>
  <c r="S31" i="52"/>
  <c r="S7" i="52"/>
  <c r="X15" i="51"/>
  <c r="Y46" i="52"/>
  <c r="Y22" i="52"/>
  <c r="Q43" i="52"/>
  <c r="Q39" i="52"/>
  <c r="Q37" i="52"/>
  <c r="Q36" i="52"/>
  <c r="Q35" i="52"/>
  <c r="Q34" i="52"/>
  <c r="Q31" i="52"/>
  <c r="Q31" i="51"/>
  <c r="Q30" i="51" s="1"/>
  <c r="N46" i="52"/>
  <c r="AD46" i="52" s="1"/>
  <c r="O46" i="52"/>
  <c r="M46" i="52"/>
  <c r="AC46" i="52" s="1"/>
  <c r="AB46" i="52"/>
  <c r="L46" i="52"/>
  <c r="P46" i="52"/>
  <c r="R46" i="52"/>
  <c r="X46" i="52" s="1"/>
  <c r="U46" i="52" s="1"/>
  <c r="T46" i="52"/>
  <c r="AB22" i="52"/>
  <c r="AC22" i="52"/>
  <c r="AD22" i="52"/>
  <c r="T22" i="52"/>
  <c r="T12" i="52"/>
  <c r="S22" i="52"/>
  <c r="R22" i="52"/>
  <c r="Q22" i="52"/>
  <c r="Q12" i="52"/>
  <c r="M22" i="52"/>
  <c r="N22" i="52"/>
  <c r="O22" i="52"/>
  <c r="L22" i="52"/>
  <c r="P22" i="52"/>
  <c r="Y46" i="51"/>
  <c r="Q45" i="28"/>
  <c r="Q44" i="28"/>
  <c r="Q43" i="28"/>
  <c r="Q39" i="28"/>
  <c r="Q37" i="28"/>
  <c r="Q36" i="28"/>
  <c r="Q35" i="28"/>
  <c r="Q34" i="28"/>
  <c r="Q31" i="28"/>
  <c r="Q39" i="51"/>
  <c r="Q37" i="51"/>
  <c r="Q36" i="51"/>
  <c r="Q35" i="51"/>
  <c r="Q34" i="51"/>
  <c r="Q43" i="51"/>
  <c r="S44" i="51"/>
  <c r="Q44" i="51"/>
  <c r="Q45" i="51"/>
  <c r="R46" i="51"/>
  <c r="AB46" i="51"/>
  <c r="AC46" i="51"/>
  <c r="AD46" i="51"/>
  <c r="M46" i="51"/>
  <c r="N46" i="51"/>
  <c r="O46" i="51"/>
  <c r="L46" i="51"/>
  <c r="P46" i="51"/>
  <c r="M22" i="51"/>
  <c r="AC22" i="51" s="1"/>
  <c r="AB22" i="51"/>
  <c r="AD22" i="51"/>
  <c r="Y22" i="51"/>
  <c r="T22" i="51"/>
  <c r="T12" i="51"/>
  <c r="S22" i="51"/>
  <c r="Q22" i="51"/>
  <c r="R22" i="51" s="1"/>
  <c r="Q12" i="51"/>
  <c r="N22" i="51"/>
  <c r="O22" i="51"/>
  <c r="L22" i="51"/>
  <c r="P22" i="51"/>
  <c r="Y22" i="28"/>
  <c r="K18" i="22"/>
  <c r="S46" i="52" l="1"/>
  <c r="X22" i="52"/>
  <c r="U22" i="52" s="1"/>
  <c r="X46" i="51"/>
  <c r="U46" i="51" s="1"/>
  <c r="X22" i="51"/>
  <c r="U22" i="51" s="1"/>
  <c r="D8" i="3"/>
  <c r="D9" i="3"/>
  <c r="D10" i="3"/>
  <c r="D11" i="3"/>
  <c r="D12" i="3"/>
  <c r="D7" i="3"/>
  <c r="U11" i="48"/>
  <c r="O21" i="9"/>
  <c r="P55" i="28" s="1"/>
  <c r="F38" i="9"/>
  <c r="V11" i="48" s="1"/>
  <c r="F37" i="9"/>
  <c r="V10" i="48" s="1"/>
  <c r="F36" i="9"/>
  <c r="V9" i="48" s="1"/>
  <c r="F35" i="9"/>
  <c r="V8" i="48" s="1"/>
  <c r="F34" i="9"/>
  <c r="V7" i="48" s="1"/>
  <c r="F33" i="9"/>
  <c r="V6" i="48" s="1"/>
  <c r="F32" i="9"/>
  <c r="V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U7" i="48" s="1"/>
  <c r="E35" i="9"/>
  <c r="U8" i="48" s="1"/>
  <c r="E36" i="9"/>
  <c r="U9" i="48" s="1"/>
  <c r="E37" i="9"/>
  <c r="U10" i="48" s="1"/>
  <c r="E33" i="9"/>
  <c r="U6" i="48" s="1"/>
  <c r="E32" i="9"/>
  <c r="U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L44" i="51" l="1"/>
  <c r="L22" i="28"/>
  <c r="AB22" i="28"/>
  <c r="L46" i="28"/>
  <c r="AB46" i="28"/>
  <c r="C26" i="48"/>
  <c r="U3" i="53" a="1"/>
  <c r="U3" i="53" s="1"/>
  <c r="H3" i="53" a="1"/>
  <c r="H3" i="53" s="1"/>
  <c r="AD3" i="53" a="1"/>
  <c r="AD3" i="53" s="1"/>
  <c r="L13" i="51"/>
  <c r="L54" i="28"/>
  <c r="L15" i="51"/>
  <c r="S3" i="53" a="1"/>
  <c r="S3" i="53" s="1"/>
  <c r="B11" i="46"/>
  <c r="L55" i="28"/>
  <c r="L33" i="51"/>
  <c r="B29" i="46"/>
  <c r="L45" i="52"/>
  <c r="B14" i="54"/>
  <c r="B6" i="54"/>
  <c r="L14" i="54"/>
  <c r="D11" i="9"/>
  <c r="D19" i="9"/>
  <c r="D27" i="9"/>
  <c r="D35" i="9"/>
  <c r="N11" i="9"/>
  <c r="N19" i="9"/>
  <c r="AB44" i="52"/>
  <c r="AB33" i="52"/>
  <c r="AB37" i="51"/>
  <c r="AB44" i="28"/>
  <c r="AB33" i="28"/>
  <c r="AB13" i="28"/>
  <c r="AB19" i="51"/>
  <c r="AB8" i="51"/>
  <c r="AB12" i="52"/>
  <c r="T10" i="48"/>
  <c r="B7" i="48"/>
  <c r="B11" i="54"/>
  <c r="N7" i="9"/>
  <c r="D22" i="9"/>
  <c r="D38" i="9"/>
  <c r="N22" i="9"/>
  <c r="AB55" i="51"/>
  <c r="AB45" i="51"/>
  <c r="AB39" i="28"/>
  <c r="AB13" i="51"/>
  <c r="L10" i="54"/>
  <c r="D23" i="9"/>
  <c r="D6" i="9"/>
  <c r="AB54" i="51"/>
  <c r="AB44" i="51"/>
  <c r="AB37" i="28"/>
  <c r="AB9" i="28"/>
  <c r="AB19" i="52"/>
  <c r="T6" i="48"/>
  <c r="C4" i="3"/>
  <c r="D17" i="9"/>
  <c r="D33" i="9"/>
  <c r="N17" i="9"/>
  <c r="AB17" i="28"/>
  <c r="B7" i="54"/>
  <c r="D10" i="9"/>
  <c r="D34" i="9"/>
  <c r="N18" i="9"/>
  <c r="AB34" i="52"/>
  <c r="AB45" i="28"/>
  <c r="AB20" i="51"/>
  <c r="B8" i="48"/>
  <c r="B13" i="54"/>
  <c r="L7" i="54"/>
  <c r="L15" i="54"/>
  <c r="D12" i="9"/>
  <c r="D20" i="9"/>
  <c r="D28" i="9"/>
  <c r="D36" i="9"/>
  <c r="N12" i="9"/>
  <c r="N20" i="9"/>
  <c r="AB55" i="28"/>
  <c r="AB43" i="52"/>
  <c r="AB32" i="52"/>
  <c r="AB36" i="51"/>
  <c r="AB43" i="28"/>
  <c r="AB32" i="28"/>
  <c r="AB12" i="28"/>
  <c r="AB17" i="51"/>
  <c r="AB7" i="51"/>
  <c r="AB11" i="52"/>
  <c r="T9" i="48"/>
  <c r="M8" i="46"/>
  <c r="L9" i="54"/>
  <c r="D14" i="9"/>
  <c r="D30" i="9"/>
  <c r="N14" i="9"/>
  <c r="AB34" i="51"/>
  <c r="AB10" i="28"/>
  <c r="AB9" i="52"/>
  <c r="B10" i="54"/>
  <c r="D7" i="9"/>
  <c r="D15" i="9"/>
  <c r="D31" i="9"/>
  <c r="N23" i="9"/>
  <c r="T5" i="48"/>
  <c r="D9" i="9"/>
  <c r="AB31" i="51"/>
  <c r="AB10" i="51"/>
  <c r="B15" i="54"/>
  <c r="D26" i="9"/>
  <c r="N10" i="9"/>
  <c r="AB45" i="52"/>
  <c r="AB34" i="28"/>
  <c r="AB13" i="52"/>
  <c r="B12" i="54"/>
  <c r="L8" i="54"/>
  <c r="L6" i="54"/>
  <c r="D13" i="9"/>
  <c r="D21" i="9"/>
  <c r="D29" i="9"/>
  <c r="D37" i="9"/>
  <c r="N13" i="9"/>
  <c r="N21" i="9"/>
  <c r="AB54" i="28"/>
  <c r="AB41" i="52"/>
  <c r="AB31" i="52"/>
  <c r="AB35" i="51"/>
  <c r="AB41" i="28"/>
  <c r="AB31" i="28"/>
  <c r="AB11" i="28"/>
  <c r="AB15" i="51"/>
  <c r="AB21" i="52"/>
  <c r="AB10" i="52"/>
  <c r="T8" i="48"/>
  <c r="M7" i="46"/>
  <c r="AB39" i="52"/>
  <c r="AB21" i="28"/>
  <c r="AB20" i="52"/>
  <c r="T7" i="48"/>
  <c r="M6" i="46"/>
  <c r="N15" i="9"/>
  <c r="AB37" i="52"/>
  <c r="AB33" i="51"/>
  <c r="AB20" i="28"/>
  <c r="AB12" i="51"/>
  <c r="AB8" i="52"/>
  <c r="B6" i="46"/>
  <c r="B8" i="54"/>
  <c r="D25" i="9"/>
  <c r="N9" i="9"/>
  <c r="AB7" i="28"/>
  <c r="AB54" i="52"/>
  <c r="AB41" i="51"/>
  <c r="AB35" i="28"/>
  <c r="AB15" i="52"/>
  <c r="B6" i="48"/>
  <c r="L13" i="54"/>
  <c r="AB39" i="51"/>
  <c r="AB15" i="28"/>
  <c r="AB9" i="51"/>
  <c r="T11" i="48"/>
  <c r="B9" i="54"/>
  <c r="L11" i="54"/>
  <c r="D8" i="9"/>
  <c r="D16" i="9"/>
  <c r="D24" i="9"/>
  <c r="D32" i="9"/>
  <c r="N8" i="9"/>
  <c r="N16" i="9"/>
  <c r="N6" i="9"/>
  <c r="AB55" i="52"/>
  <c r="AB36" i="52"/>
  <c r="AB43" i="51"/>
  <c r="AB32" i="51"/>
  <c r="AB36" i="28"/>
  <c r="AB19" i="28"/>
  <c r="AB8" i="28"/>
  <c r="AB11" i="51"/>
  <c r="AB17" i="52"/>
  <c r="AB7" i="52"/>
  <c r="L12" i="54"/>
  <c r="AB35" i="52"/>
  <c r="AB21" i="51"/>
  <c r="D18" i="9"/>
  <c r="F3" i="53" a="1"/>
  <c r="F3" i="53" s="1"/>
  <c r="B28" i="46"/>
  <c r="L37" i="28"/>
  <c r="L45" i="51"/>
  <c r="T3" i="53" a="1"/>
  <c r="T3" i="53" s="1"/>
  <c r="V3" i="53" a="1"/>
  <c r="V3" i="53" s="1"/>
  <c r="B11" i="48"/>
  <c r="L43" i="28"/>
  <c r="L11" i="52"/>
  <c r="K3" i="53" a="1"/>
  <c r="K3" i="53" s="1"/>
  <c r="F6" i="53"/>
  <c r="B13" i="48"/>
  <c r="L9" i="28"/>
  <c r="L31" i="52"/>
  <c r="L35" i="28"/>
  <c r="N3" i="53" a="1"/>
  <c r="N3" i="53" s="1"/>
  <c r="V6" i="53"/>
  <c r="C21" i="48"/>
  <c r="L20" i="28"/>
  <c r="L41" i="52"/>
  <c r="AB3" i="53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G27" i="48"/>
  <c r="D54" i="28"/>
  <c r="D55" i="28"/>
  <c r="D56" i="28"/>
  <c r="D57" i="28"/>
  <c r="D58" i="28"/>
  <c r="D59" i="28"/>
  <c r="D60" i="28"/>
  <c r="D61" i="28"/>
  <c r="D62" i="28"/>
  <c r="E34" i="28"/>
  <c r="E35" i="28"/>
  <c r="Q33" i="28" s="1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G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Q13" i="28" s="1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Q21" i="51" s="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Q19" i="52" s="1"/>
  <c r="E8" i="52"/>
  <c r="E9" i="52"/>
  <c r="E10" i="52"/>
  <c r="E11" i="52"/>
  <c r="E12" i="52"/>
  <c r="Q7" i="52" s="1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Q9" i="52" s="1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B26" i="22"/>
  <c r="C26" i="43"/>
  <c r="F24" i="9" s="1"/>
  <c r="B11" i="22"/>
  <c r="C10" i="43" s="1"/>
  <c r="F8" i="9" s="1"/>
  <c r="C22" i="43"/>
  <c r="F20" i="9"/>
  <c r="D23" i="6" s="1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O7" i="28"/>
  <c r="M7" i="28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T36" i="51" s="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T35" i="51"/>
  <c r="T19" i="51"/>
  <c r="T43" i="51" s="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20" i="28"/>
  <c r="M20" i="28" s="1"/>
  <c r="J25" i="28"/>
  <c r="H25" i="28"/>
  <c r="F25" i="28"/>
  <c r="J12" i="28"/>
  <c r="H12" i="28"/>
  <c r="G12" i="28"/>
  <c r="F12" i="28"/>
  <c r="O31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/>
  <c r="T37" i="28" s="1"/>
  <c r="G15" i="28"/>
  <c r="T15" i="28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19" i="6"/>
  <c r="B17" i="43"/>
  <c r="E15" i="9" s="1"/>
  <c r="C18" i="6"/>
  <c r="C17" i="6"/>
  <c r="B15" i="43"/>
  <c r="E13" i="9" s="1"/>
  <c r="F16" i="6" s="1"/>
  <c r="B14" i="43"/>
  <c r="C15" i="6" s="1"/>
  <c r="B13" i="43"/>
  <c r="C14" i="6" s="1"/>
  <c r="C13" i="6"/>
  <c r="B11" i="43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F27" i="6"/>
  <c r="E18" i="9"/>
  <c r="F21" i="6" s="1"/>
  <c r="E11" i="9"/>
  <c r="F14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B25" i="22"/>
  <c r="B22" i="22"/>
  <c r="C21" i="43" s="1"/>
  <c r="F19" i="9" s="1"/>
  <c r="N22" i="28" s="1"/>
  <c r="AD22" i="28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D15" i="6" s="1"/>
  <c r="B14" i="22"/>
  <c r="C13" i="43" s="1"/>
  <c r="F11" i="9" s="1"/>
  <c r="D14" i="6" s="1"/>
  <c r="B12" i="22"/>
  <c r="C11" i="43" s="1"/>
  <c r="F9" i="9" s="1"/>
  <c r="F18" i="9"/>
  <c r="C24" i="43"/>
  <c r="F22" i="9" s="1"/>
  <c r="D25" i="6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18" i="46"/>
  <c r="V17" i="46"/>
  <c r="V24" i="46"/>
  <c r="V15" i="46"/>
  <c r="V14" i="46"/>
  <c r="D9" i="6"/>
  <c r="V11" i="46"/>
  <c r="D7" i="6"/>
  <c r="V5" i="46"/>
  <c r="V4" i="46"/>
  <c r="V37" i="46"/>
  <c r="D10" i="6"/>
  <c r="D8" i="6"/>
  <c r="V6" i="46"/>
  <c r="D13" i="6"/>
  <c r="F9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F8" i="6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F10" i="6"/>
  <c r="C22" i="9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P62" i="24" l="1"/>
  <c r="D28" i="6"/>
  <c r="V38" i="46"/>
  <c r="BM22" i="45"/>
  <c r="BQ22" i="45"/>
  <c r="BU22" i="45"/>
  <c r="BR34" i="45"/>
  <c r="D17" i="6"/>
  <c r="V21" i="46"/>
  <c r="AM33" i="24"/>
  <c r="V22" i="46"/>
  <c r="N46" i="28"/>
  <c r="AD46" i="28" s="1"/>
  <c r="Q16" i="45"/>
  <c r="C16" i="6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F26" i="6"/>
  <c r="F6" i="6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F18" i="6"/>
  <c r="O46" i="28"/>
  <c r="AC46" i="28" s="1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F15" i="6" s="1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H23" i="22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4" i="54"/>
  <c r="N35" i="52"/>
  <c r="AD35" i="52" s="1"/>
  <c r="N35" i="51"/>
  <c r="N12" i="52"/>
  <c r="N11" i="52"/>
  <c r="N35" i="28"/>
  <c r="N11" i="51"/>
  <c r="N12" i="51"/>
  <c r="N36" i="51"/>
  <c r="N36" i="28"/>
  <c r="N36" i="52"/>
  <c r="AD36" i="52" s="1"/>
  <c r="N11" i="28"/>
  <c r="N12" i="28"/>
  <c r="D27" i="6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O9" i="28"/>
  <c r="M9" i="28" s="1"/>
  <c r="F23" i="6"/>
  <c r="AE117" i="27" a="1"/>
  <c r="AE117" i="27" s="1"/>
  <c r="M120" i="27" s="1"/>
  <c r="F36" i="27"/>
  <c r="C20" i="6"/>
  <c r="E17" i="9"/>
  <c r="F20" i="6" s="1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N7" i="51"/>
  <c r="N7" i="28"/>
  <c r="N31" i="28"/>
  <c r="N31" i="52"/>
  <c r="AD31" i="52" s="1"/>
  <c r="N31" i="51"/>
  <c r="AD31" i="51" s="1"/>
  <c r="D6" i="6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O55" i="52"/>
  <c r="O54" i="51"/>
  <c r="O35" i="28"/>
  <c r="O54" i="28"/>
  <c r="O35" i="52"/>
  <c r="O11" i="51"/>
  <c r="O11" i="28"/>
  <c r="O12" i="52"/>
  <c r="O54" i="52"/>
  <c r="O36" i="51"/>
  <c r="O12" i="51"/>
  <c r="O11" i="52"/>
  <c r="O36" i="28"/>
  <c r="M36" i="28" s="1"/>
  <c r="AC36" i="28" s="1"/>
  <c r="O55" i="28"/>
  <c r="N72" i="27"/>
  <c r="O72" i="27" s="1"/>
  <c r="I27" i="24"/>
  <c r="I62" i="24" s="1"/>
  <c r="AM38" i="24"/>
  <c r="C12" i="6"/>
  <c r="E9" i="9"/>
  <c r="F12" i="6" s="1"/>
  <c r="N10" i="51"/>
  <c r="N34" i="51"/>
  <c r="N34" i="28"/>
  <c r="N10" i="52"/>
  <c r="N34" i="52"/>
  <c r="AD34" i="52" s="1"/>
  <c r="N10" i="28"/>
  <c r="D11" i="6"/>
  <c r="N11" i="54"/>
  <c r="N20" i="28"/>
  <c r="N20" i="51"/>
  <c r="AD20" i="51" s="1"/>
  <c r="N44" i="52"/>
  <c r="AD44" i="52" s="1"/>
  <c r="N44" i="28"/>
  <c r="N44" i="5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N37" i="28"/>
  <c r="N13" i="51"/>
  <c r="N13" i="28"/>
  <c r="N37" i="52"/>
  <c r="AD37" i="52" s="1"/>
  <c r="N37" i="51"/>
  <c r="N21" i="51"/>
  <c r="N45" i="51"/>
  <c r="N21" i="52"/>
  <c r="N21" i="28"/>
  <c r="N45" i="52"/>
  <c r="AD45" i="52" s="1"/>
  <c r="N45" i="28"/>
  <c r="AD45" i="28" s="1"/>
  <c r="D24" i="51" a="1"/>
  <c r="D24" i="51" s="1"/>
  <c r="G24" i="51" s="1"/>
  <c r="T21" i="51" s="1"/>
  <c r="T45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2" i="54"/>
  <c r="N33" i="28"/>
  <c r="N9" i="28"/>
  <c r="N9" i="51"/>
  <c r="N33" i="52"/>
  <c r="AD33" i="52" s="1"/>
  <c r="N33" i="51"/>
  <c r="AD33" i="51" s="1"/>
  <c r="N9" i="52"/>
  <c r="AD9" i="52" s="1"/>
  <c r="N15" i="51"/>
  <c r="N15" i="28"/>
  <c r="N15" i="52"/>
  <c r="N39" i="52"/>
  <c r="AD39" i="52" s="1"/>
  <c r="N39" i="51"/>
  <c r="N39" i="28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M43" i="28"/>
  <c r="AC43" i="28" s="1"/>
  <c r="M19" i="52"/>
  <c r="M43" i="52"/>
  <c r="M19" i="28"/>
  <c r="N17" i="52"/>
  <c r="N17" i="28"/>
  <c r="AD17" i="28" s="1"/>
  <c r="N17" i="51"/>
  <c r="N41" i="5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N19" i="51"/>
  <c r="N19" i="28"/>
  <c r="N43" i="51"/>
  <c r="V30" i="46"/>
  <c r="N8" i="52"/>
  <c r="N32" i="52"/>
  <c r="AD32" i="52" s="1"/>
  <c r="N32" i="28"/>
  <c r="N8" i="51"/>
  <c r="N8" i="28"/>
  <c r="N32" i="5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12" i="51"/>
  <c r="AC12" i="51" s="1"/>
  <c r="M11" i="51"/>
  <c r="M36" i="51"/>
  <c r="AC36" i="51" s="1"/>
  <c r="M35" i="51"/>
  <c r="AC35" i="51" s="1"/>
  <c r="M12" i="52"/>
  <c r="AC12" i="52" s="1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AC35" i="52" s="1"/>
  <c r="V33" i="46"/>
  <c r="F28" i="6"/>
  <c r="V35" i="46"/>
  <c r="O45" i="28"/>
  <c r="M45" i="28" s="1"/>
  <c r="D26" i="6"/>
  <c r="O21" i="28"/>
  <c r="AD44" i="51"/>
  <c r="V34" i="46"/>
  <c r="V36" i="46"/>
  <c r="E22" i="48"/>
  <c r="AD35" i="51"/>
  <c r="P44" i="52"/>
  <c r="AC10" i="52"/>
  <c r="P12" i="51"/>
  <c r="P13" i="52"/>
  <c r="P11" i="51"/>
  <c r="P15" i="52"/>
  <c r="AC8" i="51"/>
  <c r="P10" i="51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3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1" i="54"/>
  <c r="C16" i="9"/>
  <c r="AA45" i="24"/>
  <c r="AA30" i="24" s="1"/>
  <c r="AF116" i="27"/>
  <c r="AI116" i="27" s="1"/>
  <c r="L9" i="24"/>
  <c r="F30" i="24"/>
  <c r="F62" i="24" s="1"/>
  <c r="V26" i="46"/>
  <c r="D20" i="6"/>
  <c r="F34" i="27"/>
  <c r="A6" i="54"/>
  <c r="C6" i="9"/>
  <c r="D27" i="24"/>
  <c r="D62" i="24" s="1"/>
  <c r="M27" i="24"/>
  <c r="M30" i="24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D31" i="45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C8" i="9"/>
  <c r="A8" i="54"/>
  <c r="M22" i="45"/>
  <c r="M39" i="45"/>
  <c r="N13" i="6"/>
  <c r="N13" i="54"/>
  <c r="AD32" i="28"/>
  <c r="AD8" i="52"/>
  <c r="E19" i="9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G24" i="28" s="1"/>
  <c r="T21" i="28" s="1"/>
  <c r="T45" i="28" s="1"/>
  <c r="AD13" i="52"/>
  <c r="N9" i="54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AD34" i="28"/>
  <c r="AD31" i="28"/>
  <c r="AD36" i="51"/>
  <c r="AD15" i="52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37" i="28"/>
  <c r="AD43" i="28"/>
  <c r="AD13" i="51"/>
  <c r="AD32" i="51"/>
  <c r="AD12" i="52"/>
  <c r="AD20" i="52"/>
  <c r="AD7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39" i="28"/>
  <c r="AD55" i="28"/>
  <c r="AD35" i="28"/>
  <c r="AD34" i="51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F32" i="46"/>
  <c r="G28" i="48" s="1"/>
  <c r="F41" i="46"/>
  <c r="H92" i="46"/>
  <c r="I92" i="46"/>
  <c r="R29" i="22"/>
  <c r="Z37" i="22" s="1"/>
  <c r="AC11" i="51"/>
  <c r="AC9" i="51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O21" i="52"/>
  <c r="BQ39" i="45" l="1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Q6" i="51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F22" i="6"/>
  <c r="O22" i="28"/>
  <c r="AC22" i="28" s="1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Q30" i="28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Q6" i="28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BA32" i="45" l="1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Y39" i="52" s="1"/>
  <c r="X39" i="52" s="1"/>
  <c r="R11" i="52"/>
  <c r="Y11" i="52" s="1"/>
  <c r="X11" i="52" s="1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Y37" i="28" s="1"/>
  <c r="X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R20" i="28"/>
  <c r="R17" i="28"/>
  <c r="R31" i="28"/>
  <c r="R41" i="28"/>
  <c r="R35" i="28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R55" i="51"/>
  <c r="S55" i="51" s="1"/>
  <c r="R31" i="51"/>
  <c r="R32" i="51"/>
  <c r="S32" i="51" s="1"/>
  <c r="Y32" i="51" s="1"/>
  <c r="X32" i="51" s="1"/>
  <c r="R43" i="51"/>
  <c r="R54" i="51"/>
  <c r="S54" i="51" s="1"/>
  <c r="R44" i="51"/>
  <c r="Y44" i="51" s="1"/>
  <c r="X44" i="51" s="1"/>
  <c r="R9" i="51"/>
  <c r="R45" i="51"/>
  <c r="S45" i="51" s="1"/>
  <c r="Y45" i="51" s="1"/>
  <c r="X45" i="51" s="1"/>
  <c r="R37" i="51"/>
  <c r="Y37" i="51" s="1"/>
  <c r="X37" i="51" s="1"/>
  <c r="R17" i="51"/>
  <c r="R19" i="51"/>
  <c r="S19" i="51" s="1"/>
  <c r="Y19" i="51" s="1"/>
  <c r="X19" i="51" s="1"/>
  <c r="R7" i="51"/>
  <c r="R11" i="51"/>
  <c r="X11" i="51" s="1"/>
  <c r="R36" i="51"/>
  <c r="U37" i="27"/>
  <c r="R39" i="5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Y12" i="51" s="1"/>
  <c r="G11" i="46"/>
  <c r="R13" i="51"/>
  <c r="S13" i="51" s="1"/>
  <c r="Y13" i="51" s="1"/>
  <c r="X13" i="51" s="1"/>
  <c r="R15" i="51"/>
  <c r="S15" i="51" s="1"/>
  <c r="Y15" i="51" s="1"/>
  <c r="R10" i="51"/>
  <c r="Y10" i="51" s="1"/>
  <c r="X10" i="51" s="1"/>
  <c r="R8" i="51"/>
  <c r="S8" i="51" s="1"/>
  <c r="Y8" i="51" s="1"/>
  <c r="X8" i="51" s="1"/>
  <c r="G6" i="46"/>
  <c r="Y12" i="28" l="1"/>
  <c r="X12" i="28" s="1"/>
  <c r="S22" i="28"/>
  <c r="X22" i="28" s="1"/>
  <c r="U22" i="28" s="1"/>
  <c r="S9" i="28"/>
  <c r="Y9" i="28" s="1"/>
  <c r="X9" i="28" s="1"/>
  <c r="S13" i="28"/>
  <c r="Y13" i="28" s="1"/>
  <c r="X13" i="28" s="1"/>
  <c r="X12" i="51"/>
  <c r="U12" i="51" s="1"/>
  <c r="F22" i="22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G28" i="22"/>
  <c r="U19" i="51"/>
  <c r="S43" i="51"/>
  <c r="Y43" i="51" s="1"/>
  <c r="X43" i="51" s="1"/>
  <c r="G27" i="22"/>
  <c r="G22" i="22" s="1"/>
  <c r="U21" i="51"/>
  <c r="G10" i="22"/>
  <c r="J24" i="22"/>
  <c r="U32" i="51"/>
  <c r="Y34" i="28"/>
  <c r="X34" i="28" s="1"/>
  <c r="Y54" i="28"/>
  <c r="X54" i="28" s="1"/>
  <c r="Y55" i="28"/>
  <c r="X55" i="28" s="1"/>
  <c r="I24" i="22"/>
  <c r="K17" i="22"/>
  <c r="U39" i="52"/>
  <c r="S13" i="52"/>
  <c r="Y13" i="52" s="1"/>
  <c r="X13" i="52" s="1"/>
  <c r="S19" i="52"/>
  <c r="Y19" i="52" s="1"/>
  <c r="X19" i="52" s="1"/>
  <c r="F23" i="22"/>
  <c r="U9" i="28"/>
  <c r="Y36" i="28"/>
  <c r="R49" i="51"/>
  <c r="F27" i="22"/>
  <c r="U21" i="28"/>
  <c r="U13" i="28"/>
  <c r="R25" i="28"/>
  <c r="Y7" i="28"/>
  <c r="X7" i="28" s="1"/>
  <c r="I13" i="22"/>
  <c r="U37" i="28"/>
  <c r="U33" i="52"/>
  <c r="K23" i="22"/>
  <c r="Y12" i="52"/>
  <c r="H26" i="22" s="1"/>
  <c r="Y20" i="52"/>
  <c r="X20" i="52" s="1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U45" i="52"/>
  <c r="R49" i="52"/>
  <c r="Y31" i="52"/>
  <c r="X31" i="52" s="1"/>
  <c r="S15" i="52"/>
  <c r="Y15" i="52" s="1"/>
  <c r="X15" i="52" s="1"/>
  <c r="Y10" i="52"/>
  <c r="X10" i="52" s="1"/>
  <c r="Y54" i="51"/>
  <c r="X54" i="51" s="1"/>
  <c r="Y55" i="51"/>
  <c r="X55" i="51" s="1"/>
  <c r="Y34" i="51"/>
  <c r="X34" i="51" s="1"/>
  <c r="U11" i="52"/>
  <c r="U10" i="51"/>
  <c r="G11" i="22"/>
  <c r="Y39" i="51"/>
  <c r="X39" i="51" s="1"/>
  <c r="G13" i="22"/>
  <c r="U13" i="51"/>
  <c r="J27" i="22"/>
  <c r="J18" i="22" s="1"/>
  <c r="U45" i="51"/>
  <c r="Y35" i="51"/>
  <c r="X35" i="51" s="1"/>
  <c r="Y11" i="28"/>
  <c r="X11" i="28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U19" i="28"/>
  <c r="F28" i="22"/>
  <c r="G19" i="22"/>
  <c r="U20" i="51"/>
  <c r="J13" i="22"/>
  <c r="U37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G26" i="22"/>
  <c r="U11" i="51"/>
  <c r="F17" i="22"/>
  <c r="U15" i="28"/>
  <c r="U44" i="51"/>
  <c r="J19" i="22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Y10" i="28"/>
  <c r="X10" i="28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X7" i="52" l="1"/>
  <c r="Y25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X25" i="28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G24" i="48"/>
  <c r="H24" i="48" s="1"/>
  <c r="I24" i="48" s="1"/>
  <c r="J24" i="48" s="1"/>
  <c r="K24" i="48" s="1"/>
  <c r="L24" i="48" s="1"/>
  <c r="U29" i="22"/>
  <c r="O26" i="22"/>
  <c r="O29" i="22" s="1"/>
  <c r="F11" i="22"/>
  <c r="U10" i="28"/>
  <c r="K19" i="22"/>
  <c r="U44" i="52"/>
  <c r="G23" i="48"/>
  <c r="H23" i="48" s="1"/>
  <c r="I23" i="48" s="1"/>
  <c r="J23" i="48" s="1"/>
  <c r="K23" i="48" s="1"/>
  <c r="L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G21" i="48"/>
  <c r="H21" i="48" s="1"/>
  <c r="I21" i="48" s="1"/>
  <c r="J21" i="48" s="1"/>
  <c r="K21" i="48" s="1"/>
  <c r="L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G29" i="22" s="1"/>
  <c r="Y25" i="51"/>
  <c r="G25" i="48"/>
  <c r="H25" i="48" s="1"/>
  <c r="I25" i="48" s="1"/>
  <c r="J25" i="48" s="1"/>
  <c r="K25" i="48" s="1"/>
  <c r="L25" i="48" s="1"/>
  <c r="V29" i="22"/>
  <c r="Y24" i="22"/>
  <c r="Y23" i="22"/>
  <c r="Y49" i="51" l="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J6" i="46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<sst xmlns="http://schemas.openxmlformats.org/spreadsheetml/2006/main" count="68714" uniqueCount="957">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</sst>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1" fillId="0" borderId="0" applyFont="0" applyFill="0" applyBorder="0" applyAlignment="0" applyProtection="0"/>
    <xf numFmtId="0" fontId="26" fillId="10" borderId="0" applyNumberFormat="0" applyBorder="0" applyAlignment="0" applyProtection="0"/>
    <xf numFmtId="0" fontId="52" fillId="0" borderId="0" applyNumberFormat="0" applyFill="0" applyBorder="0" applyAlignment="0" applyProtection="0"/>
    <xf numFmtId="0" fontId="2" fillId="41" borderId="0" applyNumberFormat="0" applyBorder="0" applyAlignment="0" applyProtection="0"/>
    <xf numFmtId="0" fontId="2" fillId="0" borderId="0"/>
  </cellStyleXfs>
  <cellXfs count="1100">
    <xf numFmtId="0" fontId="0" fillId="0" borderId="0" xfId="0"/>
    <xf numFmtId="38" fontId="19" fillId="0" borderId="0" xfId="0" applyNumberFormat="1" applyFont="1" applyAlignment="1">
      <alignment horizontal="left" wrapText="1"/>
    </xf>
    <xf numFmtId="38" fontId="20" fillId="0" borderId="20" xfId="0" applyNumberFormat="1" applyFont="1" applyBorder="1" applyAlignment="1">
      <alignment horizontal="center" wrapText="1"/>
    </xf>
    <xf numFmtId="38" fontId="20" fillId="0" borderId="26" xfId="0" applyNumberFormat="1" applyFont="1" applyFill="1" applyBorder="1" applyAlignment="1">
      <alignment horizontal="center" textRotation="90" wrapText="1"/>
    </xf>
    <xf numFmtId="38" fontId="18" fillId="0" borderId="0" xfId="0" applyNumberFormat="1" applyFont="1" applyAlignment="1"/>
    <xf numFmtId="38" fontId="21" fillId="6" borderId="0" xfId="0" applyNumberFormat="1" applyFont="1" applyFill="1" applyAlignment="1"/>
    <xf numFmtId="38" fontId="18" fillId="0" borderId="27" xfId="0" applyNumberFormat="1" applyFont="1" applyFill="1" applyBorder="1" applyAlignment="1">
      <alignment horizontal="left"/>
    </xf>
    <xf numFmtId="38" fontId="18" fillId="0" borderId="0" xfId="0" applyNumberFormat="1" applyFont="1" applyFill="1"/>
    <xf numFmtId="38" fontId="22" fillId="6" borderId="0" xfId="0" applyNumberFormat="1" applyFont="1" applyFill="1"/>
    <xf numFmtId="38" fontId="18" fillId="0" borderId="37" xfId="0" applyNumberFormat="1" applyFont="1" applyFill="1" applyBorder="1" applyAlignment="1">
      <alignment horizontal="left"/>
    </xf>
    <xf numFmtId="38" fontId="18" fillId="0" borderId="46" xfId="0" applyNumberFormat="1" applyFont="1" applyFill="1" applyBorder="1" applyAlignment="1">
      <alignment horizontal="left"/>
    </xf>
    <xf numFmtId="38" fontId="20" fillId="0" borderId="18" xfId="0" applyNumberFormat="1" applyFont="1" applyFill="1" applyBorder="1" applyAlignment="1">
      <alignment horizontal="left"/>
    </xf>
    <xf numFmtId="38" fontId="23" fillId="6" borderId="0" xfId="0" applyNumberFormat="1" applyFont="1" applyFill="1"/>
    <xf numFmtId="38" fontId="20" fillId="0" borderId="0" xfId="0" applyNumberFormat="1" applyFont="1" applyFill="1"/>
    <xf numFmtId="38" fontId="20" fillId="0" borderId="4" xfId="0" applyNumberFormat="1" applyFont="1" applyFill="1" applyBorder="1" applyAlignment="1">
      <alignment horizontal="left"/>
    </xf>
    <xf numFmtId="38" fontId="18" fillId="0" borderId="69" xfId="0" applyNumberFormat="1" applyFont="1" applyFill="1" applyBorder="1" applyAlignment="1">
      <alignment horizontal="left"/>
    </xf>
    <xf numFmtId="38" fontId="18" fillId="0" borderId="79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center"/>
    </xf>
    <xf numFmtId="38" fontId="22" fillId="6" borderId="0" xfId="0" applyNumberFormat="1" applyFont="1" applyFill="1" applyBorder="1"/>
    <xf numFmtId="38" fontId="18" fillId="0" borderId="0" xfId="0" applyNumberFormat="1" applyFont="1" applyFill="1" applyBorder="1"/>
    <xf numFmtId="38" fontId="20" fillId="0" borderId="3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20" fillId="0" borderId="106" xfId="0" applyNumberFormat="1" applyFont="1" applyFill="1" applyBorder="1" applyAlignment="1">
      <alignment horizontal="left"/>
    </xf>
    <xf numFmtId="38" fontId="18" fillId="0" borderId="3" xfId="0" applyNumberFormat="1" applyFont="1" applyFill="1" applyBorder="1" applyAlignment="1">
      <alignment horizontal="left"/>
    </xf>
    <xf numFmtId="38" fontId="23" fillId="6" borderId="0" xfId="0" applyNumberFormat="1" applyFont="1" applyFill="1" applyBorder="1"/>
    <xf numFmtId="38" fontId="20" fillId="0" borderId="0" xfId="0" applyNumberFormat="1" applyFont="1" applyFill="1" applyBorder="1"/>
    <xf numFmtId="38" fontId="18" fillId="0" borderId="121" xfId="0" applyNumberFormat="1" applyFont="1" applyBorder="1" applyAlignment="1">
      <alignment horizontal="left" vertical="top" wrapText="1"/>
    </xf>
    <xf numFmtId="38" fontId="18" fillId="0" borderId="122" xfId="0" applyNumberFormat="1" applyFont="1" applyBorder="1" applyAlignment="1">
      <alignment vertical="top"/>
    </xf>
    <xf numFmtId="38" fontId="18" fillId="0" borderId="0" xfId="0" applyNumberFormat="1" applyFont="1"/>
    <xf numFmtId="38" fontId="18" fillId="2" borderId="37" xfId="0" applyNumberFormat="1" applyFont="1" applyFill="1" applyBorder="1" applyAlignment="1">
      <alignment horizontal="left" vertical="top" wrapText="1"/>
    </xf>
    <xf numFmtId="38" fontId="18" fillId="0" borderId="38" xfId="0" applyNumberFormat="1" applyFont="1" applyBorder="1" applyAlignment="1">
      <alignment horizontal="left" vertical="top"/>
    </xf>
    <xf numFmtId="38" fontId="18" fillId="0" borderId="37" xfId="0" applyNumberFormat="1" applyFont="1" applyBorder="1" applyAlignment="1">
      <alignment horizontal="left" vertical="top" wrapText="1"/>
    </xf>
    <xf numFmtId="38" fontId="18" fillId="0" borderId="38" xfId="0" applyNumberFormat="1" applyFont="1" applyBorder="1" applyAlignment="1">
      <alignment vertical="top"/>
    </xf>
    <xf numFmtId="38" fontId="18" fillId="2" borderId="79" xfId="0" applyNumberFormat="1" applyFont="1" applyFill="1" applyBorder="1" applyAlignment="1">
      <alignment horizontal="left" vertical="top" wrapText="1"/>
    </xf>
    <xf numFmtId="38" fontId="18" fillId="0" borderId="80" xfId="0" applyNumberFormat="1" applyFont="1" applyBorder="1" applyAlignment="1">
      <alignment vertical="top"/>
    </xf>
    <xf numFmtId="38" fontId="18" fillId="0" borderId="69" xfId="0" applyNumberFormat="1" applyFont="1" applyFill="1" applyBorder="1" applyAlignment="1">
      <alignment horizontal="left" vertical="top" wrapText="1"/>
    </xf>
    <xf numFmtId="38" fontId="18" fillId="0" borderId="121" xfId="0" applyNumberFormat="1" applyFont="1" applyFill="1" applyBorder="1" applyAlignment="1">
      <alignment horizontal="left" vertical="top" wrapText="1"/>
    </xf>
    <xf numFmtId="38" fontId="1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0" fillId="0" borderId="0" xfId="0" applyNumberFormat="1" applyFont="1" applyBorder="1" applyAlignment="1">
      <alignment horizontal="center"/>
    </xf>
    <xf numFmtId="165" fontId="20" fillId="0" borderId="0" xfId="1" applyNumberFormat="1" applyFont="1" applyFill="1" applyBorder="1" applyAlignment="1">
      <alignment horizontal="center"/>
    </xf>
    <xf numFmtId="38" fontId="20" fillId="0" borderId="0" xfId="0" applyNumberFormat="1" applyFont="1"/>
    <xf numFmtId="170" fontId="2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0" fillId="9" borderId="0" xfId="0" applyNumberFormat="1" applyFont="1" applyFill="1"/>
    <xf numFmtId="38" fontId="18" fillId="0" borderId="0" xfId="0" applyNumberFormat="1" applyFont="1" applyFill="1"/>
    <xf numFmtId="38" fontId="20" fillId="0" borderId="0" xfId="0" applyNumberFormat="1" applyFont="1" applyFill="1"/>
    <xf numFmtId="40" fontId="18" fillId="0" borderId="0" xfId="0" applyNumberFormat="1" applyFont="1" applyFill="1"/>
    <xf numFmtId="0" fontId="0" fillId="0" borderId="0" xfId="0" applyFill="1"/>
    <xf numFmtId="38" fontId="20" fillId="0" borderId="0" xfId="0" applyNumberFormat="1" applyFont="1" applyBorder="1"/>
    <xf numFmtId="40" fontId="20" fillId="0" borderId="0" xfId="0" applyNumberFormat="1" applyFont="1" applyFill="1"/>
    <xf numFmtId="40" fontId="20" fillId="0" borderId="0" xfId="0" applyNumberFormat="1" applyFont="1" applyFill="1" applyBorder="1"/>
    <xf numFmtId="38" fontId="18" fillId="0" borderId="0" xfId="0" applyNumberFormat="1" applyFont="1" applyAlignment="1">
      <alignment horizontal="left"/>
    </xf>
    <xf numFmtId="38" fontId="20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38" fontId="20" fillId="0" borderId="0" xfId="0" applyNumberFormat="1" applyFont="1" applyFill="1" applyBorder="1"/>
    <xf numFmtId="38" fontId="23" fillId="0" borderId="0" xfId="0" applyNumberFormat="1" applyFont="1" applyFill="1"/>
    <xf numFmtId="38" fontId="22" fillId="0" borderId="0" xfId="0" applyNumberFormat="1" applyFont="1" applyFill="1"/>
    <xf numFmtId="38" fontId="18" fillId="0" borderId="79" xfId="0" applyNumberFormat="1" applyFont="1" applyFill="1" applyBorder="1" applyAlignment="1">
      <alignment horizontal="left" vertical="top" wrapText="1"/>
    </xf>
    <xf numFmtId="38" fontId="18" fillId="8" borderId="0" xfId="0" applyNumberFormat="1" applyFont="1" applyFill="1"/>
    <xf numFmtId="38" fontId="23" fillId="8" borderId="0" xfId="0" applyNumberFormat="1" applyFont="1" applyFill="1"/>
    <xf numFmtId="38" fontId="20" fillId="8" borderId="0" xfId="0" applyNumberFormat="1" applyFont="1" applyFill="1"/>
    <xf numFmtId="0" fontId="0" fillId="0" borderId="0" xfId="0"/>
    <xf numFmtId="0" fontId="0" fillId="0" borderId="0" xfId="0" applyBorder="1"/>
    <xf numFmtId="169" fontId="26" fillId="10" borderId="0" xfId="2" applyNumberFormat="1" applyFont="1"/>
    <xf numFmtId="0" fontId="28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8" fillId="13" borderId="5" xfId="0" applyFont="1" applyFill="1" applyBorder="1" applyAlignment="1">
      <alignment vertical="center"/>
    </xf>
    <xf numFmtId="0" fontId="29" fillId="7" borderId="4" xfId="0" applyFont="1" applyFill="1" applyBorder="1" applyAlignment="1">
      <alignment horizontal="left" vertical="center" wrapText="1"/>
    </xf>
    <xf numFmtId="0" fontId="29" fillId="7" borderId="2" xfId="0" applyFont="1" applyFill="1" applyBorder="1" applyAlignment="1">
      <alignment horizontal="left" vertical="center" wrapText="1"/>
    </xf>
    <xf numFmtId="0" fontId="25" fillId="14" borderId="0" xfId="0" applyFont="1" applyFill="1"/>
    <xf numFmtId="0" fontId="30" fillId="15" borderId="0" xfId="0" applyFont="1" applyFill="1"/>
    <xf numFmtId="0" fontId="29" fillId="0" borderId="0" xfId="0" applyFont="1"/>
    <xf numFmtId="0" fontId="29" fillId="15" borderId="0" xfId="0" applyFont="1" applyFill="1"/>
    <xf numFmtId="169" fontId="29" fillId="0" borderId="0" xfId="0" applyNumberFormat="1" applyFont="1" applyFill="1" applyBorder="1" applyAlignment="1" applyProtection="1"/>
    <xf numFmtId="0" fontId="29" fillId="0" borderId="0" xfId="0" applyNumberFormat="1" applyFont="1" applyFill="1" applyBorder="1" applyAlignment="1" applyProtection="1"/>
    <xf numFmtId="169" fontId="29" fillId="0" borderId="0" xfId="0" applyNumberFormat="1" applyFont="1"/>
    <xf numFmtId="0" fontId="32" fillId="0" borderId="0" xfId="0" applyFont="1"/>
    <xf numFmtId="169" fontId="26" fillId="15" borderId="0" xfId="2" applyNumberFormat="1" applyFont="1" applyFill="1" applyAlignment="1">
      <alignment vertical="center"/>
    </xf>
    <xf numFmtId="169" fontId="26" fillId="0" borderId="0" xfId="2" applyNumberFormat="1" applyFont="1" applyFill="1" applyAlignment="1">
      <alignment vertical="center"/>
    </xf>
    <xf numFmtId="0" fontId="28" fillId="13" borderId="5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9" fillId="7" borderId="4" xfId="0" quotePrefix="1" applyFont="1" applyFill="1" applyBorder="1" applyAlignment="1">
      <alignment horizontal="center" vertical="center" wrapText="1"/>
    </xf>
    <xf numFmtId="169" fontId="26" fillId="0" borderId="0" xfId="2" applyNumberFormat="1" applyFont="1" applyFill="1" applyBorder="1" applyAlignment="1">
      <alignment vertical="center"/>
    </xf>
    <xf numFmtId="0" fontId="28" fillId="13" borderId="19" xfId="0" applyFont="1" applyFill="1" applyBorder="1" applyAlignment="1">
      <alignment horizontal="center" vertical="center"/>
    </xf>
    <xf numFmtId="9" fontId="25" fillId="14" borderId="0" xfId="0" applyNumberFormat="1" applyFont="1" applyFill="1"/>
    <xf numFmtId="0" fontId="26" fillId="18" borderId="0" xfId="0" applyFont="1" applyFill="1"/>
    <xf numFmtId="0" fontId="26" fillId="15" borderId="0" xfId="0" applyFont="1" applyFill="1"/>
    <xf numFmtId="0" fontId="29" fillId="0" borderId="0" xfId="0" applyFont="1" applyBorder="1"/>
    <xf numFmtId="0" fontId="31" fillId="2" borderId="0" xfId="0" applyFont="1" applyFill="1" applyBorder="1" applyProtection="1">
      <protection locked="0"/>
    </xf>
    <xf numFmtId="0" fontId="36" fillId="2" borderId="0" xfId="0" applyNumberFormat="1" applyFont="1" applyFill="1" applyBorder="1" applyAlignment="1" applyProtection="1">
      <alignment horizontal="left"/>
      <protection locked="0"/>
    </xf>
    <xf numFmtId="0" fontId="29" fillId="0" borderId="0" xfId="0" applyNumberFormat="1" applyFont="1" applyFill="1" applyBorder="1" applyAlignment="1" applyProtection="1">
      <protection locked="0"/>
    </xf>
    <xf numFmtId="0" fontId="29" fillId="2" borderId="0" xfId="0" applyFont="1" applyFill="1" applyBorder="1" applyProtection="1">
      <protection locked="0"/>
    </xf>
    <xf numFmtId="0" fontId="36" fillId="2" borderId="0" xfId="0" applyFont="1" applyFill="1" applyBorder="1" applyAlignment="1" applyProtection="1">
      <alignment horizontal="left"/>
      <protection locked="0"/>
    </xf>
    <xf numFmtId="0" fontId="31" fillId="2" borderId="2" xfId="0" applyFont="1" applyFill="1" applyBorder="1" applyProtection="1">
      <protection locked="0"/>
    </xf>
    <xf numFmtId="0" fontId="36" fillId="2" borderId="2" xfId="0" applyNumberFormat="1" applyFont="1" applyFill="1" applyBorder="1" applyAlignment="1" applyProtection="1">
      <alignment horizontal="left"/>
      <protection locked="0"/>
    </xf>
    <xf numFmtId="0" fontId="36" fillId="0" borderId="0" xfId="0" applyNumberFormat="1" applyFont="1" applyFill="1" applyBorder="1" applyAlignment="1" applyProtection="1">
      <protection locked="0"/>
    </xf>
    <xf numFmtId="167" fontId="29" fillId="0" borderId="0" xfId="0" applyNumberFormat="1" applyFont="1"/>
    <xf numFmtId="2" fontId="29" fillId="0" borderId="0" xfId="0" applyNumberFormat="1" applyFont="1" applyFill="1" applyBorder="1" applyAlignment="1" applyProtection="1">
      <protection locked="0"/>
    </xf>
    <xf numFmtId="0" fontId="29" fillId="0" borderId="0" xfId="0" applyFont="1" applyFill="1"/>
    <xf numFmtId="0" fontId="29" fillId="0" borderId="0" xfId="0" applyNumberFormat="1" applyFont="1" applyFill="1" applyBorder="1" applyAlignment="1" applyProtection="1">
      <alignment horizontal="center" wrapText="1"/>
    </xf>
    <xf numFmtId="0" fontId="29" fillId="0" borderId="0" xfId="0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vertical="center"/>
    </xf>
    <xf numFmtId="0" fontId="29" fillId="0" borderId="0" xfId="0" quotePrefix="1" applyFont="1" applyBorder="1"/>
    <xf numFmtId="169" fontId="26" fillId="10" borderId="0" xfId="2" applyNumberFormat="1"/>
    <xf numFmtId="0" fontId="37" fillId="3" borderId="0" xfId="0" applyNumberFormat="1" applyFont="1" applyFill="1" applyBorder="1" applyAlignment="1" applyProtection="1">
      <alignment vertical="center"/>
    </xf>
    <xf numFmtId="0" fontId="31" fillId="0" borderId="0" xfId="0" applyNumberFormat="1" applyFont="1" applyFill="1" applyBorder="1" applyAlignment="1" applyProtection="1">
      <alignment horizontal="left" vertical="center"/>
    </xf>
    <xf numFmtId="0" fontId="31" fillId="0" borderId="0" xfId="0" applyNumberFormat="1" applyFont="1" applyFill="1" applyBorder="1" applyAlignment="1" applyProtection="1">
      <alignment vertical="center"/>
    </xf>
    <xf numFmtId="0" fontId="29" fillId="0" borderId="0" xfId="0" applyNumberFormat="1" applyFont="1" applyFill="1" applyBorder="1" applyAlignment="1" applyProtection="1">
      <alignment vertical="center"/>
    </xf>
    <xf numFmtId="169" fontId="26" fillId="10" borderId="0" xfId="2" applyNumberFormat="1" applyFont="1" applyAlignment="1">
      <alignment vertical="center"/>
    </xf>
    <xf numFmtId="169" fontId="29" fillId="0" borderId="0" xfId="0" applyNumberFormat="1" applyFont="1" applyAlignment="1">
      <alignment vertical="center"/>
    </xf>
    <xf numFmtId="0" fontId="36" fillId="0" borderId="0" xfId="0" applyFont="1"/>
    <xf numFmtId="0" fontId="10" fillId="0" borderId="0" xfId="0" applyFont="1"/>
    <xf numFmtId="0" fontId="43" fillId="15" borderId="0" xfId="0" applyFont="1" applyFill="1" applyAlignment="1">
      <alignment vertical="center"/>
    </xf>
    <xf numFmtId="0" fontId="43" fillId="18" borderId="0" xfId="0" applyFont="1" applyFill="1" applyAlignment="1">
      <alignment vertical="center"/>
    </xf>
    <xf numFmtId="0" fontId="36" fillId="14" borderId="0" xfId="0" applyFont="1" applyFill="1"/>
    <xf numFmtId="0" fontId="29" fillId="14" borderId="0" xfId="0" applyFont="1" applyFill="1"/>
    <xf numFmtId="169" fontId="26" fillId="15" borderId="0" xfId="2" applyNumberFormat="1" applyFont="1" applyFill="1" applyAlignment="1"/>
    <xf numFmtId="0" fontId="29" fillId="0" borderId="0" xfId="0" applyFont="1" applyFill="1" applyBorder="1"/>
    <xf numFmtId="2" fontId="29" fillId="0" borderId="0" xfId="0" applyNumberFormat="1" applyFont="1" applyFill="1" applyBorder="1" applyAlignment="1" applyProtection="1">
      <alignment horizontal="right"/>
    </xf>
    <xf numFmtId="0" fontId="45" fillId="0" borderId="0" xfId="0" applyFont="1"/>
    <xf numFmtId="0" fontId="44" fillId="0" borderId="0" xfId="0" applyFont="1" applyFill="1" applyAlignment="1">
      <alignment horizontal="left"/>
    </xf>
    <xf numFmtId="0" fontId="38" fillId="0" borderId="0" xfId="0" applyFont="1" applyFill="1"/>
    <xf numFmtId="0" fontId="29" fillId="0" borderId="0" xfId="0" applyFont="1"/>
    <xf numFmtId="0" fontId="29" fillId="0" borderId="0" xfId="0" applyFont="1"/>
    <xf numFmtId="0" fontId="29" fillId="0" borderId="0" xfId="0" quotePrefix="1" applyFont="1"/>
    <xf numFmtId="0" fontId="9" fillId="20" borderId="0" xfId="0" applyFont="1" applyFill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1" fillId="20" borderId="0" xfId="0" applyFont="1" applyFill="1" applyBorder="1" applyAlignment="1">
      <alignment vertical="center"/>
    </xf>
    <xf numFmtId="0" fontId="28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2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9" fillId="6" borderId="0" xfId="0" applyFont="1" applyFill="1" applyAlignment="1">
      <alignment vertical="center"/>
    </xf>
    <xf numFmtId="0" fontId="49" fillId="20" borderId="0" xfId="0" applyFont="1" applyFill="1" applyAlignment="1">
      <alignment vertical="center"/>
    </xf>
    <xf numFmtId="0" fontId="9" fillId="0" borderId="0" xfId="0" applyFont="1"/>
    <xf numFmtId="0" fontId="25" fillId="0" borderId="14" xfId="0" applyFont="1" applyBorder="1"/>
    <xf numFmtId="0" fontId="25" fillId="0" borderId="13" xfId="0" applyFont="1" applyBorder="1"/>
    <xf numFmtId="0" fontId="25" fillId="0" borderId="148" xfId="0" applyFont="1" applyBorder="1"/>
    <xf numFmtId="164" fontId="32" fillId="0" borderId="0" xfId="0" applyNumberFormat="1" applyFont="1" applyFill="1" applyAlignment="1">
      <alignment horizontal="center" vertical="center"/>
    </xf>
    <xf numFmtId="0" fontId="32" fillId="0" borderId="0" xfId="0" applyFont="1" applyFill="1" applyAlignment="1">
      <alignment vertical="center"/>
    </xf>
    <xf numFmtId="0" fontId="11" fillId="0" borderId="0" xfId="0" applyFont="1"/>
    <xf numFmtId="169" fontId="50" fillId="10" borderId="0" xfId="2" applyNumberFormat="1" applyFont="1"/>
    <xf numFmtId="0" fontId="36" fillId="2" borderId="4" xfId="0" applyFont="1" applyFill="1" applyBorder="1" applyAlignment="1">
      <alignment vertical="center"/>
    </xf>
    <xf numFmtId="0" fontId="36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1" fillId="0" borderId="16" xfId="0" applyFont="1" applyBorder="1" applyAlignment="1">
      <alignment vertical="center"/>
    </xf>
    <xf numFmtId="38" fontId="20" fillId="21" borderId="109" xfId="0" applyNumberFormat="1" applyFont="1" applyFill="1" applyBorder="1" applyAlignment="1">
      <alignment horizontal="center" textRotation="90" wrapText="1"/>
    </xf>
    <xf numFmtId="38" fontId="20" fillId="21" borderId="110" xfId="0" applyNumberFormat="1" applyFont="1" applyFill="1" applyBorder="1" applyAlignment="1">
      <alignment horizontal="center" textRotation="90" wrapText="1"/>
    </xf>
    <xf numFmtId="38" fontId="20" fillId="21" borderId="112" xfId="0" applyNumberFormat="1" applyFont="1" applyFill="1" applyBorder="1" applyAlignment="1">
      <alignment horizontal="center" textRotation="90" wrapText="1"/>
    </xf>
    <xf numFmtId="38" fontId="20" fillId="21" borderId="152" xfId="0" applyNumberFormat="1" applyFont="1" applyFill="1" applyBorder="1" applyAlignment="1">
      <alignment horizontal="center" textRotation="90" wrapText="1"/>
    </xf>
    <xf numFmtId="38" fontId="18" fillId="21" borderId="0" xfId="0" applyNumberFormat="1" applyFont="1" applyFill="1" applyAlignment="1">
      <alignment horizontal="left"/>
    </xf>
    <xf numFmtId="38" fontId="20" fillId="21" borderId="21" xfId="0" applyNumberFormat="1" applyFont="1" applyFill="1" applyBorder="1" applyAlignment="1">
      <alignment horizontal="center" textRotation="90" wrapText="1"/>
    </xf>
    <xf numFmtId="38" fontId="20" fillId="21" borderId="22" xfId="0" applyNumberFormat="1" applyFont="1" applyFill="1" applyBorder="1" applyAlignment="1">
      <alignment horizontal="center" textRotation="90" wrapText="1"/>
    </xf>
    <xf numFmtId="38" fontId="20" fillId="21" borderId="23" xfId="0" applyNumberFormat="1" applyFont="1" applyFill="1" applyBorder="1" applyAlignment="1">
      <alignment horizontal="center" textRotation="90" wrapText="1"/>
    </xf>
    <xf numFmtId="38" fontId="20" fillId="21" borderId="25" xfId="0" applyNumberFormat="1" applyFont="1" applyFill="1" applyBorder="1" applyAlignment="1">
      <alignment horizontal="center" textRotation="90" wrapText="1"/>
    </xf>
    <xf numFmtId="38" fontId="20" fillId="0" borderId="28" xfId="0" applyNumberFormat="1" applyFont="1" applyBorder="1" applyAlignment="1">
      <alignment horizontal="center"/>
    </xf>
    <xf numFmtId="38" fontId="20" fillId="0" borderId="29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18" fillId="0" borderId="32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22" borderId="31" xfId="0" applyNumberFormat="1" applyFont="1" applyFill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20" fillId="0" borderId="27" xfId="0" applyNumberFormat="1" applyFont="1" applyBorder="1" applyAlignment="1">
      <alignment horizontal="center"/>
    </xf>
    <xf numFmtId="38" fontId="18" fillId="0" borderId="35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8" fillId="0" borderId="3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horizontal="center"/>
    </xf>
    <xf numFmtId="38" fontId="20" fillId="0" borderId="39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22" borderId="43" xfId="0" applyNumberFormat="1" applyFont="1" applyFill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center"/>
    </xf>
    <xf numFmtId="38" fontId="18" fillId="0" borderId="44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8" fillId="0" borderId="45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0" fillId="0" borderId="47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18" fillId="0" borderId="49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8" fillId="22" borderId="48" xfId="0" applyNumberFormat="1" applyFont="1" applyFill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18" fillId="0" borderId="51" xfId="0" applyNumberFormat="1" applyFont="1" applyBorder="1" applyAlignment="1">
      <alignment horizontal="center"/>
    </xf>
    <xf numFmtId="38" fontId="18" fillId="0" borderId="52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8" fillId="0" borderId="53" xfId="0" applyNumberFormat="1" applyFont="1" applyBorder="1" applyAlignment="1">
      <alignment horizontal="center"/>
    </xf>
    <xf numFmtId="38" fontId="20" fillId="0" borderId="54" xfId="0" applyNumberFormat="1" applyFont="1" applyBorder="1" applyAlignment="1">
      <alignment horizontal="center"/>
    </xf>
    <xf numFmtId="38" fontId="20" fillId="0" borderId="55" xfId="0" applyNumberFormat="1" applyFont="1" applyBorder="1" applyAlignment="1">
      <alignment horizontal="center"/>
    </xf>
    <xf numFmtId="38" fontId="20" fillId="0" borderId="18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0" fillId="0" borderId="56" xfId="0" applyNumberFormat="1" applyFont="1" applyBorder="1" applyAlignment="1">
      <alignment horizontal="center"/>
    </xf>
    <xf numFmtId="38" fontId="20" fillId="22" borderId="34" xfId="0" applyNumberFormat="1" applyFont="1" applyFill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58" xfId="0" applyNumberFormat="1" applyFont="1" applyBorder="1" applyAlignment="1">
      <alignment horizontal="center"/>
    </xf>
    <xf numFmtId="38" fontId="20" fillId="0" borderId="59" xfId="0" applyNumberFormat="1" applyFont="1" applyBorder="1" applyAlignment="1">
      <alignment horizontal="center"/>
    </xf>
    <xf numFmtId="38" fontId="20" fillId="0" borderId="60" xfId="0" applyNumberFormat="1" applyFont="1" applyBorder="1" applyAlignment="1">
      <alignment horizontal="center"/>
    </xf>
    <xf numFmtId="38" fontId="20" fillId="0" borderId="61" xfId="0" applyNumberFormat="1" applyFont="1" applyBorder="1" applyAlignment="1">
      <alignment horizontal="center"/>
    </xf>
    <xf numFmtId="38" fontId="20" fillId="0" borderId="4" xfId="0" applyNumberFormat="1" applyFont="1" applyBorder="1" applyAlignment="1">
      <alignment horizontal="center"/>
    </xf>
    <xf numFmtId="38" fontId="20" fillId="0" borderId="62" xfId="0" applyNumberFormat="1" applyFont="1" applyBorder="1" applyAlignment="1">
      <alignment horizontal="center"/>
    </xf>
    <xf numFmtId="38" fontId="20" fillId="0" borderId="63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0" fillId="22" borderId="62" xfId="0" applyNumberFormat="1" applyFont="1" applyFill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20" fillId="0" borderId="64" xfId="0" applyNumberFormat="1" applyFont="1" applyBorder="1" applyAlignment="1">
      <alignment horizontal="center"/>
    </xf>
    <xf numFmtId="38" fontId="20" fillId="0" borderId="65" xfId="0" applyNumberFormat="1" applyFont="1" applyBorder="1" applyAlignment="1">
      <alignment horizontal="center"/>
    </xf>
    <xf numFmtId="38" fontId="20" fillId="0" borderId="66" xfId="0" applyNumberFormat="1" applyFont="1" applyBorder="1" applyAlignment="1">
      <alignment horizontal="center"/>
    </xf>
    <xf numFmtId="38" fontId="20" fillId="0" borderId="67" xfId="0" applyNumberFormat="1" applyFont="1" applyBorder="1" applyAlignment="1">
      <alignment horizontal="center"/>
    </xf>
    <xf numFmtId="38" fontId="20" fillId="0" borderId="68" xfId="0" applyNumberFormat="1" applyFont="1" applyBorder="1" applyAlignment="1">
      <alignment horizontal="center"/>
    </xf>
    <xf numFmtId="38" fontId="20" fillId="0" borderId="70" xfId="0" applyNumberFormat="1" applyFont="1" applyBorder="1" applyAlignment="1">
      <alignment horizontal="center"/>
    </xf>
    <xf numFmtId="38" fontId="20" fillId="0" borderId="71" xfId="0" applyNumberFormat="1" applyFont="1" applyBorder="1" applyAlignment="1">
      <alignment horizontal="center"/>
    </xf>
    <xf numFmtId="38" fontId="18" fillId="0" borderId="7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8" fillId="0" borderId="74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18" fillId="22" borderId="73" xfId="0" applyNumberFormat="1" applyFont="1" applyFill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18" fillId="0" borderId="76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8" fillId="0" borderId="77" xfId="0" applyNumberFormat="1" applyFont="1" applyBorder="1" applyAlignment="1">
      <alignment horizontal="center"/>
    </xf>
    <xf numFmtId="38" fontId="18" fillId="0" borderId="78" xfId="0" applyNumberFormat="1" applyFont="1" applyBorder="1" applyAlignment="1">
      <alignment horizontal="center"/>
    </xf>
    <xf numFmtId="38" fontId="20" fillId="0" borderId="80" xfId="0" applyNumberFormat="1" applyFont="1" applyBorder="1" applyAlignment="1">
      <alignment horizontal="center"/>
    </xf>
    <xf numFmtId="38" fontId="20" fillId="0" borderId="81" xfId="0" applyNumberFormat="1" applyFont="1" applyBorder="1" applyAlignment="1">
      <alignment horizontal="center"/>
    </xf>
    <xf numFmtId="38" fontId="18" fillId="0" borderId="82" xfId="0" applyNumberFormat="1" applyFont="1" applyBorder="1" applyAlignment="1">
      <alignment horizontal="center"/>
    </xf>
    <xf numFmtId="38" fontId="18" fillId="0" borderId="83" xfId="0" applyNumberFormat="1" applyFont="1" applyBorder="1" applyAlignment="1">
      <alignment horizontal="center"/>
    </xf>
    <xf numFmtId="38" fontId="18" fillId="0" borderId="84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18" fillId="22" borderId="83" xfId="0" applyNumberFormat="1" applyFont="1" applyFill="1" applyBorder="1" applyAlignment="1">
      <alignment horizontal="center"/>
    </xf>
    <xf numFmtId="38" fontId="20" fillId="0" borderId="79" xfId="0" applyNumberFormat="1" applyFont="1" applyBorder="1" applyAlignment="1">
      <alignment horizontal="center"/>
    </xf>
    <xf numFmtId="38" fontId="18" fillId="0" borderId="86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8" fillId="0" borderId="87" xfId="0" applyNumberFormat="1" applyFont="1" applyBorder="1" applyAlignment="1">
      <alignment horizontal="center"/>
    </xf>
    <xf numFmtId="38" fontId="20" fillId="0" borderId="20" xfId="0" applyNumberFormat="1" applyFont="1" applyBorder="1" applyAlignment="1">
      <alignment horizontal="center"/>
    </xf>
    <xf numFmtId="38" fontId="20" fillId="0" borderId="88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22" borderId="90" xfId="0" applyNumberFormat="1" applyFont="1" applyFill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18" fillId="0" borderId="94" xfId="0" applyNumberFormat="1" applyFont="1" applyBorder="1" applyAlignment="1">
      <alignment horizontal="center"/>
    </xf>
    <xf numFmtId="1" fontId="18" fillId="0" borderId="42" xfId="0" applyNumberFormat="1" applyFont="1" applyBorder="1" applyAlignment="1">
      <alignment horizontal="center"/>
    </xf>
    <xf numFmtId="38" fontId="18" fillId="0" borderId="0" xfId="0" applyNumberFormat="1" applyFont="1"/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18" fillId="0" borderId="97" xfId="0" applyNumberFormat="1" applyFont="1" applyBorder="1" applyAlignment="1">
      <alignment horizontal="center"/>
    </xf>
    <xf numFmtId="38" fontId="18" fillId="0" borderId="98" xfId="0" applyNumberFormat="1" applyFont="1" applyBorder="1" applyAlignment="1">
      <alignment horizontal="center"/>
    </xf>
    <xf numFmtId="38" fontId="18" fillId="0" borderId="99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18" fillId="22" borderId="98" xfId="0" applyNumberFormat="1" applyFont="1" applyFill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18" fillId="0" borderId="16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8" fillId="0" borderId="100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20" fillId="0" borderId="17" xfId="0" applyNumberFormat="1" applyFont="1" applyBorder="1" applyAlignment="1">
      <alignment horizontal="center"/>
    </xf>
    <xf numFmtId="38" fontId="20" fillId="0" borderId="103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20" fillId="0" borderId="104" xfId="0" applyNumberFormat="1" applyFont="1" applyBorder="1" applyAlignment="1">
      <alignment horizontal="center"/>
    </xf>
    <xf numFmtId="38" fontId="18" fillId="0" borderId="105" xfId="0" applyNumberFormat="1" applyFont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8" fillId="22" borderId="52" xfId="0" applyNumberFormat="1" applyFont="1" applyFill="1" applyBorder="1" applyAlignment="1">
      <alignment horizontal="center"/>
    </xf>
    <xf numFmtId="38" fontId="20" fillId="0" borderId="107" xfId="0" applyNumberFormat="1" applyFont="1" applyBorder="1" applyAlignment="1">
      <alignment horizontal="center"/>
    </xf>
    <xf numFmtId="38" fontId="20" fillId="0" borderId="108" xfId="0" applyNumberFormat="1" applyFont="1" applyBorder="1" applyAlignment="1">
      <alignment horizontal="center"/>
    </xf>
    <xf numFmtId="38" fontId="20" fillId="0" borderId="109" xfId="0" applyNumberFormat="1" applyFont="1" applyBorder="1" applyAlignment="1">
      <alignment horizontal="center"/>
    </xf>
    <xf numFmtId="38" fontId="20" fillId="0" borderId="110" xfId="0" applyNumberFormat="1" applyFont="1" applyBorder="1" applyAlignment="1">
      <alignment horizontal="center"/>
    </xf>
    <xf numFmtId="38" fontId="20" fillId="0" borderId="111" xfId="0" applyNumberFormat="1" applyFont="1" applyBorder="1" applyAlignment="1">
      <alignment horizontal="center"/>
    </xf>
    <xf numFmtId="38" fontId="20" fillId="22" borderId="110" xfId="0" applyNumberFormat="1" applyFont="1" applyFill="1" applyBorder="1" applyAlignment="1">
      <alignment horizontal="center"/>
    </xf>
    <xf numFmtId="38" fontId="20" fillId="0" borderId="106" xfId="0" applyNumberFormat="1" applyFont="1" applyBorder="1" applyAlignment="1">
      <alignment horizontal="center"/>
    </xf>
    <xf numFmtId="38" fontId="20" fillId="0" borderId="112" xfId="0" applyNumberFormat="1" applyFont="1" applyBorder="1" applyAlignment="1">
      <alignment horizontal="center"/>
    </xf>
    <xf numFmtId="38" fontId="20" fillId="0" borderId="113" xfId="0" applyNumberFormat="1" applyFont="1" applyBorder="1" applyAlignment="1">
      <alignment horizontal="center"/>
    </xf>
    <xf numFmtId="38" fontId="18" fillId="0" borderId="95" xfId="0" applyNumberFormat="1" applyFont="1" applyBorder="1" applyAlignment="1">
      <alignment horizontal="center"/>
    </xf>
    <xf numFmtId="38" fontId="20" fillId="0" borderId="114" xfId="0" applyNumberFormat="1" applyFont="1" applyBorder="1" applyAlignment="1">
      <alignment horizontal="center"/>
    </xf>
    <xf numFmtId="38" fontId="20" fillId="0" borderId="122" xfId="0" applyNumberFormat="1" applyFont="1" applyBorder="1" applyAlignment="1">
      <alignment horizontal="center"/>
    </xf>
    <xf numFmtId="38" fontId="20" fillId="0" borderId="140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left"/>
    </xf>
    <xf numFmtId="170" fontId="20" fillId="0" borderId="0" xfId="0" applyNumberFormat="1" applyFont="1" applyAlignment="1">
      <alignment horizontal="left"/>
    </xf>
    <xf numFmtId="170" fontId="18" fillId="23" borderId="0" xfId="0" applyNumberFormat="1" applyFont="1" applyFill="1" applyAlignment="1">
      <alignment horizontal="left"/>
    </xf>
    <xf numFmtId="170" fontId="18" fillId="7" borderId="0" xfId="0" applyNumberFormat="1" applyFont="1" applyFill="1" applyAlignment="1">
      <alignment horizontal="left"/>
    </xf>
    <xf numFmtId="38" fontId="18" fillId="22" borderId="0" xfId="0" applyNumberFormat="1" applyFont="1" applyFill="1" applyAlignment="1">
      <alignment horizontal="left"/>
    </xf>
    <xf numFmtId="170" fontId="18" fillId="9" borderId="0" xfId="0" applyNumberFormat="1" applyFont="1" applyFill="1" applyAlignment="1">
      <alignment horizontal="left"/>
    </xf>
    <xf numFmtId="0" fontId="52" fillId="0" borderId="147" xfId="3" applyBorder="1" applyAlignment="1">
      <alignment horizontal="left"/>
    </xf>
    <xf numFmtId="38" fontId="20" fillId="24" borderId="140" xfId="0" applyNumberFormat="1" applyFont="1" applyFill="1" applyBorder="1" applyAlignment="1">
      <alignment horizontal="center"/>
    </xf>
    <xf numFmtId="38" fontId="20" fillId="25" borderId="111" xfId="0" applyNumberFormat="1" applyFont="1" applyFill="1" applyBorder="1" applyAlignment="1">
      <alignment horizontal="center" textRotation="90" wrapText="1"/>
    </xf>
    <xf numFmtId="38" fontId="20" fillId="25" borderId="151" xfId="0" applyNumberFormat="1" applyFont="1" applyFill="1" applyBorder="1" applyAlignment="1">
      <alignment horizontal="center" textRotation="90" wrapText="1"/>
    </xf>
    <xf numFmtId="38" fontId="20" fillId="25" borderId="24" xfId="0" applyNumberFormat="1" applyFont="1" applyFill="1" applyBorder="1" applyAlignment="1">
      <alignment horizontal="center" textRotation="90" wrapText="1"/>
    </xf>
    <xf numFmtId="38" fontId="20" fillId="25" borderId="2" xfId="0" applyNumberFormat="1" applyFont="1" applyFill="1" applyBorder="1" applyAlignment="1">
      <alignment horizontal="center" textRotation="90" wrapText="1"/>
    </xf>
    <xf numFmtId="38" fontId="20" fillId="25" borderId="0" xfId="0" applyNumberFormat="1" applyFont="1" applyFill="1"/>
    <xf numFmtId="38" fontId="20" fillId="25" borderId="108" xfId="0" applyNumberFormat="1" applyFont="1" applyFill="1" applyBorder="1" applyAlignment="1">
      <alignment horizontal="center" textRotation="90" wrapText="1"/>
    </xf>
    <xf numFmtId="38" fontId="20" fillId="25" borderId="5" xfId="0" applyNumberFormat="1" applyFont="1" applyFill="1" applyBorder="1" applyAlignment="1">
      <alignment horizontal="left"/>
    </xf>
    <xf numFmtId="38" fontId="20" fillId="25" borderId="0" xfId="0" applyNumberFormat="1" applyFont="1" applyFill="1" applyBorder="1" applyAlignment="1">
      <alignment horizontal="left"/>
    </xf>
    <xf numFmtId="38" fontId="20" fillId="25" borderId="10" xfId="0" applyNumberFormat="1" applyFont="1" applyFill="1" applyBorder="1" applyAlignment="1">
      <alignment horizontal="left"/>
    </xf>
    <xf numFmtId="38" fontId="20" fillId="25" borderId="3" xfId="0" applyNumberFormat="1" applyFont="1" applyFill="1" applyBorder="1" applyAlignment="1">
      <alignment horizontal="left"/>
    </xf>
    <xf numFmtId="38" fontId="20" fillId="25" borderId="79" xfId="0" applyNumberFormat="1" applyFont="1" applyFill="1" applyBorder="1" applyAlignment="1">
      <alignment horizontal="left" vertical="top" wrapText="1"/>
    </xf>
    <xf numFmtId="0" fontId="52" fillId="0" borderId="0" xfId="3"/>
    <xf numFmtId="0" fontId="24" fillId="28" borderId="1" xfId="0" applyFont="1" applyFill="1" applyBorder="1" applyAlignment="1">
      <alignment horizontal="center"/>
    </xf>
    <xf numFmtId="0" fontId="54" fillId="26" borderId="1" xfId="0" applyFont="1" applyFill="1" applyBorder="1" applyAlignment="1">
      <alignment horizontal="center"/>
    </xf>
    <xf numFmtId="0" fontId="12" fillId="0" borderId="11" xfId="0" applyFont="1" applyBorder="1"/>
    <xf numFmtId="0" fontId="12" fillId="0" borderId="61" xfId="0" applyFont="1" applyBorder="1"/>
    <xf numFmtId="0" fontId="12" fillId="0" borderId="0" xfId="0" applyFont="1"/>
    <xf numFmtId="0" fontId="54" fillId="26" borderId="19" xfId="0" applyFont="1" applyFill="1" applyBorder="1"/>
    <xf numFmtId="0" fontId="12" fillId="25" borderId="142" xfId="0" applyFont="1" applyFill="1" applyBorder="1"/>
    <xf numFmtId="0" fontId="12" fillId="0" borderId="159" xfId="0" applyFont="1" applyBorder="1"/>
    <xf numFmtId="0" fontId="12" fillId="0" borderId="153" xfId="0" applyFont="1" applyBorder="1" applyAlignment="1">
      <alignment horizontal="right"/>
    </xf>
    <xf numFmtId="0" fontId="12" fillId="0" borderId="160" xfId="0" applyFont="1" applyBorder="1" applyAlignment="1">
      <alignment horizontal="right"/>
    </xf>
    <xf numFmtId="0" fontId="12" fillId="0" borderId="157" xfId="0" applyFont="1" applyBorder="1" applyAlignment="1">
      <alignment horizontal="right" vertical="top"/>
    </xf>
    <xf numFmtId="0" fontId="12" fillId="0" borderId="25" xfId="0" applyFont="1" applyBorder="1"/>
    <xf numFmtId="0" fontId="12" fillId="0" borderId="155" xfId="0" applyFont="1" applyBorder="1"/>
    <xf numFmtId="0" fontId="24" fillId="25" borderId="142" xfId="0" applyFont="1" applyFill="1" applyBorder="1"/>
    <xf numFmtId="0" fontId="55" fillId="27" borderId="154" xfId="0" applyFont="1" applyFill="1" applyBorder="1" applyAlignment="1">
      <alignment horizontal="right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4" fillId="25" borderId="156" xfId="0" applyFont="1" applyFill="1" applyBorder="1" applyAlignment="1">
      <alignment horizontal="center"/>
    </xf>
    <xf numFmtId="0" fontId="24" fillId="25" borderId="157" xfId="0" applyFont="1" applyFill="1" applyBorder="1" applyAlignment="1">
      <alignment horizontal="center"/>
    </xf>
    <xf numFmtId="0" fontId="24" fillId="25" borderId="156" xfId="0" applyFont="1" applyFill="1" applyBorder="1" applyAlignment="1"/>
    <xf numFmtId="0" fontId="24" fillId="28" borderId="113" xfId="0" applyFont="1" applyFill="1" applyBorder="1" applyAlignment="1">
      <alignment horizontal="center" wrapText="1"/>
    </xf>
    <xf numFmtId="0" fontId="24" fillId="28" borderId="146" xfId="0" applyFont="1" applyFill="1" applyBorder="1" applyAlignment="1">
      <alignment horizontal="center" wrapText="1"/>
    </xf>
    <xf numFmtId="0" fontId="5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2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2" fillId="0" borderId="153" xfId="0" applyFont="1" applyBorder="1" applyAlignment="1">
      <alignment horizontal="right" vertical="top"/>
    </xf>
    <xf numFmtId="3" fontId="12" fillId="25" borderId="162" xfId="0" applyNumberFormat="1" applyFont="1" applyFill="1" applyBorder="1"/>
    <xf numFmtId="3" fontId="12" fillId="25" borderId="111" xfId="0" applyNumberFormat="1" applyFont="1" applyFill="1" applyBorder="1"/>
    <xf numFmtId="3" fontId="12" fillId="25" borderId="141" xfId="0" applyNumberFormat="1" applyFont="1" applyFill="1" applyBorder="1"/>
    <xf numFmtId="3" fontId="12" fillId="25" borderId="153" xfId="0" applyNumberFormat="1" applyFont="1" applyFill="1" applyBorder="1"/>
    <xf numFmtId="3" fontId="12" fillId="25" borderId="108" xfId="0" applyNumberFormat="1" applyFont="1" applyFill="1" applyBorder="1"/>
    <xf numFmtId="3" fontId="25" fillId="25" borderId="153" xfId="0" applyNumberFormat="1" applyFont="1" applyFill="1" applyBorder="1"/>
    <xf numFmtId="171" fontId="25" fillId="25" borderId="153" xfId="0" applyNumberFormat="1" applyFont="1" applyFill="1" applyBorder="1"/>
    <xf numFmtId="3" fontId="11" fillId="0" borderId="15" xfId="0" applyNumberFormat="1" applyFont="1" applyBorder="1"/>
    <xf numFmtId="3" fontId="11" fillId="0" borderId="1" xfId="0" applyNumberFormat="1" applyFont="1" applyBorder="1"/>
    <xf numFmtId="3" fontId="11" fillId="0" borderId="19" xfId="0" applyNumberFormat="1" applyFont="1" applyBorder="1"/>
    <xf numFmtId="171" fontId="11" fillId="0" borderId="93" xfId="0" applyNumberFormat="1" applyFont="1" applyBorder="1"/>
    <xf numFmtId="3" fontId="11" fillId="0" borderId="157" xfId="0" applyNumberFormat="1" applyFont="1" applyBorder="1"/>
    <xf numFmtId="3" fontId="11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0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8" borderId="67" xfId="3" applyFont="1" applyFill="1" applyBorder="1" applyAlignment="1">
      <alignment horizontal="center"/>
    </xf>
    <xf numFmtId="0" fontId="54" fillId="28" borderId="18" xfId="3" applyFont="1" applyFill="1" applyBorder="1" applyAlignment="1">
      <alignment horizontal="center"/>
    </xf>
    <xf numFmtId="0" fontId="54" fillId="28" borderId="143" xfId="3" applyFont="1" applyFill="1" applyBorder="1" applyAlignment="1">
      <alignment horizontal="center"/>
    </xf>
    <xf numFmtId="0" fontId="24" fillId="28" borderId="59" xfId="0" applyFont="1" applyFill="1" applyBorder="1" applyAlignment="1">
      <alignment horizontal="center"/>
    </xf>
    <xf numFmtId="0" fontId="24" fillId="28" borderId="18" xfId="0" applyFont="1" applyFill="1" applyBorder="1" applyAlignment="1">
      <alignment horizontal="center"/>
    </xf>
    <xf numFmtId="0" fontId="24" fillId="28" borderId="143" xfId="0" applyFont="1" applyFill="1" applyBorder="1" applyAlignment="1">
      <alignment horizontal="center"/>
    </xf>
    <xf numFmtId="0" fontId="24" fillId="28" borderId="136" xfId="0" applyFont="1" applyFill="1" applyBorder="1" applyAlignment="1">
      <alignment horizontal="center"/>
    </xf>
    <xf numFmtId="0" fontId="24" fillId="28" borderId="19" xfId="0" applyFont="1" applyFill="1" applyBorder="1" applyAlignment="1">
      <alignment horizontal="center"/>
    </xf>
    <xf numFmtId="0" fontId="54" fillId="28" borderId="113" xfId="0" applyNumberFormat="1" applyFont="1" applyFill="1" applyBorder="1" applyAlignment="1">
      <alignment horizontal="center"/>
    </xf>
    <xf numFmtId="0" fontId="54" fillId="28" borderId="146" xfId="0" applyNumberFormat="1" applyFont="1" applyFill="1" applyBorder="1" applyAlignment="1">
      <alignment horizontal="center"/>
    </xf>
    <xf numFmtId="0" fontId="26" fillId="28" borderId="0" xfId="0" applyFont="1" applyFill="1"/>
    <xf numFmtId="0" fontId="5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5" fillId="0" borderId="95" xfId="0" applyFont="1" applyBorder="1" applyAlignment="1">
      <alignment horizontal="right" vertical="top"/>
    </xf>
    <xf numFmtId="0" fontId="0" fillId="8" borderId="0" xfId="0" applyFill="1"/>
    <xf numFmtId="0" fontId="54" fillId="28" borderId="55" xfId="0" applyFont="1" applyFill="1" applyBorder="1"/>
    <xf numFmtId="0" fontId="54" fillId="28" borderId="56" xfId="0" applyFont="1" applyFill="1" applyBorder="1"/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12" fillId="25" borderId="61" xfId="0" applyFont="1" applyFill="1" applyBorder="1"/>
    <xf numFmtId="0" fontId="12" fillId="25" borderId="11" xfId="0" applyFont="1" applyFill="1" applyBorder="1"/>
    <xf numFmtId="0" fontId="12" fillId="25" borderId="60" xfId="0" applyFont="1" applyFill="1" applyBorder="1"/>
    <xf numFmtId="0" fontId="54" fillId="28" borderId="12" xfId="0" applyFont="1" applyFill="1" applyBorder="1" applyAlignment="1"/>
    <xf numFmtId="0" fontId="54" fillId="28" borderId="17" xfId="0" applyFont="1" applyFill="1" applyBorder="1" applyAlignment="1"/>
    <xf numFmtId="0" fontId="54" fillId="28" borderId="0" xfId="0" applyFont="1" applyFill="1" applyBorder="1" applyAlignment="1"/>
    <xf numFmtId="0" fontId="54" fillId="28" borderId="88" xfId="0" applyFont="1" applyFill="1" applyBorder="1" applyAlignment="1">
      <alignment horizontal="center"/>
    </xf>
    <xf numFmtId="0" fontId="54" fillId="26" borderId="20" xfId="0" applyFont="1" applyFill="1" applyBorder="1"/>
    <xf numFmtId="0" fontId="53" fillId="27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7" borderId="1" xfId="0" applyFont="1" applyFill="1" applyBorder="1" applyAlignment="1">
      <alignment horizontal="right" vertical="top"/>
    </xf>
    <xf numFmtId="0" fontId="54" fillId="26" borderId="7" xfId="0" applyFont="1" applyFill="1" applyBorder="1" applyAlignment="1">
      <alignment horizontal="right"/>
    </xf>
    <xf numFmtId="0" fontId="55" fillId="27" borderId="157" xfId="0" applyFont="1" applyFill="1" applyBorder="1" applyAlignment="1">
      <alignment horizontal="right"/>
    </xf>
    <xf numFmtId="0" fontId="55" fillId="0" borderId="157" xfId="0" applyFont="1" applyBorder="1" applyAlignment="1">
      <alignment horizontal="right" vertical="top"/>
    </xf>
    <xf numFmtId="0" fontId="55" fillId="27" borderId="157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8" borderId="7" xfId="0" applyFont="1" applyFill="1" applyBorder="1"/>
    <xf numFmtId="0" fontId="53" fillId="27" borderId="157" xfId="0" applyFont="1" applyFill="1" applyBorder="1" applyAlignment="1">
      <alignment horizontal="right"/>
    </xf>
    <xf numFmtId="0" fontId="54" fillId="28" borderId="54" xfId="0" applyFont="1" applyFill="1" applyBorder="1"/>
    <xf numFmtId="0" fontId="53" fillId="27" borderId="136" xfId="0" applyFont="1" applyFill="1" applyBorder="1" applyAlignment="1">
      <alignment horizontal="right"/>
    </xf>
    <xf numFmtId="0" fontId="53" fillId="27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7" borderId="136" xfId="0" applyFont="1" applyFill="1" applyBorder="1" applyAlignment="1">
      <alignment horizontal="right" vertical="top"/>
    </xf>
    <xf numFmtId="0" fontId="54" fillId="28" borderId="7" xfId="0" applyFont="1" applyFill="1" applyBorder="1"/>
    <xf numFmtId="0" fontId="55" fillId="27" borderId="163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3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7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30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25" fillId="25" borderId="0" xfId="0" applyFont="1" applyFill="1"/>
    <xf numFmtId="167" fontId="55" fillId="0" borderId="163" xfId="0" applyNumberFormat="1" applyFont="1" applyBorder="1" applyAlignment="1">
      <alignment horizontal="right" vertical="top"/>
    </xf>
    <xf numFmtId="167" fontId="55" fillId="0" borderId="140" xfId="0" applyNumberFormat="1" applyFont="1" applyBorder="1" applyAlignment="1">
      <alignment horizontal="right" vertical="top"/>
    </xf>
    <xf numFmtId="167" fontId="55" fillId="0" borderId="95" xfId="0" applyNumberFormat="1" applyFont="1" applyBorder="1" applyAlignment="1">
      <alignment horizontal="right" vertical="top"/>
    </xf>
    <xf numFmtId="0" fontId="25" fillId="28" borderId="164" xfId="0" applyFont="1" applyFill="1" applyBorder="1"/>
    <xf numFmtId="0" fontId="25" fillId="28" borderId="24" xfId="0" applyFont="1" applyFill="1" applyBorder="1"/>
    <xf numFmtId="0" fontId="25" fillId="28" borderId="25" xfId="0" applyFont="1" applyFill="1" applyBorder="1"/>
    <xf numFmtId="0" fontId="25" fillId="28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172" fontId="20" fillId="0" borderId="55" xfId="0" applyNumberFormat="1" applyFont="1" applyBorder="1" applyAlignment="1">
      <alignment horizontal="center"/>
    </xf>
    <xf numFmtId="172" fontId="20" fillId="0" borderId="57" xfId="0" applyNumberFormat="1" applyFont="1" applyBorder="1" applyAlignment="1">
      <alignment horizontal="center"/>
    </xf>
    <xf numFmtId="172" fontId="20" fillId="0" borderId="34" xfId="0" applyNumberFormat="1" applyFont="1" applyBorder="1" applyAlignment="1">
      <alignment horizontal="center"/>
    </xf>
    <xf numFmtId="172" fontId="20" fillId="0" borderId="66" xfId="0" applyNumberFormat="1" applyFont="1" applyBorder="1" applyAlignment="1">
      <alignment horizontal="center"/>
    </xf>
    <xf numFmtId="172" fontId="20" fillId="0" borderId="56" xfId="0" applyNumberFormat="1" applyFont="1" applyBorder="1" applyAlignment="1">
      <alignment horizontal="center"/>
    </xf>
    <xf numFmtId="172" fontId="20" fillId="22" borderId="34" xfId="0" applyNumberFormat="1" applyFont="1" applyFill="1" applyBorder="1" applyAlignment="1">
      <alignment horizontal="center"/>
    </xf>
    <xf numFmtId="172" fontId="20" fillId="0" borderId="18" xfId="0" applyNumberFormat="1" applyFont="1" applyBorder="1" applyAlignment="1">
      <alignment horizontal="center"/>
    </xf>
    <xf numFmtId="172" fontId="20" fillId="0" borderId="67" xfId="0" applyNumberFormat="1" applyFont="1" applyBorder="1" applyAlignment="1">
      <alignment horizontal="center"/>
    </xf>
    <xf numFmtId="172" fontId="20" fillId="0" borderId="59" xfId="0" applyNumberFormat="1" applyFont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100" xfId="0" applyNumberFormat="1" applyFont="1" applyBorder="1" applyAlignment="1">
      <alignment horizontal="center"/>
    </xf>
    <xf numFmtId="172" fontId="20" fillId="22" borderId="57" xfId="0" applyNumberFormat="1" applyFont="1" applyFill="1" applyBorder="1" applyAlignment="1">
      <alignment horizontal="center"/>
    </xf>
    <xf numFmtId="172" fontId="20" fillId="0" borderId="111" xfId="0" applyNumberFormat="1" applyFont="1" applyBorder="1" applyAlignment="1">
      <alignment horizontal="center"/>
    </xf>
    <xf numFmtId="172" fontId="20" fillId="0" borderId="113" xfId="0" applyNumberFormat="1" applyFont="1" applyBorder="1" applyAlignment="1">
      <alignment horizontal="center"/>
    </xf>
    <xf numFmtId="172" fontId="20" fillId="0" borderId="115" xfId="0" applyNumberFormat="1" applyFont="1" applyBorder="1" applyAlignment="1">
      <alignment horizontal="center"/>
    </xf>
    <xf numFmtId="172" fontId="20" fillId="0" borderId="116" xfId="0" applyNumberFormat="1" applyFont="1" applyBorder="1" applyAlignment="1">
      <alignment horizontal="center"/>
    </xf>
    <xf numFmtId="172" fontId="20" fillId="0" borderId="117" xfId="0" applyNumberFormat="1" applyFont="1" applyBorder="1" applyAlignment="1">
      <alignment horizontal="center"/>
    </xf>
    <xf numFmtId="172" fontId="20" fillId="0" borderId="118" xfId="0" applyNumberFormat="1" applyFont="1" applyBorder="1" applyAlignment="1">
      <alignment horizontal="center"/>
    </xf>
    <xf numFmtId="172" fontId="20" fillId="0" borderId="119" xfId="0" applyNumberFormat="1" applyFont="1" applyBorder="1" applyAlignment="1">
      <alignment horizontal="center"/>
    </xf>
    <xf numFmtId="172" fontId="20" fillId="22" borderId="116" xfId="0" applyNumberFormat="1" applyFont="1" applyFill="1" applyBorder="1" applyAlignment="1">
      <alignment horizontal="center"/>
    </xf>
    <xf numFmtId="172" fontId="20" fillId="0" borderId="10" xfId="0" applyNumberFormat="1" applyFont="1" applyBorder="1" applyAlignment="1">
      <alignment horizontal="center"/>
    </xf>
    <xf numFmtId="172" fontId="20" fillId="0" borderId="120" xfId="0" applyNumberFormat="1" applyFont="1" applyBorder="1" applyAlignment="1">
      <alignment horizontal="center"/>
    </xf>
    <xf numFmtId="172" fontId="20" fillId="0" borderId="68" xfId="0" applyNumberFormat="1" applyFont="1" applyBorder="1" applyAlignment="1">
      <alignment horizontal="center"/>
    </xf>
    <xf numFmtId="172" fontId="20" fillId="0" borderId="123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124" xfId="0" applyNumberFormat="1" applyFont="1" applyBorder="1" applyAlignment="1">
      <alignment horizontal="center"/>
    </xf>
    <xf numFmtId="172" fontId="20" fillId="0" borderId="125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22" borderId="78" xfId="0" applyNumberFormat="1" applyFont="1" applyFill="1" applyBorder="1" applyAlignment="1">
      <alignment horizontal="center"/>
    </xf>
    <xf numFmtId="172" fontId="20" fillId="7" borderId="125" xfId="0" applyNumberFormat="1" applyFont="1" applyFill="1" applyBorder="1" applyAlignment="1">
      <alignment horizontal="center"/>
    </xf>
    <xf numFmtId="172" fontId="18" fillId="7" borderId="75" xfId="0" applyNumberFormat="1" applyFont="1" applyFill="1" applyBorder="1" applyAlignment="1">
      <alignment horizontal="center"/>
    </xf>
    <xf numFmtId="172" fontId="20" fillId="0" borderId="121" xfId="0" applyNumberFormat="1" applyFont="1" applyBorder="1" applyAlignment="1">
      <alignment horizontal="center"/>
    </xf>
    <xf numFmtId="172" fontId="18" fillId="0" borderId="127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8" fillId="0" borderId="77" xfId="0" applyNumberFormat="1" applyFont="1" applyBorder="1" applyAlignment="1">
      <alignment horizontal="center"/>
    </xf>
    <xf numFmtId="172" fontId="20" fillId="0" borderId="39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41" xfId="0" applyNumberFormat="1" applyFont="1" applyBorder="1" applyAlignment="1">
      <alignment horizontal="center"/>
    </xf>
    <xf numFmtId="172" fontId="20" fillId="0" borderId="42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22" borderId="43" xfId="0" applyNumberFormat="1" applyFont="1" applyFill="1" applyBorder="1" applyAlignment="1">
      <alignment horizontal="center"/>
    </xf>
    <xf numFmtId="172" fontId="20" fillId="7" borderId="42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20" fillId="0" borderId="37" xfId="0" applyNumberFormat="1" applyFont="1" applyBorder="1" applyAlignment="1">
      <alignment horizontal="center"/>
    </xf>
    <xf numFmtId="172" fontId="18" fillId="0" borderId="44" xfId="0" applyNumberFormat="1" applyFont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8" fillId="0" borderId="45" xfId="0" applyNumberFormat="1" applyFont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8" fillId="7" borderId="13" xfId="0" applyNumberFormat="1" applyFont="1" applyFill="1" applyBorder="1" applyAlignment="1">
      <alignment horizontal="center"/>
    </xf>
    <xf numFmtId="172" fontId="18" fillId="0" borderId="0" xfId="0" applyNumberFormat="1" applyFont="1" applyAlignment="1">
      <alignment horizontal="center"/>
    </xf>
    <xf numFmtId="172" fontId="18" fillId="0" borderId="13" xfId="0" applyNumberFormat="1" applyFont="1" applyBorder="1" applyAlignment="1">
      <alignment horizontal="center"/>
    </xf>
    <xf numFmtId="172" fontId="20" fillId="0" borderId="128" xfId="0" applyNumberFormat="1" applyFont="1" applyBorder="1" applyAlignment="1">
      <alignment horizontal="center"/>
    </xf>
    <xf numFmtId="172" fontId="18" fillId="0" borderId="129" xfId="0" applyNumberFormat="1" applyFont="1" applyBorder="1" applyAlignment="1">
      <alignment horizontal="center"/>
    </xf>
    <xf numFmtId="172" fontId="18" fillId="0" borderId="130" xfId="0" applyNumberFormat="1" applyFont="1" applyBorder="1" applyAlignment="1">
      <alignment horizontal="center"/>
    </xf>
    <xf numFmtId="172" fontId="20" fillId="0" borderId="131" xfId="0" applyNumberFormat="1" applyFont="1" applyBorder="1" applyAlignment="1">
      <alignment horizontal="center"/>
    </xf>
    <xf numFmtId="172" fontId="18" fillId="0" borderId="132" xfId="0" applyNumberFormat="1" applyFont="1" applyBorder="1" applyAlignment="1">
      <alignment horizontal="center"/>
    </xf>
    <xf numFmtId="172" fontId="18" fillId="22" borderId="129" xfId="0" applyNumberFormat="1" applyFont="1" applyFill="1" applyBorder="1" applyAlignment="1">
      <alignment horizontal="center"/>
    </xf>
    <xf numFmtId="172" fontId="20" fillId="7" borderId="131" xfId="0" applyNumberFormat="1" applyFont="1" applyFill="1" applyBorder="1" applyAlignment="1">
      <alignment horizontal="center"/>
    </xf>
    <xf numFmtId="172" fontId="18" fillId="7" borderId="85" xfId="0" applyNumberFormat="1" applyFont="1" applyFill="1" applyBorder="1" applyAlignment="1">
      <alignment horizontal="center"/>
    </xf>
    <xf numFmtId="172" fontId="20" fillId="0" borderId="133" xfId="0" applyNumberFormat="1" applyFont="1" applyBorder="1" applyAlignment="1">
      <alignment horizontal="center"/>
    </xf>
    <xf numFmtId="172" fontId="18" fillId="0" borderId="134" xfId="0" applyNumberFormat="1" applyFont="1" applyBorder="1" applyAlignment="1">
      <alignment horizontal="center"/>
    </xf>
    <xf numFmtId="172" fontId="18" fillId="0" borderId="90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8" fillId="0" borderId="135" xfId="0" applyNumberFormat="1" applyFont="1" applyBorder="1" applyAlignment="1">
      <alignment horizontal="center"/>
    </xf>
    <xf numFmtId="172" fontId="20" fillId="0" borderId="136" xfId="0" applyNumberFormat="1" applyFont="1" applyBorder="1" applyAlignment="1">
      <alignment horizontal="center"/>
    </xf>
    <xf numFmtId="172" fontId="20" fillId="0" borderId="92" xfId="0" applyNumberFormat="1" applyFont="1" applyBorder="1" applyAlignment="1">
      <alignment horizontal="center"/>
    </xf>
    <xf numFmtId="172" fontId="20" fillId="0" borderId="137" xfId="0" applyNumberFormat="1" applyFont="1" applyBorder="1" applyAlignment="1">
      <alignment horizontal="center"/>
    </xf>
    <xf numFmtId="172" fontId="20" fillId="0" borderId="1" xfId="0" applyNumberFormat="1" applyFont="1" applyBorder="1" applyAlignment="1">
      <alignment horizontal="center"/>
    </xf>
    <xf numFmtId="172" fontId="20" fillId="0" borderId="138" xfId="0" applyNumberFormat="1" applyFont="1" applyBorder="1" applyAlignment="1">
      <alignment horizontal="center"/>
    </xf>
    <xf numFmtId="172" fontId="20" fillId="22" borderId="92" xfId="0" applyNumberFormat="1" applyFont="1" applyFill="1" applyBorder="1" applyAlignment="1">
      <alignment horizontal="center"/>
    </xf>
    <xf numFmtId="172" fontId="20" fillId="0" borderId="5" xfId="0" applyNumberFormat="1" applyFont="1" applyBorder="1" applyAlignment="1">
      <alignment horizontal="center"/>
    </xf>
    <xf numFmtId="172" fontId="20" fillId="0" borderId="19" xfId="0" applyNumberFormat="1" applyFont="1" applyBorder="1" applyAlignment="1">
      <alignment horizontal="center"/>
    </xf>
    <xf numFmtId="172" fontId="20" fillId="0" borderId="139" xfId="0" applyNumberFormat="1" applyFont="1" applyBorder="1" applyAlignment="1">
      <alignment horizontal="center"/>
    </xf>
    <xf numFmtId="172" fontId="20" fillId="0" borderId="71" xfId="0" applyNumberFormat="1" applyFont="1" applyBorder="1" applyAlignment="1">
      <alignment horizontal="center"/>
    </xf>
    <xf numFmtId="172" fontId="20" fillId="0" borderId="72" xfId="0" applyNumberFormat="1" applyFont="1" applyBorder="1" applyAlignment="1">
      <alignment horizontal="center"/>
    </xf>
    <xf numFmtId="172" fontId="20" fillId="0" borderId="73" xfId="0" applyNumberFormat="1" applyFont="1" applyBorder="1" applyAlignment="1">
      <alignment horizontal="center"/>
    </xf>
    <xf numFmtId="172" fontId="18" fillId="0" borderId="74" xfId="0" applyNumberFormat="1" applyFont="1" applyBorder="1" applyAlignment="1">
      <alignment horizontal="center"/>
    </xf>
    <xf numFmtId="172" fontId="20" fillId="0" borderId="75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22" borderId="73" xfId="0" applyNumberFormat="1" applyFont="1" applyFill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20" fillId="0" borderId="69" xfId="0" applyNumberFormat="1" applyFont="1" applyBorder="1" applyAlignment="1">
      <alignment horizontal="center"/>
    </xf>
    <xf numFmtId="172" fontId="18" fillId="0" borderId="76" xfId="0" applyNumberFormat="1" applyFont="1" applyBorder="1" applyAlignment="1">
      <alignment horizontal="center"/>
    </xf>
    <xf numFmtId="172" fontId="18" fillId="0" borderId="94" xfId="0" applyNumberFormat="1" applyFont="1" applyBorder="1" applyAlignment="1">
      <alignment horizontal="center"/>
    </xf>
    <xf numFmtId="172" fontId="20" fillId="0" borderId="126" xfId="0" applyNumberFormat="1" applyFont="1" applyBorder="1" applyAlignment="1">
      <alignment horizontal="center"/>
    </xf>
    <xf numFmtId="172" fontId="20" fillId="0" borderId="78" xfId="0" applyNumberFormat="1" applyFont="1" applyBorder="1" applyAlignment="1">
      <alignment horizontal="center"/>
    </xf>
    <xf numFmtId="172" fontId="20" fillId="0" borderId="40" xfId="0" applyNumberFormat="1" applyFont="1" applyBorder="1" applyAlignment="1">
      <alignment horizontal="center"/>
    </xf>
    <xf numFmtId="172" fontId="20" fillId="0" borderId="43" xfId="0" applyNumberFormat="1" applyFont="1" applyBorder="1" applyAlignment="1">
      <alignment horizontal="center"/>
    </xf>
    <xf numFmtId="172" fontId="20" fillId="0" borderId="81" xfId="0" applyNumberFormat="1" applyFont="1" applyBorder="1" applyAlignment="1">
      <alignment horizontal="center"/>
    </xf>
    <xf numFmtId="172" fontId="20" fillId="0" borderId="82" xfId="0" applyNumberFormat="1" applyFont="1" applyBorder="1" applyAlignment="1">
      <alignment horizontal="center"/>
    </xf>
    <xf numFmtId="172" fontId="20" fillId="0" borderId="83" xfId="0" applyNumberFormat="1" applyFont="1" applyBorder="1" applyAlignment="1">
      <alignment horizontal="center"/>
    </xf>
    <xf numFmtId="172" fontId="18" fillId="0" borderId="84" xfId="0" applyNumberFormat="1" applyFont="1" applyBorder="1" applyAlignment="1">
      <alignment horizontal="center"/>
    </xf>
    <xf numFmtId="172" fontId="20" fillId="0" borderId="85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22" borderId="83" xfId="0" applyNumberFormat="1" applyFont="1" applyFill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20" fillId="0" borderId="79" xfId="0" applyNumberFormat="1" applyFont="1" applyBorder="1" applyAlignment="1">
      <alignment horizontal="center"/>
    </xf>
    <xf numFmtId="172" fontId="18" fillId="0" borderId="86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20" fillId="24" borderId="136" xfId="0" applyNumberFormat="1" applyFont="1" applyFill="1" applyBorder="1" applyAlignment="1">
      <alignment horizontal="center"/>
    </xf>
    <xf numFmtId="172" fontId="20" fillId="24" borderId="138" xfId="0" applyNumberFormat="1" applyFont="1" applyFill="1" applyBorder="1" applyAlignment="1">
      <alignment horizontal="center"/>
    </xf>
    <xf numFmtId="172" fontId="20" fillId="24" borderId="41" xfId="0" applyNumberFormat="1" applyFont="1" applyFill="1" applyBorder="1" applyAlignment="1">
      <alignment horizontal="center"/>
    </xf>
    <xf numFmtId="172" fontId="20" fillId="24" borderId="137" xfId="0" applyNumberFormat="1" applyFont="1" applyFill="1" applyBorder="1" applyAlignment="1">
      <alignment horizontal="center"/>
    </xf>
    <xf numFmtId="172" fontId="20" fillId="24" borderId="1" xfId="0" applyNumberFormat="1" applyFont="1" applyFill="1" applyBorder="1" applyAlignment="1">
      <alignment horizontal="center"/>
    </xf>
    <xf numFmtId="172" fontId="20" fillId="24" borderId="92" xfId="0" applyNumberFormat="1" applyFont="1" applyFill="1" applyBorder="1" applyAlignment="1">
      <alignment horizontal="center"/>
    </xf>
    <xf numFmtId="172" fontId="20" fillId="24" borderId="5" xfId="0" applyNumberFormat="1" applyFont="1" applyFill="1" applyBorder="1" applyAlignment="1">
      <alignment horizontal="center"/>
    </xf>
    <xf numFmtId="172" fontId="20" fillId="24" borderId="19" xfId="0" applyNumberFormat="1" applyFont="1" applyFill="1" applyBorder="1" applyAlignment="1">
      <alignment horizontal="center"/>
    </xf>
    <xf numFmtId="172" fontId="20" fillId="24" borderId="93" xfId="0" applyNumberFormat="1" applyFont="1" applyFill="1" applyBorder="1" applyAlignment="1">
      <alignment horizontal="center"/>
    </xf>
    <xf numFmtId="172" fontId="20" fillId="22" borderId="138" xfId="0" applyNumberFormat="1" applyFont="1" applyFill="1" applyBorder="1" applyAlignment="1">
      <alignment horizontal="center"/>
    </xf>
    <xf numFmtId="172" fontId="20" fillId="0" borderId="96" xfId="0" applyNumberFormat="1" applyFont="1" applyBorder="1" applyAlignment="1">
      <alignment horizontal="center"/>
    </xf>
    <xf numFmtId="172" fontId="20" fillId="0" borderId="97" xfId="0" applyNumberFormat="1" applyFont="1" applyBorder="1" applyAlignment="1">
      <alignment horizontal="center"/>
    </xf>
    <xf numFmtId="172" fontId="20" fillId="0" borderId="98" xfId="0" applyNumberFormat="1" applyFont="1" applyBorder="1" applyAlignment="1">
      <alignment horizontal="center"/>
    </xf>
    <xf numFmtId="172" fontId="20" fillId="0" borderId="99" xfId="0" applyNumberFormat="1" applyFont="1" applyBorder="1" applyAlignment="1">
      <alignment horizontal="center"/>
    </xf>
    <xf numFmtId="172" fontId="20" fillId="0" borderId="14" xfId="0" applyNumberFormat="1" applyFont="1" applyBorder="1" applyAlignment="1">
      <alignment horizontal="center"/>
    </xf>
    <xf numFmtId="172" fontId="20" fillId="22" borderId="98" xfId="0" applyNumberFormat="1" applyFont="1" applyFill="1" applyBorder="1" applyAlignment="1">
      <alignment horizontal="center"/>
    </xf>
    <xf numFmtId="172" fontId="20" fillId="0" borderId="3" xfId="0" applyNumberFormat="1" applyFont="1" applyBorder="1" applyAlignment="1">
      <alignment horizontal="center"/>
    </xf>
    <xf numFmtId="172" fontId="20" fillId="0" borderId="16" xfId="0" applyNumberFormat="1" applyFont="1" applyBorder="1" applyAlignment="1">
      <alignment horizontal="center"/>
    </xf>
    <xf numFmtId="172" fontId="20" fillId="0" borderId="93" xfId="0" applyNumberFormat="1" applyFont="1" applyBorder="1" applyAlignment="1">
      <alignment horizontal="center"/>
    </xf>
    <xf numFmtId="172" fontId="20" fillId="0" borderId="87" xfId="0" applyNumberFormat="1" applyFont="1" applyBorder="1" applyAlignment="1">
      <alignment horizontal="center"/>
    </xf>
    <xf numFmtId="172" fontId="20" fillId="0" borderId="108" xfId="0" applyNumberFormat="1" applyFont="1" applyBorder="1" applyAlignment="1">
      <alignment horizontal="center"/>
    </xf>
    <xf numFmtId="172" fontId="20" fillId="0" borderId="109" xfId="0" applyNumberFormat="1" applyFont="1" applyBorder="1" applyAlignment="1">
      <alignment horizontal="center"/>
    </xf>
    <xf numFmtId="172" fontId="20" fillId="0" borderId="110" xfId="0" applyNumberFormat="1" applyFont="1" applyBorder="1" applyAlignment="1">
      <alignment horizontal="center"/>
    </xf>
    <xf numFmtId="172" fontId="20" fillId="0" borderId="112" xfId="0" applyNumberFormat="1" applyFont="1" applyBorder="1" applyAlignment="1">
      <alignment horizontal="center"/>
    </xf>
    <xf numFmtId="172" fontId="20" fillId="22" borderId="110" xfId="0" applyNumberFormat="1" applyFont="1" applyFill="1" applyBorder="1" applyAlignment="1">
      <alignment horizontal="center"/>
    </xf>
    <xf numFmtId="172" fontId="20" fillId="0" borderId="106" xfId="0" applyNumberFormat="1" applyFont="1" applyBorder="1" applyAlignment="1">
      <alignment horizontal="center"/>
    </xf>
    <xf numFmtId="172" fontId="20" fillId="0" borderId="141" xfId="0" applyNumberFormat="1" applyFont="1" applyBorder="1" applyAlignment="1">
      <alignment horizontal="center"/>
    </xf>
    <xf numFmtId="3" fontId="0" fillId="0" borderId="0" xfId="0" applyNumberFormat="1"/>
    <xf numFmtId="3" fontId="12" fillId="0" borderId="0" xfId="0" applyNumberFormat="1" applyFont="1"/>
    <xf numFmtId="0" fontId="59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5" fillId="11" borderId="113" xfId="0" applyFont="1" applyFill="1" applyBorder="1" applyAlignment="1">
      <alignment horizontal="center" vertical="center"/>
    </xf>
    <xf numFmtId="0" fontId="25" fillId="11" borderId="141" xfId="0" applyFont="1" applyFill="1" applyBorder="1" applyAlignment="1">
      <alignment horizontal="center" vertical="center"/>
    </xf>
    <xf numFmtId="0" fontId="25" fillId="11" borderId="107" xfId="0" applyFont="1" applyFill="1" applyBorder="1" applyAlignment="1">
      <alignment horizontal="center" vertical="center"/>
    </xf>
    <xf numFmtId="0" fontId="59" fillId="11" borderId="12" xfId="0" applyFont="1" applyFill="1" applyBorder="1" applyAlignment="1">
      <alignment vertical="center"/>
    </xf>
    <xf numFmtId="0" fontId="25" fillId="29" borderId="115" xfId="0" quotePrefix="1" applyFont="1" applyFill="1" applyBorder="1" applyAlignment="1">
      <alignment horizontal="right" vertical="top"/>
    </xf>
    <xf numFmtId="0" fontId="25" fillId="29" borderId="114" xfId="0" quotePrefix="1" applyFont="1" applyFill="1" applyBorder="1" applyAlignment="1">
      <alignment horizontal="right" vertical="top"/>
    </xf>
    <xf numFmtId="0" fontId="25" fillId="27" borderId="136" xfId="0" quotePrefix="1" applyFont="1" applyFill="1" applyBorder="1" applyAlignment="1">
      <alignment horizontal="right" vertical="top"/>
    </xf>
    <xf numFmtId="0" fontId="25" fillId="27" borderId="140" xfId="0" quotePrefix="1" applyFont="1" applyFill="1" applyBorder="1" applyAlignment="1">
      <alignment horizontal="right" vertical="top"/>
    </xf>
    <xf numFmtId="0" fontId="25" fillId="29" borderId="136" xfId="0" quotePrefix="1" applyFont="1" applyFill="1" applyBorder="1" applyAlignment="1">
      <alignment horizontal="right" vertical="top"/>
    </xf>
    <xf numFmtId="0" fontId="25" fillId="29" borderId="140" xfId="0" quotePrefix="1" applyFont="1" applyFill="1" applyBorder="1" applyAlignment="1">
      <alignment horizontal="right" vertical="top"/>
    </xf>
    <xf numFmtId="0" fontId="25" fillId="27" borderId="108" xfId="0" quotePrefix="1" applyFont="1" applyFill="1" applyBorder="1" applyAlignment="1">
      <alignment horizontal="right" vertical="top"/>
    </xf>
    <xf numFmtId="0" fontId="60" fillId="27" borderId="111" xfId="0" applyFont="1" applyFill="1" applyBorder="1" applyAlignment="1">
      <alignment vertical="center"/>
    </xf>
    <xf numFmtId="0" fontId="24" fillId="31" borderId="153" xfId="0" applyFont="1" applyFill="1" applyBorder="1" applyAlignment="1">
      <alignment vertical="center"/>
    </xf>
    <xf numFmtId="0" fontId="25" fillId="0" borderId="59" xfId="0" applyFont="1" applyBorder="1" applyAlignment="1">
      <alignment horizontal="right"/>
    </xf>
    <xf numFmtId="0" fontId="25" fillId="0" borderId="143" xfId="0" applyFont="1" applyBorder="1" applyAlignment="1">
      <alignment horizontal="right"/>
    </xf>
    <xf numFmtId="0" fontId="25" fillId="0" borderId="93" xfId="0" applyFont="1" applyBorder="1" applyAlignment="1">
      <alignment horizontal="right"/>
    </xf>
    <xf numFmtId="0" fontId="25" fillId="0" borderId="145" xfId="0" applyFont="1" applyBorder="1" applyAlignment="1">
      <alignment horizontal="right"/>
    </xf>
    <xf numFmtId="1" fontId="25" fillId="33" borderId="136" xfId="0" quotePrefix="1" applyNumberFormat="1" applyFont="1" applyFill="1" applyBorder="1" applyAlignment="1">
      <alignment horizontal="right" vertical="top"/>
    </xf>
    <xf numFmtId="0" fontId="53" fillId="12" borderId="12" xfId="0" applyFont="1" applyFill="1" applyBorder="1" applyAlignment="1">
      <alignment vertical="center"/>
    </xf>
    <xf numFmtId="0" fontId="29" fillId="7" borderId="155" xfId="0" applyFont="1" applyFill="1" applyBorder="1" applyAlignment="1">
      <alignment horizontal="center" vertical="center" wrapText="1"/>
    </xf>
    <xf numFmtId="1" fontId="25" fillId="17" borderId="115" xfId="0" applyNumberFormat="1" applyFont="1" applyFill="1" applyBorder="1" applyAlignment="1">
      <alignment horizontal="right" vertical="center"/>
    </xf>
    <xf numFmtId="1" fontId="25" fillId="17" borderId="136" xfId="0" applyNumberFormat="1" applyFont="1" applyFill="1" applyBorder="1" applyAlignment="1">
      <alignment horizontal="right" vertical="center"/>
    </xf>
    <xf numFmtId="0" fontId="25" fillId="29" borderId="96" xfId="0" quotePrefix="1" applyFont="1" applyFill="1" applyBorder="1" applyAlignment="1">
      <alignment horizontal="right" vertical="top"/>
    </xf>
    <xf numFmtId="0" fontId="25" fillId="29" borderId="95" xfId="0" quotePrefix="1" applyFont="1" applyFill="1" applyBorder="1" applyAlignment="1">
      <alignment horizontal="right" vertical="top"/>
    </xf>
    <xf numFmtId="0" fontId="25" fillId="29" borderId="61" xfId="0" quotePrefix="1" applyFont="1" applyFill="1" applyBorder="1" applyAlignment="1">
      <alignment horizontal="right" vertical="top"/>
    </xf>
    <xf numFmtId="0" fontId="25" fillId="29" borderId="60" xfId="0" quotePrefix="1" applyFont="1" applyFill="1" applyBorder="1" applyAlignment="1">
      <alignment horizontal="right" vertical="top"/>
    </xf>
    <xf numFmtId="3" fontId="24" fillId="31" borderId="153" xfId="0" applyNumberFormat="1" applyFont="1" applyFill="1" applyBorder="1" applyAlignment="1">
      <alignment horizontal="right" vertical="center"/>
    </xf>
    <xf numFmtId="0" fontId="25" fillId="0" borderId="113" xfId="0" applyFont="1" applyBorder="1" applyAlignment="1">
      <alignment horizontal="right"/>
    </xf>
    <xf numFmtId="3" fontId="25" fillId="0" borderId="106" xfId="0" applyNumberFormat="1" applyFont="1" applyBorder="1" applyAlignment="1">
      <alignment horizontal="right"/>
    </xf>
    <xf numFmtId="0" fontId="25" fillId="0" borderId="106" xfId="0" applyFont="1" applyBorder="1" applyAlignment="1">
      <alignment horizontal="right"/>
    </xf>
    <xf numFmtId="0" fontId="25" fillId="12" borderId="59" xfId="0" applyFont="1" applyFill="1" applyBorder="1" applyAlignment="1">
      <alignment vertical="center"/>
    </xf>
    <xf numFmtId="0" fontId="25" fillId="12" borderId="67" xfId="0" applyFont="1" applyFill="1" applyBorder="1" applyAlignment="1">
      <alignment vertical="center"/>
    </xf>
    <xf numFmtId="0" fontId="25" fillId="12" borderId="54" xfId="0" applyFont="1" applyFill="1" applyBorder="1" applyAlignment="1">
      <alignment vertical="center"/>
    </xf>
    <xf numFmtId="1" fontId="25" fillId="17" borderId="96" xfId="0" applyNumberFormat="1" applyFont="1" applyFill="1" applyBorder="1" applyAlignment="1">
      <alignment horizontal="right" vertical="center"/>
    </xf>
    <xf numFmtId="1" fontId="2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6" borderId="165" xfId="0" quotePrefix="1" applyFont="1" applyFill="1" applyBorder="1" applyAlignment="1">
      <alignment horizontal="center"/>
    </xf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8" fillId="27" borderId="167" xfId="0" applyNumberFormat="1" applyFont="1" applyFill="1" applyBorder="1" applyAlignment="1"/>
    <xf numFmtId="3" fontId="8" fillId="29" borderId="167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7" fillId="0" borderId="0" xfId="0" applyFont="1"/>
    <xf numFmtId="0" fontId="17" fillId="0" borderId="0" xfId="0" quotePrefix="1" applyFont="1"/>
    <xf numFmtId="0" fontId="29" fillId="0" borderId="18" xfId="0" applyFont="1" applyBorder="1"/>
    <xf numFmtId="0" fontId="29" fillId="0" borderId="2" xfId="0" applyFont="1" applyBorder="1"/>
    <xf numFmtId="0" fontId="29" fillId="0" borderId="2" xfId="0" quotePrefix="1" applyFont="1" applyBorder="1"/>
    <xf numFmtId="164" fontId="12" fillId="13" borderId="1" xfId="0" applyNumberFormat="1" applyFont="1" applyFill="1" applyBorder="1" applyAlignment="1">
      <alignment vertical="center"/>
    </xf>
    <xf numFmtId="0" fontId="61" fillId="11" borderId="59" xfId="0" applyFont="1" applyFill="1" applyBorder="1" applyAlignment="1">
      <alignment vertical="center"/>
    </xf>
    <xf numFmtId="0" fontId="61" fillId="11" borderId="18" xfId="0" applyFont="1" applyFill="1" applyBorder="1" applyAlignment="1">
      <alignment vertical="center"/>
    </xf>
    <xf numFmtId="0" fontId="61" fillId="11" borderId="143" xfId="0" applyFont="1" applyFill="1" applyBorder="1" applyAlignment="1">
      <alignment vertical="center"/>
    </xf>
    <xf numFmtId="0" fontId="61" fillId="11" borderId="26" xfId="0" applyFont="1" applyFill="1" applyBorder="1" applyAlignment="1">
      <alignment vertical="center"/>
    </xf>
    <xf numFmtId="0" fontId="61" fillId="11" borderId="2" xfId="0" applyFont="1" applyFill="1" applyBorder="1" applyAlignment="1">
      <alignment vertical="center"/>
    </xf>
    <xf numFmtId="0" fontId="61" fillId="11" borderId="144" xfId="0" applyFont="1" applyFill="1" applyBorder="1" applyAlignment="1">
      <alignment vertical="center"/>
    </xf>
    <xf numFmtId="0" fontId="42" fillId="0" borderId="168" xfId="0" applyNumberFormat="1" applyFont="1" applyBorder="1" applyAlignment="1"/>
    <xf numFmtId="0" fontId="42" fillId="34" borderId="168" xfId="0" applyNumberFormat="1" applyFont="1" applyFill="1" applyBorder="1" applyAlignment="1"/>
    <xf numFmtId="0" fontId="24" fillId="30" borderId="8" xfId="0" applyNumberFormat="1" applyFont="1" applyFill="1" applyBorder="1" applyAlignment="1" applyProtection="1">
      <protection locked="0"/>
    </xf>
    <xf numFmtId="38" fontId="24" fillId="30" borderId="8" xfId="0" applyNumberFormat="1" applyFont="1" applyFill="1" applyBorder="1" applyAlignment="1" applyProtection="1">
      <alignment vertical="center" wrapText="1"/>
    </xf>
    <xf numFmtId="2" fontId="24" fillId="30" borderId="144" xfId="0" applyNumberFormat="1" applyFont="1" applyFill="1" applyBorder="1" applyAlignment="1" applyProtection="1">
      <alignment horizontal="right"/>
      <protection locked="0"/>
    </xf>
    <xf numFmtId="0" fontId="36" fillId="2" borderId="2" xfId="0" applyNumberFormat="1" applyFont="1" applyFill="1" applyBorder="1" applyAlignment="1" applyProtection="1">
      <alignment horizontal="center"/>
      <protection locked="0"/>
    </xf>
    <xf numFmtId="49" fontId="17" fillId="0" borderId="0" xfId="0" applyNumberFormat="1" applyFont="1"/>
    <xf numFmtId="2" fontId="42" fillId="0" borderId="168" xfId="0" applyNumberFormat="1" applyFont="1" applyBorder="1" applyAlignment="1"/>
    <xf numFmtId="2" fontId="4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9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9" fillId="0" borderId="169" xfId="0" applyFont="1" applyBorder="1" applyAlignment="1">
      <alignment vertical="center"/>
    </xf>
    <xf numFmtId="0" fontId="59" fillId="0" borderId="170" xfId="0" applyFont="1" applyBorder="1" applyAlignment="1">
      <alignment vertical="center"/>
    </xf>
    <xf numFmtId="0" fontId="59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9" fillId="11" borderId="156" xfId="0" applyFont="1" applyFill="1" applyBorder="1" applyAlignment="1">
      <alignment vertical="center"/>
    </xf>
    <xf numFmtId="0" fontId="59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4" fillId="20" borderId="157" xfId="0" applyFont="1" applyFill="1" applyBorder="1" applyAlignment="1">
      <alignment vertical="center"/>
    </xf>
    <xf numFmtId="0" fontId="34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3" fillId="7" borderId="2" xfId="0" applyNumberFormat="1" applyFont="1" applyFill="1" applyBorder="1" applyAlignment="1">
      <alignment horizontal="center" vertical="center" wrapText="1"/>
    </xf>
    <xf numFmtId="169" fontId="13" fillId="7" borderId="4" xfId="0" applyNumberFormat="1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vertical="center"/>
    </xf>
    <xf numFmtId="0" fontId="8" fillId="6" borderId="0" xfId="0" applyFont="1" applyFill="1" applyAlignment="1">
      <alignment vertical="center"/>
    </xf>
    <xf numFmtId="0" fontId="8" fillId="20" borderId="0" xfId="0" applyFont="1" applyFill="1" applyAlignment="1">
      <alignment vertical="center"/>
    </xf>
    <xf numFmtId="0" fontId="8" fillId="0" borderId="0" xfId="0" applyFont="1"/>
    <xf numFmtId="0" fontId="8" fillId="0" borderId="0" xfId="0" applyFont="1" applyBorder="1"/>
    <xf numFmtId="169" fontId="8" fillId="0" borderId="0" xfId="0" applyNumberFormat="1" applyFont="1"/>
    <xf numFmtId="0" fontId="8" fillId="0" borderId="0" xfId="0" applyFont="1"/>
    <xf numFmtId="164" fontId="8" fillId="0" borderId="0" xfId="0" applyNumberFormat="1" applyFont="1" applyFill="1" applyAlignment="1">
      <alignment horizontal="left" vertical="center"/>
    </xf>
    <xf numFmtId="16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/>
    <xf numFmtId="0" fontId="8" fillId="29" borderId="118" xfId="0" quotePrefix="1" applyFont="1" applyFill="1" applyBorder="1" applyAlignment="1">
      <alignment horizontal="right" vertical="top"/>
    </xf>
    <xf numFmtId="0" fontId="8" fillId="27" borderId="1" xfId="0" quotePrefix="1" applyFont="1" applyFill="1" applyBorder="1" applyAlignment="1">
      <alignment horizontal="right" vertical="top"/>
    </xf>
    <xf numFmtId="0" fontId="8" fillId="29" borderId="1" xfId="0" quotePrefix="1" applyFont="1" applyFill="1" applyBorder="1" applyAlignment="1">
      <alignment horizontal="right" vertical="top"/>
    </xf>
    <xf numFmtId="0" fontId="8" fillId="29" borderId="14" xfId="0" quotePrefix="1" applyFont="1" applyFill="1" applyBorder="1" applyAlignment="1">
      <alignment horizontal="right" vertical="top"/>
    </xf>
    <xf numFmtId="0" fontId="8" fillId="29" borderId="11" xfId="0" quotePrefix="1" applyFont="1" applyFill="1" applyBorder="1" applyAlignment="1">
      <alignment horizontal="right" vertical="top"/>
    </xf>
    <xf numFmtId="0" fontId="8" fillId="8" borderId="0" xfId="0" applyFont="1" applyFill="1"/>
    <xf numFmtId="0" fontId="8" fillId="0" borderId="59" xfId="0" applyFont="1" applyBorder="1"/>
    <xf numFmtId="0" fontId="8" fillId="0" borderId="93" xfId="0" applyFont="1" applyBorder="1"/>
    <xf numFmtId="3" fontId="8" fillId="0" borderId="157" xfId="0" applyNumberFormat="1" applyFont="1" applyFill="1" applyBorder="1"/>
    <xf numFmtId="3" fontId="8" fillId="0" borderId="136" xfId="0" applyNumberFormat="1" applyFont="1" applyFill="1" applyBorder="1"/>
    <xf numFmtId="3" fontId="8" fillId="0" borderId="1" xfId="0" applyNumberFormat="1" applyFont="1" applyFill="1" applyBorder="1"/>
    <xf numFmtId="3" fontId="8" fillId="0" borderId="19" xfId="0" applyNumberFormat="1" applyFont="1" applyFill="1" applyBorder="1"/>
    <xf numFmtId="171" fontId="8" fillId="0" borderId="140" xfId="0" applyNumberFormat="1" applyFont="1" applyFill="1" applyBorder="1"/>
    <xf numFmtId="3" fontId="8" fillId="0" borderId="157" xfId="0" applyNumberFormat="1" applyFont="1" applyBorder="1"/>
    <xf numFmtId="4" fontId="8" fillId="0" borderId="107" xfId="0" applyNumberFormat="1" applyFont="1" applyFill="1" applyBorder="1"/>
    <xf numFmtId="0" fontId="8" fillId="15" borderId="0" xfId="0" applyFont="1" applyFill="1"/>
    <xf numFmtId="0" fontId="8" fillId="0" borderId="0" xfId="0" applyFont="1" applyFill="1" applyBorder="1"/>
    <xf numFmtId="0" fontId="42" fillId="34" borderId="0" xfId="0" applyNumberFormat="1" applyFont="1" applyFill="1" applyBorder="1" applyAlignment="1"/>
    <xf numFmtId="2" fontId="42" fillId="34" borderId="0" xfId="0" applyNumberFormat="1" applyFont="1" applyFill="1" applyBorder="1" applyAlignment="1"/>
    <xf numFmtId="0" fontId="42" fillId="0" borderId="0" xfId="0" applyNumberFormat="1" applyFont="1" applyBorder="1" applyAlignment="1"/>
    <xf numFmtId="2" fontId="42" fillId="0" borderId="0" xfId="0" applyNumberFormat="1" applyFont="1" applyBorder="1" applyAlignment="1"/>
    <xf numFmtId="0" fontId="32" fillId="2" borderId="7" xfId="0" applyFont="1" applyFill="1" applyBorder="1" applyAlignment="1">
      <alignment horizontal="left" vertical="center" wrapText="1"/>
    </xf>
    <xf numFmtId="0" fontId="42" fillId="34" borderId="9" xfId="0" applyNumberFormat="1" applyFont="1" applyFill="1" applyBorder="1" applyAlignment="1"/>
    <xf numFmtId="0" fontId="42" fillId="0" borderId="9" xfId="0" applyNumberFormat="1" applyFont="1" applyBorder="1" applyAlignment="1"/>
    <xf numFmtId="0" fontId="42" fillId="0" borderId="8" xfId="0" applyNumberFormat="1" applyFont="1" applyBorder="1" applyAlignment="1"/>
    <xf numFmtId="2" fontId="42" fillId="34" borderId="59" xfId="0" applyNumberFormat="1" applyFont="1" applyFill="1" applyBorder="1" applyAlignment="1"/>
    <xf numFmtId="2" fontId="42" fillId="34" borderId="18" xfId="0" applyNumberFormat="1" applyFont="1" applyFill="1" applyBorder="1" applyAlignment="1"/>
    <xf numFmtId="0" fontId="42" fillId="34" borderId="18" xfId="0" applyNumberFormat="1" applyFont="1" applyFill="1" applyBorder="1" applyAlignment="1"/>
    <xf numFmtId="2" fontId="42" fillId="0" borderId="93" xfId="0" applyNumberFormat="1" applyFont="1" applyBorder="1" applyAlignment="1"/>
    <xf numFmtId="2" fontId="42" fillId="34" borderId="93" xfId="0" applyNumberFormat="1" applyFont="1" applyFill="1" applyBorder="1" applyAlignment="1"/>
    <xf numFmtId="2" fontId="42" fillId="0" borderId="2" xfId="0" applyNumberFormat="1" applyFont="1" applyBorder="1" applyAlignment="1"/>
    <xf numFmtId="0" fontId="42" fillId="0" borderId="2" xfId="0" applyNumberFormat="1" applyFont="1" applyBorder="1" applyAlignment="1"/>
    <xf numFmtId="0" fontId="29" fillId="7" borderId="3" xfId="0" applyFont="1" applyFill="1" applyBorder="1" applyAlignment="1">
      <alignment horizontal="left" vertical="center" wrapText="1"/>
    </xf>
    <xf numFmtId="0" fontId="42" fillId="0" borderId="0" xfId="0" applyNumberFormat="1" applyFont="1" applyBorder="1" applyAlignment="1">
      <alignment horizontal="left"/>
    </xf>
    <xf numFmtId="0" fontId="28" fillId="13" borderId="5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36" borderId="0" xfId="0" applyFill="1"/>
    <xf numFmtId="0" fontId="32" fillId="36" borderId="0" xfId="0" applyFont="1" applyFill="1"/>
    <xf numFmtId="2" fontId="0" fillId="36" borderId="0" xfId="0" applyNumberFormat="1" applyFill="1"/>
    <xf numFmtId="0" fontId="58" fillId="26" borderId="165" xfId="0" quotePrefix="1" applyFont="1" applyFill="1" applyBorder="1" applyAlignment="1">
      <alignment horizontal="center" wrapText="1"/>
    </xf>
    <xf numFmtId="0" fontId="58" fillId="26" borderId="166" xfId="0" quotePrefix="1" applyFont="1" applyFill="1" applyBorder="1" applyAlignment="1">
      <alignment horizontal="center" wrapText="1"/>
    </xf>
    <xf numFmtId="165" fontId="25" fillId="14" borderId="0" xfId="0" applyNumberFormat="1" applyFont="1" applyFill="1"/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4" fontId="29" fillId="0" borderId="0" xfId="0" applyNumberFormat="1" applyFont="1"/>
    <xf numFmtId="4" fontId="36" fillId="0" borderId="0" xfId="0" applyNumberFormat="1" applyFont="1"/>
    <xf numFmtId="0" fontId="29" fillId="0" borderId="2" xfId="0" applyNumberFormat="1" applyFont="1" applyFill="1" applyBorder="1" applyAlignment="1" applyProtection="1">
      <protection locked="0"/>
    </xf>
    <xf numFmtId="0" fontId="29" fillId="0" borderId="144" xfId="0" applyNumberFormat="1" applyFont="1" applyFill="1" applyBorder="1" applyAlignment="1" applyProtection="1">
      <protection locked="0"/>
    </xf>
    <xf numFmtId="0" fontId="52" fillId="0" borderId="0" xfId="3" applyNumberFormat="1" applyFill="1" applyBorder="1" applyAlignment="1" applyProtection="1">
      <protection locked="0"/>
    </xf>
    <xf numFmtId="0" fontId="4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4" fillId="0" borderId="0" xfId="0" applyFont="1"/>
    <xf numFmtId="0" fontId="11" fillId="35" borderId="0" xfId="0" applyFont="1" applyFill="1"/>
    <xf numFmtId="10" fontId="0" fillId="0" borderId="0" xfId="0" applyNumberFormat="1"/>
    <xf numFmtId="3" fontId="8" fillId="17" borderId="118" xfId="0" applyNumberFormat="1" applyFont="1" applyFill="1" applyBorder="1" applyAlignment="1">
      <alignment vertical="center"/>
    </xf>
    <xf numFmtId="3" fontId="25" fillId="17" borderId="114" xfId="0" applyNumberFormat="1" applyFont="1" applyFill="1" applyBorder="1" applyAlignment="1">
      <alignment vertical="center"/>
    </xf>
    <xf numFmtId="3" fontId="8" fillId="33" borderId="1" xfId="0" quotePrefix="1" applyNumberFormat="1" applyFont="1" applyFill="1" applyBorder="1" applyAlignment="1">
      <alignment horizontal="right" vertical="top"/>
    </xf>
    <xf numFmtId="3" fontId="25" fillId="33" borderId="140" xfId="0" quotePrefix="1" applyNumberFormat="1" applyFont="1" applyFill="1" applyBorder="1" applyAlignment="1">
      <alignment horizontal="right" vertical="top"/>
    </xf>
    <xf numFmtId="3" fontId="8" fillId="17" borderId="1" xfId="0" applyNumberFormat="1" applyFont="1" applyFill="1" applyBorder="1" applyAlignment="1">
      <alignment vertical="center"/>
    </xf>
    <xf numFmtId="3" fontId="25" fillId="17" borderId="140" xfId="0" applyNumberFormat="1" applyFont="1" applyFill="1" applyBorder="1" applyAlignment="1">
      <alignment vertical="center"/>
    </xf>
    <xf numFmtId="3" fontId="8" fillId="17" borderId="14" xfId="0" applyNumberFormat="1" applyFont="1" applyFill="1" applyBorder="1" applyAlignment="1">
      <alignment vertical="center"/>
    </xf>
    <xf numFmtId="3" fontId="8" fillId="33" borderId="111" xfId="0" quotePrefix="1" applyNumberFormat="1" applyFont="1" applyFill="1" applyBorder="1" applyAlignment="1">
      <alignment horizontal="right" vertical="top"/>
    </xf>
    <xf numFmtId="3" fontId="2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7" borderId="1" xfId="0" applyNumberFormat="1" applyFont="1" applyFill="1" applyBorder="1" applyAlignment="1">
      <alignment horizontal="left" vertical="center"/>
    </xf>
    <xf numFmtId="3" fontId="5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4" fillId="30" borderId="144" xfId="0" applyNumberFormat="1" applyFont="1" applyFill="1" applyBorder="1"/>
    <xf numFmtId="0" fontId="11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1" fillId="0" borderId="145" xfId="0" applyFont="1" applyBorder="1"/>
    <xf numFmtId="10" fontId="11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7" borderId="136" xfId="0" applyNumberFormat="1" applyFont="1" applyFill="1" applyBorder="1" applyAlignment="1">
      <alignment horizontal="left" vertical="center"/>
    </xf>
    <xf numFmtId="2" fontId="5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3" fillId="17" borderId="15" xfId="0" applyNumberFormat="1" applyFont="1" applyFill="1" applyBorder="1" applyAlignment="1">
      <alignment horizontal="left" vertical="center"/>
    </xf>
    <xf numFmtId="3" fontId="53" fillId="33" borderId="15" xfId="0" quotePrefix="1" applyNumberFormat="1" applyFont="1" applyFill="1" applyBorder="1" applyAlignment="1">
      <alignment horizontal="left" vertical="top"/>
    </xf>
    <xf numFmtId="10" fontId="29" fillId="0" borderId="0" xfId="0" applyNumberFormat="1" applyFont="1" applyFill="1" applyBorder="1" applyAlignment="1" applyProtection="1">
      <protection locked="0"/>
    </xf>
    <xf numFmtId="0" fontId="32" fillId="6" borderId="0" xfId="0" applyFont="1" applyFill="1" applyBorder="1" applyAlignment="1">
      <alignment vertical="center"/>
    </xf>
    <xf numFmtId="0" fontId="29" fillId="14" borderId="65" xfId="0" applyFont="1" applyFill="1" applyBorder="1"/>
    <xf numFmtId="0" fontId="29" fillId="14" borderId="108" xfId="0" applyFont="1" applyFill="1" applyBorder="1" applyAlignment="1">
      <alignment horizontal="center"/>
    </xf>
    <xf numFmtId="0" fontId="29" fillId="14" borderId="111" xfId="0" applyFont="1" applyFill="1" applyBorder="1" applyAlignment="1">
      <alignment horizontal="center"/>
    </xf>
    <xf numFmtId="1" fontId="32" fillId="19" borderId="113" xfId="0" applyNumberFormat="1" applyFont="1" applyFill="1" applyBorder="1" applyAlignment="1">
      <alignment horizontal="center"/>
    </xf>
    <xf numFmtId="1" fontId="32" fillId="19" borderId="106" xfId="0" applyNumberFormat="1" applyFont="1" applyFill="1" applyBorder="1" applyAlignment="1">
      <alignment horizontal="center"/>
    </xf>
    <xf numFmtId="166" fontId="42" fillId="0" borderId="0" xfId="0" applyNumberFormat="1" applyFont="1" applyBorder="1" applyAlignment="1"/>
    <xf numFmtId="166" fontId="42" fillId="0" borderId="2" xfId="0" applyNumberFormat="1" applyFont="1" applyBorder="1" applyAlignment="1"/>
    <xf numFmtId="0" fontId="42" fillId="34" borderId="7" xfId="0" applyNumberFormat="1" applyFont="1" applyFill="1" applyBorder="1" applyAlignment="1"/>
    <xf numFmtId="0" fontId="42" fillId="0" borderId="7" xfId="0" applyNumberFormat="1" applyFont="1" applyBorder="1" applyAlignment="1"/>
    <xf numFmtId="2" fontId="42" fillId="0" borderId="18" xfId="0" applyNumberFormat="1" applyFont="1" applyBorder="1" applyAlignment="1"/>
    <xf numFmtId="0" fontId="42" fillId="0" borderId="18" xfId="0" applyNumberFormat="1" applyFont="1" applyBorder="1" applyAlignment="1"/>
    <xf numFmtId="166" fontId="42" fillId="0" borderId="18" xfId="0" applyNumberFormat="1" applyFont="1" applyBorder="1" applyAlignment="1"/>
    <xf numFmtId="2" fontId="29" fillId="20" borderId="0" xfId="0" applyNumberFormat="1" applyFont="1" applyFill="1" applyBorder="1" applyAlignment="1" applyProtection="1">
      <alignment horizontal="left"/>
    </xf>
    <xf numFmtId="2" fontId="29" fillId="20" borderId="0" xfId="0" applyNumberFormat="1" applyFont="1" applyFill="1" applyBorder="1" applyAlignment="1" applyProtection="1">
      <alignment horizontal="right"/>
    </xf>
    <xf numFmtId="0" fontId="29" fillId="20" borderId="0" xfId="0" applyNumberFormat="1" applyFont="1" applyFill="1" applyBorder="1" applyAlignment="1" applyProtection="1"/>
    <xf numFmtId="0" fontId="29" fillId="20" borderId="0" xfId="0" applyNumberFormat="1" applyFont="1" applyFill="1" applyBorder="1" applyAlignment="1" applyProtection="1">
      <alignment horizontal="left"/>
    </xf>
    <xf numFmtId="0" fontId="5" fillId="9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0" borderId="0" xfId="0" applyFont="1"/>
    <xf numFmtId="0" fontId="28" fillId="0" borderId="19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0" fontId="29" fillId="0" borderId="14" xfId="0" applyFont="1" applyBorder="1" applyAlignment="1">
      <alignment vertical="center"/>
    </xf>
    <xf numFmtId="0" fontId="5" fillId="0" borderId="14" xfId="0" applyFont="1" applyBorder="1"/>
    <xf numFmtId="0" fontId="29" fillId="0" borderId="13" xfId="0" applyFont="1" applyBorder="1" applyAlignment="1">
      <alignment vertical="center"/>
    </xf>
    <xf numFmtId="0" fontId="5" fillId="0" borderId="13" xfId="0" applyFont="1" applyBorder="1"/>
    <xf numFmtId="0" fontId="5" fillId="32" borderId="142" xfId="0" applyFont="1" applyFill="1" applyBorder="1"/>
    <xf numFmtId="15" fontId="5" fillId="0" borderId="13" xfId="0" applyNumberFormat="1" applyFont="1" applyBorder="1"/>
    <xf numFmtId="0" fontId="29" fillId="0" borderId="148" xfId="0" applyFont="1" applyBorder="1" applyAlignment="1">
      <alignment vertical="center"/>
    </xf>
    <xf numFmtId="0" fontId="5" fillId="0" borderId="148" xfId="0" applyFont="1" applyBorder="1"/>
    <xf numFmtId="0" fontId="25" fillId="0" borderId="0" xfId="0" applyFont="1"/>
    <xf numFmtId="0" fontId="28" fillId="0" borderId="1" xfId="0" applyFont="1" applyBorder="1" applyAlignment="1">
      <alignment vertical="center"/>
    </xf>
    <xf numFmtId="0" fontId="5" fillId="0" borderId="149" xfId="0" quotePrefix="1" applyFont="1" applyBorder="1"/>
    <xf numFmtId="0" fontId="5" fillId="0" borderId="17" xfId="0" applyFont="1" applyBorder="1"/>
    <xf numFmtId="0" fontId="5" fillId="8" borderId="17" xfId="0" applyFont="1" applyFill="1" applyBorder="1"/>
    <xf numFmtId="0" fontId="5" fillId="0" borderId="147" xfId="0" applyFont="1" applyBorder="1" applyAlignment="1">
      <alignment horizontal="left"/>
    </xf>
    <xf numFmtId="0" fontId="28" fillId="0" borderId="14" xfId="0" applyFont="1" applyBorder="1" applyAlignment="1">
      <alignment vertical="center"/>
    </xf>
    <xf numFmtId="0" fontId="28" fillId="0" borderId="149" xfId="0" applyFont="1" applyBorder="1" applyAlignment="1">
      <alignment vertical="center"/>
    </xf>
    <xf numFmtId="0" fontId="5" fillId="0" borderId="14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17" fontId="5" fillId="0" borderId="13" xfId="0" applyNumberFormat="1" applyFont="1" applyBorder="1" applyAlignment="1">
      <alignment horizontal="right"/>
    </xf>
    <xf numFmtId="17" fontId="5" fillId="0" borderId="148" xfId="0" applyNumberFormat="1" applyFont="1" applyBorder="1" applyAlignment="1">
      <alignment horizontal="right"/>
    </xf>
    <xf numFmtId="15" fontId="5" fillId="0" borderId="14" xfId="0" applyNumberFormat="1" applyFont="1" applyBorder="1" applyAlignment="1">
      <alignment horizontal="right"/>
    </xf>
    <xf numFmtId="0" fontId="12" fillId="37" borderId="16" xfId="0" applyFont="1" applyFill="1" applyBorder="1" applyAlignment="1">
      <alignment horizontal="center"/>
    </xf>
    <xf numFmtId="0" fontId="12" fillId="37" borderId="3" xfId="0" applyFont="1" applyFill="1" applyBorder="1" applyAlignment="1">
      <alignment horizontal="center"/>
    </xf>
    <xf numFmtId="0" fontId="12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6" fillId="2" borderId="0" xfId="0" applyFont="1" applyFill="1" applyBorder="1" applyAlignment="1">
      <alignment vertical="center"/>
    </xf>
    <xf numFmtId="0" fontId="59" fillId="6" borderId="0" xfId="0" applyFont="1" applyFill="1" applyBorder="1" applyAlignment="1">
      <alignment vertical="center"/>
    </xf>
    <xf numFmtId="0" fontId="36" fillId="4" borderId="113" xfId="0" applyFont="1" applyFill="1" applyBorder="1" applyAlignment="1">
      <alignment horizontal="center" vertical="center" wrapText="1"/>
    </xf>
    <xf numFmtId="0" fontId="36" fillId="4" borderId="106" xfId="0" applyFont="1" applyFill="1" applyBorder="1" applyAlignment="1">
      <alignment horizontal="center" vertical="center" wrapText="1"/>
    </xf>
    <xf numFmtId="0" fontId="36" fillId="4" borderId="146" xfId="0" applyFont="1" applyFill="1" applyBorder="1" applyAlignment="1">
      <alignment horizontal="center" vertical="center" wrapText="1"/>
    </xf>
    <xf numFmtId="0" fontId="36" fillId="2" borderId="153" xfId="0" applyFont="1" applyFill="1" applyBorder="1" applyAlignment="1">
      <alignment vertical="center"/>
    </xf>
    <xf numFmtId="0" fontId="36" fillId="2" borderId="9" xfId="0" applyFont="1" applyFill="1" applyBorder="1" applyAlignment="1">
      <alignment vertical="center"/>
    </xf>
    <xf numFmtId="0" fontId="36" fillId="2" borderId="8" xfId="0" applyFont="1" applyFill="1" applyBorder="1" applyAlignment="1">
      <alignment vertical="center"/>
    </xf>
    <xf numFmtId="9" fontId="59" fillId="11" borderId="0" xfId="0" applyNumberFormat="1" applyFont="1" applyFill="1" applyBorder="1" applyAlignment="1">
      <alignment horizontal="center" vertical="center"/>
    </xf>
    <xf numFmtId="9" fontId="59" fillId="6" borderId="0" xfId="0" applyNumberFormat="1" applyFont="1" applyFill="1" applyBorder="1" applyAlignment="1">
      <alignment horizontal="center" vertical="center"/>
    </xf>
    <xf numFmtId="0" fontId="28" fillId="13" borderId="3" xfId="0" applyFont="1" applyFill="1" applyBorder="1" applyAlignment="1">
      <alignment horizontal="center" vertical="center"/>
    </xf>
    <xf numFmtId="0" fontId="59" fillId="12" borderId="0" xfId="0" applyFont="1" applyFill="1" applyBorder="1" applyAlignment="1">
      <alignment vertical="center"/>
    </xf>
    <xf numFmtId="4" fontId="59" fillId="12" borderId="0" xfId="0" applyNumberFormat="1" applyFont="1" applyFill="1" applyBorder="1" applyAlignment="1">
      <alignment vertical="center"/>
    </xf>
    <xf numFmtId="4" fontId="59" fillId="6" borderId="0" xfId="0" applyNumberFormat="1" applyFont="1" applyFill="1" applyBorder="1" applyAlignment="1">
      <alignment vertical="center"/>
    </xf>
    <xf numFmtId="0" fontId="11" fillId="4" borderId="174" xfId="0" applyFont="1" applyFill="1" applyBorder="1"/>
    <xf numFmtId="4" fontId="11" fillId="0" borderId="174" xfId="0" applyNumberFormat="1" applyFont="1" applyBorder="1"/>
    <xf numFmtId="4" fontId="0" fillId="0" borderId="0" xfId="0" applyNumberFormat="1"/>
    <xf numFmtId="4" fontId="11" fillId="0" borderId="0" xfId="0" applyNumberFormat="1" applyFont="1"/>
    <xf numFmtId="0" fontId="39" fillId="0" borderId="0" xfId="0" applyFont="1" applyAlignment="1">
      <alignment horizontal="center"/>
    </xf>
    <xf numFmtId="168" fontId="39" fillId="0" borderId="0" xfId="0" applyNumberFormat="1" applyFont="1" applyAlignment="1">
      <alignment horizontal="center"/>
    </xf>
    <xf numFmtId="0" fontId="54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" fontId="42" fillId="0" borderId="0" xfId="0" applyNumberFormat="1" applyFont="1" applyBorder="1" applyAlignment="1"/>
    <xf numFmtId="1" fontId="42" fillId="34" borderId="0" xfId="0" applyNumberFormat="1" applyFont="1" applyFill="1" applyBorder="1" applyAlignment="1"/>
    <xf numFmtId="174" fontId="29" fillId="0" borderId="0" xfId="0" applyNumberFormat="1" applyFont="1"/>
    <xf numFmtId="0" fontId="63" fillId="38" borderId="0" xfId="0" applyFont="1" applyFill="1"/>
    <xf numFmtId="0" fontId="29" fillId="0" borderId="0" xfId="0" applyNumberFormat="1" applyFont="1"/>
    <xf numFmtId="167" fontId="59" fillId="12" borderId="0" xfId="0" applyNumberFormat="1" applyFont="1" applyFill="1" applyBorder="1" applyAlignment="1">
      <alignment vertical="center"/>
    </xf>
    <xf numFmtId="167" fontId="59" fillId="6" borderId="0" xfId="0" applyNumberFormat="1" applyFont="1" applyFill="1" applyBorder="1" applyAlignment="1">
      <alignment vertical="center"/>
    </xf>
    <xf numFmtId="0" fontId="29" fillId="0" borderId="18" xfId="0" applyFont="1" applyFill="1" applyBorder="1"/>
    <xf numFmtId="0" fontId="2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right" vertical="center"/>
    </xf>
    <xf numFmtId="0" fontId="36" fillId="2" borderId="143" xfId="0" applyNumberFormat="1" applyFont="1" applyFill="1" applyBorder="1" applyAlignment="1" applyProtection="1">
      <alignment horizontal="center"/>
      <protection locked="0"/>
    </xf>
    <xf numFmtId="173" fontId="8" fillId="17" borderId="118" xfId="0" applyNumberFormat="1" applyFont="1" applyFill="1" applyBorder="1" applyAlignment="1">
      <alignment vertical="center"/>
    </xf>
    <xf numFmtId="173" fontId="8" fillId="33" borderId="1" xfId="0" quotePrefix="1" applyNumberFormat="1" applyFont="1" applyFill="1" applyBorder="1" applyAlignment="1">
      <alignment horizontal="right" vertical="top"/>
    </xf>
    <xf numFmtId="173" fontId="8" fillId="17" borderId="1" xfId="0" applyNumberFormat="1" applyFont="1" applyFill="1" applyBorder="1" applyAlignment="1">
      <alignment vertical="center"/>
    </xf>
    <xf numFmtId="3" fontId="8" fillId="17" borderId="114" xfId="0" applyNumberFormat="1" applyFont="1" applyFill="1" applyBorder="1" applyAlignment="1">
      <alignment vertical="center"/>
    </xf>
    <xf numFmtId="3" fontId="8" fillId="33" borderId="140" xfId="0" quotePrefix="1" applyNumberFormat="1" applyFont="1" applyFill="1" applyBorder="1" applyAlignment="1">
      <alignment horizontal="right" vertical="top"/>
    </xf>
    <xf numFmtId="3" fontId="8" fillId="17" borderId="140" xfId="0" applyNumberFormat="1" applyFont="1" applyFill="1" applyBorder="1" applyAlignment="1">
      <alignment vertical="center"/>
    </xf>
    <xf numFmtId="1" fontId="25" fillId="17" borderId="61" xfId="0" applyNumberFormat="1" applyFont="1" applyFill="1" applyBorder="1" applyAlignment="1">
      <alignment horizontal="right" vertical="center"/>
    </xf>
    <xf numFmtId="173" fontId="8" fillId="17" borderId="11" xfId="0" applyNumberFormat="1" applyFont="1" applyFill="1" applyBorder="1" applyAlignment="1">
      <alignment vertical="center"/>
    </xf>
    <xf numFmtId="3" fontId="8" fillId="17" borderId="11" xfId="0" applyNumberFormat="1" applyFont="1" applyFill="1" applyBorder="1" applyAlignment="1">
      <alignment vertical="center"/>
    </xf>
    <xf numFmtId="3" fontId="8" fillId="17" borderId="60" xfId="0" applyNumberFormat="1" applyFont="1" applyFill="1" applyBorder="1" applyAlignment="1">
      <alignment vertical="center"/>
    </xf>
    <xf numFmtId="173" fontId="24" fillId="31" borderId="161" xfId="0" applyNumberFormat="1" applyFont="1" applyFill="1" applyBorder="1" applyAlignment="1">
      <alignment vertical="center"/>
    </xf>
    <xf numFmtId="0" fontId="11" fillId="36" borderId="0" xfId="0" applyFont="1" applyFill="1"/>
    <xf numFmtId="1" fontId="11" fillId="36" borderId="0" xfId="0" applyNumberFormat="1" applyFont="1" applyFill="1"/>
    <xf numFmtId="168" fontId="11" fillId="36" borderId="0" xfId="0" applyNumberFormat="1" applyFont="1" applyFill="1"/>
    <xf numFmtId="0" fontId="11" fillId="6" borderId="0" xfId="0" applyFont="1" applyFill="1"/>
    <xf numFmtId="0" fontId="53" fillId="6" borderId="0" xfId="0" applyFont="1" applyFill="1"/>
    <xf numFmtId="168" fontId="53" fillId="6" borderId="0" xfId="0" applyNumberFormat="1" applyFont="1" applyFill="1"/>
    <xf numFmtId="0" fontId="25" fillId="16" borderId="0" xfId="0" applyFont="1" applyFill="1"/>
    <xf numFmtId="11" fontId="25" fillId="16" borderId="0" xfId="0" applyNumberFormat="1" applyFont="1" applyFill="1"/>
    <xf numFmtId="166" fontId="24" fillId="30" borderId="0" xfId="0" applyNumberFormat="1" applyFont="1" applyFill="1"/>
    <xf numFmtId="0" fontId="54" fillId="26" borderId="172" xfId="0" applyFont="1" applyFill="1" applyBorder="1" applyAlignment="1">
      <alignment wrapText="1"/>
    </xf>
    <xf numFmtId="167" fontId="24" fillId="30" borderId="0" xfId="0" applyNumberFormat="1" applyFont="1" applyFill="1"/>
    <xf numFmtId="0" fontId="36" fillId="2" borderId="59" xfId="0" applyNumberFormat="1" applyFont="1" applyFill="1" applyBorder="1" applyAlignment="1" applyProtection="1">
      <protection locked="0"/>
    </xf>
    <xf numFmtId="0" fontId="42" fillId="0" borderId="175" xfId="0" applyNumberFormat="1" applyFont="1" applyBorder="1" applyAlignment="1"/>
    <xf numFmtId="2" fontId="42" fillId="0" borderId="175" xfId="0" applyNumberFormat="1" applyFont="1" applyBorder="1" applyAlignment="1"/>
    <xf numFmtId="0" fontId="4" fillId="0" borderId="0" xfId="0" applyFont="1"/>
    <xf numFmtId="0" fontId="3" fillId="0" borderId="0" xfId="0" applyFont="1"/>
    <xf numFmtId="10" fontId="3" fillId="36" borderId="0" xfId="1" applyNumberFormat="1" applyFont="1" applyFill="1"/>
    <xf numFmtId="167" fontId="32" fillId="36" borderId="0" xfId="0" applyNumberFormat="1" applyFont="1" applyFill="1"/>
    <xf numFmtId="2" fontId="32" fillId="36" borderId="0" xfId="0" applyNumberFormat="1" applyFont="1" applyFill="1"/>
    <xf numFmtId="166" fontId="32" fillId="36" borderId="0" xfId="0" applyNumberFormat="1" applyFont="1" applyFill="1"/>
    <xf numFmtId="1" fontId="32" fillId="36" borderId="0" xfId="0" applyNumberFormat="1" applyFont="1" applyFill="1"/>
    <xf numFmtId="168" fontId="32" fillId="36" borderId="0" xfId="0" applyNumberFormat="1" applyFont="1" applyFill="1"/>
    <xf numFmtId="0" fontId="32" fillId="6" borderId="0" xfId="0" applyFont="1" applyFill="1"/>
    <xf numFmtId="10" fontId="3" fillId="6" borderId="0" xfId="1" applyNumberFormat="1" applyFont="1" applyFill="1"/>
    <xf numFmtId="167" fontId="32" fillId="6" borderId="0" xfId="0" applyNumberFormat="1" applyFont="1" applyFill="1"/>
    <xf numFmtId="2" fontId="32" fillId="0" borderId="0" xfId="0" applyNumberFormat="1" applyFont="1"/>
    <xf numFmtId="166" fontId="32" fillId="0" borderId="0" xfId="0" applyNumberFormat="1" applyFont="1"/>
    <xf numFmtId="0" fontId="3" fillId="6" borderId="0" xfId="0" applyFont="1" applyFill="1"/>
    <xf numFmtId="168" fontId="3" fillId="6" borderId="0" xfId="0" applyNumberFormat="1" applyFont="1" applyFill="1"/>
    <xf numFmtId="168" fontId="32" fillId="0" borderId="0" xfId="0" applyNumberFormat="1" applyFont="1"/>
    <xf numFmtId="0" fontId="3" fillId="35" borderId="0" xfId="0" applyFont="1" applyFill="1" applyBorder="1"/>
    <xf numFmtId="10" fontId="3" fillId="35" borderId="0" xfId="0" applyNumberFormat="1" applyFont="1" applyFill="1" applyBorder="1"/>
    <xf numFmtId="167" fontId="3" fillId="35" borderId="0" xfId="0" applyNumberFormat="1" applyFont="1" applyFill="1" applyBorder="1"/>
    <xf numFmtId="0" fontId="32" fillId="35" borderId="0" xfId="0" applyFont="1" applyFill="1"/>
    <xf numFmtId="166" fontId="69" fillId="0" borderId="0" xfId="0" applyNumberFormat="1" applyFont="1"/>
    <xf numFmtId="166" fontId="69" fillId="36" borderId="0" xfId="0" applyNumberFormat="1" applyFont="1" applyFill="1"/>
    <xf numFmtId="0" fontId="3" fillId="0" borderId="0" xfId="0" applyFont="1" applyFill="1" applyBorder="1"/>
    <xf numFmtId="169" fontId="3" fillId="0" borderId="0" xfId="0" applyNumberFormat="1" applyFont="1"/>
    <xf numFmtId="0" fontId="3" fillId="36" borderId="0" xfId="0" applyFont="1" applyFill="1"/>
    <xf numFmtId="0" fontId="32" fillId="7" borderId="2" xfId="0" applyFont="1" applyFill="1" applyBorder="1" applyAlignment="1">
      <alignment horizontal="left" vertical="center" wrapText="1"/>
    </xf>
    <xf numFmtId="0" fontId="32" fillId="7" borderId="4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14" borderId="0" xfId="0" applyFont="1" applyFill="1"/>
    <xf numFmtId="0" fontId="36" fillId="2" borderId="18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2" fontId="2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57" xfId="0" applyNumberFormat="1" applyFont="1" applyBorder="1" applyAlignment="1">
      <alignment horizontal="left"/>
    </xf>
    <xf numFmtId="0" fontId="2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0" borderId="26" xfId="0" applyNumberFormat="1" applyFont="1" applyFill="1" applyBorder="1" applyAlignment="1" applyProtection="1">
      <protection locked="0"/>
    </xf>
    <xf numFmtId="165" fontId="36" fillId="0" borderId="2" xfId="0" applyNumberFormat="1" applyFont="1" applyFill="1" applyBorder="1" applyAlignment="1" applyProtection="1">
      <protection locked="0"/>
    </xf>
    <xf numFmtId="2" fontId="29" fillId="0" borderId="2" xfId="0" applyNumberFormat="1" applyFont="1" applyFill="1" applyBorder="1" applyAlignment="1" applyProtection="1">
      <protection locked="0"/>
    </xf>
    <xf numFmtId="165" fontId="29" fillId="0" borderId="2" xfId="0" applyNumberFormat="1" applyFont="1" applyFill="1" applyBorder="1" applyAlignment="1" applyProtection="1">
      <protection locked="0"/>
    </xf>
    <xf numFmtId="165" fontId="71" fillId="0" borderId="0" xfId="0" applyNumberFormat="1" applyFont="1"/>
    <xf numFmtId="0" fontId="25" fillId="40" borderId="6" xfId="0" applyFont="1" applyFill="1" applyBorder="1" applyAlignment="1">
      <alignment horizontal="left" vertical="center"/>
    </xf>
    <xf numFmtId="0" fontId="25" fillId="40" borderId="6" xfId="0" applyFont="1" applyFill="1" applyBorder="1" applyAlignment="1" applyProtection="1">
      <alignment horizontal="left" vertical="center"/>
      <protection locked="0"/>
    </xf>
    <xf numFmtId="0" fontId="2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2" fillId="0" borderId="0" xfId="5"/>
    <xf numFmtId="0" fontId="72" fillId="0" borderId="0" xfId="5" applyFont="1" applyAlignment="1">
      <alignment horizontal="left"/>
    </xf>
    <xf numFmtId="169" fontId="72" fillId="0" borderId="0" xfId="5" applyNumberFormat="1" applyFont="1"/>
    <xf numFmtId="169" fontId="2" fillId="0" borderId="0" xfId="5" applyNumberFormat="1"/>
    <xf numFmtId="0" fontId="12" fillId="2" borderId="3" xfId="5" applyFont="1" applyFill="1" applyBorder="1" applyAlignment="1">
      <alignment horizontal="left"/>
    </xf>
    <xf numFmtId="0" fontId="12" fillId="2" borderId="5" xfId="5" applyFont="1" applyFill="1" applyBorder="1" applyAlignment="1">
      <alignment horizontal="left"/>
    </xf>
    <xf numFmtId="0" fontId="12" fillId="2" borderId="3" xfId="5" applyFont="1" applyFill="1" applyBorder="1" applyAlignment="1">
      <alignment horizontal="center"/>
    </xf>
    <xf numFmtId="169" fontId="12" fillId="2" borderId="3" xfId="5" applyNumberFormat="1" applyFont="1" applyFill="1" applyBorder="1" applyAlignment="1">
      <alignment horizontal="left"/>
    </xf>
    <xf numFmtId="169" fontId="12" fillId="2" borderId="5" xfId="5" applyNumberFormat="1" applyFont="1" applyFill="1" applyBorder="1" applyAlignment="1">
      <alignment horizontal="left"/>
    </xf>
    <xf numFmtId="0" fontId="73" fillId="41" borderId="4" xfId="4" applyFont="1" applyBorder="1" applyAlignment="1">
      <alignment horizontal="left" wrapText="1"/>
    </xf>
    <xf numFmtId="169" fontId="73" fillId="41" borderId="4" xfId="4" applyNumberFormat="1" applyFont="1" applyBorder="1" applyAlignment="1">
      <alignment horizontal="left" wrapText="1"/>
    </xf>
    <xf numFmtId="0" fontId="73" fillId="41" borderId="4" xfId="4" applyFont="1" applyBorder="1" applyAlignment="1">
      <alignment horizontal="center" wrapText="1"/>
    </xf>
    <xf numFmtId="169" fontId="73" fillId="41" borderId="4" xfId="4" applyNumberFormat="1" applyFont="1" applyBorder="1" applyAlignment="1">
      <alignment horizontal="center" wrapText="1"/>
    </xf>
    <xf numFmtId="169" fontId="11" fillId="0" borderId="0" xfId="5" applyNumberFormat="1" applyFont="1"/>
    <xf numFmtId="0" fontId="11" fillId="0" borderId="0" xfId="5" applyFont="1"/>
    <xf numFmtId="0" fontId="53" fillId="0" borderId="0" xfId="5" applyFont="1"/>
    <xf numFmtId="169" fontId="53" fillId="0" borderId="0" xfId="5" applyNumberFormat="1" applyFont="1"/>
    <xf numFmtId="169" fontId="53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1" fillId="36" borderId="0" xfId="0" applyNumberFormat="1" applyFont="1" applyFill="1"/>
    <xf numFmtId="2" fontId="29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57" xfId="0" applyNumberFormat="1" applyFont="1" applyFill="1" applyBorder="1" applyAlignment="1">
      <alignment horizontal="left"/>
    </xf>
    <xf numFmtId="2" fontId="50" fillId="35" borderId="158" xfId="0" applyNumberFormat="1" applyFont="1" applyFill="1" applyBorder="1" applyAlignment="1">
      <alignment horizontal="left"/>
    </xf>
    <xf numFmtId="166" fontId="42" fillId="0" borderId="157" xfId="0" applyNumberFormat="1" applyFont="1" applyBorder="1" applyAlignment="1">
      <alignment horizontal="left"/>
    </xf>
    <xf numFmtId="165" fontId="3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1" fillId="0" borderId="0" xfId="0" applyFont="1" applyFill="1" applyAlignment="1">
      <alignment horizontal="right"/>
    </xf>
    <xf numFmtId="166" fontId="42" fillId="0" borderId="142" xfId="0" applyNumberFormat="1" applyFont="1" applyBorder="1" applyAlignment="1">
      <alignment horizontal="left"/>
    </xf>
    <xf numFmtId="0" fontId="2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0" borderId="139" xfId="0" applyNumberFormat="1" applyFont="1" applyBorder="1" applyAlignment="1"/>
    <xf numFmtId="0" fontId="42" fillId="42" borderId="139" xfId="0" applyNumberFormat="1" applyFont="1" applyFill="1" applyBorder="1" applyAlignment="1"/>
    <xf numFmtId="0" fontId="29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39" borderId="139" xfId="0" applyNumberFormat="1" applyFont="1" applyFill="1" applyBorder="1" applyAlignment="1"/>
    <xf numFmtId="2" fontId="2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70" xfId="0" applyNumberFormat="1" applyFont="1" applyBorder="1" applyAlignment="1">
      <alignment horizontal="left"/>
    </xf>
    <xf numFmtId="2" fontId="29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70" xfId="0" applyNumberFormat="1" applyFont="1" applyFill="1" applyBorder="1" applyAlignment="1">
      <alignment horizontal="left"/>
    </xf>
    <xf numFmtId="2" fontId="50" fillId="32" borderId="177" xfId="0" applyNumberFormat="1" applyFont="1" applyFill="1" applyBorder="1" applyAlignment="1">
      <alignment horizontal="left"/>
    </xf>
    <xf numFmtId="0" fontId="36" fillId="2" borderId="0" xfId="0" applyNumberFormat="1" applyFont="1" applyFill="1" applyBorder="1" applyAlignment="1" applyProtection="1">
      <alignment horizontal="center"/>
      <protection locked="0"/>
    </xf>
    <xf numFmtId="0" fontId="36" fillId="2" borderId="145" xfId="0" applyNumberFormat="1" applyFont="1" applyFill="1" applyBorder="1" applyAlignment="1" applyProtection="1">
      <alignment horizontal="center"/>
      <protection locked="0"/>
    </xf>
    <xf numFmtId="166" fontId="2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" xfId="0" applyNumberFormat="1" applyFont="1" applyBorder="1" applyAlignment="1">
      <alignment horizontal="left"/>
    </xf>
    <xf numFmtId="0" fontId="36" fillId="2" borderId="18" xfId="0" applyNumberFormat="1" applyFont="1" applyFill="1" applyBorder="1" applyAlignment="1" applyProtection="1">
      <protection locked="0"/>
    </xf>
    <xf numFmtId="0" fontId="36" fillId="2" borderId="55" xfId="0" applyNumberFormat="1" applyFont="1" applyFill="1" applyBorder="1" applyAlignment="1" applyProtection="1">
      <protection locked="0"/>
    </xf>
    <xf numFmtId="0" fontId="36" fillId="2" borderId="56" xfId="0" applyNumberFormat="1" applyFont="1" applyFill="1" applyBorder="1" applyAlignment="1" applyProtection="1">
      <alignment horizontal="center"/>
      <protection locked="0"/>
    </xf>
    <xf numFmtId="0" fontId="36" fillId="2" borderId="54" xfId="0" applyNumberFormat="1" applyFont="1" applyFill="1" applyBorder="1" applyAlignment="1" applyProtection="1">
      <alignment horizontal="center"/>
      <protection locked="0"/>
    </xf>
    <xf numFmtId="166" fontId="2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>
      <alignment horizontal="left"/>
    </xf>
    <xf numFmtId="166" fontId="42" fillId="0" borderId="140" xfId="0" applyNumberFormat="1" applyFont="1" applyBorder="1" applyAlignment="1">
      <alignment horizontal="left"/>
    </xf>
    <xf numFmtId="166" fontId="42" fillId="0" borderId="61" xfId="0" applyNumberFormat="1" applyFont="1" applyBorder="1" applyAlignment="1">
      <alignment horizontal="left"/>
    </xf>
    <xf numFmtId="166" fontId="42" fillId="0" borderId="11" xfId="0" applyNumberFormat="1" applyFont="1" applyBorder="1" applyAlignment="1">
      <alignment horizontal="left"/>
    </xf>
    <xf numFmtId="166" fontId="42" fillId="0" borderId="60" xfId="0" applyNumberFormat="1" applyFont="1" applyBorder="1" applyAlignment="1">
      <alignment horizontal="left"/>
    </xf>
    <xf numFmtId="166" fontId="2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/>
    <xf numFmtId="166" fontId="42" fillId="0" borderId="61" xfId="0" applyNumberFormat="1" applyFont="1" applyBorder="1" applyAlignment="1"/>
    <xf numFmtId="2" fontId="42" fillId="24" borderId="170" xfId="0" applyNumberFormat="1" applyFont="1" applyFill="1" applyBorder="1" applyAlignment="1">
      <alignment horizontal="left"/>
    </xf>
    <xf numFmtId="2" fontId="42" fillId="24" borderId="157" xfId="0" applyNumberFormat="1" applyFont="1" applyFill="1" applyBorder="1" applyAlignment="1">
      <alignment horizontal="left"/>
    </xf>
    <xf numFmtId="2" fontId="2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8" fillId="0" borderId="0" xfId="0" applyNumberFormat="1" applyFont="1"/>
    <xf numFmtId="2" fontId="69" fillId="0" borderId="0" xfId="0" applyNumberFormat="1" applyFont="1"/>
    <xf numFmtId="2" fontId="69" fillId="36" borderId="0" xfId="0" applyNumberFormat="1" applyFont="1" applyFill="1"/>
    <xf numFmtId="165" fontId="3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2" borderId="145" xfId="0" applyNumberFormat="1" applyFont="1" applyFill="1" applyBorder="1" applyAlignment="1" applyProtection="1">
      <alignment vertical="center" wrapText="1"/>
      <protection locked="0"/>
    </xf>
    <xf numFmtId="165" fontId="70" fillId="0" borderId="156" xfId="0" applyNumberFormat="1" applyFont="1" applyBorder="1" applyAlignment="1">
      <alignment horizontal="left"/>
    </xf>
    <xf numFmtId="165" fontId="70" fillId="0" borderId="142" xfId="0" applyNumberFormat="1" applyFont="1" applyBorder="1" applyAlignment="1">
      <alignment horizontal="left"/>
    </xf>
    <xf numFmtId="2" fontId="42" fillId="24" borderId="177" xfId="0" applyNumberFormat="1" applyFont="1" applyFill="1" applyBorder="1" applyAlignment="1">
      <alignment horizontal="left"/>
    </xf>
    <xf numFmtId="167" fontId="63" fillId="30" borderId="106" xfId="0" applyNumberFormat="1" applyFont="1" applyFill="1" applyBorder="1" applyAlignment="1" applyProtection="1">
      <protection locked="0"/>
    </xf>
    <xf numFmtId="167" fontId="63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6" fontId="42" fillId="39" borderId="136" xfId="0" applyNumberFormat="1" applyFont="1" applyFill="1" applyBorder="1" applyAlignment="1">
      <alignment horizontal="left"/>
    </xf>
    <xf numFmtId="166" fontId="42" fillId="39" borderId="1" xfId="0" applyNumberFormat="1" applyFont="1" applyFill="1" applyBorder="1" applyAlignment="1">
      <alignment horizontal="left"/>
    </xf>
    <xf numFmtId="166" fontId="42" fillId="39" borderId="140" xfId="0" applyNumberFormat="1" applyFont="1" applyFill="1" applyBorder="1" applyAlignment="1">
      <alignment horizontal="left"/>
    </xf>
    <xf numFmtId="4" fontId="11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4" fillId="19" borderId="106" xfId="0" applyNumberFormat="1" applyFont="1" applyFill="1" applyBorder="1" applyAlignment="1">
      <alignment horizontal="center"/>
    </xf>
    <xf numFmtId="0" fontId="1" fillId="0" borderId="0" xfId="0" applyFont="1"/>
    <xf numFmtId="10" fontId="76" fillId="36" borderId="0" xfId="1" applyNumberFormat="1" applyFont="1" applyFill="1"/>
    <xf numFmtId="0" fontId="42" fillId="6" borderId="0" xfId="0" applyFont="1" applyFill="1" applyAlignment="1">
      <alignment horizontal="left" vertical="center"/>
    </xf>
    <xf numFmtId="0" fontId="46" fillId="6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vertical="center"/>
    </xf>
    <xf numFmtId="0" fontId="32" fillId="6" borderId="0" xfId="0" applyFont="1" applyFill="1" applyBorder="1" applyAlignment="1">
      <alignment vertical="center"/>
    </xf>
    <xf numFmtId="0" fontId="29" fillId="0" borderId="0" xfId="0" applyFont="1" applyFill="1" applyAlignment="1">
      <alignment horizontal="left"/>
    </xf>
    <xf numFmtId="164" fontId="12" fillId="13" borderId="12" xfId="0" applyNumberFormat="1" applyFont="1" applyFill="1" applyBorder="1" applyAlignment="1">
      <alignment horizontal="center" vertical="center"/>
    </xf>
    <xf numFmtId="164" fontId="12" fillId="13" borderId="0" xfId="0" applyNumberFormat="1" applyFont="1" applyFill="1" applyAlignment="1">
      <alignment horizontal="center" vertical="center"/>
    </xf>
    <xf numFmtId="164" fontId="12" fillId="13" borderId="19" xfId="0" applyNumberFormat="1" applyFont="1" applyFill="1" applyBorder="1" applyAlignment="1">
      <alignment horizontal="center" vertical="center"/>
    </xf>
    <xf numFmtId="164" fontId="12" fillId="13" borderId="5" xfId="0" applyNumberFormat="1" applyFont="1" applyFill="1" applyBorder="1" applyAlignment="1">
      <alignment horizontal="center" vertical="center"/>
    </xf>
    <xf numFmtId="164" fontId="12" fillId="13" borderId="15" xfId="0" applyNumberFormat="1" applyFont="1" applyFill="1" applyBorder="1" applyAlignment="1">
      <alignment horizontal="center" vertical="center"/>
    </xf>
    <xf numFmtId="2" fontId="2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6" fillId="2" borderId="7" xfId="0" applyNumberFormat="1" applyFont="1" applyFill="1" applyBorder="1" applyAlignment="1" applyProtection="1">
      <alignment horizontal="center"/>
      <protection locked="0"/>
    </xf>
    <xf numFmtId="0" fontId="36" fillId="2" borderId="8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63" fillId="35" borderId="59" xfId="0" applyNumberFormat="1" applyFont="1" applyFill="1" applyBorder="1" applyAlignment="1" applyProtection="1">
      <alignment horizontal="center" wrapText="1"/>
      <protection locked="0"/>
    </xf>
    <xf numFmtId="0" fontId="63" fillId="35" borderId="26" xfId="0" applyNumberFormat="1" applyFont="1" applyFill="1" applyBorder="1" applyAlignment="1" applyProtection="1">
      <alignment horizontal="center" wrapText="1"/>
      <protection locked="0"/>
    </xf>
    <xf numFmtId="0" fontId="36" fillId="2" borderId="7" xfId="0" applyNumberFormat="1" applyFont="1" applyFill="1" applyBorder="1" applyAlignment="1" applyProtection="1">
      <alignment horizontal="center" wrapText="1"/>
      <protection locked="0"/>
    </xf>
    <xf numFmtId="0" fontId="36" fillId="2" borderId="8" xfId="0" applyNumberFormat="1" applyFont="1" applyFill="1" applyBorder="1" applyAlignment="1" applyProtection="1">
      <alignment horizontal="center" wrapText="1"/>
      <protection locked="0"/>
    </xf>
    <xf numFmtId="2" fontId="42" fillId="0" borderId="68" xfId="0" applyNumberFormat="1" applyFont="1" applyBorder="1" applyAlignment="1">
      <alignment horizontal="center"/>
    </xf>
    <xf numFmtId="2" fontId="42" fillId="0" borderId="169" xfId="0" applyNumberFormat="1" applyFont="1" applyBorder="1" applyAlignment="1">
      <alignment horizontal="center"/>
    </xf>
    <xf numFmtId="2" fontId="2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2" fillId="0" borderId="65" xfId="0" applyNumberFormat="1" applyFont="1" applyBorder="1" applyAlignment="1">
      <alignment horizontal="center"/>
    </xf>
    <xf numFmtId="2" fontId="42" fillId="0" borderId="171" xfId="0" applyNumberFormat="1" applyFont="1" applyBorder="1" applyAlignment="1">
      <alignment horizontal="center"/>
    </xf>
    <xf numFmtId="2" fontId="2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3" fillId="18" borderId="0" xfId="0" applyFont="1" applyFill="1" applyAlignment="1">
      <alignment horizontal="center" vertical="center"/>
    </xf>
    <xf numFmtId="0" fontId="43" fillId="15" borderId="0" xfId="0" applyFont="1" applyFill="1" applyAlignment="1">
      <alignment horizontal="center" vertical="center"/>
    </xf>
    <xf numFmtId="0" fontId="37" fillId="3" borderId="0" xfId="0" applyNumberFormat="1" applyFont="1" applyFill="1" applyBorder="1" applyAlignment="1" applyProtection="1">
      <alignment horizontal="center" vertical="center"/>
    </xf>
    <xf numFmtId="0" fontId="26" fillId="28" borderId="0" xfId="0" applyFont="1" applyFill="1" applyAlignment="1">
      <alignment horizontal="center"/>
    </xf>
    <xf numFmtId="0" fontId="26" fillId="28" borderId="145" xfId="0" applyFont="1" applyFill="1" applyBorder="1" applyAlignment="1">
      <alignment horizontal="center"/>
    </xf>
    <xf numFmtId="0" fontId="25" fillId="12" borderId="113" xfId="0" applyFont="1" applyFill="1" applyBorder="1" applyAlignment="1">
      <alignment horizontal="center" vertical="center"/>
    </xf>
    <xf numFmtId="0" fontId="25" fillId="12" borderId="106" xfId="0" applyFont="1" applyFill="1" applyBorder="1" applyAlignment="1">
      <alignment horizontal="center" vertical="center"/>
    </xf>
    <xf numFmtId="0" fontId="25" fillId="12" borderId="146" xfId="0" applyFont="1" applyFill="1" applyBorder="1" applyAlignment="1">
      <alignment horizontal="center" vertical="center"/>
    </xf>
    <xf numFmtId="0" fontId="58" fillId="28" borderId="59" xfId="0" quotePrefix="1" applyFont="1" applyFill="1" applyBorder="1" applyAlignment="1">
      <alignment horizontal="center" vertical="center"/>
    </xf>
    <xf numFmtId="0" fontId="58" fillId="28" borderId="18" xfId="0" quotePrefix="1" applyFont="1" applyFill="1" applyBorder="1" applyAlignment="1">
      <alignment horizontal="center" vertical="center"/>
    </xf>
    <xf numFmtId="0" fontId="58" fillId="28" borderId="143" xfId="0" quotePrefix="1" applyFont="1" applyFill="1" applyBorder="1" applyAlignment="1">
      <alignment horizontal="center" vertical="center"/>
    </xf>
    <xf numFmtId="0" fontId="43" fillId="18" borderId="2" xfId="0" applyFont="1" applyFill="1" applyBorder="1" applyAlignment="1">
      <alignment horizontal="center" vertical="center"/>
    </xf>
    <xf numFmtId="0" fontId="54" fillId="28" borderId="113" xfId="0" applyFont="1" applyFill="1" applyBorder="1" applyAlignment="1">
      <alignment horizontal="center"/>
    </xf>
    <xf numFmtId="0" fontId="54" fillId="28" borderId="106" xfId="0" applyFont="1" applyFill="1" applyBorder="1" applyAlignment="1">
      <alignment horizontal="center"/>
    </xf>
    <xf numFmtId="0" fontId="54" fillId="28" borderId="146" xfId="0" applyFont="1" applyFill="1" applyBorder="1" applyAlignment="1">
      <alignment horizontal="center"/>
    </xf>
    <xf numFmtId="0" fontId="58" fillId="26" borderId="113" xfId="0" quotePrefix="1" applyFont="1" applyFill="1" applyBorder="1" applyAlignment="1">
      <alignment horizontal="center"/>
    </xf>
    <xf numFmtId="0" fontId="58" fillId="26" borderId="106" xfId="0" quotePrefix="1" applyFont="1" applyFill="1" applyBorder="1" applyAlignment="1">
      <alignment horizontal="center"/>
    </xf>
    <xf numFmtId="0" fontId="58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54" t="s">
        <v>683</v>
      </c>
      <c r="B17" s="1054"/>
      <c r="C17" s="1054"/>
      <c r="D17" s="1054"/>
      <c r="E17" s="1054"/>
      <c r="F17" s="1054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55" t="s">
        <v>684</v>
      </c>
      <c r="C20" s="1055"/>
      <c r="D20" s="1055"/>
      <c r="E20" s="1055"/>
      <c r="F20" s="1055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56" t="s">
        <v>1</v>
      </c>
      <c r="C21" s="1056"/>
      <c r="D21" s="1056"/>
      <c r="E21" s="1056"/>
      <c r="F21" s="1056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56" t="s">
        <v>686</v>
      </c>
      <c r="C22" s="1056"/>
      <c r="D22" s="1056"/>
      <c r="E22" s="1056"/>
      <c r="F22" s="1056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57"/>
      <c r="B25" s="1057"/>
      <c r="C25" s="1057"/>
      <c r="D25" s="1057"/>
      <c r="E25" s="1057"/>
      <c r="F25" s="1057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53"/>
      <c r="B26" s="1053"/>
      <c r="C26" s="1053"/>
      <c r="D26" s="1053"/>
      <c r="E26" s="1053"/>
      <c r="F26" s="1053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  <sheetView workbookViewId="1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  <sheetView workbookViewId="1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59" t="str" cm="1">
        <f t="array" ref="C3">INDEX(C5:C7,$A$4)</f>
        <v>IE</v>
      </c>
      <c r="D3" s="959" t="str" cm="1">
        <f t="array" ref="D3">INDEX(D5:D7,$A$4)</f>
        <v>National</v>
      </c>
      <c r="E3" s="959" t="str" cm="1">
        <f t="array" ref="E3">INDEX(E5:E7,$A$4)</f>
        <v>IE-CW</v>
      </c>
      <c r="F3" s="959" t="str" cm="1">
        <f t="array" ref="F3">INDEX(F5:F7,$A$4)</f>
        <v>IE-D</v>
      </c>
      <c r="G3" s="959" t="str" cm="1">
        <f t="array" ref="G3">INDEX(G5:G7,$A$4)</f>
        <v>IE-KE</v>
      </c>
      <c r="H3" s="959" t="str" cm="1">
        <f t="array" ref="H3">INDEX(H5:H7,$A$4)</f>
        <v>IE-KK</v>
      </c>
      <c r="I3" s="959" t="str" cm="1">
        <f t="array" ref="I3">INDEX(I5:I7,$A$4)</f>
        <v>IE-LS</v>
      </c>
      <c r="J3" s="959" t="str" cm="1">
        <f t="array" ref="J3">INDEX(J5:J7,$A$4)</f>
        <v>IE-LD</v>
      </c>
      <c r="K3" s="959" t="str" cm="1">
        <f t="array" ref="K3">INDEX(K5:K7,$A$4)</f>
        <v>IE-LH</v>
      </c>
      <c r="L3" s="959" t="str" cm="1">
        <f t="array" ref="L3">INDEX(L5:L7,$A$4)</f>
        <v>IE-MH</v>
      </c>
      <c r="M3" s="959" t="str" cm="1">
        <f t="array" ref="M3">INDEX(M5:M7,$A$4)</f>
        <v>IE-OY</v>
      </c>
      <c r="N3" s="959" t="str" cm="1">
        <f t="array" ref="N3">INDEX(N5:N7,$A$4)</f>
        <v>IE-WH</v>
      </c>
      <c r="O3" s="959" t="str" cm="1">
        <f t="array" ref="O3">INDEX(O5:O7,$A$4)</f>
        <v>IE-WX</v>
      </c>
      <c r="P3" s="959" t="str" cm="1">
        <f t="array" ref="P3">INDEX(P5:P7,$A$4)</f>
        <v>IE-WW</v>
      </c>
      <c r="Q3" s="959" t="str" cm="1">
        <f t="array" ref="Q3">INDEX(Q5:Q7,$A$4)</f>
        <v>IE-CE</v>
      </c>
      <c r="R3" s="959" t="str" cm="1">
        <f t="array" ref="R3">INDEX(R5:R7,$A$4)</f>
        <v>IE-CO</v>
      </c>
      <c r="S3" s="959" t="str" cm="1">
        <f t="array" ref="S3">INDEX(S5:S7,$A$4)</f>
        <v>IE-KY</v>
      </c>
      <c r="T3" s="959" t="str" cm="1">
        <f t="array" ref="T3">INDEX(T5:T7,$A$4)</f>
        <v>IE-LK</v>
      </c>
      <c r="U3" s="959" t="str" cm="1">
        <f t="array" ref="U3">INDEX(U5:U7,$A$4)</f>
        <v>IE-TA</v>
      </c>
      <c r="V3" s="959" t="str" cm="1">
        <f t="array" ref="V3">INDEX(V5:V7,$A$4)</f>
        <v>IE-WD</v>
      </c>
      <c r="W3" s="959" t="str" cm="1">
        <f t="array" ref="W3">INDEX(W5:W7,$A$4)</f>
        <v>IE-G</v>
      </c>
      <c r="X3" s="959" t="str" cm="1">
        <f t="array" ref="X3">INDEX(X5:X7,$A$4)</f>
        <v>IE-LM</v>
      </c>
      <c r="Y3" s="959" t="str" cm="1">
        <f t="array" ref="Y3">INDEX(Y5:Y7,$A$4)</f>
        <v>IE-MO</v>
      </c>
      <c r="Z3" s="959" t="str" cm="1">
        <f t="array" ref="Z3">INDEX(Z5:Z7,$A$4)</f>
        <v>IE-RN</v>
      </c>
      <c r="AA3" s="959" t="str" cm="1">
        <f t="array" ref="AA3">INDEX(AA5:AA7,$A$4)</f>
        <v>IE-SO</v>
      </c>
      <c r="AB3" s="959" t="str" cm="1">
        <f t="array" ref="AB3">INDEX(AB5:AB7,$A$4)</f>
        <v>IE-CN</v>
      </c>
      <c r="AC3" s="959" t="str" cm="1">
        <f t="array" ref="AC3">INDEX(AC5:AC7,$A$4)</f>
        <v>IE-DL</v>
      </c>
      <c r="AD3" s="959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0" t="s">
        <v>215</v>
      </c>
      <c r="D5" s="960" t="s">
        <v>875</v>
      </c>
      <c r="E5" s="959" t="str">
        <f>A11</f>
        <v>IE-CW</v>
      </c>
      <c r="F5" s="959" t="str">
        <f>A16</f>
        <v>IE-D</v>
      </c>
      <c r="G5" s="959" t="str">
        <f>A19</f>
        <v>IE-KE</v>
      </c>
      <c r="H5" s="959" t="str">
        <f>A20</f>
        <v>IE-KK</v>
      </c>
      <c r="I5" s="959" t="str">
        <f>A21</f>
        <v>IE-LS</v>
      </c>
      <c r="J5" s="959" t="str">
        <f>A24</f>
        <v>IE-LD</v>
      </c>
      <c r="K5" s="959" t="str">
        <f>A25</f>
        <v>IE-LH</v>
      </c>
      <c r="L5" s="959" t="str">
        <f>A27</f>
        <v>IE-MH</v>
      </c>
      <c r="M5" s="959" t="str">
        <f>A29</f>
        <v>IE-OY</v>
      </c>
      <c r="N5" s="959" t="str">
        <f>A34</f>
        <v>IE-WH</v>
      </c>
      <c r="O5" s="959" t="str">
        <f>A35</f>
        <v>IE-WX</v>
      </c>
      <c r="P5" s="959" t="str">
        <f>A36</f>
        <v>IE-WW</v>
      </c>
      <c r="Q5" s="959" t="str">
        <f>A13</f>
        <v>IE-CE</v>
      </c>
      <c r="R5" s="959" t="str">
        <f>A14</f>
        <v>IE-CO</v>
      </c>
      <c r="S5" s="959" t="str">
        <f>A18</f>
        <v>IE-KY</v>
      </c>
      <c r="T5" s="959" t="str">
        <f>A23</f>
        <v>IE-LK</v>
      </c>
      <c r="U5" s="959" t="str">
        <f>A32</f>
        <v>IE-TA</v>
      </c>
      <c r="V5" s="959" t="str">
        <f>A33</f>
        <v>IE-WD</v>
      </c>
      <c r="W5" s="959" t="str">
        <f>A17</f>
        <v>IE-G</v>
      </c>
      <c r="X5" s="959" t="str">
        <f>A22</f>
        <v>IE-LM</v>
      </c>
      <c r="Y5" s="959" t="str">
        <f>A26</f>
        <v>IE-MO</v>
      </c>
      <c r="Z5" s="959" t="str">
        <f>A30</f>
        <v>IE-RN</v>
      </c>
      <c r="AA5" s="959" t="str">
        <f>A31</f>
        <v>IE-SO</v>
      </c>
      <c r="AB5" s="959" t="str">
        <f>A12</f>
        <v>IE-CN</v>
      </c>
      <c r="AC5" s="959" t="str">
        <f>A15</f>
        <v>IE-DL</v>
      </c>
      <c r="AD5" s="959" t="str">
        <f>A28</f>
        <v>IE-MN</v>
      </c>
    </row>
    <row r="6" spans="1:30" ht="15">
      <c r="A6" s="650" t="s">
        <v>876</v>
      </c>
      <c r="C6" s="959" t="str">
        <f>C5</f>
        <v>IE</v>
      </c>
      <c r="D6" s="959" t="str">
        <f>"*"&amp;D5</f>
        <v>*National</v>
      </c>
      <c r="E6" s="959" t="str">
        <f>"*"&amp;E5</f>
        <v>*IE-CW</v>
      </c>
      <c r="F6" s="959" t="str">
        <f t="shared" ref="F6:AD6" si="0">"*"&amp;F5</f>
        <v>*IE-D</v>
      </c>
      <c r="G6" s="959" t="str">
        <f t="shared" si="0"/>
        <v>*IE-KE</v>
      </c>
      <c r="H6" s="959" t="str">
        <f t="shared" si="0"/>
        <v>*IE-KK</v>
      </c>
      <c r="I6" s="959" t="str">
        <f t="shared" si="0"/>
        <v>*IE-LS</v>
      </c>
      <c r="J6" s="959" t="str">
        <f t="shared" si="0"/>
        <v>*IE-LD</v>
      </c>
      <c r="K6" s="959" t="str">
        <f t="shared" si="0"/>
        <v>*IE-LH</v>
      </c>
      <c r="L6" s="959" t="str">
        <f t="shared" si="0"/>
        <v>*IE-MH</v>
      </c>
      <c r="M6" s="959" t="str">
        <f t="shared" si="0"/>
        <v>*IE-OY</v>
      </c>
      <c r="N6" s="959" t="str">
        <f t="shared" si="0"/>
        <v>*IE-WH</v>
      </c>
      <c r="O6" s="959" t="str">
        <f t="shared" si="0"/>
        <v>*IE-WX</v>
      </c>
      <c r="P6" s="959" t="str">
        <f t="shared" si="0"/>
        <v>*IE-WW</v>
      </c>
      <c r="Q6" s="959" t="str">
        <f t="shared" si="0"/>
        <v>*IE-CE</v>
      </c>
      <c r="R6" s="959" t="str">
        <f t="shared" si="0"/>
        <v>*IE-CO</v>
      </c>
      <c r="S6" s="959" t="str">
        <f t="shared" si="0"/>
        <v>*IE-KY</v>
      </c>
      <c r="T6" s="959" t="str">
        <f t="shared" si="0"/>
        <v>*IE-LK</v>
      </c>
      <c r="U6" s="959" t="str">
        <f t="shared" si="0"/>
        <v>*IE-TA</v>
      </c>
      <c r="V6" s="959" t="str">
        <f t="shared" si="0"/>
        <v>*IE-WD</v>
      </c>
      <c r="W6" s="959" t="str">
        <f t="shared" si="0"/>
        <v>*IE-G</v>
      </c>
      <c r="X6" s="959" t="str">
        <f t="shared" si="0"/>
        <v>*IE-LM</v>
      </c>
      <c r="Y6" s="959" t="str">
        <f t="shared" si="0"/>
        <v>*IE-MO</v>
      </c>
      <c r="Z6" s="959" t="str">
        <f t="shared" si="0"/>
        <v>*IE-RN</v>
      </c>
      <c r="AA6" s="959" t="str">
        <f t="shared" si="0"/>
        <v>*IE-SO</v>
      </c>
      <c r="AB6" s="959" t="str">
        <f t="shared" si="0"/>
        <v>*IE-CN</v>
      </c>
      <c r="AC6" s="959" t="str">
        <f t="shared" si="0"/>
        <v>*IE-DL</v>
      </c>
      <c r="AD6" s="959" t="str">
        <f t="shared" si="0"/>
        <v>*IE-MN</v>
      </c>
    </row>
    <row r="7" spans="1:30" ht="15">
      <c r="A7" s="650" t="s">
        <v>877</v>
      </c>
      <c r="C7" s="959" t="str">
        <f>"*"&amp;C5</f>
        <v>*IE</v>
      </c>
      <c r="D7" s="959" t="str">
        <f>D5</f>
        <v>National</v>
      </c>
      <c r="E7" s="959" t="str">
        <f t="shared" ref="E7:AD7" si="1">E5</f>
        <v>IE-CW</v>
      </c>
      <c r="F7" s="959" t="str">
        <f t="shared" si="1"/>
        <v>IE-D</v>
      </c>
      <c r="G7" s="959" t="str">
        <f t="shared" si="1"/>
        <v>IE-KE</v>
      </c>
      <c r="H7" s="959" t="str">
        <f t="shared" si="1"/>
        <v>IE-KK</v>
      </c>
      <c r="I7" s="959" t="str">
        <f t="shared" si="1"/>
        <v>IE-LS</v>
      </c>
      <c r="J7" s="959" t="str">
        <f t="shared" si="1"/>
        <v>IE-LD</v>
      </c>
      <c r="K7" s="959" t="str">
        <f t="shared" si="1"/>
        <v>IE-LH</v>
      </c>
      <c r="L7" s="959" t="str">
        <f t="shared" si="1"/>
        <v>IE-MH</v>
      </c>
      <c r="M7" s="959" t="str">
        <f t="shared" si="1"/>
        <v>IE-OY</v>
      </c>
      <c r="N7" s="959" t="str">
        <f t="shared" si="1"/>
        <v>IE-WH</v>
      </c>
      <c r="O7" s="959" t="str">
        <f t="shared" si="1"/>
        <v>IE-WX</v>
      </c>
      <c r="P7" s="959" t="str">
        <f t="shared" si="1"/>
        <v>IE-WW</v>
      </c>
      <c r="Q7" s="959" t="str">
        <f t="shared" si="1"/>
        <v>IE-CE</v>
      </c>
      <c r="R7" s="959" t="str">
        <f t="shared" si="1"/>
        <v>IE-CO</v>
      </c>
      <c r="S7" s="959" t="str">
        <f t="shared" si="1"/>
        <v>IE-KY</v>
      </c>
      <c r="T7" s="959" t="str">
        <f t="shared" si="1"/>
        <v>IE-LK</v>
      </c>
      <c r="U7" s="959" t="str">
        <f t="shared" si="1"/>
        <v>IE-TA</v>
      </c>
      <c r="V7" s="959" t="str">
        <f t="shared" si="1"/>
        <v>IE-WD</v>
      </c>
      <c r="W7" s="959" t="str">
        <f t="shared" si="1"/>
        <v>IE-G</v>
      </c>
      <c r="X7" s="959" t="str">
        <f t="shared" si="1"/>
        <v>IE-LM</v>
      </c>
      <c r="Y7" s="959" t="str">
        <f t="shared" si="1"/>
        <v>IE-MO</v>
      </c>
      <c r="Z7" s="959" t="str">
        <f t="shared" si="1"/>
        <v>IE-RN</v>
      </c>
      <c r="AA7" s="959" t="str">
        <f t="shared" si="1"/>
        <v>IE-SO</v>
      </c>
      <c r="AB7" s="959" t="str">
        <f t="shared" si="1"/>
        <v>IE-CN</v>
      </c>
      <c r="AC7" s="959" t="str">
        <f t="shared" si="1"/>
        <v>IE-DL</v>
      </c>
      <c r="AD7" s="959" t="str">
        <f t="shared" si="1"/>
        <v>IE-MN</v>
      </c>
    </row>
    <row r="10" spans="1:30" ht="15.75" thickBot="1">
      <c r="A10" s="961" t="s">
        <v>842</v>
      </c>
      <c r="B10" s="961" t="s">
        <v>878</v>
      </c>
    </row>
    <row r="11" spans="1:30">
      <c r="A11" s="962" t="s">
        <v>879</v>
      </c>
      <c r="B11" s="962" t="s">
        <v>326</v>
      </c>
    </row>
    <row r="12" spans="1:30">
      <c r="A12" s="963" t="s">
        <v>880</v>
      </c>
      <c r="B12" s="963" t="s">
        <v>342</v>
      </c>
    </row>
    <row r="13" spans="1:30">
      <c r="A13" s="963" t="s">
        <v>881</v>
      </c>
      <c r="B13" s="963" t="s">
        <v>360</v>
      </c>
    </row>
    <row r="14" spans="1:30">
      <c r="A14" s="963" t="s">
        <v>882</v>
      </c>
      <c r="B14" s="963" t="s">
        <v>364</v>
      </c>
    </row>
    <row r="15" spans="1:30">
      <c r="A15" s="963" t="s">
        <v>883</v>
      </c>
      <c r="B15" s="963" t="s">
        <v>368</v>
      </c>
    </row>
    <row r="16" spans="1:30">
      <c r="A16" s="963" t="s">
        <v>884</v>
      </c>
      <c r="B16" s="963" t="s">
        <v>372</v>
      </c>
    </row>
    <row r="17" spans="1:2">
      <c r="A17" s="963" t="s">
        <v>885</v>
      </c>
      <c r="B17" s="963" t="s">
        <v>374</v>
      </c>
    </row>
    <row r="18" spans="1:2">
      <c r="A18" s="963" t="s">
        <v>886</v>
      </c>
      <c r="B18" s="963" t="s">
        <v>375</v>
      </c>
    </row>
    <row r="19" spans="1:2">
      <c r="A19" s="963" t="s">
        <v>887</v>
      </c>
      <c r="B19" s="963" t="s">
        <v>361</v>
      </c>
    </row>
    <row r="20" spans="1:2">
      <c r="A20" s="963" t="s">
        <v>888</v>
      </c>
      <c r="B20" s="963" t="s">
        <v>362</v>
      </c>
    </row>
    <row r="21" spans="1:2">
      <c r="A21" s="963" t="s">
        <v>889</v>
      </c>
      <c r="B21" s="963" t="s">
        <v>363</v>
      </c>
    </row>
    <row r="22" spans="1:2">
      <c r="A22" s="963" t="s">
        <v>890</v>
      </c>
      <c r="B22" s="963" t="s">
        <v>379</v>
      </c>
    </row>
    <row r="23" spans="1:2">
      <c r="A23" s="963" t="s">
        <v>891</v>
      </c>
      <c r="B23" s="963" t="s">
        <v>376</v>
      </c>
    </row>
    <row r="24" spans="1:2">
      <c r="A24" s="963" t="s">
        <v>892</v>
      </c>
      <c r="B24" s="963" t="s">
        <v>365</v>
      </c>
    </row>
    <row r="25" spans="1:2">
      <c r="A25" s="963" t="s">
        <v>893</v>
      </c>
      <c r="B25" s="963" t="s">
        <v>366</v>
      </c>
    </row>
    <row r="26" spans="1:2">
      <c r="A26" s="963" t="s">
        <v>894</v>
      </c>
      <c r="B26" s="963" t="s">
        <v>380</v>
      </c>
    </row>
    <row r="27" spans="1:2">
      <c r="A27" s="963" t="s">
        <v>895</v>
      </c>
      <c r="B27" s="963" t="s">
        <v>367</v>
      </c>
    </row>
    <row r="28" spans="1:2">
      <c r="A28" s="963" t="s">
        <v>896</v>
      </c>
      <c r="B28" s="963" t="s">
        <v>383</v>
      </c>
    </row>
    <row r="29" spans="1:2">
      <c r="A29" s="963" t="s">
        <v>897</v>
      </c>
      <c r="B29" s="963" t="s">
        <v>369</v>
      </c>
    </row>
    <row r="30" spans="1:2">
      <c r="A30" s="963" t="s">
        <v>898</v>
      </c>
      <c r="B30" s="963" t="s">
        <v>381</v>
      </c>
    </row>
    <row r="31" spans="1:2">
      <c r="A31" s="963" t="s">
        <v>899</v>
      </c>
      <c r="B31" s="963" t="s">
        <v>382</v>
      </c>
    </row>
    <row r="32" spans="1:2">
      <c r="A32" s="963" t="s">
        <v>900</v>
      </c>
      <c r="B32" s="963" t="s">
        <v>377</v>
      </c>
    </row>
    <row r="33" spans="1:2">
      <c r="A33" s="963" t="s">
        <v>901</v>
      </c>
      <c r="B33" s="963" t="s">
        <v>378</v>
      </c>
    </row>
    <row r="34" spans="1:2">
      <c r="A34" s="963" t="s">
        <v>902</v>
      </c>
      <c r="B34" s="963" t="s">
        <v>370</v>
      </c>
    </row>
    <row r="35" spans="1:2">
      <c r="A35" s="963" t="s">
        <v>903</v>
      </c>
      <c r="B35" s="963" t="s">
        <v>371</v>
      </c>
    </row>
    <row r="36" spans="1:2">
      <c r="A36" s="963" t="s">
        <v>904</v>
      </c>
      <c r="B36" s="963" t="s">
        <v>373</v>
      </c>
    </row>
    <row r="37" spans="1:2" ht="15">
      <c r="A37" s="964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  <sheetView workbookViewId="1"/>
  </sheetViews>
  <sheetFormatPr defaultRowHeight="12.75"/>
  <sheetData>
    <row r="24" spans="30:30" ht="23.25">
      <c r="AD24" s="103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  <sheetView workbookViewId="1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58" t="s">
        <v>32</v>
      </c>
      <c r="B1" s="1059"/>
      <c r="C1" s="1059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60" t="s">
        <v>34</v>
      </c>
      <c r="B7" s="1061"/>
      <c r="C7" s="1062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60" t="s">
        <v>35</v>
      </c>
      <c r="B28" s="1061"/>
      <c r="C28" s="1062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60" t="s">
        <v>48</v>
      </c>
      <c r="B35" s="1061"/>
      <c r="C35" s="1062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60" t="s">
        <v>56</v>
      </c>
      <c r="B39" s="1061"/>
      <c r="C39" s="1062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60" t="s">
        <v>75</v>
      </c>
      <c r="B49" s="1061"/>
      <c r="C49" s="1062"/>
    </row>
    <row r="50" spans="1:3">
      <c r="A50" s="675"/>
      <c r="B50" s="654" t="s">
        <v>942</v>
      </c>
      <c r="C50" s="653" t="s">
        <v>241</v>
      </c>
    </row>
    <row r="51" spans="1:3">
      <c r="A51" s="991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991" t="s">
        <v>279</v>
      </c>
      <c r="B61" s="654" t="s">
        <v>952</v>
      </c>
      <c r="C61" s="653" t="s">
        <v>955</v>
      </c>
    </row>
    <row r="62" spans="1:3">
      <c r="A62" s="1060" t="s">
        <v>77</v>
      </c>
      <c r="B62" s="1061"/>
      <c r="C62" s="1062"/>
    </row>
    <row r="63" spans="1:3">
      <c r="A63" s="1060" t="s">
        <v>78</v>
      </c>
      <c r="B63" s="1061"/>
      <c r="C63" s="1062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60" t="s">
        <v>85</v>
      </c>
      <c r="B70" s="1061"/>
      <c r="C70" s="1062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60" t="s">
        <v>558</v>
      </c>
      <c r="B76" s="1061"/>
      <c r="C76" s="1062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60" t="s">
        <v>939</v>
      </c>
      <c r="B84" s="1061"/>
      <c r="C84" s="1062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  <sheetView workbookViewId="1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2" workbookViewId="0">
      <selection activeCell="N49" sqref="N49"/>
    </sheetView>
    <sheetView workbookViewId="1">
      <selection activeCell="A2" sqref="A2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63" t="s">
        <v>861</v>
      </c>
      <c r="G1" s="1064"/>
      <c r="H1" s="1032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74" t="s">
        <v>844</v>
      </c>
      <c r="G2" s="1075"/>
      <c r="H2" s="1033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76" t="s">
        <v>565</v>
      </c>
      <c r="G3" s="1077"/>
      <c r="H3" s="990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8" t="s">
        <v>230</v>
      </c>
      <c r="G4" s="1079"/>
      <c r="H4" s="1034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0" t="s">
        <v>574</v>
      </c>
      <c r="G5" s="1081"/>
      <c r="H5" s="1031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53"/>
      <c r="F7" s="948" t="s">
        <v>241</v>
      </c>
      <c r="G7" s="949"/>
      <c r="H7" s="950"/>
      <c r="I7" s="1069" t="s">
        <v>242</v>
      </c>
      <c r="J7" s="1067"/>
      <c r="K7" s="1068"/>
      <c r="L7" s="1069" t="s">
        <v>243</v>
      </c>
      <c r="M7" s="1067"/>
      <c r="N7" s="1068"/>
      <c r="O7" s="1069" t="s">
        <v>244</v>
      </c>
      <c r="P7" s="1067"/>
      <c r="Q7" s="1067"/>
      <c r="R7" s="1065" t="s">
        <v>245</v>
      </c>
      <c r="S7" s="1067" t="s">
        <v>860</v>
      </c>
      <c r="T7" s="1067"/>
      <c r="U7" s="1067"/>
      <c r="V7" s="1067"/>
      <c r="W7" s="1067"/>
      <c r="X7" s="1068"/>
      <c r="Y7" s="1072" t="s">
        <v>936</v>
      </c>
      <c r="Z7" s="1072" t="s">
        <v>576</v>
      </c>
      <c r="AA7" s="1070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993"/>
      <c r="F8" s="1008" t="s">
        <v>51</v>
      </c>
      <c r="G8" s="1009" t="s">
        <v>53</v>
      </c>
      <c r="H8" s="1010" t="s">
        <v>55</v>
      </c>
      <c r="I8" s="915" t="s">
        <v>51</v>
      </c>
      <c r="J8" s="947" t="s">
        <v>53</v>
      </c>
      <c r="K8" s="892" t="s">
        <v>55</v>
      </c>
      <c r="L8" s="1007" t="s">
        <v>51</v>
      </c>
      <c r="M8" s="947" t="s">
        <v>53</v>
      </c>
      <c r="N8" s="892" t="s">
        <v>55</v>
      </c>
      <c r="O8" s="915" t="s">
        <v>51</v>
      </c>
      <c r="P8" s="947" t="s">
        <v>53</v>
      </c>
      <c r="Q8" s="892" t="s">
        <v>55</v>
      </c>
      <c r="R8" s="1066"/>
      <c r="S8" s="1003" t="s">
        <v>246</v>
      </c>
      <c r="T8" s="1003" t="s">
        <v>247</v>
      </c>
      <c r="U8" s="1003" t="s">
        <v>248</v>
      </c>
      <c r="V8" s="1003" t="s">
        <v>249</v>
      </c>
      <c r="W8" s="1003" t="s">
        <v>252</v>
      </c>
      <c r="X8" s="1004" t="s">
        <v>250</v>
      </c>
      <c r="Y8" s="1073"/>
      <c r="Z8" s="1073"/>
      <c r="AA8" s="1071" t="s">
        <v>869</v>
      </c>
      <c r="AB8" s="96"/>
      <c r="AC8" s="96"/>
    </row>
    <row r="9" spans="1:31" s="129" customFormat="1" ht="12" customHeight="1">
      <c r="A9" s="916" t="s">
        <v>844</v>
      </c>
      <c r="B9" s="917" t="s">
        <v>658</v>
      </c>
      <c r="C9" s="917">
        <f>(EnergyBalance!D56+EnergyBalance!E56+EnergyBalance!F56+EnergyBalance!G56)*RSD_Balance!B4</f>
        <v>6.4972992069116762</v>
      </c>
      <c r="D9" s="105"/>
      <c r="E9" s="993" t="s">
        <v>844</v>
      </c>
      <c r="F9" s="1011">
        <f>'SHWLP-Apt'!$Y$7</f>
        <v>6.975484844908203E-2</v>
      </c>
      <c r="G9" s="1005">
        <f>'SHWLP-Att'!$Y$7</f>
        <v>2.2781001765120092</v>
      </c>
      <c r="H9" s="1012">
        <f>'SHWLP-Det'!$Y$7</f>
        <v>1.9055901987694717</v>
      </c>
      <c r="I9" s="1011">
        <f>'SHWLP-Apt'!$Y$31</f>
        <v>7.8854580896459624E-4</v>
      </c>
      <c r="J9" s="1005">
        <f>'SHWLP-Att'!$Y$31</f>
        <v>0.18047285063082941</v>
      </c>
      <c r="K9" s="1012">
        <f>'SHWLP-Det'!$Y$31</f>
        <v>5.6826091234250413E-2</v>
      </c>
      <c r="L9" s="1018"/>
      <c r="M9" s="1019"/>
      <c r="N9" s="1020"/>
      <c r="O9" s="1018"/>
      <c r="P9" s="1019"/>
      <c r="Q9" s="1020"/>
      <c r="R9" s="1021"/>
      <c r="S9" s="1018"/>
      <c r="T9" s="1019"/>
      <c r="U9" s="1019"/>
      <c r="V9" s="1019"/>
      <c r="W9" s="1019"/>
      <c r="X9" s="1020"/>
      <c r="Y9" s="998">
        <f>SUM(F9:X9)+Y28*H2</f>
        <v>6.4973956338835457</v>
      </c>
      <c r="Z9" s="951">
        <f>C9</f>
        <v>6.4972992069116762</v>
      </c>
      <c r="AA9" s="804">
        <f>ABS(Z9-Y9)/Z9</f>
        <v>1.4841085318486692E-5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994" t="s">
        <v>565</v>
      </c>
      <c r="F10" s="1013">
        <f>'SHWLP-Apt'!$Y$17</f>
        <v>3.0631285017776832E-3</v>
      </c>
      <c r="G10" s="1006">
        <f>'SHWLP-Att'!$Y$17</f>
        <v>9.2782297566660565E-2</v>
      </c>
      <c r="H10" s="1014">
        <f>'SHWLP-Det'!$Y$17</f>
        <v>0.36622327216887429</v>
      </c>
      <c r="I10" s="1013">
        <f>'SHWLP-Apt'!$Y$41</f>
        <v>3.2726688885008717E-4</v>
      </c>
      <c r="J10" s="1006">
        <f>'SHWLP-Att'!$Y$41</f>
        <v>2.3464516388518254E-2</v>
      </c>
      <c r="K10" s="1014">
        <f>'SHWLP-Det'!$Y$41</f>
        <v>4.9964727344274817E-2</v>
      </c>
      <c r="L10" s="1013"/>
      <c r="M10" s="1006"/>
      <c r="N10" s="1014"/>
      <c r="O10" s="1013"/>
      <c r="P10" s="1006"/>
      <c r="Q10" s="1014"/>
      <c r="R10" s="989"/>
      <c r="S10" s="1023"/>
      <c r="T10" s="1006"/>
      <c r="U10" s="1006"/>
      <c r="V10" s="1006"/>
      <c r="W10" s="1006"/>
      <c r="X10" s="1014"/>
      <c r="Y10" s="999">
        <f>SUM(F10:X10)+Y28*H3</f>
        <v>8.2284129115616871</v>
      </c>
      <c r="Z10" s="952">
        <f t="shared" ref="Z10:Z27" si="0">C10</f>
        <v>8.22868674342444</v>
      </c>
      <c r="AA10" s="804">
        <f>ABS(Z10-Y10)/Z10</f>
        <v>3.3277711412661433E-5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993" t="s">
        <v>222</v>
      </c>
      <c r="F11" s="1011">
        <f>'SHWLP-Apt'!$Y$10</f>
        <v>6.2699491377557662E-2</v>
      </c>
      <c r="G11" s="1005">
        <f>'SHWLP-Att'!$Y$10</f>
        <v>0.25252091542318</v>
      </c>
      <c r="H11" s="1012">
        <f>'SHWLP-Det'!$Y$10</f>
        <v>1.074735008078707</v>
      </c>
      <c r="I11" s="1011">
        <f>'SHWLP-Apt'!$Y$34</f>
        <v>2.9221417979611884E-2</v>
      </c>
      <c r="J11" s="1005">
        <f>'SHWLP-Att'!$Y$34</f>
        <v>0.11011048922069677</v>
      </c>
      <c r="K11" s="1012">
        <f>'SHWLP-Det'!$Y$34</f>
        <v>0.25759124423742613</v>
      </c>
      <c r="L11" s="1011"/>
      <c r="M11" s="1005"/>
      <c r="N11" s="1012"/>
      <c r="O11" s="1011"/>
      <c r="P11" s="1005"/>
      <c r="Q11" s="1012"/>
      <c r="R11" s="1022">
        <f>'[1]1d_Cooking'!L11*0.041868</f>
        <v>3.9492406345735545E-2</v>
      </c>
      <c r="S11" s="1011"/>
      <c r="T11" s="1005"/>
      <c r="U11" s="1005"/>
      <c r="V11" s="1005"/>
      <c r="W11" s="1005"/>
      <c r="X11" s="1012"/>
      <c r="Y11" s="998">
        <f t="shared" ref="Y11:Y27" si="1">SUM(F11:X11)</f>
        <v>1.8263709726629151</v>
      </c>
      <c r="Z11" s="951">
        <f t="shared" si="0"/>
        <v>1.8263239604601826</v>
      </c>
      <c r="AA11" s="804">
        <f>ABS(Z11-Y11)/Z11</f>
        <v>2.5741436760575941E-5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995" t="s">
        <v>223</v>
      </c>
      <c r="F12" s="1013"/>
      <c r="G12" s="1006"/>
      <c r="H12" s="1014"/>
      <c r="I12" s="1013"/>
      <c r="J12" s="1006"/>
      <c r="K12" s="1014"/>
      <c r="L12" s="1013"/>
      <c r="M12" s="1006"/>
      <c r="N12" s="1014"/>
      <c r="O12" s="1013"/>
      <c r="P12" s="1006"/>
      <c r="Q12" s="1014"/>
      <c r="R12" s="989"/>
      <c r="S12" s="1023"/>
      <c r="T12" s="1006"/>
      <c r="U12" s="1006"/>
      <c r="V12" s="1006"/>
      <c r="W12" s="1006"/>
      <c r="X12" s="1014"/>
      <c r="Y12" s="999">
        <f t="shared" si="1"/>
        <v>0</v>
      </c>
      <c r="Z12" s="952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993" t="s">
        <v>224</v>
      </c>
      <c r="F13" s="1011">
        <f>'SHWLP-Apt'!$Y$13</f>
        <v>0.22904314927329883</v>
      </c>
      <c r="G13" s="1005">
        <f>'SHWLP-Att'!$Y$13</f>
        <v>6.6978412716502147</v>
      </c>
      <c r="H13" s="1012">
        <f>'SHWLP-Det'!$Y$13</f>
        <v>25.388899193879137</v>
      </c>
      <c r="I13" s="1011">
        <f>'SHWLP-Apt'!$Y$37</f>
        <v>5.9339455985880335E-2</v>
      </c>
      <c r="J13" s="1005">
        <f>'SHWLP-Att'!$Y$37</f>
        <v>2.6239567853145891</v>
      </c>
      <c r="K13" s="1012">
        <f>'SHWLP-Det'!$Y$37</f>
        <v>7.5135071118768257</v>
      </c>
      <c r="L13" s="1011"/>
      <c r="M13" s="1005"/>
      <c r="N13" s="1012"/>
      <c r="O13" s="1011"/>
      <c r="P13" s="1005"/>
      <c r="Q13" s="1012"/>
      <c r="R13" s="1022"/>
      <c r="S13" s="1011"/>
      <c r="T13" s="1005"/>
      <c r="U13" s="1005"/>
      <c r="V13" s="1005"/>
      <c r="W13" s="1005"/>
      <c r="X13" s="1012"/>
      <c r="Y13" s="1000">
        <f t="shared" si="1"/>
        <v>42.512586967979942</v>
      </c>
      <c r="Z13" s="986">
        <f t="shared" si="0"/>
        <v>35.670303433474402</v>
      </c>
      <c r="AA13" s="804">
        <f>ABS(Z13+Z14+Z16-Y13)/(Z13+Z14+Z16)</f>
        <v>4.3716020458486514E-5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995" t="s">
        <v>225</v>
      </c>
      <c r="F14" s="1013"/>
      <c r="G14" s="1006"/>
      <c r="H14" s="1014"/>
      <c r="I14" s="1013"/>
      <c r="J14" s="1006"/>
      <c r="K14" s="1014"/>
      <c r="L14" s="1013"/>
      <c r="M14" s="1006"/>
      <c r="N14" s="1014"/>
      <c r="O14" s="1013"/>
      <c r="P14" s="1006"/>
      <c r="Q14" s="1014"/>
      <c r="R14" s="989"/>
      <c r="S14" s="1023"/>
      <c r="T14" s="1006"/>
      <c r="U14" s="1006"/>
      <c r="V14" s="1006"/>
      <c r="W14" s="1006"/>
      <c r="X14" s="1014"/>
      <c r="Y14" s="1001">
        <f t="shared" si="1"/>
        <v>0</v>
      </c>
      <c r="Z14" s="987">
        <f t="shared" si="0"/>
        <v>6.6971734118003301</v>
      </c>
      <c r="AA14" s="804">
        <f>ABS(Z13+Z14+Z16-Y13)/(Z13+Z14+Z16)</f>
        <v>4.3716020458486514E-5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996" t="s">
        <v>226</v>
      </c>
      <c r="F15" s="1011"/>
      <c r="G15" s="1005"/>
      <c r="H15" s="1012"/>
      <c r="I15" s="1011"/>
      <c r="J15" s="1005"/>
      <c r="K15" s="1012"/>
      <c r="L15" s="1011"/>
      <c r="M15" s="1005"/>
      <c r="N15" s="1012"/>
      <c r="O15" s="1011"/>
      <c r="P15" s="1005"/>
      <c r="Q15" s="1012"/>
      <c r="R15" s="1022"/>
      <c r="S15" s="1011"/>
      <c r="T15" s="1005"/>
      <c r="U15" s="1005"/>
      <c r="V15" s="1005"/>
      <c r="W15" s="1005"/>
      <c r="X15" s="1012"/>
      <c r="Y15" s="1000">
        <f t="shared" si="1"/>
        <v>0</v>
      </c>
      <c r="Z15" s="987">
        <f t="shared" si="0"/>
        <v>0</v>
      </c>
      <c r="AA15" s="804">
        <f>ABS(Z13+Z14+Z16-Y13)/(Z13+Z14+Z16)</f>
        <v>4.3716020458486514E-5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995" t="s">
        <v>227</v>
      </c>
      <c r="F16" s="1013"/>
      <c r="G16" s="1006"/>
      <c r="H16" s="1014"/>
      <c r="I16" s="1013"/>
      <c r="J16" s="1006"/>
      <c r="K16" s="1014"/>
      <c r="L16" s="1013"/>
      <c r="M16" s="1006"/>
      <c r="N16" s="1014"/>
      <c r="O16" s="1013"/>
      <c r="P16" s="1006"/>
      <c r="Q16" s="1014"/>
      <c r="R16" s="989"/>
      <c r="S16" s="1023"/>
      <c r="T16" s="1006"/>
      <c r="U16" s="1006"/>
      <c r="V16" s="1006"/>
      <c r="W16" s="1006"/>
      <c r="X16" s="1014"/>
      <c r="Y16" s="1001">
        <f t="shared" si="1"/>
        <v>0</v>
      </c>
      <c r="Z16" s="987">
        <f t="shared" si="0"/>
        <v>0.14696868507580046</v>
      </c>
      <c r="AA16" s="804">
        <f>ABS(Z13+Z14+Z16-Y13)/(Z13+Z14+Z16)</f>
        <v>4.3716020458486514E-5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993" t="s">
        <v>228</v>
      </c>
      <c r="F17" s="1011">
        <f>'SHWLP-Apt'!$Y$15</f>
        <v>1.2330602547738085</v>
      </c>
      <c r="G17" s="1005">
        <f>'SHWLP-Att'!$Y$15</f>
        <v>11.252890681411458</v>
      </c>
      <c r="H17" s="1012">
        <f>'SHWLP-Det'!$Y$15</f>
        <v>5.0887959066492119</v>
      </c>
      <c r="I17" s="1011">
        <f>'SHWLP-Apt'!$Y$39</f>
        <v>0.73352387446611567</v>
      </c>
      <c r="J17" s="1005">
        <f>'SHWLP-Att'!$Y$39</f>
        <v>4.6877267184596745</v>
      </c>
      <c r="K17" s="1012">
        <f>'SHWLP-Det'!$Y$39</f>
        <v>1.6258142323829905</v>
      </c>
      <c r="L17" s="1011"/>
      <c r="M17" s="1005"/>
      <c r="N17" s="1012"/>
      <c r="O17" s="1011"/>
      <c r="P17" s="1005"/>
      <c r="Q17" s="1012"/>
      <c r="R17" s="1022">
        <f>'[1]1d_Cooking'!L8/1000</f>
        <v>0.66992893469234771</v>
      </c>
      <c r="S17" s="1011"/>
      <c r="T17" s="1005"/>
      <c r="U17" s="1005"/>
      <c r="V17" s="1005"/>
      <c r="W17" s="1005"/>
      <c r="X17" s="1012"/>
      <c r="Y17" s="998">
        <f t="shared" si="1"/>
        <v>25.291740602835606</v>
      </c>
      <c r="Z17" s="951">
        <f t="shared" si="0"/>
        <v>25.292197479166735</v>
      </c>
      <c r="AA17" s="804">
        <f>ABS(Z17-Y17)/Z17</f>
        <v>1.8063923923758402E-5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997" t="s">
        <v>229</v>
      </c>
      <c r="F18" s="1013"/>
      <c r="G18" s="1006"/>
      <c r="H18" s="1014"/>
      <c r="I18" s="1039">
        <f>($C$18*0.05)-I27</f>
        <v>1.7846481139783446E-2</v>
      </c>
      <c r="J18" s="1040">
        <f>($C$18*0.475)-J27</f>
        <v>0.2636986099555837</v>
      </c>
      <c r="K18" s="1041">
        <f>($C$18*0.475)-K27</f>
        <v>0.265060216590152</v>
      </c>
      <c r="L18" s="1013"/>
      <c r="M18" s="1006"/>
      <c r="N18" s="1014"/>
      <c r="O18" s="1013"/>
      <c r="P18" s="1006"/>
      <c r="Q18" s="1014"/>
      <c r="R18" s="989"/>
      <c r="S18" s="1023"/>
      <c r="T18" s="1006"/>
      <c r="U18" s="1006"/>
      <c r="V18" s="1006"/>
      <c r="W18" s="1006"/>
      <c r="X18" s="1014"/>
      <c r="Y18" s="1025">
        <f t="shared" si="1"/>
        <v>0.54660530768551907</v>
      </c>
      <c r="Z18" s="1026">
        <f t="shared" si="0"/>
        <v>0.56017671356000831</v>
      </c>
      <c r="AA18" s="804">
        <f>ABS(Z18+Z22+Z27-Y18-Y22-Y27)/(Z18+Z22+Z27)</f>
        <v>3.2713528679971503E-17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993" t="s">
        <v>230</v>
      </c>
      <c r="F19" s="1011">
        <f>'SHWLP-Apt'!$Y$20</f>
        <v>5.3199073498066893E-3</v>
      </c>
      <c r="G19" s="1005">
        <f>'SHWLP-Att'!$Y$20</f>
        <v>7.1372904846234514E-2</v>
      </c>
      <c r="H19" s="1012">
        <f>'SHWLP-Det'!$Y$20</f>
        <v>0.37289926045072658</v>
      </c>
      <c r="I19" s="1011">
        <f>'SHWLP-Apt'!$Y$44</f>
        <v>3.0388039266178836E-3</v>
      </c>
      <c r="J19" s="1005">
        <f>'SHWLP-Att'!$Y$44</f>
        <v>1.1348073323802057E-2</v>
      </c>
      <c r="K19" s="1012">
        <f>'SHWLP-Det'!$Y$44</f>
        <v>6.1280797383180478E-2</v>
      </c>
      <c r="L19" s="1011"/>
      <c r="M19" s="1005"/>
      <c r="N19" s="1012"/>
      <c r="O19" s="1011"/>
      <c r="P19" s="1005"/>
      <c r="Q19" s="1012"/>
      <c r="R19" s="1022"/>
      <c r="S19" s="1011"/>
      <c r="T19" s="1005"/>
      <c r="U19" s="1005"/>
      <c r="V19" s="1005"/>
      <c r="W19" s="1005"/>
      <c r="X19" s="1012"/>
      <c r="Y19" s="998">
        <f>SUM(F19:X19)+Y28*H4</f>
        <v>1.1663087225055957</v>
      </c>
      <c r="Z19" s="951">
        <f t="shared" si="0"/>
        <v>1.1663445324142983</v>
      </c>
      <c r="AA19" s="804">
        <f>ABS(Z19-Y19)/Z19</f>
        <v>3.0702684933438978E-5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995" t="s">
        <v>231</v>
      </c>
      <c r="F20" s="1013"/>
      <c r="G20" s="1006"/>
      <c r="H20" s="1014"/>
      <c r="I20" s="1013"/>
      <c r="J20" s="1006"/>
      <c r="K20" s="1014"/>
      <c r="L20" s="1013"/>
      <c r="M20" s="1006"/>
      <c r="N20" s="1014"/>
      <c r="O20" s="1013"/>
      <c r="P20" s="1006"/>
      <c r="Q20" s="1014"/>
      <c r="R20" s="989"/>
      <c r="S20" s="1023"/>
      <c r="T20" s="1006"/>
      <c r="U20" s="1006"/>
      <c r="V20" s="1006"/>
      <c r="W20" s="1006"/>
      <c r="X20" s="1014"/>
      <c r="Y20" s="999">
        <f t="shared" si="1"/>
        <v>0</v>
      </c>
      <c r="Z20" s="952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996" t="s">
        <v>232</v>
      </c>
      <c r="F21" s="1011"/>
      <c r="G21" s="1005"/>
      <c r="H21" s="1012"/>
      <c r="I21" s="1011"/>
      <c r="J21" s="1005"/>
      <c r="K21" s="1012"/>
      <c r="L21" s="1011"/>
      <c r="M21" s="1005"/>
      <c r="N21" s="1012"/>
      <c r="O21" s="1011"/>
      <c r="P21" s="1005"/>
      <c r="Q21" s="1012"/>
      <c r="R21" s="1022"/>
      <c r="S21" s="1011"/>
      <c r="T21" s="1005"/>
      <c r="U21" s="1005"/>
      <c r="V21" s="1005"/>
      <c r="W21" s="1005"/>
      <c r="X21" s="1012"/>
      <c r="Y21" s="998">
        <f t="shared" si="1"/>
        <v>0</v>
      </c>
      <c r="Z21" s="951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997" t="s">
        <v>233</v>
      </c>
      <c r="F22" s="1039">
        <f>$C$22*DwellingStocks!$I$38/DwellingStocks!$L$38-F27</f>
        <v>0.10096088069080073</v>
      </c>
      <c r="G22" s="1040">
        <f>$C$22*DwellingStocks!$J$38/DwellingStocks!$L$38-G27</f>
        <v>0.46869751397120968</v>
      </c>
      <c r="H22" s="1041">
        <f>$C$22*DwellingStocks!$K$38/DwellingStocks!$L$38-H27</f>
        <v>0.33552517989430808</v>
      </c>
      <c r="I22" s="1013"/>
      <c r="J22" s="1006"/>
      <c r="K22" s="1014"/>
      <c r="L22" s="1013"/>
      <c r="M22" s="1006"/>
      <c r="N22" s="1014"/>
      <c r="O22" s="1013"/>
      <c r="P22" s="1006"/>
      <c r="Q22" s="1014"/>
      <c r="R22" s="989"/>
      <c r="S22" s="1023"/>
      <c r="T22" s="1006"/>
      <c r="U22" s="1006"/>
      <c r="V22" s="1006"/>
      <c r="W22" s="1006"/>
      <c r="X22" s="1014"/>
      <c r="Y22" s="1025">
        <f t="shared" si="1"/>
        <v>0.90518357455631848</v>
      </c>
      <c r="Z22" s="1026">
        <f t="shared" si="0"/>
        <v>1.1367099712825202</v>
      </c>
      <c r="AA22" s="804">
        <f>ABS(Z18+Z22+Z27-Y18-Y22-Y27)/(Z18+Z22+Z27)</f>
        <v>3.2713528679971503E-17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993" t="s">
        <v>234</v>
      </c>
      <c r="F23" s="1011">
        <f>'SHWLP-Apt'!$Y$9</f>
        <v>1.6411258099618979E-8</v>
      </c>
      <c r="G23" s="1005">
        <f>'SHWLP-Att'!$Y$9</f>
        <v>0</v>
      </c>
      <c r="H23" s="1012">
        <f>'SHWLP-Det'!$Y$9</f>
        <v>0</v>
      </c>
      <c r="I23" s="1011">
        <f>'SHWLP-Apt'!$Y$33</f>
        <v>4.395559180299348E-5</v>
      </c>
      <c r="J23" s="1005">
        <f>'SHWLP-Att'!$Y$33</f>
        <v>2.1879412797081848E-5</v>
      </c>
      <c r="K23" s="1012">
        <f>'SHWLP-Det'!$Y$33</f>
        <v>7.4096000727488155E-5</v>
      </c>
      <c r="L23" s="1011"/>
      <c r="M23" s="1005"/>
      <c r="N23" s="1012"/>
      <c r="O23" s="1011"/>
      <c r="P23" s="1005"/>
      <c r="Q23" s="1012"/>
      <c r="R23" s="1022"/>
      <c r="S23" s="1011"/>
      <c r="T23" s="1005"/>
      <c r="U23" s="1005"/>
      <c r="V23" s="1005"/>
      <c r="W23" s="1005"/>
      <c r="X23" s="1012"/>
      <c r="Y23" s="998">
        <f t="shared" si="1"/>
        <v>1.3994741658566312E-4</v>
      </c>
      <c r="Z23" s="951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994" t="s">
        <v>236</v>
      </c>
      <c r="F24" s="1013">
        <f>'SHWLP-Apt'!$Y$8</f>
        <v>2.2877293790868852E-5</v>
      </c>
      <c r="G24" s="1006">
        <f>'SHWLP-Att'!$Y$8</f>
        <v>2.872353931024329E-5</v>
      </c>
      <c r="H24" s="1014">
        <f>'SHWLP-Det'!$Y$8</f>
        <v>0</v>
      </c>
      <c r="I24" s="1013">
        <f>'SHWLP-Apt'!$Y$32</f>
        <v>4.8644706191773872E-5</v>
      </c>
      <c r="J24" s="1006">
        <f>'SHWLP-Att'!$Y$32</f>
        <v>7.8153182244299725E-5</v>
      </c>
      <c r="K24" s="1014">
        <f>'SHWLP-Det'!$Y$32</f>
        <v>6.5413263264443806E-5</v>
      </c>
      <c r="L24" s="1013"/>
      <c r="M24" s="1006"/>
      <c r="N24" s="1014"/>
      <c r="O24" s="1013"/>
      <c r="P24" s="1006"/>
      <c r="Q24" s="1014"/>
      <c r="R24" s="989"/>
      <c r="S24" s="1023"/>
      <c r="T24" s="1006"/>
      <c r="U24" s="1006"/>
      <c r="V24" s="1006"/>
      <c r="W24" s="1006"/>
      <c r="X24" s="1014"/>
      <c r="Y24" s="999">
        <f t="shared" si="1"/>
        <v>2.4381198480162954E-4</v>
      </c>
      <c r="Z24" s="952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996" t="s">
        <v>238</v>
      </c>
      <c r="F25" s="1011"/>
      <c r="G25" s="1005"/>
      <c r="H25" s="1012"/>
      <c r="I25" s="1011"/>
      <c r="J25" s="1005"/>
      <c r="K25" s="1012"/>
      <c r="L25" s="1011"/>
      <c r="M25" s="1005"/>
      <c r="N25" s="1012"/>
      <c r="O25" s="1011"/>
      <c r="P25" s="1005"/>
      <c r="Q25" s="1012"/>
      <c r="R25" s="1022"/>
      <c r="S25" s="1011"/>
      <c r="T25" s="1005"/>
      <c r="U25" s="1005"/>
      <c r="V25" s="1005"/>
      <c r="W25" s="1005"/>
      <c r="X25" s="1012"/>
      <c r="Y25" s="998">
        <f t="shared" si="1"/>
        <v>0</v>
      </c>
      <c r="Z25" s="951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994" t="s">
        <v>735</v>
      </c>
      <c r="F26" s="1013">
        <f>'SHWLP-Apt'!$Y$11+'SHWLP-Apt'!$Y$12</f>
        <v>1.0658056857241074</v>
      </c>
      <c r="G26" s="1006">
        <f>'SHWLP-Att'!$Y$11+'SHWLP-Att'!$Y$12</f>
        <v>0.94427647403915238</v>
      </c>
      <c r="H26" s="1014">
        <f>'SHWLP-Det'!$Y$11+'SHWLP-Det'!$Y$12</f>
        <v>1.1613386628280136</v>
      </c>
      <c r="I26" s="1013">
        <f>'SHWLP-Apt'!$Y$35+'SHWLP-Apt'!$Y$36</f>
        <v>0.98072521949830838</v>
      </c>
      <c r="J26" s="1006">
        <f>'SHWLP-Att'!$Y$35+'SHWLP-Att'!$Y$36</f>
        <v>0.58953330451466313</v>
      </c>
      <c r="K26" s="1014">
        <f>'SHWLP-Det'!$Y$35+'SHWLP-Det'!$Y$36</f>
        <v>0.44152013081545483</v>
      </c>
      <c r="L26" s="1013">
        <f>'SHWLP-Apt'!$Y$54</f>
        <v>0.34360720061373334</v>
      </c>
      <c r="M26" s="1006">
        <f>'SHWLP-Att'!$Y$54</f>
        <v>1.7166254225128754</v>
      </c>
      <c r="N26" s="1014">
        <f>'SHWLP-Det'!$Y$54</f>
        <v>2.7705346756654605</v>
      </c>
      <c r="O26" s="1013">
        <f>'SHWLP-Apt'!$Y$55</f>
        <v>7.0803283622115409E-2</v>
      </c>
      <c r="P26" s="1006">
        <f>'SHWLP-Att'!$Y$55</f>
        <v>0.47536206637162554</v>
      </c>
      <c r="Q26" s="1014">
        <f>'SHWLP-Det'!$Y$55</f>
        <v>0.57666956104899691</v>
      </c>
      <c r="R26" s="989">
        <f>'[1]1d_Cooking'!L6*0.0036</f>
        <v>2.051734110329881</v>
      </c>
      <c r="S26" s="1023">
        <f>(T38*0.0000000036)*(DwellingStocks!L38*RSD_Balance!U38)</f>
        <v>1.4117078065859998</v>
      </c>
      <c r="T26" s="1006">
        <f>(T36*0.0000000036)*(DwellingStocks!L38*RSD_Balance!U36)</f>
        <v>1.1023237905322498</v>
      </c>
      <c r="U26" s="1006">
        <f>(T37*0.0000000036)*(DwellingStocks!L38*RSD_Balance!U37)</f>
        <v>1.7147299705763039</v>
      </c>
      <c r="V26" s="1006">
        <f>(T40*0.0000000036)*(DwellingStocks!L38*RSD_Balance!U40)</f>
        <v>1.1862012348845998</v>
      </c>
      <c r="W26" s="1006">
        <f>SUM([1]Table2_Energy_Totals!$I$6+[1]Table2_Energy_Totals!$J$6)/1000-SUM(S26:V26,L26:N26)</f>
        <v>10.827967731753283</v>
      </c>
      <c r="X26" s="1014">
        <v>0</v>
      </c>
      <c r="Y26" s="999">
        <f t="shared" si="1"/>
        <v>29.431466331916823</v>
      </c>
      <c r="Z26" s="952">
        <f t="shared" si="0"/>
        <v>29.430890206847998</v>
      </c>
      <c r="AA26" s="804">
        <f>ABS(Z26-Y26)/Z26</f>
        <v>1.957552302278485E-5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993" t="s">
        <v>239</v>
      </c>
      <c r="F27" s="1011">
        <f>'SHWLP-Apt'!$Y$21</f>
        <v>3.751289270479366E-2</v>
      </c>
      <c r="G27" s="1005">
        <f>'SHWLP-Att'!$Y$21</f>
        <v>4.4456193579378724E-2</v>
      </c>
      <c r="H27" s="1012">
        <f>'SHWLP-Det'!$Y$21</f>
        <v>0.14955731044202938</v>
      </c>
      <c r="I27" s="1011">
        <f>'SHWLP-Apt'!$Y$45</f>
        <v>1.0162354538216969E-2</v>
      </c>
      <c r="J27" s="1005">
        <f>'SHWLP-Att'!$Y$45</f>
        <v>2.3853289854202531E-3</v>
      </c>
      <c r="K27" s="1012">
        <f>'SHWLP-Det'!$Y$45</f>
        <v>1.0237223508519498E-3</v>
      </c>
      <c r="L27" s="1011"/>
      <c r="M27" s="1005"/>
      <c r="N27" s="1012"/>
      <c r="O27" s="1011"/>
      <c r="P27" s="1005"/>
      <c r="Q27" s="1012"/>
      <c r="R27" s="1022"/>
      <c r="S27" s="1011"/>
      <c r="T27" s="1005"/>
      <c r="U27" s="1005"/>
      <c r="V27" s="1005"/>
      <c r="W27" s="1005"/>
      <c r="X27" s="1012"/>
      <c r="Y27" s="1035">
        <f t="shared" si="1"/>
        <v>0.24509780260069097</v>
      </c>
      <c r="Z27" s="1027">
        <f t="shared" si="0"/>
        <v>0</v>
      </c>
      <c r="AA27" s="804">
        <f>ABS(Z18+Z22+Z27-Y18-Y22-Y27)/(Z18+Z22+Z27)</f>
        <v>3.2713528679971503E-17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994" t="s">
        <v>574</v>
      </c>
      <c r="F28" s="1015">
        <f>'SHWLP-Apt'!$Y$19</f>
        <v>8.0306945735614532E-2</v>
      </c>
      <c r="G28" s="1016">
        <f>'SHWLP-Att'!$Y$19</f>
        <v>2.5365387026370665</v>
      </c>
      <c r="H28" s="1017">
        <f>'SHWLP-Det'!$Y$19</f>
        <v>6.7042583807020266</v>
      </c>
      <c r="I28" s="1015">
        <f>'SHWLP-Apt'!$Y$43</f>
        <v>8.8177086195802782E-3</v>
      </c>
      <c r="J28" s="1016">
        <f>'SHWLP-Att'!$Y$43</f>
        <v>0.48732257014454378</v>
      </c>
      <c r="K28" s="1017">
        <f>'SHWLP-Det'!$Y$43</f>
        <v>0.5222552925680668</v>
      </c>
      <c r="L28" s="1015"/>
      <c r="M28" s="1016"/>
      <c r="N28" s="1017"/>
      <c r="O28" s="1015"/>
      <c r="P28" s="1016"/>
      <c r="Q28" s="1017"/>
      <c r="R28" s="992"/>
      <c r="S28" s="1024"/>
      <c r="T28" s="1016"/>
      <c r="U28" s="1016"/>
      <c r="V28" s="1016"/>
      <c r="W28" s="1016"/>
      <c r="X28" s="1017"/>
      <c r="Y28" s="1002">
        <f>SUM(F28:K28)</f>
        <v>10.339499600406898</v>
      </c>
      <c r="Z28" s="988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54">
        <f>SUM(F9:F28)</f>
        <v>2.8875500782856967</v>
      </c>
      <c r="G29" s="956">
        <f t="shared" ref="G29:X29" si="2">SUM(G9:G28)</f>
        <v>24.639505855175877</v>
      </c>
      <c r="H29" s="956">
        <f t="shared" si="2"/>
        <v>42.547822373862516</v>
      </c>
      <c r="I29" s="956">
        <f t="shared" si="2"/>
        <v>1.8438837291499244</v>
      </c>
      <c r="J29" s="956">
        <f t="shared" si="2"/>
        <v>8.980119279533362</v>
      </c>
      <c r="K29" s="956">
        <f t="shared" si="2"/>
        <v>10.794983076047465</v>
      </c>
      <c r="L29" s="956">
        <f t="shared" si="2"/>
        <v>0.34360720061373334</v>
      </c>
      <c r="M29" s="956">
        <f t="shared" si="2"/>
        <v>1.7166254225128754</v>
      </c>
      <c r="N29" s="956">
        <f t="shared" si="2"/>
        <v>2.7705346756654605</v>
      </c>
      <c r="O29" s="956">
        <f t="shared" si="2"/>
        <v>7.0803283622115409E-2</v>
      </c>
      <c r="P29" s="956">
        <f t="shared" si="2"/>
        <v>0.47536206637162554</v>
      </c>
      <c r="Q29" s="956">
        <f t="shared" si="2"/>
        <v>0.57666956104899691</v>
      </c>
      <c r="R29" s="956">
        <f t="shared" si="2"/>
        <v>2.7611554513679644</v>
      </c>
      <c r="S29" s="956">
        <f t="shared" si="2"/>
        <v>1.4117078065859998</v>
      </c>
      <c r="T29" s="956">
        <f t="shared" si="2"/>
        <v>1.1023237905322498</v>
      </c>
      <c r="U29" s="956">
        <f t="shared" si="2"/>
        <v>1.7147299705763039</v>
      </c>
      <c r="V29" s="956">
        <f t="shared" si="2"/>
        <v>1.1862012348845998</v>
      </c>
      <c r="W29" s="956">
        <f t="shared" si="2"/>
        <v>10.827967731753283</v>
      </c>
      <c r="X29" s="956">
        <f t="shared" si="2"/>
        <v>0</v>
      </c>
      <c r="Y29" s="1036">
        <f>SUM(Y9:Y27)</f>
        <v>116.65155258759003</v>
      </c>
      <c r="Z29" s="1037">
        <f>SUM(Z9:Z28)</f>
        <v>116.65307434441837</v>
      </c>
      <c r="AA29" s="804">
        <f>ABS(Z29-Y29)/Z29</f>
        <v>1.3045149790446195E-5</v>
      </c>
    </row>
    <row r="30" spans="1:34" ht="13.5" thickBot="1">
      <c r="A30" s="96"/>
      <c r="B30" s="96"/>
      <c r="C30" s="96"/>
      <c r="D30" s="96"/>
      <c r="E30" s="96"/>
      <c r="F30" s="954">
        <f>SUM(F29:H29)</f>
        <v>70.074878307324084</v>
      </c>
      <c r="G30" s="955">
        <f>F30/$Y$29</f>
        <v>0.60071963684072727</v>
      </c>
      <c r="H30" s="746"/>
      <c r="I30" s="956">
        <f>SUM(I29:K29)</f>
        <v>21.61898608473075</v>
      </c>
      <c r="J30" s="955">
        <f>I30/$Y$29</f>
        <v>0.18532960432307768</v>
      </c>
      <c r="K30" s="746"/>
      <c r="L30" s="956">
        <f>SUM(L29:N29)</f>
        <v>4.8307672987920691</v>
      </c>
      <c r="M30" s="955">
        <f>L30/$Y$29</f>
        <v>4.141194173274973E-2</v>
      </c>
      <c r="N30" s="746"/>
      <c r="O30" s="956">
        <f>SUM(O29:Q29)</f>
        <v>1.1228349110427378</v>
      </c>
      <c r="P30" s="955">
        <f>O30/$Y$29</f>
        <v>9.6255462197953681E-3</v>
      </c>
      <c r="Q30" s="746"/>
      <c r="R30" s="955">
        <f>R29/$Y$29</f>
        <v>2.3670113171401629E-2</v>
      </c>
      <c r="S30" s="956">
        <f>SUM(S29:X29)</f>
        <v>16.242930534332437</v>
      </c>
      <c r="T30" s="955">
        <f>S30/$Y$29</f>
        <v>0.13924315771224841</v>
      </c>
      <c r="U30" s="746"/>
      <c r="V30" s="746"/>
      <c r="W30" s="746"/>
      <c r="X30" s="746"/>
      <c r="Y30" s="957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70.074878307324084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21.61898608473075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1.1228349110427378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4.8307672987920691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16.242930534332437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58">
        <f>C44/$C$49</f>
        <v>0.61094674556213013</v>
      </c>
      <c r="E44" s="129"/>
      <c r="F44" s="129"/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58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58">
        <f t="shared" si="3"/>
        <v>2.2559171597633133E-2</v>
      </c>
      <c r="E46" s="129"/>
      <c r="F46" s="129"/>
      <c r="G46" s="129"/>
      <c r="H46" s="129"/>
      <c r="I46" s="129"/>
      <c r="J46" s="129"/>
      <c r="K46" s="129"/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58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58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AA7:AA8"/>
    <mergeCell ref="Y7:Y8"/>
    <mergeCell ref="F2:G2"/>
    <mergeCell ref="F3:G3"/>
    <mergeCell ref="F4:G4"/>
    <mergeCell ref="F5:G5"/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82" t="s">
        <v>633</v>
      </c>
      <c r="C4" s="1082"/>
      <c r="D4" s="1082"/>
      <c r="E4" s="1082"/>
      <c r="F4" s="1082"/>
      <c r="G4" s="1082"/>
      <c r="H4" s="1082"/>
      <c r="I4" s="1082"/>
      <c r="J4" s="1082"/>
      <c r="K4" s="1082"/>
      <c r="L4" s="1082"/>
      <c r="M4" s="749"/>
      <c r="O4" s="1082" t="s">
        <v>635</v>
      </c>
      <c r="P4" s="1082"/>
      <c r="Q4" s="1082"/>
      <c r="R4" s="1082"/>
      <c r="S4" s="1082"/>
      <c r="T4" s="1082"/>
      <c r="U4" s="1082"/>
      <c r="V4" s="1082"/>
      <c r="W4" s="1082"/>
      <c r="X4" s="1082"/>
      <c r="Y4" s="1082"/>
      <c r="Z4" s="1082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83" t="s">
        <v>642</v>
      </c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L18" s="1083" t="s">
        <v>643</v>
      </c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  <c r="BX18" s="1083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82" t="s">
        <v>634</v>
      </c>
      <c r="C19" s="1082"/>
      <c r="D19" s="1082"/>
      <c r="E19" s="1082"/>
      <c r="F19" s="1082"/>
      <c r="G19" s="1082"/>
      <c r="H19" s="1082"/>
      <c r="I19" s="1082"/>
      <c r="J19" s="1082"/>
      <c r="K19" s="1082"/>
      <c r="L19" s="1082"/>
      <c r="M19" s="749"/>
      <c r="O19" s="1082" t="s">
        <v>635</v>
      </c>
      <c r="P19" s="1082"/>
      <c r="Q19" s="1082"/>
      <c r="R19" s="1082"/>
      <c r="S19" s="1082"/>
      <c r="T19" s="1082"/>
      <c r="U19" s="1082"/>
      <c r="V19" s="1082"/>
      <c r="W19" s="1082"/>
      <c r="X19" s="1082"/>
      <c r="Y19" s="1082"/>
      <c r="Z19" s="1082"/>
      <c r="AB19" s="1082" t="s">
        <v>636</v>
      </c>
      <c r="AC19" s="1082"/>
      <c r="AD19" s="1082"/>
      <c r="AE19" s="1082"/>
      <c r="AF19" s="1082"/>
      <c r="AG19" s="1082"/>
      <c r="AH19" s="1082"/>
      <c r="AI19" s="1082"/>
      <c r="AJ19" s="1082"/>
      <c r="AK19" s="1082"/>
      <c r="AL19" s="1082"/>
      <c r="AN19" s="1082" t="s">
        <v>637</v>
      </c>
      <c r="AO19" s="1082"/>
      <c r="AP19" s="1082"/>
      <c r="AQ19" s="1082"/>
      <c r="AR19" s="1082"/>
      <c r="AS19" s="1082"/>
      <c r="AT19" s="1082"/>
      <c r="AU19" s="1082"/>
      <c r="AV19" s="1082"/>
      <c r="AW19" s="1082"/>
      <c r="AY19" s="1082" t="s">
        <v>638</v>
      </c>
      <c r="AZ19" s="1082"/>
      <c r="BA19" s="1082"/>
      <c r="BB19" s="1082"/>
      <c r="BC19" s="1082"/>
      <c r="BD19" s="1082"/>
      <c r="BE19" s="1082"/>
      <c r="BF19" s="1082"/>
      <c r="BG19" s="1082"/>
      <c r="BH19" s="1082"/>
      <c r="BI19" s="1082"/>
      <c r="BJ19" s="1082"/>
      <c r="BL19" s="1082" t="s">
        <v>644</v>
      </c>
      <c r="BM19" s="1082"/>
      <c r="BN19" s="1082"/>
      <c r="BO19" s="1082"/>
      <c r="BP19" s="1082"/>
      <c r="BQ19" s="1082"/>
      <c r="BR19" s="1082"/>
      <c r="BS19" s="1082"/>
      <c r="BT19" s="1082"/>
      <c r="BU19" s="1082"/>
      <c r="BV19" s="1082"/>
      <c r="BW19" s="1082"/>
      <c r="BX19" s="1082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zoomScaleNormal="100" workbookViewId="0">
      <selection activeCell="I12" sqref="I12"/>
    </sheetView>
    <sheetView workbookViewId="1"/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/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/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/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  <sheetView workbookViewId="1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5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  <sheetView workbookViewId="1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  <sheetView workbookViewId="1"/>
  </sheetViews>
  <sheetFormatPr defaultColWidth="8.85546875" defaultRowHeight="15"/>
  <cols>
    <col min="1" max="1" width="3.28515625" style="965" customWidth="1"/>
    <col min="2" max="2" width="12.140625" style="965" customWidth="1"/>
    <col min="3" max="3" width="15.85546875" style="965" bestFit="1" customWidth="1"/>
    <col min="4" max="4" width="12.140625" style="965" bestFit="1" customWidth="1"/>
    <col min="5" max="5" width="11.28515625" style="965" customWidth="1"/>
    <col min="6" max="6" width="7.85546875" style="965" bestFit="1" customWidth="1"/>
    <col min="7" max="7" width="12.85546875" style="965" bestFit="1" customWidth="1"/>
    <col min="8" max="8" width="10.7109375" style="965" bestFit="1" customWidth="1"/>
    <col min="9" max="9" width="13.5703125" style="965" customWidth="1"/>
    <col min="10" max="10" width="3.7109375" style="965" customWidth="1"/>
    <col min="11" max="11" width="7.42578125" style="965" customWidth="1"/>
    <col min="12" max="12" width="11" style="965" customWidth="1"/>
    <col min="13" max="13" width="15.140625" style="965" customWidth="1"/>
    <col min="14" max="14" width="49" style="965" customWidth="1"/>
    <col min="15" max="16" width="8.85546875" style="965"/>
    <col min="17" max="17" width="12.85546875" style="965" customWidth="1"/>
    <col min="18" max="18" width="15.28515625" style="965" customWidth="1"/>
    <col min="19" max="16384" width="8.85546875" style="965"/>
  </cols>
  <sheetData>
    <row r="2" spans="1:19">
      <c r="E2" s="966" t="s">
        <v>280</v>
      </c>
      <c r="F2" s="966"/>
      <c r="H2" s="966"/>
      <c r="K2" s="967" t="s">
        <v>281</v>
      </c>
      <c r="L2" s="967"/>
      <c r="M2" s="968"/>
      <c r="N2" s="968"/>
      <c r="O2" s="968"/>
      <c r="P2" s="968"/>
      <c r="Q2" s="968"/>
      <c r="R2" s="968"/>
      <c r="S2" s="968"/>
    </row>
    <row r="3" spans="1:19">
      <c r="B3" s="973" t="s">
        <v>906</v>
      </c>
      <c r="C3" s="969" t="s">
        <v>282</v>
      </c>
      <c r="D3" s="970" t="s">
        <v>284</v>
      </c>
      <c r="E3" s="969" t="s">
        <v>285</v>
      </c>
      <c r="F3" s="969" t="s">
        <v>286</v>
      </c>
      <c r="G3" s="971" t="s">
        <v>299</v>
      </c>
      <c r="H3" s="971" t="s">
        <v>909</v>
      </c>
      <c r="I3" s="971" t="s">
        <v>910</v>
      </c>
      <c r="K3" s="972" t="s">
        <v>289</v>
      </c>
      <c r="L3" s="973" t="s">
        <v>906</v>
      </c>
      <c r="M3" s="972" t="s">
        <v>282</v>
      </c>
      <c r="N3" s="972" t="s">
        <v>283</v>
      </c>
      <c r="O3" s="972" t="s">
        <v>290</v>
      </c>
      <c r="P3" s="972" t="s">
        <v>291</v>
      </c>
      <c r="Q3" s="972" t="s">
        <v>292</v>
      </c>
      <c r="R3" s="972" t="s">
        <v>293</v>
      </c>
      <c r="S3" s="972" t="s">
        <v>911</v>
      </c>
    </row>
    <row r="4" spans="1:19" ht="46.5" thickBot="1">
      <c r="B4" s="975" t="s">
        <v>907</v>
      </c>
      <c r="C4" s="974" t="s">
        <v>301</v>
      </c>
      <c r="D4" s="974" t="s">
        <v>303</v>
      </c>
      <c r="E4" s="974" t="s">
        <v>304</v>
      </c>
      <c r="F4" s="974" t="s">
        <v>912</v>
      </c>
      <c r="G4" s="974" t="s">
        <v>913</v>
      </c>
      <c r="H4" s="974" t="s">
        <v>914</v>
      </c>
      <c r="I4" s="974" t="s">
        <v>915</v>
      </c>
      <c r="K4" s="975" t="s">
        <v>916</v>
      </c>
      <c r="L4" s="975" t="s">
        <v>917</v>
      </c>
      <c r="M4" s="975" t="s">
        <v>918</v>
      </c>
      <c r="N4" s="975" t="s">
        <v>302</v>
      </c>
      <c r="O4" s="975" t="s">
        <v>919</v>
      </c>
      <c r="P4" s="975" t="s">
        <v>920</v>
      </c>
      <c r="Q4" s="975" t="s">
        <v>921</v>
      </c>
      <c r="R4" s="975" t="s">
        <v>922</v>
      </c>
      <c r="S4" s="975" t="s">
        <v>923</v>
      </c>
    </row>
    <row r="5" spans="1:19" ht="15.75" thickBot="1">
      <c r="B5" s="977" t="s">
        <v>279</v>
      </c>
      <c r="C5" s="974" t="s">
        <v>564</v>
      </c>
      <c r="D5" s="976"/>
      <c r="E5" s="976"/>
      <c r="F5" s="976"/>
      <c r="G5" s="976" t="s">
        <v>924</v>
      </c>
      <c r="H5" s="976" t="s">
        <v>925</v>
      </c>
      <c r="I5" s="976" t="s">
        <v>19</v>
      </c>
      <c r="K5" s="975" t="s">
        <v>279</v>
      </c>
      <c r="L5" s="977"/>
      <c r="M5" s="977"/>
      <c r="N5" s="977"/>
      <c r="O5" s="977"/>
      <c r="P5" s="977"/>
      <c r="Q5" s="977"/>
      <c r="R5" s="977"/>
      <c r="S5" s="977"/>
    </row>
    <row r="6" spans="1:19" s="980" customFormat="1" ht="12.75">
      <c r="A6" s="980" t="str">
        <f>COMM!A6</f>
        <v/>
      </c>
      <c r="B6" s="981" t="str">
        <f>_xlfn.TEXTJOIN(",",TRUE,IF(LEFT(Regions!$C$3,1)&lt;&gt;"*",Regions!$C$3,""),IF(LEFT(Regions!$D$3,1)&lt;&gt;"*",Regions!$D$3,""))</f>
        <v>IE,National</v>
      </c>
      <c r="C6" s="978" t="str">
        <f>_xlfn.TEXTJOIN("-",TRUE,SETUP!$B$4,COMM!E6)</f>
        <v>FT-RSDCOA</v>
      </c>
      <c r="D6" s="979" t="s">
        <v>927</v>
      </c>
      <c r="E6" s="978" t="str">
        <f>COMM!E6</f>
        <v>RSDCOA</v>
      </c>
      <c r="F6" s="980">
        <v>1</v>
      </c>
      <c r="G6" s="980">
        <v>50</v>
      </c>
      <c r="H6" s="980">
        <v>0.01</v>
      </c>
      <c r="K6" s="978" t="s">
        <v>295</v>
      </c>
      <c r="L6" s="981" t="str">
        <f>_xlfn.TEXTJOIN(",",TRUE,IF(LEFT(Regions!$C$3,1)&lt;&gt;"*",Regions!$C$3,""),IF(LEFT(Regions!$D$3,1)&lt;&gt;"*",Regions!$D$3,""))</f>
        <v>IE,National</v>
      </c>
      <c r="M6" s="981" t="str">
        <f t="shared" ref="M6:M15" si="0">C6</f>
        <v>FT-RSDCOA</v>
      </c>
      <c r="N6" s="982" t="str">
        <f>_xlfn.TEXTJOIN(" ",TRUE,SETUP!$B$3,COMM!F6)</f>
        <v>RSD Coal to Residential</v>
      </c>
      <c r="O6" s="981" t="s">
        <v>19</v>
      </c>
      <c r="P6" s="981" t="s">
        <v>908</v>
      </c>
      <c r="Q6" s="981"/>
      <c r="R6" s="981"/>
      <c r="S6" s="981"/>
    </row>
    <row r="7" spans="1:19" s="980" customFormat="1" ht="12.75">
      <c r="A7" s="980" t="str">
        <f>COMM!A7</f>
        <v/>
      </c>
      <c r="B7" s="981" t="str">
        <f>_xlfn.TEXTJOIN(",",TRUE,IF(LEFT(Regions!$C$3,1)&lt;&gt;"*",Regions!$C$3,""),IF(LEFT(Regions!$D$3,1)&lt;&gt;"*",Regions!$D$3,""))</f>
        <v>IE,National</v>
      </c>
      <c r="C7" s="978" t="str">
        <f>_xlfn.TEXTJOIN("-",TRUE,SETUP!$B$4,COMM!E7)</f>
        <v>FT-RSDPEA</v>
      </c>
      <c r="D7" s="979" t="s">
        <v>221</v>
      </c>
      <c r="E7" s="978" t="str">
        <f>COMM!E7</f>
        <v>RSDPEA</v>
      </c>
      <c r="F7" s="980">
        <v>1</v>
      </c>
      <c r="G7" s="980">
        <v>50</v>
      </c>
      <c r="H7" s="980">
        <v>0.01</v>
      </c>
      <c r="K7" s="978"/>
      <c r="L7" s="981" t="str">
        <f>_xlfn.TEXTJOIN(",",TRUE,IF(LEFT(Regions!$C$3,1)&lt;&gt;"*",Regions!$C$3,""),IF(LEFT(Regions!$D$3,1)&lt;&gt;"*",Regions!$D$3,""))</f>
        <v>IE,National</v>
      </c>
      <c r="M7" s="981" t="str">
        <f t="shared" si="0"/>
        <v>FT-RSDPEA</v>
      </c>
      <c r="N7" s="982" t="str">
        <f>_xlfn.TEXTJOIN(" ",TRUE,SETUP!$B$3,COMM!F7)</f>
        <v>RSD Peat to Residential</v>
      </c>
      <c r="O7" s="981" t="s">
        <v>19</v>
      </c>
      <c r="P7" s="981" t="s">
        <v>908</v>
      </c>
    </row>
    <row r="8" spans="1:19" s="980" customFormat="1" ht="12.75">
      <c r="A8" s="980" t="str">
        <f>COMM!A8</f>
        <v/>
      </c>
      <c r="B8" s="981" t="str">
        <f>_xlfn.TEXTJOIN(",",TRUE,IF(LEFT(Regions!$C$3,1)&lt;&gt;"*",Regions!$C$3,""),IF(LEFT(Regions!$D$3,1)&lt;&gt;"*",Regions!$D$3,""))</f>
        <v>IE,National</v>
      </c>
      <c r="C8" s="978" t="str">
        <f>_xlfn.TEXTJOIN("-",TRUE,SETUP!$B$4,COMM!E8)</f>
        <v>FT-RSDOILLPG</v>
      </c>
      <c r="D8" s="979" t="s">
        <v>222</v>
      </c>
      <c r="E8" s="978" t="str">
        <f>COMM!E8</f>
        <v>RSDOILLPG</v>
      </c>
      <c r="F8" s="980">
        <v>1</v>
      </c>
      <c r="G8" s="980">
        <v>50</v>
      </c>
      <c r="H8" s="980">
        <v>0.01</v>
      </c>
      <c r="K8" s="978"/>
      <c r="L8" s="981" t="str">
        <f>_xlfn.TEXTJOIN(",",TRUE,IF(LEFT(Regions!$C$3,1)&lt;&gt;"*",Regions!$C$3,""),IF(LEFT(Regions!$D$3,1)&lt;&gt;"*",Regions!$D$3,""))</f>
        <v>IE,National</v>
      </c>
      <c r="M8" s="981" t="str">
        <f t="shared" si="0"/>
        <v>FT-RSDOILLPG</v>
      </c>
      <c r="N8" s="982" t="str">
        <f>_xlfn.TEXTJOIN(" ",TRUE,SETUP!$B$3,COMM!F8)</f>
        <v>RSD LPG to Residential</v>
      </c>
      <c r="O8" s="981" t="s">
        <v>19</v>
      </c>
      <c r="P8" s="981" t="s">
        <v>908</v>
      </c>
    </row>
    <row r="9" spans="1:19" s="980" customFormat="1" ht="12.75">
      <c r="A9" s="980" t="str">
        <f>COMM!A10</f>
        <v/>
      </c>
      <c r="B9" s="981" t="str">
        <f>_xlfn.TEXTJOIN(",",TRUE,IF(LEFT(Regions!$C$3,1)&lt;&gt;"*",Regions!$C$3,""),IF(LEFT(Regions!$D$3,1)&lt;&gt;"*",Regions!$D$3,""))</f>
        <v>IE,National</v>
      </c>
      <c r="C9" s="978" t="str">
        <f>_xlfn.TEXTJOIN("-",TRUE,SETUP!$B$4,COMM!E10)</f>
        <v>FT-RSDOILKER</v>
      </c>
      <c r="D9" s="979" t="s">
        <v>224</v>
      </c>
      <c r="E9" s="978" t="str">
        <f>COMM!E10</f>
        <v>RSDOILKER</v>
      </c>
      <c r="F9" s="980">
        <v>1</v>
      </c>
      <c r="G9" s="980">
        <v>50</v>
      </c>
      <c r="H9" s="980">
        <v>0.01</v>
      </c>
      <c r="K9" s="978"/>
      <c r="L9" s="981" t="str">
        <f>_xlfn.TEXTJOIN(",",TRUE,IF(LEFT(Regions!$C$3,1)&lt;&gt;"*",Regions!$C$3,""),IF(LEFT(Regions!$D$3,1)&lt;&gt;"*",Regions!$D$3,""))</f>
        <v>IE,National</v>
      </c>
      <c r="M9" s="981" t="str">
        <f t="shared" si="0"/>
        <v>FT-RSDOILKER</v>
      </c>
      <c r="N9" s="982" t="str">
        <f>_xlfn.TEXTJOIN(" ",TRUE,SETUP!$B$3,COMM!F10)</f>
        <v>RSD Kerosene to Residential</v>
      </c>
      <c r="O9" s="981" t="s">
        <v>19</v>
      </c>
      <c r="P9" s="981" t="s">
        <v>908</v>
      </c>
    </row>
    <row r="10" spans="1:19" s="980" customFormat="1" ht="12.75">
      <c r="A10" s="980" t="str">
        <f>COMM!A14</f>
        <v/>
      </c>
      <c r="B10" s="981" t="str">
        <f>_xlfn.TEXTJOIN(",",TRUE,IF(LEFT(Regions!$C$3,1)&lt;&gt;"*",Regions!$C$3,""),IF(LEFT(Regions!$D$3,1)&lt;&gt;"*",Regions!$D$3,""))</f>
        <v>IE,National</v>
      </c>
      <c r="C10" s="978" t="str">
        <f>_xlfn.TEXTJOIN("-",TRUE,SETUP!$B$4,COMM!E14)</f>
        <v>FT-RSDGASNAT</v>
      </c>
      <c r="D10" s="979" t="s">
        <v>228</v>
      </c>
      <c r="E10" s="978" t="str">
        <f>COMM!E14</f>
        <v>RSDGASNAT</v>
      </c>
      <c r="F10" s="980">
        <v>1</v>
      </c>
      <c r="G10" s="980">
        <v>50</v>
      </c>
      <c r="H10" s="980">
        <v>0.01</v>
      </c>
      <c r="K10" s="978"/>
      <c r="L10" s="981" t="str">
        <f>_xlfn.TEXTJOIN(",",TRUE,IF(LEFT(Regions!$C$3,1)&lt;&gt;"*",Regions!$C$3,""),IF(LEFT(Regions!$D$3,1)&lt;&gt;"*",Regions!$D$3,""))</f>
        <v>IE,National</v>
      </c>
      <c r="M10" s="981" t="str">
        <f t="shared" si="0"/>
        <v>FT-RSDGASNAT</v>
      </c>
      <c r="N10" s="982" t="str">
        <f>_xlfn.TEXTJOIN(" ",TRUE,SETUP!$B$3,COMM!F14)</f>
        <v>RSD Natural Gas to Residential</v>
      </c>
      <c r="O10" s="981" t="s">
        <v>19</v>
      </c>
      <c r="P10" s="981" t="s">
        <v>908</v>
      </c>
    </row>
    <row r="11" spans="1:19" s="980" customFormat="1" ht="12.75">
      <c r="A11" s="980" t="str">
        <f>COMM!A16</f>
        <v/>
      </c>
      <c r="B11" s="981" t="str">
        <f>_xlfn.TEXTJOIN(",",TRUE,IF(LEFT(Regions!$C$3,1)&lt;&gt;"*",Regions!$C$3,""),IF(LEFT(Regions!$D$3,1)&lt;&gt;"*",Regions!$D$3,""))</f>
        <v>IE,National</v>
      </c>
      <c r="C11" s="978" t="str">
        <f>_xlfn.TEXTJOIN("-",TRUE,SETUP!$B$4,COMM!E16)</f>
        <v>FT-RSDBIOWOO</v>
      </c>
      <c r="D11" s="979" t="s">
        <v>230</v>
      </c>
      <c r="E11" s="978" t="str">
        <f>COMM!E16</f>
        <v>RSDBIOWOO</v>
      </c>
      <c r="F11" s="980">
        <v>1</v>
      </c>
      <c r="G11" s="980">
        <v>50</v>
      </c>
      <c r="H11" s="980">
        <v>0.01</v>
      </c>
      <c r="L11" s="981" t="str">
        <f>_xlfn.TEXTJOIN(",",TRUE,IF(LEFT(Regions!$C$3,1)&lt;&gt;"*",Regions!$C$3,""),IF(LEFT(Regions!$D$3,1)&lt;&gt;"*",Regions!$D$3,""))</f>
        <v>IE,National</v>
      </c>
      <c r="M11" s="981" t="str">
        <f t="shared" si="0"/>
        <v>FT-RSDBIOWOO</v>
      </c>
      <c r="N11" s="982" t="str">
        <f>_xlfn.TEXTJOIN(" ",TRUE,SETUP!$B$3,COMM!F16)</f>
        <v>RSD Biomass and Renewable Waste to Residential</v>
      </c>
      <c r="O11" s="981" t="s">
        <v>19</v>
      </c>
      <c r="P11" s="981" t="s">
        <v>908</v>
      </c>
    </row>
    <row r="12" spans="1:19">
      <c r="A12" s="980" t="str">
        <f>COMM!A20</f>
        <v/>
      </c>
      <c r="B12" s="981" t="str">
        <f>_xlfn.TEXTJOIN(",",TRUE,IF(LEFT(Regions!$C$3,1)&lt;&gt;"*",Regions!$C$3,""),IF(LEFT(Regions!$D$3,1)&lt;&gt;"*",Regions!$D$3,""))</f>
        <v>IE,National</v>
      </c>
      <c r="C12" s="978" t="str">
        <f>_xlfn.TEXTJOIN("-",TRUE,SETUP!$B$4,COMM!E20)</f>
        <v>FT-RSDBIOETH</v>
      </c>
      <c r="D12" s="979" t="s">
        <v>929</v>
      </c>
      <c r="E12" s="978" t="str">
        <f>COMM!E20</f>
        <v>RSDBIOETH</v>
      </c>
      <c r="F12" s="980">
        <v>1</v>
      </c>
      <c r="G12" s="980">
        <v>50</v>
      </c>
      <c r="H12" s="980">
        <v>0.01</v>
      </c>
      <c r="I12" s="980"/>
      <c r="L12" s="981" t="str">
        <f>_xlfn.TEXTJOIN(",",TRUE,IF(LEFT(Regions!$C$3,1)&lt;&gt;"*",Regions!$C$3,""),IF(LEFT(Regions!$D$3,1)&lt;&gt;"*",Regions!$D$3,""))</f>
        <v>IE,National</v>
      </c>
      <c r="M12" s="981" t="str">
        <f t="shared" si="0"/>
        <v>FT-RSDBIOETH</v>
      </c>
      <c r="N12" s="982" t="str">
        <f>_xlfn.TEXTJOIN(" ",TRUE,SETUP!$B$3,COMM!F20)</f>
        <v>RSD Ethanol to Residential</v>
      </c>
      <c r="O12" s="981" t="s">
        <v>19</v>
      </c>
      <c r="P12" s="981" t="s">
        <v>908</v>
      </c>
    </row>
    <row r="13" spans="1:19">
      <c r="A13" s="980" t="str">
        <f>COMM!A21</f>
        <v/>
      </c>
      <c r="B13" s="981" t="str">
        <f>_xlfn.TEXTJOIN(",",TRUE,IF(LEFT(Regions!$C$3,1)&lt;&gt;"*",Regions!$C$3,""),IF(LEFT(Regions!$D$3,1)&lt;&gt;"*",Regions!$D$3,""))</f>
        <v>IE,National</v>
      </c>
      <c r="C13" s="978" t="str">
        <f>_xlfn.TEXTJOIN("-",TRUE,SETUP!$B$4,COMM!E21)</f>
        <v>FT-RSDBIODST</v>
      </c>
      <c r="D13" s="979" t="s">
        <v>930</v>
      </c>
      <c r="E13" s="978" t="str">
        <f>COMM!E21</f>
        <v>RSDBIODST</v>
      </c>
      <c r="F13" s="980">
        <v>1</v>
      </c>
      <c r="G13" s="980">
        <v>50</v>
      </c>
      <c r="H13" s="980">
        <v>0.01</v>
      </c>
      <c r="I13" s="980"/>
      <c r="L13" s="981" t="str">
        <f>_xlfn.TEXTJOIN(",",TRUE,IF(LEFT(Regions!$C$3,1)&lt;&gt;"*",Regions!$C$3,""),IF(LEFT(Regions!$D$3,1)&lt;&gt;"*",Regions!$D$3,""))</f>
        <v>IE,National</v>
      </c>
      <c r="M13" s="981" t="str">
        <f t="shared" si="0"/>
        <v>FT-RSDBIODST</v>
      </c>
      <c r="N13" s="982" t="str">
        <f>_xlfn.TEXTJOIN(" ",TRUE,SETUP!$B$3,COMM!F21)</f>
        <v>RSD Biodiesel to Residential</v>
      </c>
      <c r="O13" s="981" t="s">
        <v>19</v>
      </c>
      <c r="P13" s="981" t="s">
        <v>908</v>
      </c>
    </row>
    <row r="14" spans="1:19">
      <c r="A14" s="980"/>
      <c r="B14" s="981" t="str">
        <f>_xlfn.TEXTJOIN(",",TRUE,IF(LEFT(Regions!$C$3,1)&lt;&gt;"*",Regions!$C$3,""),IF(LEFT(Regions!$D$3,1)&lt;&gt;"*",Regions!$D$3,""))</f>
        <v>IE,National</v>
      </c>
      <c r="C14" s="978" t="str">
        <f>_xlfn.TEXTJOIN("-",TRUE,SETUP!$B$4,COMM!E24)</f>
        <v>FT-RSDELC</v>
      </c>
      <c r="D14" s="979" t="s">
        <v>928</v>
      </c>
      <c r="E14" s="978" t="str">
        <f>COMM!E24</f>
        <v>RSDELC</v>
      </c>
      <c r="F14" s="980">
        <v>1</v>
      </c>
      <c r="G14" s="980">
        <v>50</v>
      </c>
      <c r="H14" s="980">
        <v>0.01</v>
      </c>
      <c r="I14" s="980"/>
      <c r="L14" s="981" t="str">
        <f>_xlfn.TEXTJOIN(",",TRUE,IF(LEFT(Regions!$C$3,1)&lt;&gt;"*",Regions!$C$3,""),IF(LEFT(Regions!$D$3,1)&lt;&gt;"*",Regions!$D$3,""))</f>
        <v>IE,National</v>
      </c>
      <c r="M14" s="981" t="str">
        <f t="shared" si="0"/>
        <v>FT-RSDELC</v>
      </c>
      <c r="N14" s="982" t="str">
        <f>_xlfn.TEXTJOIN(" ",TRUE,SETUP!$B$3,COMM!F24)</f>
        <v>RSD Electricity to Residential</v>
      </c>
      <c r="O14" s="981" t="s">
        <v>19</v>
      </c>
      <c r="P14" s="981" t="s">
        <v>908</v>
      </c>
    </row>
    <row r="15" spans="1:19">
      <c r="A15" s="980"/>
      <c r="B15" s="981" t="str">
        <f>_xlfn.TEXTJOIN(",",TRUE,IF(LEFT(Regions!$C$3,1)&lt;&gt;"*",Regions!$C$3,""),IF(LEFT(Regions!$D$3,1)&lt;&gt;"*",Regions!$D$3,""))</f>
        <v>IE,National</v>
      </c>
      <c r="C15" s="978" t="str">
        <f>_xlfn.TEXTJOIN("-",TRUE,SETUP!$B$4,COMM!E25)</f>
        <v>FT-RSDHET</v>
      </c>
      <c r="D15" s="979" t="s">
        <v>931</v>
      </c>
      <c r="E15" s="978" t="str">
        <f>COMM!E25</f>
        <v>RSDHET</v>
      </c>
      <c r="F15" s="980">
        <v>1</v>
      </c>
      <c r="G15" s="980">
        <v>50</v>
      </c>
      <c r="H15" s="980">
        <v>0.01</v>
      </c>
      <c r="I15" s="980"/>
      <c r="L15" s="981" t="str">
        <f>_xlfn.TEXTJOIN(",",TRUE,IF(LEFT(Regions!$C$3,1)&lt;&gt;"*",Regions!$C$3,""),IF(LEFT(Regions!$D$3,1)&lt;&gt;"*",Regions!$D$3,""))</f>
        <v>IE,National</v>
      </c>
      <c r="M15" s="981" t="str">
        <f t="shared" si="0"/>
        <v>FT-RSDHET</v>
      </c>
      <c r="N15" s="982" t="str">
        <f>_xlfn.TEXTJOIN(" ",TRUE,SETUP!$B$3,COMM!F25)</f>
        <v>RSD Heat to Residential</v>
      </c>
      <c r="O15" s="981" t="s">
        <v>19</v>
      </c>
      <c r="P15" s="981" t="s">
        <v>908</v>
      </c>
    </row>
    <row r="16" spans="1:19">
      <c r="A16" s="980"/>
      <c r="B16" s="980"/>
      <c r="C16" s="978"/>
    </row>
    <row r="17" spans="1:3">
      <c r="A17" s="980"/>
      <c r="B17" s="980"/>
      <c r="C17" s="978"/>
    </row>
    <row r="18" spans="1:3">
      <c r="A18" s="980"/>
      <c r="B18" s="980"/>
      <c r="C18" s="978"/>
    </row>
    <row r="19" spans="1:3">
      <c r="A19" s="980"/>
      <c r="B19" s="980"/>
      <c r="C19" s="978"/>
    </row>
    <row r="20" spans="1:3">
      <c r="A20" s="980"/>
      <c r="B20" s="980"/>
      <c r="C20" s="978"/>
    </row>
    <row r="21" spans="1:3">
      <c r="A21" s="980"/>
      <c r="B21" s="980"/>
      <c r="C21" s="978"/>
    </row>
    <row r="22" spans="1:3">
      <c r="A22" s="980"/>
      <c r="B22" s="980"/>
      <c r="C22" s="978"/>
    </row>
    <row r="23" spans="1:3">
      <c r="A23" s="980"/>
      <c r="B23" s="980"/>
      <c r="C23" s="978"/>
    </row>
    <row r="24" spans="1:3">
      <c r="A24" s="980"/>
      <c r="B24" s="98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D1" zoomScale="120" zoomScaleNormal="120" workbookViewId="0">
      <selection activeCell="K19" sqref="K19"/>
    </sheetView>
    <sheetView workbookViewId="1"/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45">
        <f>'SHWLP-Apt'!$X$25/$G$6</f>
        <v>1.5953040514247511E-2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43" t="str">
        <f>_xlfn.TEXTJOIN(",",TRUE,IF(LEFT(Regions!$C$3,1)&lt;&gt;"*",Regions!$C$3,""),IF(LEFT(Regions!$D$3,1)&lt;&gt;"*",Regions!$D$3,""))</f>
        <v>IE,National</v>
      </c>
      <c r="C7" s="1044"/>
      <c r="D7" s="1043"/>
      <c r="E7" s="926" t="str">
        <f>COMM!O12</f>
        <v>RSDSC_Apt</v>
      </c>
      <c r="F7" s="1043"/>
      <c r="G7" s="1044"/>
      <c r="H7" s="1043"/>
      <c r="I7" s="1043"/>
      <c r="J7" s="1046">
        <v>0</v>
      </c>
      <c r="K7" s="66"/>
      <c r="L7" s="1043" t="s">
        <v>306</v>
      </c>
      <c r="M7" s="1044" t="str">
        <f>_xlfn.TEXTJOIN(",",TRUE,IF(LEFT(Regions!$C$3,1)&lt;&gt;"*",Regions!$C$3,""),IF(LEFT(Regions!$D$3,1)&lt;&gt;"*",Regions!$D$3,""))</f>
        <v>IE,National</v>
      </c>
      <c r="N7" s="1043" t="str">
        <f>_xlfn.TEXTJOIN("",TRUE,LEFT(SETUP!B$3,1),"-",SETUP!B$85,"_",SETUP!B$37)</f>
        <v>R-BLD_Att</v>
      </c>
      <c r="O7" s="1043" t="str">
        <f>_xlfn.TEXTJOIN(" ",TRUE,SETUP!C$3,SETUP!C$85,SETUP!C$37)</f>
        <v>Residential Building Attached</v>
      </c>
      <c r="P7" s="1044" t="s">
        <v>305</v>
      </c>
      <c r="Q7" s="1043" t="s">
        <v>305</v>
      </c>
      <c r="R7" s="1044"/>
      <c r="S7" s="104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45">
        <f>'SHWLP-Apt'!$X$49/$G$6</f>
        <v>1.3011061382857018E-2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43" t="str">
        <f>_xlfn.TEXTJOIN(",",TRUE,IF(LEFT(Regions!$C$3,1)&lt;&gt;"*",Regions!$C$3,""),IF(LEFT(Regions!$D$3,1)&lt;&gt;"*",Regions!$D$3,""))</f>
        <v>IE,National</v>
      </c>
      <c r="C9" s="1044"/>
      <c r="D9" s="1043"/>
      <c r="E9" s="926" t="str">
        <f>COMM!O18</f>
        <v>RSDLT_Apt</v>
      </c>
      <c r="F9" s="1043"/>
      <c r="G9" s="1044"/>
      <c r="H9" s="1043"/>
      <c r="I9" s="1043"/>
      <c r="J9" s="1046">
        <f>'SHWLP-Apt'!$X$54/$G$6</f>
        <v>6.1538985350091332E-4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45">
        <f>'SHWLP-Apt'!$X$55/$G$6</f>
        <v>1.2680652291464502E-4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43" t="str">
        <f>_xlfn.TEXTJOIN(",",TRUE,IF(LEFT(Regions!$C$3,1)&lt;&gt;"*",Regions!$C$3,""),IF(LEFT(Regions!$D$3,1)&lt;&gt;"*",Regions!$D$3,""))</f>
        <v>IE,National</v>
      </c>
      <c r="C11" s="1044" t="str">
        <f>N7</f>
        <v>R-BLD_Att</v>
      </c>
      <c r="D11" s="1043" t="str">
        <f>O7</f>
        <v>Residential Building Attached</v>
      </c>
      <c r="E11" s="926" t="str">
        <f>COMM!O10</f>
        <v>RSDSH_Att</v>
      </c>
      <c r="F11" s="1043" t="str">
        <f>COMM!O7</f>
        <v>RSD_Att</v>
      </c>
      <c r="G11" s="1044">
        <f>IF(DwellingStocks!I30=0,"",DwellingStocks!$J$38/1000)</f>
        <v>766.35172099999977</v>
      </c>
      <c r="H11" s="1043">
        <v>100</v>
      </c>
      <c r="I11" s="1043">
        <v>1</v>
      </c>
      <c r="J11" s="1046">
        <f>'SHWLP-Att'!$X$25/$G$11</f>
        <v>2.6814506269602453E-2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4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43" t="str">
        <f>_xlfn.TEXTJOIN(",",TRUE,IF(LEFT(Regions!$C$3,1)&lt;&gt;"*",Regions!$C$3,""),IF(LEFT(Regions!$D$3,1)&lt;&gt;"*",Regions!$D$3,""))</f>
        <v>IE,National</v>
      </c>
      <c r="C13" s="1044"/>
      <c r="D13" s="1043"/>
      <c r="E13" s="926" t="str">
        <f>COMM!O16</f>
        <v>RSDWH_Att</v>
      </c>
      <c r="F13" s="1043"/>
      <c r="G13" s="1044"/>
      <c r="H13" s="1043"/>
      <c r="I13" s="1043"/>
      <c r="J13" s="1046">
        <f>'SHWLP-Att'!$X$49/$G$11</f>
        <v>1.0379714580865323E-2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45">
        <f>'SHWLP-Apt'!X54/$G$11</f>
        <v>1.6606204704315168E-4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43" t="str">
        <f>_xlfn.TEXTJOIN(",",TRUE,IF(LEFT(Regions!$C$3,1)&lt;&gt;"*",Regions!$C$3,""),IF(LEFT(Regions!$D$3,1)&lt;&gt;"*",Regions!$D$3,""))</f>
        <v>IE,National</v>
      </c>
      <c r="C15" s="1044"/>
      <c r="D15" s="1043"/>
      <c r="E15" s="926" t="str">
        <f>COMM!O22</f>
        <v>RSDPF_Att</v>
      </c>
      <c r="F15" s="1043"/>
      <c r="G15" s="1044"/>
      <c r="H15" s="1043"/>
      <c r="I15" s="1043"/>
      <c r="J15" s="1046">
        <f>'SHWLP-Apt'!X55/$G$11</f>
        <v>3.4218553740907623E-5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45">
        <f>'SHWLP-Det'!$X$25/$G$16</f>
        <v>4.7813024530524828E-2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43" t="str">
        <f>_xlfn.TEXTJOIN(",",TRUE,IF(LEFT(Regions!$C$3,1)&lt;&gt;"*",Regions!$C$3,""),IF(LEFT(Regions!$D$3,1)&lt;&gt;"*",Regions!$D$3,""))</f>
        <v>IE,National</v>
      </c>
      <c r="C17" s="1044"/>
      <c r="D17" s="1043"/>
      <c r="E17" s="926" t="str">
        <f>COMM!O14</f>
        <v>RSDSC_Det</v>
      </c>
      <c r="F17" s="1043"/>
      <c r="G17" s="1044"/>
      <c r="H17" s="1043"/>
      <c r="I17" s="1043"/>
      <c r="J17" s="104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45">
        <f>'SHWLP-Det'!X49/$G$16</f>
        <v>1.3662048446367651E-2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43" t="str">
        <f>_xlfn.TEXTJOIN(",",TRUE,IF(LEFT(Regions!$C$3,1)&lt;&gt;"*",Regions!$C$3,""),IF(LEFT(Regions!$D$3,1)&lt;&gt;"*",Regions!$D$3,""))</f>
        <v>IE,National</v>
      </c>
      <c r="C19" s="1044"/>
      <c r="D19" s="1043"/>
      <c r="E19" s="926" t="str">
        <f>COMM!O20</f>
        <v>RSDLT_Det</v>
      </c>
      <c r="F19" s="1043"/>
      <c r="G19" s="1044"/>
      <c r="H19" s="1043"/>
      <c r="I19" s="1043"/>
      <c r="J19" s="1046">
        <f>'SHWLP-Det'!X54/$G$16</f>
        <v>1.4164579278735207E-3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45">
        <f>'SHWLP-Det'!X55/G16</f>
        <v>2.9482684972058023E-4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84" t="s">
        <v>820</v>
      </c>
      <c r="D25" s="1084"/>
      <c r="E25" s="1084"/>
      <c r="F25" s="1084"/>
      <c r="G25" s="1084"/>
      <c r="H25" s="1084"/>
      <c r="I25" s="1084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4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4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4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4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4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4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4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4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4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zoomScale="110" zoomScaleNormal="110" workbookViewId="0">
      <selection activeCell="O14" sqref="O14"/>
    </sheetView>
    <sheetView workbookViewId="1"/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85">
        <f>DwellingStocks!$L$38/1000*RSD_Balance!U38</f>
        <v>1697.5803349999996</v>
      </c>
      <c r="H5" s="904">
        <v>0.8</v>
      </c>
      <c r="I5" s="904"/>
      <c r="J5" s="983">
        <f>O5/G5/L5</f>
        <v>1.0395000000000001E-3</v>
      </c>
      <c r="K5" s="984">
        <v>10</v>
      </c>
      <c r="L5" s="737">
        <v>1</v>
      </c>
      <c r="M5" s="737"/>
      <c r="N5" s="737"/>
      <c r="O5" s="921">
        <f>P5/H5</f>
        <v>1.7646347582324997</v>
      </c>
      <c r="P5" s="104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43" t="str">
        <f>_xlfn.TEXTJOIN(",",TRUE,IF(LEFT(Regions!$C$3,1)&lt;&gt;"*",Regions!$C$3,""),IF(LEFT(Regions!$D$3,1)&lt;&gt;"*",Regions!$D$3,""))</f>
        <v>IE,National</v>
      </c>
      <c r="C6" s="1044" t="str">
        <f>U6</f>
        <v>R-RSDCK_X0</v>
      </c>
      <c r="D6" s="1043" t="str">
        <f>V6</f>
        <v>Residential Cooking Demand Technology</v>
      </c>
      <c r="E6" s="1043" t="str">
        <f>COMM!E24</f>
        <v>RSDELC</v>
      </c>
      <c r="F6" s="1044" t="str">
        <f>COMM!$E$33</f>
        <v>RSDCK</v>
      </c>
      <c r="G6" s="1043">
        <f>DwellingStocks!$L$38/1000</f>
        <v>1697.5803349999996</v>
      </c>
      <c r="H6" s="1044"/>
      <c r="I6" s="1043">
        <v>0.74</v>
      </c>
      <c r="J6" s="1049">
        <f>(SUM(O6:O8))/G6/L6</f>
        <v>2.2478349106259702E-3</v>
      </c>
      <c r="K6" s="1043">
        <v>15</v>
      </c>
      <c r="L6" s="1043">
        <v>1</v>
      </c>
      <c r="M6" s="1044">
        <v>0.76</v>
      </c>
      <c r="N6" s="1043">
        <v>5</v>
      </c>
      <c r="O6" s="1044">
        <f>P6/I6</f>
        <v>2.7726136626079474</v>
      </c>
      <c r="P6" s="1048">
        <f>'[3]1d_Cooking'!L6*0.0036</f>
        <v>2.051734110329881</v>
      </c>
      <c r="R6" s="877"/>
      <c r="S6" s="1043" t="s">
        <v>306</v>
      </c>
      <c r="T6" s="1044" t="str">
        <f>_xlfn.TEXTJOIN(",",TRUE,IF(LEFT(Regions!$C$3,1)&lt;&gt;"*",Regions!$C$3,""),IF(LEFT(Regions!$D$3,1)&lt;&gt;"*",Regions!$D$3,""))</f>
        <v>IE,National</v>
      </c>
      <c r="U6" s="1043" t="str">
        <f>_xlfn.TEXTJOIN("",TRUE,,LEFT(SETUP!B$3,1),"-",COMM!E33,"_",SETUP!$B$64)</f>
        <v>R-RSDCK_X0</v>
      </c>
      <c r="V6" s="1043" t="str">
        <f>_xlfn.TEXTJOIN(" ",TRUE,COMM!F33,"Technology")</f>
        <v>Residential Cooking Demand Technology</v>
      </c>
      <c r="W6" s="1044" t="s">
        <v>19</v>
      </c>
      <c r="X6" s="1043" t="s">
        <v>908</v>
      </c>
      <c r="Y6" s="1044"/>
      <c r="Z6" s="104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85"/>
      <c r="H7" s="904"/>
      <c r="I7" s="904">
        <v>0.68</v>
      </c>
      <c r="J7" s="983"/>
      <c r="K7" s="984"/>
      <c r="L7" s="737"/>
      <c r="M7" s="737">
        <f>(1-M6)*(P7/(P7+P8))</f>
        <v>0.22663956527004486</v>
      </c>
      <c r="N7" s="737">
        <v>5</v>
      </c>
      <c r="O7" s="921">
        <f>P7/I7</f>
        <v>0.98518960984168769</v>
      </c>
      <c r="P7" s="104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43" t="str">
        <f>_xlfn.TEXTJOIN(",",TRUE,IF(LEFT(Regions!$C$3,1)&lt;&gt;"*",Regions!$C$3,""),IF(LEFT(Regions!$D$3,1)&lt;&gt;"*",Regions!$D$3,""))</f>
        <v>IE,National</v>
      </c>
      <c r="C8" s="1044"/>
      <c r="D8" s="1043"/>
      <c r="E8" s="1043" t="str">
        <f>COMM!E8</f>
        <v>RSDOILLPG</v>
      </c>
      <c r="F8" s="1044"/>
      <c r="G8" s="1043"/>
      <c r="H8" s="1044"/>
      <c r="I8" s="1043">
        <v>0.68</v>
      </c>
      <c r="J8" s="1049"/>
      <c r="K8" s="1043"/>
      <c r="L8" s="1043"/>
      <c r="M8" s="1044">
        <f>(1-M6)*(P8/(P7+P8))</f>
        <v>1.3360434729955101E-2</v>
      </c>
      <c r="N8" s="1043">
        <v>5</v>
      </c>
      <c r="O8" s="1044">
        <f>P8/I8</f>
        <v>5.8077068155493447E-2</v>
      </c>
      <c r="P8" s="1048">
        <f>'[3]1d_Cooking'!L11*0.041868</f>
        <v>3.9492406345735545E-2</v>
      </c>
      <c r="R8" s="877"/>
      <c r="S8" s="1043" t="s">
        <v>306</v>
      </c>
      <c r="T8" s="1044" t="str">
        <f>_xlfn.TEXTJOIN(",",TRUE,IF(LEFT(Regions!$C$3,1)&lt;&gt;"*",Regions!$C$3,""),IF(LEFT(Regions!$D$3,1)&lt;&gt;"*",Regions!$D$3,""))</f>
        <v>IE,National</v>
      </c>
      <c r="U8" s="1043" t="str">
        <f>_xlfn.TEXTJOIN("",TRUE,,LEFT(SETUP!B$3,1),"-",COMM!E35,"_",SETUP!$B$64)</f>
        <v>R-RSDCD_X0</v>
      </c>
      <c r="V8" s="1043" t="str">
        <f>_xlfn.TEXTJOIN(" ",TRUE,COMM!F35,"Technology")</f>
        <v>Residential Cloth Drying Demand Technology</v>
      </c>
      <c r="W8" s="1044" t="s">
        <v>19</v>
      </c>
      <c r="X8" s="1043" t="s">
        <v>908</v>
      </c>
      <c r="Y8" s="1044"/>
      <c r="Z8" s="104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85">
        <f>DwellingStocks!$L$38/1000*RSD_Balance!U36</f>
        <v>1655.1408266249996</v>
      </c>
      <c r="H9" s="904">
        <v>0.7</v>
      </c>
      <c r="I9" s="904"/>
      <c r="J9" s="983">
        <f>O9/G9/L9</f>
        <v>9.5142857142857149E-4</v>
      </c>
      <c r="K9" s="984">
        <v>10</v>
      </c>
      <c r="L9" s="737">
        <v>1</v>
      </c>
      <c r="M9" s="737"/>
      <c r="N9" s="737"/>
      <c r="O9" s="921">
        <f>P9/H9</f>
        <v>1.5747482721889283</v>
      </c>
      <c r="P9" s="104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43" t="str">
        <f>_xlfn.TEXTJOIN(",",TRUE,IF(LEFT(Regions!$C$3,1)&lt;&gt;"*",Regions!$C$3,""),IF(LEFT(Regions!$D$3,1)&lt;&gt;"*",Regions!$D$3,""))</f>
        <v>IE,National</v>
      </c>
      <c r="C10" s="1044" t="str">
        <f t="shared" ref="C10:D10" si="0">U8</f>
        <v>R-RSDCD_X0</v>
      </c>
      <c r="D10" s="1043" t="str">
        <f t="shared" si="0"/>
        <v>Residential Cloth Drying Demand Technology</v>
      </c>
      <c r="E10" s="1043" t="str">
        <f>COMM!$E$24</f>
        <v>RSDELC</v>
      </c>
      <c r="F10" s="1044" t="str">
        <f>COMM!E35</f>
        <v>RSDCD</v>
      </c>
      <c r="G10" s="1043">
        <f>DwellingStocks!$L$38/1000*RSD_Balance!U37</f>
        <v>1100.0320570799997</v>
      </c>
      <c r="H10" s="1044">
        <v>0.6</v>
      </c>
      <c r="I10" s="1043"/>
      <c r="J10" s="1049">
        <f t="shared" ref="J10:J13" si="1">O10/G10/L10</f>
        <v>2.5980000000000009E-3</v>
      </c>
      <c r="K10" s="1043">
        <v>10</v>
      </c>
      <c r="L10" s="1043">
        <v>1</v>
      </c>
      <c r="M10" s="1044"/>
      <c r="N10" s="1043"/>
      <c r="O10" s="1044">
        <f>P10/H10</f>
        <v>2.8578832842938402</v>
      </c>
      <c r="P10" s="1048">
        <f>(RSD_Balance!T37*0.0000000036)*(DwellingStocks!$L$38*RSD_Balance!U37)</f>
        <v>1.7147299705763039</v>
      </c>
      <c r="R10" s="877"/>
      <c r="S10" s="1043" t="s">
        <v>306</v>
      </c>
      <c r="T10" s="1044" t="str">
        <f>_xlfn.TEXTJOIN(",",TRUE,IF(LEFT(Regions!$C$3,1)&lt;&gt;"*",Regions!$C$3,""),IF(LEFT(Regions!$D$3,1)&lt;&gt;"*",Regions!$D$3,""))</f>
        <v>IE,National</v>
      </c>
      <c r="U10" s="1043" t="str">
        <f>_xlfn.TEXTJOIN("",TRUE,,LEFT(SETUP!B$3,1),"-",COMM!E37,"_",SETUP!$B$64)</f>
        <v>R-RSDOE_X0</v>
      </c>
      <c r="V10" s="1043" t="str">
        <f>_xlfn.TEXTJOIN(" ",TRUE,COMM!F37,"Technology")</f>
        <v>Residential ELC Appliances Demand Technology</v>
      </c>
      <c r="W10" s="1044" t="s">
        <v>19</v>
      </c>
      <c r="X10" s="1043" t="s">
        <v>908</v>
      </c>
      <c r="Y10" s="1044"/>
      <c r="Z10" s="104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85">
        <f>DwellingStocks!$L$38/1000*RSD_Balance!U40</f>
        <v>1098.3344767449998</v>
      </c>
      <c r="H11" s="904">
        <v>0.7</v>
      </c>
      <c r="I11" s="904"/>
      <c r="J11" s="983">
        <f t="shared" si="1"/>
        <v>1.5428571428571429E-3</v>
      </c>
      <c r="K11" s="984">
        <v>10</v>
      </c>
      <c r="L11" s="737">
        <v>1</v>
      </c>
      <c r="M11" s="737"/>
      <c r="N11" s="737"/>
      <c r="O11" s="921">
        <f>P11/H11</f>
        <v>1.6945731926922856</v>
      </c>
      <c r="P11" s="104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43" t="str">
        <f>_xlfn.TEXTJOIN(",",TRUE,IF(LEFT(Regions!$C$3,1)&lt;&gt;"*",Regions!$C$3,""),IF(LEFT(Regions!$D$3,1)&lt;&gt;"*",Regions!$D$3,""))</f>
        <v>IE,National</v>
      </c>
      <c r="C12" s="1044" t="str">
        <f t="shared" ref="C12:D12" si="3">U10</f>
        <v>R-RSDOE_X0</v>
      </c>
      <c r="D12" s="1043" t="str">
        <f t="shared" si="3"/>
        <v>Residential ELC Appliances Demand Technology</v>
      </c>
      <c r="E12" s="1043" t="str">
        <f>COMM!$E$24</f>
        <v>RSDELC</v>
      </c>
      <c r="F12" s="1044" t="str">
        <f>COMM!E37</f>
        <v>RSDOE</v>
      </c>
      <c r="G12" s="1043">
        <f>DwellingStocks!$L$38/1000*1</f>
        <v>1697.5803349999996</v>
      </c>
      <c r="H12" s="1044">
        <v>0.85</v>
      </c>
      <c r="I12" s="1043"/>
      <c r="J12" s="1049">
        <f t="shared" si="1"/>
        <v>7.5040840802203159E-3</v>
      </c>
      <c r="K12" s="1043">
        <v>10</v>
      </c>
      <c r="L12" s="1043">
        <v>1</v>
      </c>
      <c r="M12" s="1044"/>
      <c r="N12" s="1043"/>
      <c r="O12" s="1044">
        <f>P12/H12</f>
        <v>12.738785566768568</v>
      </c>
      <c r="P12" s="1048">
        <f>SUM([3]Table2_Energy_Totals!$I$6+[3]Table2_Energy_Totals!$J$6)/1000-SUM(RSD_Balance!S26:V26,RSD_Balance!L26:N26)</f>
        <v>10.827967731753283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85">
        <f>DwellingStocks!$L$38/1000*1</f>
        <v>1697.5803349999996</v>
      </c>
      <c r="H13" s="904">
        <v>0.85</v>
      </c>
      <c r="I13" s="904"/>
      <c r="J13" s="983">
        <f t="shared" si="1"/>
        <v>0</v>
      </c>
      <c r="K13" s="984">
        <v>10</v>
      </c>
      <c r="L13" s="737">
        <v>1</v>
      </c>
      <c r="M13" s="737"/>
      <c r="N13" s="737"/>
      <c r="O13" s="921">
        <f>P13/H13</f>
        <v>0</v>
      </c>
      <c r="P13" s="104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84" t="s">
        <v>819</v>
      </c>
      <c r="E17" s="1084"/>
      <c r="F17" s="1084"/>
      <c r="G17" s="1084"/>
      <c r="H17" s="1084"/>
      <c r="I17" s="1084"/>
      <c r="J17" s="1084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10.827967731753283</v>
      </c>
      <c r="H26" s="887">
        <f>G26*(H28/G28)</f>
        <v>13.321054953021019</v>
      </c>
      <c r="I26" s="887">
        <f t="shared" ref="I26:L26" si="10">H26*(I28/H28)</f>
        <v>14.956622606893598</v>
      </c>
      <c r="J26" s="887">
        <f t="shared" si="10"/>
        <v>16.39503170768451</v>
      </c>
      <c r="K26" s="887">
        <f t="shared" si="10"/>
        <v>17.782987099162057</v>
      </c>
      <c r="L26" s="887">
        <f t="shared" si="10"/>
        <v>19.122466107481383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8" workbookViewId="0">
      <selection activeCell="E139" sqref="E139"/>
    </sheetView>
    <sheetView workbookViewId="1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093" t="s">
        <v>850</v>
      </c>
      <c r="R26" s="1093"/>
      <c r="S26" s="1093"/>
      <c r="T26" s="1093" t="s">
        <v>851</v>
      </c>
      <c r="U26" s="1093"/>
      <c r="V26" s="1093"/>
    </row>
    <row r="27" spans="1:22" ht="21.75" thickBot="1">
      <c r="A27" s="67"/>
      <c r="B27" s="67"/>
      <c r="C27" s="67"/>
      <c r="D27" s="67"/>
      <c r="E27" s="67"/>
      <c r="F27" s="67"/>
      <c r="H27" s="1093" t="s">
        <v>649</v>
      </c>
      <c r="I27" s="1093"/>
      <c r="J27" s="1093"/>
      <c r="K27" s="1093"/>
      <c r="L27" s="1093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0" t="s">
        <v>318</v>
      </c>
      <c r="C58" s="1091"/>
      <c r="D58" s="1091"/>
      <c r="E58" s="1091"/>
      <c r="F58" s="1091"/>
      <c r="G58" s="1091"/>
      <c r="H58" s="1091"/>
      <c r="I58" s="1091"/>
      <c r="J58" s="1091"/>
      <c r="K58" s="1091"/>
      <c r="L58" s="1092"/>
      <c r="M58" s="1087" t="s">
        <v>319</v>
      </c>
      <c r="N58" s="1088"/>
      <c r="O58" s="1089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094" t="s">
        <v>384</v>
      </c>
      <c r="T92" s="1095"/>
      <c r="U92" s="1095"/>
      <c r="V92" s="1095"/>
      <c r="W92" s="1095"/>
      <c r="X92" s="1095"/>
      <c r="Y92" s="1095"/>
      <c r="Z92" s="1096"/>
      <c r="AB92" s="1085" t="s">
        <v>385</v>
      </c>
      <c r="AC92" s="1085"/>
      <c r="AD92" s="1085"/>
      <c r="AE92" s="1085"/>
      <c r="AF92" s="1086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85"/>
      <c r="AC93" s="1085"/>
      <c r="AD93" s="1085"/>
      <c r="AE93" s="1085"/>
      <c r="AF93" s="1086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I15" zoomScale="90" zoomScaleNormal="90" workbookViewId="0">
      <selection activeCell="M47" sqref="M47"/>
    </sheetView>
    <sheetView tabSelected="1" topLeftCell="O17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0.97042308377103181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0">
        <f>(E7+E14+E16)/SUM($E$7:$E$25)</f>
        <v>2.1588177690732664E-3</v>
      </c>
      <c r="R7" s="921">
        <f>Q7*DwellingStocks!$I$38/1000</f>
        <v>0.44644110756253896</v>
      </c>
      <c r="S7" s="1030">
        <f>(R7*1000)/(E7+E14+E16)*DwellingStocks!$T$37-0.0955</f>
        <v>1.0441707013624295</v>
      </c>
      <c r="T7" s="923">
        <f>(G7+G14+G16)/300</f>
        <v>0.59018803418803423</v>
      </c>
      <c r="U7" s="923">
        <f>X7/R7/W7</f>
        <v>9.2214798735756998E-2</v>
      </c>
      <c r="V7" s="924">
        <v>20</v>
      </c>
      <c r="W7" s="924">
        <v>1</v>
      </c>
      <c r="X7" s="925">
        <f t="shared" ref="X7:X13" si="0">Y7*T7</f>
        <v>4.1168476881247973E-2</v>
      </c>
      <c r="Y7" s="925">
        <f>IF(((D7+I7+D14+I14+D16+I16)*$B$2)&lt;=0,0,((D7+I7+D14+I14+D16+I16)*S7*$B$2))</f>
        <v>6.975484844908203E-2</v>
      </c>
      <c r="Z7" s="716">
        <v>0.441</v>
      </c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1">M7</f>
        <v>R-SH_Apt_COA_X0</v>
      </c>
      <c r="AD7" s="737" t="str">
        <f t="shared" si="1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27">
        <f>E8/SUM($E$7:$E$25)</f>
        <v>2.2255853289415115E-5</v>
      </c>
      <c r="R8" s="928">
        <f>Q8*DwellingStocks!$I$38/1000</f>
        <v>4.6024856449746274E-3</v>
      </c>
      <c r="S8" s="929">
        <f>(R8*1000)/E8*DwellingStocks!$T$37</f>
        <v>1.139670701362429</v>
      </c>
      <c r="T8" s="938">
        <f>IF((G8/100)&gt;1,0.9)</f>
        <v>0.9</v>
      </c>
      <c r="U8" s="930">
        <f>X8/R8/W8</f>
        <v>4.4735749332023116E-3</v>
      </c>
      <c r="V8" s="931">
        <v>20</v>
      </c>
      <c r="W8" s="931">
        <v>1</v>
      </c>
      <c r="X8" s="932">
        <f t="shared" si="0"/>
        <v>2.0589564411781966E-5</v>
      </c>
      <c r="Y8" s="933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1"/>
        <v>R-SH_Apt_BIODST_X0</v>
      </c>
      <c r="AD8" s="81" t="str">
        <f t="shared" si="1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0">
        <f>E9/SUM($E$7:$E$25)</f>
        <v>7.4186177631383719E-6</v>
      </c>
      <c r="R9" s="921">
        <f>Q9*DwellingStocks!$I$38/1000</f>
        <v>1.5341618816582091E-3</v>
      </c>
      <c r="S9" s="922">
        <f>(R9*1000)/E9*DwellingStocks!$T$37</f>
        <v>1.1396707013624292</v>
      </c>
      <c r="T9" s="939">
        <f>IF((G9/100)&gt;1,0.9)</f>
        <v>0.9</v>
      </c>
      <c r="U9" s="923">
        <f t="shared" ref="U9:U21" si="2">X9/R9/W9</f>
        <v>9.6274926826448623E-6</v>
      </c>
      <c r="V9" s="924">
        <v>20</v>
      </c>
      <c r="W9" s="924">
        <v>1</v>
      </c>
      <c r="X9" s="925">
        <f t="shared" si="0"/>
        <v>1.4770132289657081E-8</v>
      </c>
      <c r="Y9" s="925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1"/>
        <v>R-SH_Apt_BIOETH_X0</v>
      </c>
      <c r="AD9" s="737" t="str">
        <f t="shared" si="1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27">
        <f>(E10+E11)/SUM($E$7:$E$25)</f>
        <v>1.4139885456541736E-2</v>
      </c>
      <c r="R10" s="928">
        <f>(Q10)*DwellingStocks!$I$38/1000</f>
        <v>2.9241125464405466</v>
      </c>
      <c r="S10" s="929">
        <f>(R10*1000)/(E10+E11)*DwellingStocks!$T$37+0.1525</f>
        <v>1.2921707013624293</v>
      </c>
      <c r="T10" s="930">
        <f>(G10+G11)/200</f>
        <v>0.80677902621722841</v>
      </c>
      <c r="U10" s="930">
        <f t="shared" si="2"/>
        <v>1.7299140780158057E-2</v>
      </c>
      <c r="V10" s="931">
        <v>20</v>
      </c>
      <c r="W10" s="931">
        <v>1</v>
      </c>
      <c r="X10" s="932">
        <f t="shared" si="0"/>
        <v>5.0584634597901482E-2</v>
      </c>
      <c r="Y10" s="933">
        <f>IF(((D10+I10+D11+I11)*S10*$B$2)&lt;=0,0,((D10+I10+D11+I11)*S10*$B$2))</f>
        <v>6.2699491377557662E-2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1"/>
        <v>R-SH_Apt_OILLPG_X0</v>
      </c>
      <c r="AD10" s="81" t="str">
        <f t="shared" si="1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0">
        <f>E25/SUM($E$7:$E$25)</f>
        <v>0.28021603014926261</v>
      </c>
      <c r="R11" s="921">
        <f>(Q11)*DwellingStocks!$I$38/1000</f>
        <v>57.948362593993885</v>
      </c>
      <c r="S11" s="922">
        <f>(R11*1000)/(E25)*DwellingStocks!$T$37+0.084</f>
        <v>1.2236707013624295</v>
      </c>
      <c r="T11" s="923">
        <f>(G25)/100</f>
        <v>1</v>
      </c>
      <c r="U11" s="923">
        <f t="shared" si="2"/>
        <v>1.3558272842045374E-2</v>
      </c>
      <c r="V11" s="924">
        <v>20</v>
      </c>
      <c r="W11" s="924">
        <v>1</v>
      </c>
      <c r="X11" s="925">
        <f t="shared" si="0"/>
        <v>0.78567971079914534</v>
      </c>
      <c r="Y11" s="925">
        <f>IF(((D25+I25)*S11*$B$2)&lt;=0,0,((D25+I25)*S11*$B$2))</f>
        <v>0.78567971079914534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1"/>
        <v>R-SH_Apt_ELC_X0</v>
      </c>
      <c r="AD11" s="737" t="str">
        <f t="shared" si="1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27">
        <f>E12/SUM($E$7:$E$25)*0.85</f>
        <v>0.16760252529748657</v>
      </c>
      <c r="R12" s="928">
        <f>Q12*DwellingStocks!$I$38/1000</f>
        <v>34.660015354704512</v>
      </c>
      <c r="S12" s="929">
        <f>((R12+R22)*1000)/E12*DwellingStocks!$T$37+0.084</f>
        <v>1.2236707013624293</v>
      </c>
      <c r="T12" s="930">
        <f>G12/100</f>
        <v>3.0701960784313722</v>
      </c>
      <c r="U12" s="930">
        <f t="shared" si="2"/>
        <v>2.4813655183930763E-2</v>
      </c>
      <c r="V12" s="931">
        <v>20</v>
      </c>
      <c r="W12" s="931">
        <v>1</v>
      </c>
      <c r="X12" s="932">
        <f t="shared" si="0"/>
        <v>0.86004166968138351</v>
      </c>
      <c r="Y12" s="933">
        <f>IF(((D12+I12)*S12*$B$2)&lt;=0,0,((D12+I12)*S12*$B$2))</f>
        <v>0.28012597492496211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1"/>
        <v>R-SH_Apt_ELC_X1</v>
      </c>
      <c r="AD12" s="81" t="str">
        <f t="shared" si="1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0">
        <f>E13/SUM($E$7:$E$25)</f>
        <v>2.9103237484791832E-2</v>
      </c>
      <c r="R13" s="921">
        <f>Q13*DwellingStocks!$I$38/1000</f>
        <v>6.0185170617451549</v>
      </c>
      <c r="S13" s="922">
        <f>(R13*1000)/E13*DwellingStocks!$T$37</f>
        <v>1.1396707013624292</v>
      </c>
      <c r="T13" s="923">
        <f>G13/100</f>
        <v>0.81016216216216219</v>
      </c>
      <c r="U13" s="923">
        <f t="shared" si="2"/>
        <v>3.0831862922372489E-2</v>
      </c>
      <c r="V13" s="924">
        <v>20</v>
      </c>
      <c r="W13" s="924">
        <v>1</v>
      </c>
      <c r="X13" s="925">
        <f t="shared" si="0"/>
        <v>0.18556209304368665</v>
      </c>
      <c r="Y13" s="925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1"/>
        <v>R-SH_Apt_OILKER_X0</v>
      </c>
      <c r="AD13" s="737" t="str">
        <f t="shared" si="1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0">
        <f>E15/SUM($E$7:$E$25)</f>
        <v>0.4073933944627437</v>
      </c>
      <c r="R15" s="921">
        <f>Q15*DwellingStocks!$I$38/1000</f>
        <v>84.248499731260551</v>
      </c>
      <c r="S15" s="922">
        <f>(R15*1000)/E15*DwellingStocks!$T$37</f>
        <v>1.1396707013624292</v>
      </c>
      <c r="T15" s="923">
        <f>G15/100</f>
        <v>0.81026881720430111</v>
      </c>
      <c r="U15" s="923">
        <f t="shared" si="2"/>
        <v>1.1859086836729585E-2</v>
      </c>
      <c r="V15" s="924">
        <v>20</v>
      </c>
      <c r="W15" s="924">
        <v>1</v>
      </c>
      <c r="X15" s="925">
        <f>Y15*T15</f>
        <v>0.99911027417720799</v>
      </c>
      <c r="Y15" s="925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0">
        <f>(E17+E18)/SUM($E$7:$E$25)</f>
        <v>1.0386064868393721E-4</v>
      </c>
      <c r="R17" s="921">
        <f>Q17*DwellingStocks!$I$38/1000</f>
        <v>2.1478266343214931E-2</v>
      </c>
      <c r="S17" s="922">
        <f>(R17*1000)/(E17+E18)*DwellingStocks!$T$37</f>
        <v>1.1396707013624292</v>
      </c>
      <c r="T17" s="923">
        <f>(G17+G18)/200</f>
        <v>0.52500000000000002</v>
      </c>
      <c r="U17" s="923">
        <f t="shared" si="2"/>
        <v>7.4873010592929085E-2</v>
      </c>
      <c r="V17" s="924">
        <v>20</v>
      </c>
      <c r="W17" s="924">
        <v>1</v>
      </c>
      <c r="X17" s="925">
        <f>Y17*T17</f>
        <v>1.6081424634332838E-3</v>
      </c>
      <c r="Y17" s="925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26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27">
        <f>E19/SUM($E$7:$E$25)</f>
        <v>3.2493545802546068E-3</v>
      </c>
      <c r="R19" s="928">
        <f>Q19*DwellingStocks!$I$38/1000</f>
        <v>0.67196290416629567</v>
      </c>
      <c r="S19" s="1029">
        <f>(R19*1000)/E19*DwellingStocks!$T$37-0.1377</f>
        <v>1.0019707013624293</v>
      </c>
      <c r="T19" s="930">
        <f>G19/100</f>
        <v>0.58177777777777773</v>
      </c>
      <c r="U19" s="930">
        <f t="shared" si="2"/>
        <v>6.9528832827688458E-2</v>
      </c>
      <c r="V19" s="931">
        <v>20</v>
      </c>
      <c r="W19" s="931">
        <v>1</v>
      </c>
      <c r="X19" s="932">
        <f>Y19*T19</f>
        <v>4.6720796430186409E-2</v>
      </c>
      <c r="Y19" s="933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0">
        <f>(E20+E21+E22+E23)/SUM($E$7:$E$25)</f>
        <v>1.3872815217068756E-3</v>
      </c>
      <c r="R20" s="921">
        <f>Q20*DwellingStocks!$I$38/1000</f>
        <v>0.28688827187008514</v>
      </c>
      <c r="S20" s="922">
        <f>(R20*1000)/(E20+E21+E22+E23)*DwellingStocks!$T$37-0.1368</f>
        <v>1.0028707013624292</v>
      </c>
      <c r="T20" s="923">
        <f>(G21+G22+G23)/300</f>
        <v>0.6880451127819549</v>
      </c>
      <c r="U20" s="923">
        <f t="shared" si="2"/>
        <v>1.2758751790818573E-2</v>
      </c>
      <c r="V20" s="924">
        <v>20</v>
      </c>
      <c r="W20" s="924">
        <v>1</v>
      </c>
      <c r="X20" s="925">
        <f>Y20*T20</f>
        <v>3.6603362524872942E-3</v>
      </c>
      <c r="Y20" s="925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26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27">
        <f>E24/SUM($E$7:$E$25)</f>
        <v>6.5039021929434102E-2</v>
      </c>
      <c r="R21" s="928">
        <f>Q21*DwellingStocks!$I$38/1000</f>
        <v>13.449997216497518</v>
      </c>
      <c r="S21" s="929">
        <f>(R21*1000)/E24*DwellingStocks!$T$37</f>
        <v>1.139670701362429</v>
      </c>
      <c r="T21" s="930">
        <f>G24/100</f>
        <v>0.39838442187649958</v>
      </c>
      <c r="U21" s="930">
        <f t="shared" si="2"/>
        <v>1.1111193431909167E-3</v>
      </c>
      <c r="V21" s="931">
        <v>20</v>
      </c>
      <c r="W21" s="931">
        <v>1</v>
      </c>
      <c r="X21" s="932">
        <f>Y21*T21</f>
        <v>1.4944552073114381E-2</v>
      </c>
      <c r="Y21" s="933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LEFT(SETUP!B3,1)&amp;"-"&amp;RIGHT(COMM!$O$9,6)&amp;"_"&amp;RIGHT(O22,LEN(O22)-3)&amp;"_"&amp;SETUP!B64</f>
        <v>R-SH_Apt_RENGEO_X0</v>
      </c>
      <c r="N22" s="737" t="str">
        <f>COMM!P9&amp;" "&amp;COMM!F19&amp;" "&amp;SETUP!C64</f>
        <v>Residential Space Heating Apartment Geothermal to Residential Existing 00</v>
      </c>
      <c r="O22" s="737" t="str">
        <f>COMM!E19</f>
        <v>RSDRENGEO</v>
      </c>
      <c r="P22" s="737" t="str">
        <f>COMM!$O$9</f>
        <v>RSDSH_Apt</v>
      </c>
      <c r="Q22" s="920">
        <f>E12/SUM($E$7:$E$25)*0.15</f>
        <v>2.9576916228968214E-2</v>
      </c>
      <c r="R22" s="921">
        <f>Q22*DwellingStocks!$I$38/1000</f>
        <v>6.1164732978890308</v>
      </c>
      <c r="S22" s="922">
        <f>((R12+R22)*1000)/E12*DwellingStocks!$T$37+0.0095</f>
        <v>1.1491707013624293</v>
      </c>
      <c r="T22" s="923">
        <f>G12/100</f>
        <v>3.0701960784313722</v>
      </c>
      <c r="U22" s="923">
        <f>X22/R22/W22</f>
        <v>5.0677847327291269E-2</v>
      </c>
      <c r="V22" s="924">
        <v>20</v>
      </c>
      <c r="W22" s="924">
        <v>1</v>
      </c>
      <c r="X22" s="925">
        <f>Y22*T22</f>
        <v>0.30996969997187401</v>
      </c>
      <c r="Y22" s="925">
        <f>RSD_Balance!F22</f>
        <v>0.10096088069080073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R-SH_Apt_RENGEO_X0</v>
      </c>
      <c r="AD22" s="81" t="str">
        <f t="shared" ref="AD22" si="5">N22</f>
        <v>Residential Space Heating Apartment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19"/>
      <c r="N25" s="919"/>
      <c r="O25" s="919"/>
      <c r="P25" s="919"/>
      <c r="Q25" s="919"/>
      <c r="R25" s="914">
        <f>SUM(R6:R23)</f>
        <v>206.79888499999996</v>
      </c>
      <c r="S25" s="919"/>
      <c r="T25" s="919"/>
      <c r="U25" s="919"/>
      <c r="V25" s="919"/>
      <c r="W25" s="919"/>
      <c r="X25" s="912">
        <f>SUM(X6:X23)</f>
        <v>3.2990709907062117</v>
      </c>
      <c r="Y25" s="912">
        <f>SUM(Y6:Y23)</f>
        <v>2.8875500782856967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0.99999999999999989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0">
        <f>(E31+E38+E40)/SUM($E$31:$E$49)-($Q$46/7)</f>
        <v>3.5291010812410961E-4</v>
      </c>
      <c r="R31" s="921">
        <f>Q31*DwellingStocks!$I$38/1000</f>
        <v>7.2981416865295301E-2</v>
      </c>
      <c r="S31" s="1030">
        <f>IFERROR((R31*1000)/(E31+E38+E40),0)-0.0955</f>
        <v>0.20986157684223974</v>
      </c>
      <c r="T31" s="923">
        <f>T7</f>
        <v>0.59018803418803423</v>
      </c>
      <c r="U31" s="923">
        <f>IFERROR(X31/R31/W31,0)</f>
        <v>6.3768329096572296E-3</v>
      </c>
      <c r="V31" s="924">
        <v>20</v>
      </c>
      <c r="W31" s="924">
        <v>1</v>
      </c>
      <c r="X31" s="925">
        <f t="shared" ref="X31:X37" si="6">Y31*T31</f>
        <v>4.6539030086002823E-4</v>
      </c>
      <c r="Y31" s="925">
        <f>IF(((D31+I31+D38+I38+D40+I40)*$B$2)&lt;=0,0,((D31+I31+D38+I38+D40+I40)*S31*$B$2))</f>
        <v>7.8854580896459624E-4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7">M31</f>
        <v>R-WH_Apt_COA_X0</v>
      </c>
      <c r="AD31" s="737" t="str">
        <f t="shared" si="7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26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27">
        <f>E32/SUM($E$31:$E$49)</f>
        <v>2.9815590572310261E-5</v>
      </c>
      <c r="R32" s="928">
        <f>Q32*DwellingStocks!$I$38/1000</f>
        <v>6.1658308859702726E-3</v>
      </c>
      <c r="S32" s="929">
        <f>IFERROR((R32*1000)/E32,0)</f>
        <v>1.5414577214925682</v>
      </c>
      <c r="T32" s="938">
        <f t="shared" ref="T32:T34" si="8">T8</f>
        <v>0.9</v>
      </c>
      <c r="U32" s="930">
        <f>X32/R32/W32</f>
        <v>7.1004600000000011E-3</v>
      </c>
      <c r="V32" s="931">
        <v>20</v>
      </c>
      <c r="W32" s="931">
        <v>1</v>
      </c>
      <c r="X32" s="932">
        <f t="shared" si="6"/>
        <v>4.3780235572596489E-5</v>
      </c>
      <c r="Y32" s="933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7"/>
        <v>R-WH_Apt_BIODST_X0</v>
      </c>
      <c r="AD32" s="81" t="str">
        <f t="shared" si="7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0">
        <f>E33/SUM($E$31:$E$49)</f>
        <v>2.2361692929232695E-5</v>
      </c>
      <c r="R33" s="921">
        <f>Q33*DwellingStocks!$I$38/1000</f>
        <v>4.6243731644777042E-3</v>
      </c>
      <c r="S33" s="922">
        <f>IFERROR((R33*1000)/E33,0)</f>
        <v>1.5414577214925682</v>
      </c>
      <c r="T33" s="939">
        <f t="shared" si="8"/>
        <v>0.9</v>
      </c>
      <c r="U33" s="923">
        <f t="shared" ref="U33:U35" si="9">X33/R33/W33</f>
        <v>8.5546800000000003E-3</v>
      </c>
      <c r="V33" s="924">
        <v>20</v>
      </c>
      <c r="W33" s="924">
        <v>1</v>
      </c>
      <c r="X33" s="925">
        <f t="shared" si="6"/>
        <v>3.9560032622694131E-5</v>
      </c>
      <c r="Y33" s="925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7"/>
        <v>R-WH_Apt_BIOETH_X0</v>
      </c>
      <c r="AD33" s="737" t="str">
        <f t="shared" si="7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26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27">
        <f>(E34+E35)/SUM($E$31:$E$49)-($Q$46/7)</f>
        <v>1.2920181534352884E-2</v>
      </c>
      <c r="R34" s="928">
        <f>(Q34)*DwellingStocks!$I$38/1000</f>
        <v>2.6718791353017655</v>
      </c>
      <c r="S34" s="929">
        <f>IFERROR((R34*1000)/(E34+E35),0)</f>
        <v>1.3879891611957222</v>
      </c>
      <c r="T34" s="930">
        <f t="shared" si="8"/>
        <v>0.80677902621722841</v>
      </c>
      <c r="U34" s="930">
        <f t="shared" si="9"/>
        <v>8.8234631689712521E-3</v>
      </c>
      <c r="V34" s="931">
        <v>20</v>
      </c>
      <c r="W34" s="931">
        <v>1</v>
      </c>
      <c r="X34" s="932">
        <f t="shared" si="6"/>
        <v>2.3575227142277885E-2</v>
      </c>
      <c r="Y34" s="933">
        <f>IF(((D34+I34+D35+I35)*$B$2)&lt;=0,0,((D34+I34+D35+I35)*S34*$B$2))</f>
        <v>2.9221417979611884E-2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7"/>
        <v>R-WH_Apt_OILLPG_X0</v>
      </c>
      <c r="AD34" s="81" t="str">
        <f t="shared" si="7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0">
        <f>E49/SUM($E$31:$E$49)-($Q$46/7)</f>
        <v>0.28012005034575432</v>
      </c>
      <c r="R35" s="921">
        <f>Q35*DwellingStocks!$I$38/1000</f>
        <v>57.92851407764585</v>
      </c>
      <c r="S35" s="922">
        <f>IFERROR((R35*1000)/E49,0)+0.084</f>
        <v>1.6176363993870024</v>
      </c>
      <c r="T35" s="923">
        <f>T11</f>
        <v>1</v>
      </c>
      <c r="U35" s="923">
        <f t="shared" si="9"/>
        <v>8.4736052016827264E-3</v>
      </c>
      <c r="V35" s="924">
        <v>20</v>
      </c>
      <c r="W35" s="924">
        <v>1</v>
      </c>
      <c r="X35" s="925">
        <f t="shared" si="6"/>
        <v>0.49086335821409094</v>
      </c>
      <c r="Y35" s="925">
        <f>IF(((D49+I49)*$B$2)&lt;=0,0,((D49+I49)*S35*$B$2))</f>
        <v>0.49086335821409094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7"/>
        <v>R-WH_Apt_ELC_X0</v>
      </c>
      <c r="AD35" s="737" t="str">
        <f t="shared" si="7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26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27">
        <f>E36/SUM($E$31:$E$49)-($Q$46/7)</f>
        <v>0.19656931166449795</v>
      </c>
      <c r="R36" s="928">
        <f>Q36*DwellingStocks!$I$38/1000</f>
        <v>40.650314477435671</v>
      </c>
      <c r="S36" s="929">
        <f>IFERROR((R36*1000)/E36,0)+0.084</f>
        <v>1.6143359740027734</v>
      </c>
      <c r="T36" s="930">
        <f>T12</f>
        <v>3.0701960784313722</v>
      </c>
      <c r="U36" s="930">
        <f t="shared" ref="U36:U41" si="10">X36/R36/W36</f>
        <v>3.6997794108646502E-2</v>
      </c>
      <c r="V36" s="931">
        <v>20</v>
      </c>
      <c r="W36" s="931">
        <v>1</v>
      </c>
      <c r="X36" s="932">
        <f t="shared" si="6"/>
        <v>1.5039719654878971</v>
      </c>
      <c r="Y36" s="933">
        <f>IF(((D49+I49)*$B$2)&lt;=0,0,((D49+I49)*S36*$B$2))</f>
        <v>0.48986186128421744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7"/>
        <v>R-WH_Apt_ELC_X1</v>
      </c>
      <c r="AD36" s="81" t="str">
        <f t="shared" si="7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0">
        <f>E37/SUM($E$31:$E$49)-($Q$46/7)</f>
        <v>2.6940963000981786E-2</v>
      </c>
      <c r="R37" s="921">
        <f>Q37*DwellingStocks!$I$38/1000</f>
        <v>5.5713611094292865</v>
      </c>
      <c r="S37" s="1030">
        <f>IFERROR((R37*1000)/E37,0)-0.414</f>
        <v>1.0498363398395394</v>
      </c>
      <c r="T37" s="923">
        <f t="shared" ref="T37:T41" si="11">T13</f>
        <v>0.81016216216216219</v>
      </c>
      <c r="U37" s="923">
        <f t="shared" si="10"/>
        <v>8.6288756048648746E-3</v>
      </c>
      <c r="V37" s="924">
        <v>20</v>
      </c>
      <c r="W37" s="924">
        <v>1</v>
      </c>
      <c r="X37" s="925">
        <f t="shared" si="6"/>
        <v>4.8074581963047272E-2</v>
      </c>
      <c r="Y37" s="925">
        <f t="shared" ref="Y37:Y39" si="12">IF(((D37+I37)*$B$2)&lt;=0,0,((D37+I37)*S37*$B$2))</f>
        <v>5.9339455985880335E-2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7"/>
        <v>R-WH_Apt_OILKER_X0</v>
      </c>
      <c r="AD37" s="737" t="str">
        <f t="shared" si="7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37" t="s">
        <v>279</v>
      </c>
      <c r="M38" s="934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0">
        <f>E39/SUM($E$31:$E$49)-($Q$46/7)</f>
        <v>0.40480139622151279</v>
      </c>
      <c r="R39" s="921">
        <f>Q39*DwellingStocks!$I$38/1000</f>
        <v>83.71247738505204</v>
      </c>
      <c r="S39" s="1030">
        <f>IFERROR((R39*1000)/E39,0)-0.441</f>
        <v>1.0950369435228544</v>
      </c>
      <c r="T39" s="923">
        <f t="shared" si="11"/>
        <v>0.81026881720430111</v>
      </c>
      <c r="U39" s="923">
        <f t="shared" si="10"/>
        <v>7.099915576753736E-3</v>
      </c>
      <c r="V39" s="924">
        <v>20</v>
      </c>
      <c r="W39" s="924">
        <v>1</v>
      </c>
      <c r="X39" s="925">
        <f>Y39*T39</f>
        <v>0.59435152215477582</v>
      </c>
      <c r="Y39" s="925">
        <f t="shared" si="12"/>
        <v>0.73352387446611567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37" t="s">
        <v>279</v>
      </c>
      <c r="M40" s="934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0">
        <f>(E41+E42)/SUM($E$31:$E$49)</f>
        <v>9.6900669360008349E-5</v>
      </c>
      <c r="R41" s="921">
        <f>Q41*DwellingStocks!$I$38/1000</f>
        <v>2.0038950379403387E-2</v>
      </c>
      <c r="S41" s="922">
        <f>(R41*1000)/(E42+E41)</f>
        <v>1.5414577214925684</v>
      </c>
      <c r="T41" s="923">
        <f t="shared" si="11"/>
        <v>0.52500000000000002</v>
      </c>
      <c r="U41" s="923">
        <f t="shared" si="10"/>
        <v>8.5740576923076933E-3</v>
      </c>
      <c r="V41" s="924">
        <v>20</v>
      </c>
      <c r="W41" s="924">
        <v>1</v>
      </c>
      <c r="X41" s="925">
        <f>Y41*T41</f>
        <v>1.7181511664629578E-4</v>
      </c>
      <c r="Y41" s="925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37" t="s">
        <v>279</v>
      </c>
      <c r="M42" s="934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26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27">
        <f>E43/SUM($E$31:$E$49)</f>
        <v>2.9070200808002503E-3</v>
      </c>
      <c r="R43" s="928">
        <f>Q43*DwellingStocks!$I$38/1000</f>
        <v>0.6011685113821017</v>
      </c>
      <c r="S43" s="929">
        <f>(R43*1000)/E43-0.1377</f>
        <v>1.4037577214925685</v>
      </c>
      <c r="T43" s="930">
        <f>T19</f>
        <v>0.58177777777777773</v>
      </c>
      <c r="U43" s="930">
        <f t="shared" ref="U43:U45" si="13">X43/R43/W43</f>
        <v>8.5332927933924746E-3</v>
      </c>
      <c r="V43" s="931">
        <v>20</v>
      </c>
      <c r="W43" s="931">
        <v>1</v>
      </c>
      <c r="X43" s="932">
        <f>Y43*T43</f>
        <v>5.1299469257913705E-3</v>
      </c>
      <c r="Y43" s="933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0">
        <f>(E47+E44+E45+E46)/SUM($E$31:$E$49)</f>
        <v>1.319339882824729E-3</v>
      </c>
      <c r="R44" s="921">
        <f>Q44*DwellingStocks!$I$38/1000</f>
        <v>0.27283801670418462</v>
      </c>
      <c r="S44" s="922">
        <f>(R44*1000)/(E47+E44+E45+E46)-0.1368</f>
        <v>1.4046577214925684</v>
      </c>
      <c r="T44" s="923">
        <f t="shared" ref="T44:T45" si="15">T20</f>
        <v>0.6880451127819549</v>
      </c>
      <c r="U44" s="923">
        <f t="shared" si="13"/>
        <v>7.6632802703553056E-3</v>
      </c>
      <c r="V44" s="924">
        <v>20</v>
      </c>
      <c r="W44" s="924">
        <v>1</v>
      </c>
      <c r="X44" s="925">
        <f>Y44*T44</f>
        <v>2.0908341904120492E-3</v>
      </c>
      <c r="Y44" s="925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26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27">
        <f>E48/SUM($E$31:$E$49)-($Q$46/7)</f>
        <v>6.3919749208289578E-2</v>
      </c>
      <c r="R45" s="928">
        <f>Q45*DwellingStocks!$I$38/1000</f>
        <v>13.218532865753916</v>
      </c>
      <c r="S45" s="929">
        <f>(R45*1000)/E48</f>
        <v>1.507760107876573</v>
      </c>
      <c r="T45" s="930">
        <f t="shared" si="15"/>
        <v>0.39838442187649958</v>
      </c>
      <c r="U45" s="930">
        <f t="shared" si="13"/>
        <v>3.0627633026508971E-4</v>
      </c>
      <c r="V45" s="931">
        <v>20</v>
      </c>
      <c r="W45" s="931">
        <v>1</v>
      </c>
      <c r="X45" s="932">
        <f>Y45*T45</f>
        <v>4.048523737611589E-3</v>
      </c>
      <c r="Y45" s="933">
        <f>IF(((D48+I48)*$B$2)&lt;=0,0,((D48+I48)*S45*$B$2))</f>
        <v>1.0162354538216969E-2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LEFT(SETUP!B3,1)&amp;"-"&amp;RIGHT(COMM!$O$15,6)&amp;"_"&amp;RIGHT(O46,LEN(O46)-3)&amp;"_"&amp;SETUP!B64</f>
        <v>R-WH_Apt_RENSOL_X0</v>
      </c>
      <c r="N46" s="737" t="str">
        <f>COMM!P15&amp;" "&amp;COMM!F15&amp;" "&amp;SETUP!C64</f>
        <v>Residential Water Heating Apartment Solar to Residential Existing 00</v>
      </c>
      <c r="O46" s="737" t="str">
        <f>COMM!E15</f>
        <v>RSDRENSOL</v>
      </c>
      <c r="P46" s="737" t="str">
        <f>COMM!$O$15</f>
        <v>RSDWH_Apt</v>
      </c>
      <c r="Q46" s="1052">
        <v>0.01</v>
      </c>
      <c r="R46" s="921">
        <f>Q46*DwellingStocks!$I$38/1000</f>
        <v>2.0679888499999999</v>
      </c>
      <c r="S46" s="922">
        <f>MAX(S31:S45)</f>
        <v>1.6176363993870024</v>
      </c>
      <c r="T46" s="923">
        <v>1</v>
      </c>
      <c r="U46" s="923">
        <f t="shared" ref="U46" si="16">X46/R46/W46</f>
        <v>8.6298729994523163E-3</v>
      </c>
      <c r="V46" s="924">
        <v>20</v>
      </c>
      <c r="W46" s="924">
        <v>1</v>
      </c>
      <c r="X46" s="925">
        <f>Y46*T46</f>
        <v>1.7846481139783446E-2</v>
      </c>
      <c r="Y46" s="925">
        <f>RSD_Balance!I18</f>
        <v>1.7846481139783446E-2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7">M46</f>
        <v>R-WH_Apt_RENSOL_X0</v>
      </c>
      <c r="AD46" s="81" t="str">
        <f t="shared" ref="AD46" si="18">N46</f>
        <v>Residential Water Heating Apartment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37" t="s">
        <v>279</v>
      </c>
      <c r="M47" s="934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37"/>
      <c r="M48" s="934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19"/>
      <c r="N49" s="919"/>
      <c r="O49" s="919"/>
      <c r="P49" s="919"/>
      <c r="Q49" s="919"/>
      <c r="R49" s="914">
        <f>SUM(R29:R47)</f>
        <v>206.79888499999998</v>
      </c>
      <c r="S49" s="919"/>
      <c r="T49" s="919"/>
      <c r="U49" s="919"/>
      <c r="V49" s="919"/>
      <c r="W49" s="919"/>
      <c r="X49" s="912">
        <f>SUM(X29:X47)</f>
        <v>2.6906729866413892</v>
      </c>
      <c r="Y49" s="912">
        <f>SUM(Y29:Y47)</f>
        <v>1.8438837291499242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1051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904" t="str">
        <f>COMM!E24</f>
        <v>RSDELC</v>
      </c>
      <c r="P54" s="904" t="str">
        <f>COMM!$O$18</f>
        <v>RSDLT_Apt</v>
      </c>
      <c r="Q54" s="904">
        <v>1</v>
      </c>
      <c r="R54" s="904">
        <f>DwellingStocks!I38/1000</f>
        <v>206.79888499999998</v>
      </c>
      <c r="S54" s="904">
        <f>(R54*1000)/SUM(G54:G62)</f>
        <v>1.5341505003820559</v>
      </c>
      <c r="T54" s="904">
        <f>D54/C54</f>
        <v>0.37037039770119351</v>
      </c>
      <c r="U54" s="904">
        <f>X54/R54/W54</f>
        <v>6.1538985350091332E-4</v>
      </c>
      <c r="V54" s="905">
        <v>10</v>
      </c>
      <c r="W54" s="905">
        <v>1</v>
      </c>
      <c r="X54" s="906">
        <f>Y54*T54</f>
        <v>0.12726193554430221</v>
      </c>
      <c r="Y54" s="904">
        <f>IF(((D54+D55+D56+D57+D58+D59+D60+D61+D62)*$B$2)&lt;=0,0,((D54+D55+D56+D57+D58+D59+D60+D61+D62)*S34*$B$2))</f>
        <v>0.34360720061373334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R-LT_Apt_X0</v>
      </c>
      <c r="AD54" s="904" t="str">
        <f>N54</f>
        <v>Residential Lighting Apartment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LEFT(SETUP!B3,1)&amp;"-"&amp;RIGHT(COMM!$O$21,6)&amp;"_"&amp;SETUP!$B$64</f>
        <v>R-PF_Apt_X0</v>
      </c>
      <c r="N55" s="907" t="str">
        <f>COMM!$P$21&amp;" "&amp;SETUP!$C$64</f>
        <v>Residential Pumps &amp; Fans Apartment Existing 00</v>
      </c>
      <c r="O55" s="907" t="str">
        <f>COMM!E24</f>
        <v>RSDELC</v>
      </c>
      <c r="P55" s="907" t="str">
        <f>COMM!$O$21</f>
        <v>RSDPF_Apt</v>
      </c>
      <c r="Q55" s="907">
        <v>1</v>
      </c>
      <c r="R55" s="907">
        <f>DwellingStocks!I38/1000</f>
        <v>206.79888499999998</v>
      </c>
      <c r="S55" s="907">
        <f>(R55*1000)/SUM(G54:G62)</f>
        <v>1.5341505003820559</v>
      </c>
      <c r="T55" s="907">
        <f>D55/C55</f>
        <v>0.37037049989705056</v>
      </c>
      <c r="U55" s="907">
        <f t="shared" ref="U55" si="19">X55/R55/W55</f>
        <v>1.2680652291464502E-4</v>
      </c>
      <c r="V55" s="908">
        <v>10</v>
      </c>
      <c r="W55" s="908">
        <v>1</v>
      </c>
      <c r="X55" s="909">
        <f>Y55*T55</f>
        <v>2.6223447549475538E-2</v>
      </c>
      <c r="Y55" s="907">
        <f>IF(((F54+F55+F56+F57+F58+F59+F60+F61+F62)*$B$2)&lt;=0,0,((F54+F55+F56+F57+F58+F59+F60+F61+F62)*S34*$B$2))</f>
        <v>7.0803283622115409E-2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R-PF_Apt_X0</v>
      </c>
      <c r="AD55" s="907" t="str">
        <f>N55</f>
        <v>Residential Pumps &amp; Fans Apartment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J6" zoomScale="70" zoomScaleNormal="70" workbookViewId="0">
      <selection activeCell="Y22" sqref="Y22"/>
    </sheetView>
    <sheetView topLeftCell="N13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5.28515625" style="117" customWidth="1"/>
    <col min="14" max="14" width="70.140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0.99204696894844013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0">
        <f>(E7+E14+E16)/SUM($E$7:$E$25)</f>
        <v>1.6565651697171984E-2</v>
      </c>
      <c r="R7" s="921">
        <f>Q7*DwellingStocks!$J$38/1000</f>
        <v>12.695115687614317</v>
      </c>
      <c r="S7" s="1030">
        <f>(R7*1000)/(E7+E14+E16)*DwellingStocks!$U$37-0.0955</f>
        <v>1.1966070314999231</v>
      </c>
      <c r="T7" s="923">
        <f>(G7+G14+G16)/300</f>
        <v>0.55798087905732663</v>
      </c>
      <c r="U7" s="923">
        <f>X7/R7/W7</f>
        <v>0.10012798389155093</v>
      </c>
      <c r="V7" s="924">
        <v>20</v>
      </c>
      <c r="W7" s="924">
        <v>1</v>
      </c>
      <c r="X7" s="925">
        <f>Y7*T7</f>
        <v>1.2711363390708219</v>
      </c>
      <c r="Y7" s="925">
        <f>IF(((D7+I7+D14+I14+D16+I16)*$B$2)&lt;=0,0,((D7+I7+D14+I14+D16+I16)*S7*$B$2))</f>
        <v>2.2781001765120092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27">
        <f>E8/SUM($E$7:$E$25)</f>
        <v>2.4098998686604574E-6</v>
      </c>
      <c r="R8" s="928">
        <f>Q8*DwellingStocks!$J$38/1000</f>
        <v>1.8468309117856149E-3</v>
      </c>
      <c r="S8" s="929">
        <f>(R8*1000)/E8*DwellingStocks!$U$37</f>
        <v>1.292107031499923</v>
      </c>
      <c r="T8" s="930">
        <f>(G8)/100</f>
        <v>1</v>
      </c>
      <c r="U8" s="930">
        <f>X8/R8/W8</f>
        <v>1.5552879869479678E-2</v>
      </c>
      <c r="V8" s="931">
        <v>20</v>
      </c>
      <c r="W8" s="931">
        <v>1</v>
      </c>
      <c r="X8" s="932">
        <f>Y8*T8</f>
        <v>2.872353931024329E-5</v>
      </c>
      <c r="Y8" s="933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0">
        <f>E9/SUM($E$7:$E$25)</f>
        <v>0</v>
      </c>
      <c r="R9" s="921">
        <f>Q9*DwellingStocks!$J$38/1000</f>
        <v>0</v>
      </c>
      <c r="S9" s="922">
        <f>IFERROR((R9*1000)/E9*DwellingStocks!$U$37,0)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27">
        <f>(E10+E11)/SUM($E$7:$E$25)</f>
        <v>1.1165066091503898E-2</v>
      </c>
      <c r="R10" s="928">
        <f>(Q10)*DwellingStocks!$J$38/1000</f>
        <v>8.5563676143027525</v>
      </c>
      <c r="S10" s="929">
        <f>(R10*1000)/(E10+E11)*DwellingStocks!$U$37+0.1525</f>
        <v>1.4446070314999231</v>
      </c>
      <c r="T10" s="930">
        <f>(G10+G11)/200</f>
        <v>0.8070757743362833</v>
      </c>
      <c r="U10" s="930">
        <f t="shared" ref="U10:U21" si="1">X10/R10/W10</f>
        <v>2.3818929075767371E-2</v>
      </c>
      <c r="V10" s="931">
        <v>20</v>
      </c>
      <c r="W10" s="931">
        <v>1</v>
      </c>
      <c r="X10" s="932">
        <f>Y10*T10</f>
        <v>0.20380351335127012</v>
      </c>
      <c r="Y10" s="933">
        <f>IF(((D10+I10+D11+I11)*S10*$B$2)&lt;=0,0,((D10+I10+D11+I11)*S10*$B$2))</f>
        <v>0.25252091542318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0">
        <f>E25/SUM($E$7:$E$25)</f>
        <v>3.0714173826077527E-2</v>
      </c>
      <c r="R11" s="921">
        <f>(Q11)*DwellingStocks!$J$38/1000</f>
        <v>23.537859970707661</v>
      </c>
      <c r="S11" s="922">
        <f>(R11*1000)/(E25)*DwellingStocks!$U$37+0.084</f>
        <v>1.3761070314999231</v>
      </c>
      <c r="T11" s="923">
        <f>(G25)/100</f>
        <v>1</v>
      </c>
      <c r="U11" s="923">
        <f t="shared" si="1"/>
        <v>3.1937946954073607E-2</v>
      </c>
      <c r="V11" s="924">
        <v>20</v>
      </c>
      <c r="W11" s="924">
        <v>1</v>
      </c>
      <c r="X11" s="925">
        <f>Y11*T11</f>
        <v>0.75175092315687375</v>
      </c>
      <c r="Y11" s="925">
        <f>IF(((D25+I25)*S11*$B$2)&lt;=0,0,((D25+I25)*S11*$B$2))</f>
        <v>0.75175092315687375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27">
        <f>E12/SUM($E$7:$E$25)*0.85</f>
        <v>4.5067175958838905E-2</v>
      </c>
      <c r="R12" s="928">
        <f>Q12*DwellingStocks!$J$38/1000</f>
        <v>34.537307856666011</v>
      </c>
      <c r="S12" s="929">
        <f>(R12*1000)/E12*DwellingStocks!$U$37+0.084</f>
        <v>1.1822909767749343</v>
      </c>
      <c r="T12" s="930">
        <f>G12/100</f>
        <v>3.1157627118644071</v>
      </c>
      <c r="U12" s="930">
        <f t="shared" si="1"/>
        <v>1.7368578205622303E-2</v>
      </c>
      <c r="V12" s="931">
        <v>20</v>
      </c>
      <c r="W12" s="931">
        <v>1</v>
      </c>
      <c r="X12" s="932">
        <f>Y12*T12</f>
        <v>0.59986393252015724</v>
      </c>
      <c r="Y12" s="933">
        <f>IF(((D12+I12)*S12*$B$2)&lt;=0,0,((D12+I12)*S12*$B$2))</f>
        <v>0.1925255508822786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0">
        <f>E13/SUM($E$7:$E$25)</f>
        <v>0.29959152197226208</v>
      </c>
      <c r="R13" s="921">
        <f>Q13*DwellingStocks!$J$38/1000</f>
        <v>229.5924784604523</v>
      </c>
      <c r="S13" s="922">
        <f>(R13*1000)/E13*DwellingStocks!$U$37</f>
        <v>1.292107031499923</v>
      </c>
      <c r="T13" s="923">
        <f>G13/100</f>
        <v>0.81941558441558437</v>
      </c>
      <c r="U13" s="923">
        <f t="shared" si="1"/>
        <v>2.3904596338409464E-2</v>
      </c>
      <c r="V13" s="924">
        <v>20</v>
      </c>
      <c r="W13" s="924">
        <v>1</v>
      </c>
      <c r="X13" s="925">
        <f>Y13*T13</f>
        <v>5.4883155199320814</v>
      </c>
      <c r="Y13" s="925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0">
        <f>E15/SUM($E$7:$E$25)</f>
        <v>0.54312877299948192</v>
      </c>
      <c r="R15" s="921">
        <f>Q15*DwellingStocks!$J$38/1000</f>
        <v>416.2276699127712</v>
      </c>
      <c r="S15" s="922">
        <f>(R15*1000)/E15*DwellingStocks!$U$37</f>
        <v>1.292107031499923</v>
      </c>
      <c r="T15" s="923">
        <f>G15/100</f>
        <v>0.81729411764705884</v>
      </c>
      <c r="U15" s="923">
        <f t="shared" si="1"/>
        <v>2.2095891324020785E-2</v>
      </c>
      <c r="V15" s="924">
        <v>20</v>
      </c>
      <c r="W15" s="924">
        <v>1</v>
      </c>
      <c r="X15" s="925">
        <f>Y15*T15</f>
        <v>9.1969213604429889</v>
      </c>
      <c r="Y15" s="925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0">
        <f>(E17+E18)/SUM($E$7:$E$25)</f>
        <v>1.4917280187008229E-3</v>
      </c>
      <c r="R17" s="921">
        <f>Q17*DwellingStocks!$J$38/1000</f>
        <v>1.1431883343952955</v>
      </c>
      <c r="S17" s="922">
        <f>(R17*1000)/(E17+E18)*DwellingStocks!$U$37</f>
        <v>1.2921070314999228</v>
      </c>
      <c r="T17" s="923">
        <f>(G17+G18)/200</f>
        <v>0.5509294871794872</v>
      </c>
      <c r="U17" s="923">
        <f t="shared" si="1"/>
        <v>4.4713982884345679E-2</v>
      </c>
      <c r="V17" s="924">
        <v>20</v>
      </c>
      <c r="W17" s="924">
        <v>1</v>
      </c>
      <c r="X17" s="925">
        <f>Y17*T17</f>
        <v>5.1116503617734892E-2</v>
      </c>
      <c r="Y17" s="925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26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27">
        <f>E19/SUM($E$7:$E$25)</f>
        <v>4.0705618681543779E-2</v>
      </c>
      <c r="R19" s="928">
        <f>Q19*DwellingStocks!$J$38/1000</f>
        <v>31.194820930970817</v>
      </c>
      <c r="S19" s="929">
        <f>(R19*1000)/E19*DwellingStocks!$U$37-0.1377</f>
        <v>1.1544070314999231</v>
      </c>
      <c r="T19" s="930">
        <f>G19/100</f>
        <v>0.57113772455089817</v>
      </c>
      <c r="U19" s="930">
        <f t="shared" si="1"/>
        <v>4.6440816123458219E-2</v>
      </c>
      <c r="V19" s="931">
        <v>20</v>
      </c>
      <c r="W19" s="931">
        <v>1</v>
      </c>
      <c r="X19" s="932">
        <f>Y19*T19</f>
        <v>1.4487129428594214</v>
      </c>
      <c r="Y19" s="933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R-SH_Att_SMF_X0</v>
      </c>
      <c r="AD19" s="737" t="str">
        <f t="shared" si="2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0">
        <f>(E20+E21+E22+E23)/SUM($E$7:$E$25)</f>
        <v>1.1639816365630008E-3</v>
      </c>
      <c r="R20" s="921">
        <f>Q20*DwellingStocks!$J$38/1000</f>
        <v>0.89201933039245196</v>
      </c>
      <c r="S20" s="922">
        <f>(R20*1000)/(E20+E21+E22+E23)*DwellingStocks!$U$37-0.1368</f>
        <v>1.155307031499923</v>
      </c>
      <c r="T20" s="923">
        <f>(G21+G22+G23)/300</f>
        <v>0.70400656814449913</v>
      </c>
      <c r="U20" s="923">
        <f t="shared" si="1"/>
        <v>5.6329489829771769E-2</v>
      </c>
      <c r="V20" s="924">
        <v>20</v>
      </c>
      <c r="W20" s="924">
        <v>1</v>
      </c>
      <c r="X20" s="925">
        <f>Y20*T20</f>
        <v>5.0246993799301448E-2</v>
      </c>
      <c r="Y20" s="925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R-SH_Att_BIOWOO_X0</v>
      </c>
      <c r="AD20" s="81" t="str">
        <f t="shared" si="2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26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27">
        <f>E24/SUM($E$7:$E$25)</f>
        <v>2.4508681664276851E-3</v>
      </c>
      <c r="R21" s="928">
        <f>Q21*DwellingStocks!$J$38/1000</f>
        <v>1.8782270372859704</v>
      </c>
      <c r="S21" s="929">
        <f>(R21*1000)/E24*DwellingStocks!$U$37</f>
        <v>1.292107031499923</v>
      </c>
      <c r="T21" s="930">
        <f>G24/100</f>
        <v>0.60949973059968388</v>
      </c>
      <c r="U21" s="930">
        <f t="shared" si="1"/>
        <v>1.4426391204160484E-2</v>
      </c>
      <c r="V21" s="931">
        <v>20</v>
      </c>
      <c r="W21" s="931">
        <v>1</v>
      </c>
      <c r="X21" s="932">
        <f>Y21*T21</f>
        <v>2.7096038010118728E-2</v>
      </c>
      <c r="Y21" s="933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R-SH_Att_HET_X0</v>
      </c>
      <c r="AD21" s="737" t="str">
        <f t="shared" si="2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LEFT(SETUP!B3,1)&amp;"-"&amp;RIGHT(COMM!$O$10,6)&amp;"_"&amp;RIGHT(O22,LEN(O22)-3)&amp;"_"&amp;SETUP!B64</f>
        <v>R-SH_Att_RENGEO_X0</v>
      </c>
      <c r="N22" s="737" t="str">
        <f>COMM!P10&amp;" "&amp;COMM!F19&amp;" "&amp;SETUP!C64</f>
        <v>Residential Space Heating Attached Geothermal to Residential Existing 00</v>
      </c>
      <c r="O22" s="737" t="str">
        <f>COMM!E19</f>
        <v>RSDRENGEO</v>
      </c>
      <c r="P22" s="737" t="str">
        <f>COMM!$O$10</f>
        <v>RSDSH_Att</v>
      </c>
      <c r="Q22" s="920">
        <f>E12/SUM($E$7:$E$25)*0.15</f>
        <v>7.9530310515598078E-3</v>
      </c>
      <c r="R22" s="921">
        <f>Q22*DwellingStocks!$J$38/1000</f>
        <v>6.0948190335292969</v>
      </c>
      <c r="S22" s="922">
        <f>(R12*1000)/E12*DwellingStocks!$U$37+0.0095</f>
        <v>1.1077909767749343</v>
      </c>
      <c r="T22" s="923">
        <f>G12/100</f>
        <v>3.1157627118644071</v>
      </c>
      <c r="U22" s="923">
        <f t="shared" ref="U22" si="3">X22/R22/W22</f>
        <v>0.23960518419681515</v>
      </c>
      <c r="V22" s="924">
        <v>20</v>
      </c>
      <c r="W22" s="924">
        <v>1</v>
      </c>
      <c r="X22" s="925">
        <f>Y22*T22</f>
        <v>1.4603502371750421</v>
      </c>
      <c r="Y22" s="925">
        <f>RSD_Balance!G22</f>
        <v>0.46869751397120968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R-SH_Att_RENGEO_X0</v>
      </c>
      <c r="AD22" s="81" t="str">
        <f t="shared" ref="AD22" si="5">N22</f>
        <v>Residential Space Heating Attached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19"/>
      <c r="N25" s="919"/>
      <c r="O25" s="919"/>
      <c r="P25" s="919"/>
      <c r="Q25" s="919"/>
      <c r="R25" s="914">
        <f>SUM(R6:R23)</f>
        <v>766.351721</v>
      </c>
      <c r="S25" s="919"/>
      <c r="T25" s="919"/>
      <c r="U25" s="919"/>
      <c r="V25" s="919"/>
      <c r="W25" s="919"/>
      <c r="X25" s="912">
        <f>SUM(X6:X23)</f>
        <v>20.549343027475125</v>
      </c>
      <c r="Y25" s="912">
        <f>SUM(Y6:Y23)</f>
        <v>24.639505855175877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0">
        <f>(E31+E38+E40)/SUM($E$31:$E$49)-($Q$46/7)</f>
        <v>1.4005877019013029E-2</v>
      </c>
      <c r="R31" s="921">
        <f>Q31*DwellingStocks!$J$38/1000</f>
        <v>10.733427957634982</v>
      </c>
      <c r="S31" s="1030">
        <f>IFERROR((R31*1000)/(E31+E38+E40),0)-0.0955</f>
        <v>1.5905552870931483</v>
      </c>
      <c r="T31" s="923">
        <f>T7</f>
        <v>0.55798087905732663</v>
      </c>
      <c r="U31" s="923">
        <f>IFERROR(X31/R31/W31,0)</f>
        <v>9.3819421193711786E-3</v>
      </c>
      <c r="V31" s="924">
        <v>20</v>
      </c>
      <c r="W31" s="924">
        <v>1</v>
      </c>
      <c r="X31" s="925">
        <f>Y31*T31</f>
        <v>0.1007003998409718</v>
      </c>
      <c r="Y31" s="925">
        <f>IF(((D31+I31+D38+I38+D40+I40)*$B$2)&lt;=0,0,((D31+I31+D38+I38+D40+I40)*S31*$B$2))</f>
        <v>0.18047285063082941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R-WH_Att_COA_X0</v>
      </c>
      <c r="AD31" s="737" t="str">
        <f t="shared" si="6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26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27">
        <f>E32/SUM($E$31:$E$49)</f>
        <v>7.2735383824620442E-6</v>
      </c>
      <c r="R32" s="928">
        <f>Q32*DwellingStocks!$J$38/1000</f>
        <v>5.574088657159343E-3</v>
      </c>
      <c r="S32" s="929">
        <f>IFERROR((R32*1000)/E32,0)</f>
        <v>1.8580295523864476</v>
      </c>
      <c r="T32" s="930">
        <f t="shared" ref="T32:T34" si="7">T8</f>
        <v>1</v>
      </c>
      <c r="U32" s="930">
        <f>X32/R32/W32</f>
        <v>1.4020800000000002E-2</v>
      </c>
      <c r="V32" s="931">
        <v>20</v>
      </c>
      <c r="W32" s="931">
        <v>1</v>
      </c>
      <c r="X32" s="932">
        <f>Y32*T32</f>
        <v>7.8153182244299725E-5</v>
      </c>
      <c r="Y32" s="933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R-WH_Att_BIODST_X0</v>
      </c>
      <c r="AD32" s="81" t="str">
        <f t="shared" si="6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0">
        <f>E33/SUM($E$31:$E$49)</f>
        <v>2.4245127941540146E-6</v>
      </c>
      <c r="R33" s="921">
        <f>Q33*DwellingStocks!$J$38/1000</f>
        <v>1.8580295523864473E-3</v>
      </c>
      <c r="S33" s="922">
        <f>IFERROR((R33*1000)/E33,0)</f>
        <v>1.8580295523864474</v>
      </c>
      <c r="T33" s="939">
        <v>0.9</v>
      </c>
      <c r="U33" s="923">
        <f>IFERROR(X33/R33/W33,0)</f>
        <v>1.059804E-2</v>
      </c>
      <c r="V33" s="924">
        <v>20</v>
      </c>
      <c r="W33" s="924">
        <v>1</v>
      </c>
      <c r="X33" s="925">
        <f>IFERROR(Y33*T33,0)</f>
        <v>1.9691471517373664E-5</v>
      </c>
      <c r="Y33" s="925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R-WH_Att_BIOETH_X0</v>
      </c>
      <c r="AD33" s="737" t="str">
        <f t="shared" si="6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26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27">
        <f>(E34+E35)/SUM($E$31:$E$49)-($Q$46/7)</f>
        <v>9.9423935760109012E-3</v>
      </c>
      <c r="R34" s="928">
        <f>(Q34)*DwellingStocks!$J$38/1000</f>
        <v>7.6193704278352961</v>
      </c>
      <c r="S34" s="929">
        <f>IFERROR((R34*1000)/(E34+E35),0)</f>
        <v>1.6245992383444128</v>
      </c>
      <c r="T34" s="930">
        <f t="shared" si="7"/>
        <v>0.8070757743362833</v>
      </c>
      <c r="U34" s="930">
        <f t="shared" ref="U34:U41" si="8">X34/R34/W34</f>
        <v>1.1663366309857776E-2</v>
      </c>
      <c r="V34" s="931">
        <v>20</v>
      </c>
      <c r="W34" s="931">
        <v>1</v>
      </c>
      <c r="X34" s="932">
        <f>Y34*T34</f>
        <v>8.8867508350340824E-2</v>
      </c>
      <c r="Y34" s="933">
        <f>IF(((D34+I34+D35+I35)*$B$2)&lt;=0,0,((D34+I34+D35+I35)*S34*$B$2))</f>
        <v>0.11011048922069677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R-WH_Att_OILLPG_X0</v>
      </c>
      <c r="AD34" s="81" t="str">
        <f t="shared" si="6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0">
        <f>E49/SUM($E$31:$E$49)-($Q$46/7)</f>
        <v>2.947184413292149E-2</v>
      </c>
      <c r="R35" s="921">
        <f>Q35*DwellingStocks!$J$38/1000</f>
        <v>22.585798472308131</v>
      </c>
      <c r="S35" s="922">
        <f>IFERROR((R35*1000)/E49,0)+0.084</f>
        <v>1.856130127289771</v>
      </c>
      <c r="T35" s="923">
        <f>T11</f>
        <v>1</v>
      </c>
      <c r="U35" s="923">
        <f t="shared" si="8"/>
        <v>1.2927568470304917E-2</v>
      </c>
      <c r="V35" s="924">
        <v>20</v>
      </c>
      <c r="W35" s="924">
        <v>1</v>
      </c>
      <c r="X35" s="925">
        <f>Y35*T35</f>
        <v>0.29197945620727156</v>
      </c>
      <c r="Y35" s="925">
        <f>IF(((D49+I49)*$B$2)&lt;=0,0,((D49+I49)*S35*$B$2))</f>
        <v>0.29197945620727156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R-WH_Att_ELC_X0</v>
      </c>
      <c r="AD35" s="737" t="str">
        <f t="shared" si="6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26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27">
        <f>E36/SUM($E$31:$E$49)-($Q$46/7)</f>
        <v>5.1171233640599917E-2</v>
      </c>
      <c r="R36" s="928">
        <f>Q36*DwellingStocks!$J$38/1000</f>
        <v>39.215162966166837</v>
      </c>
      <c r="S36" s="929">
        <f>IFERROR((R36*1000)/E36,0)+0.084</f>
        <v>1.8915668571637168</v>
      </c>
      <c r="T36" s="930">
        <f>T12</f>
        <v>3.1157627118644071</v>
      </c>
      <c r="U36" s="930">
        <f t="shared" si="8"/>
        <v>2.3641548707263999E-2</v>
      </c>
      <c r="V36" s="931">
        <v>20</v>
      </c>
      <c r="W36" s="931">
        <v>1</v>
      </c>
      <c r="X36" s="932">
        <f>Y36*T36</f>
        <v>0.92710718532792857</v>
      </c>
      <c r="Y36" s="933">
        <f>IF(((D49+I49)*$B$2)&lt;=0,0,((D49+I49)*S36*$B$2))</f>
        <v>0.29755384830739151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R-WH_Att_ELC_X1</v>
      </c>
      <c r="AD36" s="81" t="str">
        <f t="shared" si="6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0">
        <f>E37/SUM($E$31:$E$49)-($Q$46/7)</f>
        <v>0.2981830216218051</v>
      </c>
      <c r="R37" s="921">
        <f>Q37*DwellingStocks!$J$38/1000</f>
        <v>228.51307179285047</v>
      </c>
      <c r="S37" s="1030">
        <f>IFERROR((R37*1000)/E37,0)-0.414</f>
        <v>1.43517032265853</v>
      </c>
      <c r="T37" s="923">
        <f t="shared" ref="T37:T41" si="9">T13</f>
        <v>0.81941558441558437</v>
      </c>
      <c r="U37" s="923">
        <f t="shared" si="8"/>
        <v>9.409138242511092E-3</v>
      </c>
      <c r="V37" s="924">
        <v>20</v>
      </c>
      <c r="W37" s="924">
        <v>1</v>
      </c>
      <c r="X37" s="925">
        <f>Y37*T37</f>
        <v>2.1501110827197922</v>
      </c>
      <c r="Y37" s="925">
        <f t="shared" ref="Y37:Y39" si="10">IF(((D37+I37)*$B$2)&lt;=0,0,((D37+I37)*S37*$B$2))</f>
        <v>2.6239567853145891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R-WH_Att_OILKER_X0</v>
      </c>
      <c r="AD37" s="737" t="str">
        <f t="shared" si="6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0">
        <f>E39/SUM($E$31:$E$49)-($Q$46/7)</f>
        <v>0.54301032357547752</v>
      </c>
      <c r="R39" s="921">
        <f>Q39*DwellingStocks!$J$38/1000</f>
        <v>416.13689599283396</v>
      </c>
      <c r="S39" s="1030">
        <f>IFERROR((R39*1000)/E39,0)-0.441</f>
        <v>1.4121542064911823</v>
      </c>
      <c r="T39" s="923">
        <f t="shared" si="9"/>
        <v>0.81729411764705884</v>
      </c>
      <c r="U39" s="923">
        <f t="shared" si="8"/>
        <v>9.2067094002643256E-3</v>
      </c>
      <c r="V39" s="924">
        <v>20</v>
      </c>
      <c r="W39" s="924">
        <v>1</v>
      </c>
      <c r="X39" s="925">
        <f>Y39*T39</f>
        <v>3.831251472134042</v>
      </c>
      <c r="Y39" s="925">
        <f t="shared" si="10"/>
        <v>4.6877267184596745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0">
        <f>(E41+E42)/SUM($E$31:$E$49)</f>
        <v>1.5516881882585694E-3</v>
      </c>
      <c r="R41" s="921">
        <f>Q41*DwellingStocks!$J$38/1000</f>
        <v>1.1891389135273265</v>
      </c>
      <c r="S41" s="922">
        <f>(R41*1000)/(E42+E41)</f>
        <v>1.8580295523864474</v>
      </c>
      <c r="T41" s="923">
        <f t="shared" si="9"/>
        <v>0.5509294871794872</v>
      </c>
      <c r="U41" s="923">
        <f t="shared" si="8"/>
        <v>1.0871138631310095E-2</v>
      </c>
      <c r="V41" s="924">
        <v>20</v>
      </c>
      <c r="W41" s="924">
        <v>1</v>
      </c>
      <c r="X41" s="925">
        <f>Y41*T41</f>
        <v>1.2927293980841035E-2</v>
      </c>
      <c r="Y41" s="925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26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27">
        <f>E43/SUM($E$31:$E$49)-($Q$46/7)</f>
        <v>3.9012301977917531E-2</v>
      </c>
      <c r="R43" s="928">
        <f>Q43*DwellingStocks!$J$38/1000</f>
        <v>29.897144760948795</v>
      </c>
      <c r="S43" s="929">
        <f>(R43*1000)/E43-0.1377</f>
        <v>1.654694769841055</v>
      </c>
      <c r="T43" s="930">
        <f>T19</f>
        <v>0.57113772455089817</v>
      </c>
      <c r="U43" s="930">
        <f t="shared" ref="U43:U45" si="11">X43/R43/W43</f>
        <v>9.3095279184719493E-3</v>
      </c>
      <c r="V43" s="931">
        <v>20</v>
      </c>
      <c r="W43" s="931">
        <v>1</v>
      </c>
      <c r="X43" s="932">
        <f>Y43*T43</f>
        <v>0.27832830383465018</v>
      </c>
      <c r="Y43" s="933">
        <f>IF(((D43+I43)*$B$2)&lt;=0,0,((D43+I43)*S43*$B$2))</f>
        <v>0.48732257014454378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0">
        <f>(E47+E44+E45+E46)/SUM($E$31:$E$49)</f>
        <v>1.1758887051646972E-3</v>
      </c>
      <c r="R44" s="921">
        <f>Q44*DwellingStocks!$J$38/1000</f>
        <v>0.90114433290742701</v>
      </c>
      <c r="S44" s="922">
        <f>(R44*1000)/(E47+E44+E45+E46)-0.1368</f>
        <v>1.7212295523864474</v>
      </c>
      <c r="T44" s="923">
        <f t="shared" ref="T44:T45" si="13">T20</f>
        <v>0.70400656814449913</v>
      </c>
      <c r="U44" s="923">
        <f t="shared" si="11"/>
        <v>8.8655256033915858E-3</v>
      </c>
      <c r="V44" s="924">
        <v>20</v>
      </c>
      <c r="W44" s="924">
        <v>1</v>
      </c>
      <c r="X44" s="925">
        <f>Y44*T44</f>
        <v>7.9891181557420251E-3</v>
      </c>
      <c r="Y44" s="925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26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27">
        <f>E48/SUM($E$31:$E$49)</f>
        <v>2.465729511654633E-3</v>
      </c>
      <c r="R45" s="928">
        <f>Q45*DwellingStocks!$J$38/1000</f>
        <v>1.8896160547770171</v>
      </c>
      <c r="S45" s="929">
        <f>(R45*1000)/E48</f>
        <v>1.8580295523864474</v>
      </c>
      <c r="T45" s="930">
        <f t="shared" si="13"/>
        <v>0.60949973059968388</v>
      </c>
      <c r="U45" s="930">
        <f t="shared" si="11"/>
        <v>7.6939300464232293E-4</v>
      </c>
      <c r="V45" s="931">
        <v>20</v>
      </c>
      <c r="W45" s="931">
        <v>1</v>
      </c>
      <c r="X45" s="932">
        <f>Y45*T45</f>
        <v>1.4538573740052615E-3</v>
      </c>
      <c r="Y45" s="933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LEFT(SETUP!B3,1)&amp;"-"&amp;RIGHT(COMM!$O$16,6)&amp;"_"&amp;RIGHT(O46,LEN(O46)-3)&amp;"_"&amp;SETUP!B64</f>
        <v>R-WH_Att_RENSOL_X0</v>
      </c>
      <c r="N46" s="737" t="str">
        <f>COMM!P16&amp;" "&amp;COMM!F15&amp;" "&amp;SETUP!C64</f>
        <v>Residential Water Heating Attached Solar to Residential Existing 00</v>
      </c>
      <c r="O46" s="737" t="str">
        <f>COMM!E15</f>
        <v>RSDRENSOL</v>
      </c>
      <c r="P46" s="737" t="str">
        <f>COMM!$O$16</f>
        <v>RSDWH_Att</v>
      </c>
      <c r="Q46" s="920">
        <v>0.01</v>
      </c>
      <c r="R46" s="921">
        <f>Q46*DwellingStocks!$J$38/1000</f>
        <v>7.6635172099999984</v>
      </c>
      <c r="S46" s="922">
        <f>MAX(S31:S45)</f>
        <v>1.8915668571637168</v>
      </c>
      <c r="T46" s="923">
        <v>1</v>
      </c>
      <c r="U46" s="923">
        <f t="shared" ref="U46" si="14">X46/R46/W46</f>
        <v>3.4409606285151641E-2</v>
      </c>
      <c r="V46" s="924">
        <v>20</v>
      </c>
      <c r="W46" s="924">
        <v>1</v>
      </c>
      <c r="X46" s="925">
        <f>Y46*T46</f>
        <v>0.2636986099555837</v>
      </c>
      <c r="Y46" s="925">
        <f>RSD_Balance!J18</f>
        <v>0.2636986099555837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R-WH_Att_RENSOL_X0</v>
      </c>
      <c r="AD46" s="81" t="str">
        <f t="shared" ref="AD46" si="16">N46</f>
        <v>Residential Water Heating Attached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19"/>
      <c r="N49" s="919"/>
      <c r="O49" s="919"/>
      <c r="P49" s="919"/>
      <c r="Q49" s="919"/>
      <c r="R49" s="914">
        <f>SUM(R29:R47)</f>
        <v>766.35172099999977</v>
      </c>
      <c r="S49" s="919"/>
      <c r="T49" s="919"/>
      <c r="U49" s="919"/>
      <c r="V49" s="919"/>
      <c r="W49" s="919"/>
      <c r="X49" s="912">
        <f>SUM(X29:X47)</f>
        <v>7.9545121325349308</v>
      </c>
      <c r="Y49" s="912">
        <f>SUM(Y29:Y47)</f>
        <v>8.9801192795333638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04" t="str">
        <f>COMM!E24</f>
        <v>RSDELC</v>
      </c>
      <c r="P54" s="904" t="str">
        <f>COMM!$O$19</f>
        <v>RSDLT_Att</v>
      </c>
      <c r="Q54" s="904">
        <v>1</v>
      </c>
      <c r="R54" s="904">
        <f>DwellingStocks!J38/1000</f>
        <v>766.35172099999977</v>
      </c>
      <c r="S54" s="904">
        <f>(R54*1000)/SUM(G54:G62)</f>
        <v>1.8468175598494301</v>
      </c>
      <c r="T54" s="904">
        <f>D54/C54</f>
        <v>0.37037026747260959</v>
      </c>
      <c r="U54" s="904">
        <f t="shared" ref="U54:U55" si="17">X54/R54/W54</f>
        <v>8.2962822352215392E-4</v>
      </c>
      <c r="V54" s="905">
        <v>10</v>
      </c>
      <c r="W54" s="905">
        <v>1</v>
      </c>
      <c r="X54" s="906">
        <f>Y54*T54</f>
        <v>0.63578701688637518</v>
      </c>
      <c r="Y54" s="904">
        <f>IF(((D54+D55+D56+D57+D58+D59+D60+D61+D62)*$B$2)&lt;=0,0,((D54+D55+D56+D57+D58+D59+D60+D61+D62)*S34*$B$2))</f>
        <v>1.7166254225128754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R-LT_Att_X0</v>
      </c>
      <c r="AD54" s="904" t="str">
        <f>N54</f>
        <v>Residential Lighting Attached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LEFT(SETUP!B3,1)&amp;"-"&amp;RIGHT(COMM!$O$22,6)&amp;"_"&amp;SETUP!$B$64</f>
        <v>R-PF_Att_X0</v>
      </c>
      <c r="N55" s="907" t="str">
        <f>COMM!$P$22&amp;" "&amp;SETUP!$C$64</f>
        <v>Residential Pumps &amp; Fans Attached Existing 00</v>
      </c>
      <c r="O55" s="907" t="str">
        <f>COMM!E24</f>
        <v>RSDELC</v>
      </c>
      <c r="P55" s="907" t="str">
        <f>COMM!$O$22</f>
        <v>RSDPF_Att</v>
      </c>
      <c r="Q55" s="907">
        <v>1</v>
      </c>
      <c r="R55" s="907">
        <f>DwellingStocks!J38/1000</f>
        <v>766.35172099999977</v>
      </c>
      <c r="S55" s="907">
        <f>(R55*1000)/SUM(G54:G62)</f>
        <v>1.8468175598494301</v>
      </c>
      <c r="T55" s="907">
        <f>D55/C55</f>
        <v>0.37037053565156741</v>
      </c>
      <c r="U55" s="907">
        <f t="shared" si="17"/>
        <v>2.2973798887116343E-4</v>
      </c>
      <c r="V55" s="908">
        <v>10</v>
      </c>
      <c r="W55" s="908">
        <v>1</v>
      </c>
      <c r="X55" s="909">
        <f>Y55*T55</f>
        <v>0.17606010315049489</v>
      </c>
      <c r="Y55" s="907">
        <f>IF(((F54+F55+F56+F57+F58+F59+F60+F61+F62)*$B$2)&lt;=0,0,((F54+F55+F56+F57+F58+F59+F60+F61+F62)*S34*$B$2))</f>
        <v>0.47536206637162554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R-PF_Att_X0</v>
      </c>
      <c r="AD55" s="907" t="str">
        <f>N55</f>
        <v>Residential Pumps &amp; Fans Attached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abSelected="1" topLeftCell="H12" zoomScale="70" zoomScaleNormal="70" workbookViewId="0">
      <selection activeCell="S47" sqref="S47"/>
    </sheetView>
    <sheetView topLeftCell="N6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7.7109375" style="117" customWidth="1"/>
    <col min="14" max="14" width="70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0.99344804465906777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0">
        <f>(E7+E14+E16)/SUM($E$7:$E$25)</f>
        <v>6.0080307972788707E-3</v>
      </c>
      <c r="R7" s="921">
        <f>Q7*DwellingStocks!$K$38/1000</f>
        <v>4.3523961222963861</v>
      </c>
      <c r="S7" s="922">
        <f>(R7*1000)/(E7+E14+E16)*DwellingStocks!$V$37-0.0955</f>
        <v>1.8502216031108409</v>
      </c>
      <c r="T7" s="923">
        <f>(G7+G14+G16)/300</f>
        <v>0.61986329460013678</v>
      </c>
      <c r="U7" s="923">
        <f>X7/R7/W7</f>
        <v>0.27139198399610592</v>
      </c>
      <c r="V7" s="924">
        <v>20</v>
      </c>
      <c r="W7" s="924">
        <v>1</v>
      </c>
      <c r="X7" s="925">
        <f>Y7*T7</f>
        <v>1.1812054187669743</v>
      </c>
      <c r="Y7" s="925">
        <f>IF(((D7+I7+D14+I14+D16+I16)*$B$2)&lt;=0,0,((D7+I7+D14+I14+D16+I16)*S7*$B$2))</f>
        <v>1.9055901987694717</v>
      </c>
      <c r="Z7" s="716">
        <v>8.4000000000000005E-2</v>
      </c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27">
        <f>E8/SUM($E$7:$E$25)</f>
        <v>0</v>
      </c>
      <c r="R8" s="928">
        <f>Q8*DwellingStocks!$K$38/1000</f>
        <v>0</v>
      </c>
      <c r="S8" s="929">
        <f>IFERROR((R8*1000)/E8*DwellingStocks!$V$37,0)</f>
        <v>0</v>
      </c>
      <c r="T8" s="938">
        <v>0.9</v>
      </c>
      <c r="U8" s="930">
        <f>IFERROR(X8/R8/W8,0)</f>
        <v>0</v>
      </c>
      <c r="V8" s="931">
        <v>20</v>
      </c>
      <c r="W8" s="931">
        <v>1</v>
      </c>
      <c r="X8" s="932">
        <f>IFERROR(Y8*T8,0)</f>
        <v>0</v>
      </c>
      <c r="Y8" s="933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0">
        <f>E9/SUM($E$7:$E$25)</f>
        <v>0</v>
      </c>
      <c r="R9" s="921">
        <f>Q9*DwellingStocks!$K$38/1000</f>
        <v>0</v>
      </c>
      <c r="S9" s="922">
        <f>IFERROR((R9*1000)/E9*DwellingStocks!$V$37,0)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27">
        <f>(E10+E11)/SUM($E$7:$E$25)</f>
        <v>2.2058324983614461E-2</v>
      </c>
      <c r="R10" s="928">
        <f>(Q10)*DwellingStocks!$K$38/1000</f>
        <v>15.979706390073751</v>
      </c>
      <c r="S10" s="929">
        <f>(R10*1000)/(E10+E11)*DwellingStocks!$V$37+0.1525</f>
        <v>2.0982216031108405</v>
      </c>
      <c r="T10" s="930">
        <f>(G10+G11)/200</f>
        <v>0.82661774762699336</v>
      </c>
      <c r="U10" s="930">
        <f t="shared" ref="U10:U21" si="1">X10/R10/W10</f>
        <v>5.5595203690710561E-2</v>
      </c>
      <c r="V10" s="931">
        <v>20</v>
      </c>
      <c r="W10" s="931">
        <v>1</v>
      </c>
      <c r="X10" s="932">
        <f>Y10*T10</f>
        <v>0.88839503167389933</v>
      </c>
      <c r="Y10" s="933">
        <f>IF(((D10+I10+D11+I11)*S10*$B$2)&lt;=0,0,((D10+I10+D11+I11)*S10*$B$2))</f>
        <v>1.074735008078707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0">
        <f>E25/SUM($E$7:$E$25)</f>
        <v>2.3727013161165898E-2</v>
      </c>
      <c r="R11" s="921">
        <f>(Q11)*DwellingStocks!$K$38/1000</f>
        <v>17.188553714322843</v>
      </c>
      <c r="S11" s="922">
        <f>(R11*1000)/(E25)*DwellingStocks!$V$37+0.084</f>
        <v>2.0297216031108407</v>
      </c>
      <c r="T11" s="923">
        <f>(G25)/100</f>
        <v>0.99952095808383234</v>
      </c>
      <c r="U11" s="923">
        <f t="shared" si="1"/>
        <v>5.1441804976465715E-2</v>
      </c>
      <c r="V11" s="924">
        <v>20</v>
      </c>
      <c r="W11" s="924">
        <v>1</v>
      </c>
      <c r="X11" s="925">
        <f>Y11*T11</f>
        <v>0.88421022799970106</v>
      </c>
      <c r="Y11" s="925">
        <f>IF(((D25+I25)*S11*$B$2)&lt;=0,0,((D25+I25)*S11*$B$2))</f>
        <v>0.88463400476845244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27">
        <f>E12/SUM($E$7:$E$25)*0.85</f>
        <v>3.7127746931949167E-2</v>
      </c>
      <c r="R12" s="928">
        <f>Q12*DwellingStocks!$K$38/1000</f>
        <v>26.896443648292511</v>
      </c>
      <c r="S12" s="929">
        <f>(R12*1000)/E12*DwellingStocks!$V$37+0.084</f>
        <v>1.7378633626442148</v>
      </c>
      <c r="T12" s="930">
        <f>G12/100</f>
        <v>3.0897837837837834</v>
      </c>
      <c r="U12" s="930">
        <f t="shared" si="1"/>
        <v>3.1787011567387828E-2</v>
      </c>
      <c r="V12" s="931">
        <v>20</v>
      </c>
      <c r="W12" s="931">
        <v>1</v>
      </c>
      <c r="X12" s="932">
        <f>Y12*T12</f>
        <v>0.85495756536986889</v>
      </c>
      <c r="Y12" s="933">
        <f>IF(((D12+I12)*S12*$B$2)&lt;=0,0,((D12+I12)*S12*$B$2))</f>
        <v>0.27670465805956118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0">
        <f>E13/SUM($E$7:$E$25)</f>
        <v>0.69522898319258097</v>
      </c>
      <c r="R13" s="921">
        <f>Q13*DwellingStocks!$K$38/1000</f>
        <v>503.64454388714694</v>
      </c>
      <c r="S13" s="922">
        <f>(R13*1000)/E13*DwellingStocks!$V$37</f>
        <v>1.9457216031108406</v>
      </c>
      <c r="T13" s="923">
        <f>G13/100</f>
        <v>0.82280373831775711</v>
      </c>
      <c r="U13" s="923">
        <f t="shared" si="1"/>
        <v>4.1477826816639439E-2</v>
      </c>
      <c r="V13" s="924">
        <v>20</v>
      </c>
      <c r="W13" s="924">
        <v>1</v>
      </c>
      <c r="X13" s="925">
        <f>Y13*T13</f>
        <v>20.890081168496444</v>
      </c>
      <c r="Y13" s="925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37" t="s">
        <v>279</v>
      </c>
      <c r="M14" s="937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0">
        <f>E15/SUM($E$7:$E$25)</f>
        <v>0.15689058980405157</v>
      </c>
      <c r="R15" s="921">
        <f>Q15*DwellingStocks!$K$38/1000</f>
        <v>113.65620745439924</v>
      </c>
      <c r="S15" s="922">
        <f>(R15*1000)/E15*DwellingStocks!$V$37</f>
        <v>1.9457216031108406</v>
      </c>
      <c r="T15" s="923">
        <f>G15/100</f>
        <v>0.82728758169934635</v>
      </c>
      <c r="U15" s="923">
        <f t="shared" si="1"/>
        <v>3.7040631160092513E-2</v>
      </c>
      <c r="V15" s="924">
        <v>20</v>
      </c>
      <c r="W15" s="924">
        <v>1</v>
      </c>
      <c r="X15" s="925">
        <f>Y15*T15</f>
        <v>4.2098976593733592</v>
      </c>
      <c r="Y15" s="925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37" t="s">
        <v>279</v>
      </c>
      <c r="M16" s="937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0">
        <f>(E17+E18)/SUM($E$7:$E$25)</f>
        <v>2.90419545122383E-3</v>
      </c>
      <c r="R17" s="921">
        <f>Q17*DwellingStocks!$K$38/1000</f>
        <v>2.1038855236931115</v>
      </c>
      <c r="S17" s="922">
        <f>(R17*1000)/(E17+E18)*DwellingStocks!$V$37+0.16</f>
        <v>2.1057216031108408</v>
      </c>
      <c r="T17" s="923">
        <f>(G17+G18)/200</f>
        <v>0.5457894736842106</v>
      </c>
      <c r="U17" s="923">
        <f t="shared" si="1"/>
        <v>9.5005552686675279E-2</v>
      </c>
      <c r="V17" s="924">
        <v>20</v>
      </c>
      <c r="W17" s="924">
        <v>1</v>
      </c>
      <c r="X17" s="925">
        <f>Y17*T17</f>
        <v>0.19988080696795932</v>
      </c>
      <c r="Y17" s="925">
        <f>IF(((D17+I17)+D18+I18*$B$2)&lt;=0,0,((D17+I17+D18+I18)*S17*$B$2))</f>
        <v>0.36622327216887429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37" t="s">
        <v>279</v>
      </c>
      <c r="M18" s="937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26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27">
        <f>E19/SUM($E$7:$E$25)</f>
        <v>4.3826607101153388E-2</v>
      </c>
      <c r="R19" s="928">
        <f>Q19*DwellingStocks!$K$38/1000</f>
        <v>31.749297105278025</v>
      </c>
      <c r="S19" s="1029">
        <f>(R19*1000)/E19*DwellingStocks!$V$37-0.1377</f>
        <v>1.8080216031108407</v>
      </c>
      <c r="T19" s="930">
        <f>G19/100</f>
        <v>0.61474226804123711</v>
      </c>
      <c r="U19" s="930">
        <f t="shared" si="1"/>
        <v>0.12981046442763902</v>
      </c>
      <c r="V19" s="931">
        <v>20</v>
      </c>
      <c r="W19" s="931">
        <v>1</v>
      </c>
      <c r="X19" s="932">
        <f>Y19*T19</f>
        <v>4.1213910024872353</v>
      </c>
      <c r="Y19" s="933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R-SH_Det_SMF_X0</v>
      </c>
      <c r="AD19" s="737" t="str">
        <f t="shared" si="2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0">
        <f>(E20+E21+E22+E23)/SUM($E$7:$E$25)</f>
        <v>4.9608630470321458E-3</v>
      </c>
      <c r="R20" s="921">
        <f>Q20*DwellingStocks!$K$38/1000</f>
        <v>3.5937966727676112</v>
      </c>
      <c r="S20" s="922">
        <f>(R20*1000)/(E20+E21+E22+E23)*DwellingStocks!$V$37-0.125</f>
        <v>1.8207216031108406</v>
      </c>
      <c r="T20" s="923">
        <f>(G21+G22+G23)/300</f>
        <v>0.72928609692169366</v>
      </c>
      <c r="U20" s="923">
        <f t="shared" si="1"/>
        <v>7.5672129216388148E-2</v>
      </c>
      <c r="V20" s="924">
        <v>20</v>
      </c>
      <c r="W20" s="924">
        <v>1</v>
      </c>
      <c r="X20" s="925">
        <f>Y20*T20</f>
        <v>0.27195024619909647</v>
      </c>
      <c r="Y20" s="925">
        <f>IF(((D20+I20+D21+I21+D22+I22+D23+I23)*$B$2)&lt;=0,0,((D20+I20+D21+I21+D22+I22+D23+I23)*S20*$B$2))</f>
        <v>0.37289926045072658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R-SH_Det_BIOWOO_X0</v>
      </c>
      <c r="AD20" s="81" t="str">
        <f t="shared" si="2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26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27">
        <f>E24/SUM($E$7:$E$25)</f>
        <v>7.156901890175457E-4</v>
      </c>
      <c r="R21" s="928">
        <f>Q21*DwellingStocks!$K$38/1000</f>
        <v>0.51846724967793933</v>
      </c>
      <c r="S21" s="929">
        <f>(R21*1000)/E24*DwellingStocks!$V$37</f>
        <v>1.9457216031108402</v>
      </c>
      <c r="T21" s="930">
        <f>G24/100</f>
        <v>0.65865731206453049</v>
      </c>
      <c r="U21" s="930">
        <f t="shared" si="1"/>
        <v>0.18999660278742397</v>
      </c>
      <c r="V21" s="931">
        <v>20</v>
      </c>
      <c r="W21" s="931">
        <v>1</v>
      </c>
      <c r="X21" s="932">
        <f>Y21*T21</f>
        <v>9.8507016095347608E-2</v>
      </c>
      <c r="Y21" s="933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R-SH_Det_HET_X0</v>
      </c>
      <c r="AD21" s="737" t="str">
        <f t="shared" si="2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LEFT(SETUP!B3,1)&amp;"-"&amp;RIGHT(COMM!$O$11,6)&amp;"_"&amp;RIGHT(O22,LEN(O22)-3)&amp;"_"&amp;SETUP!B64</f>
        <v>R-SH_Det_RENGEO_X0</v>
      </c>
      <c r="N22" s="737" t="str">
        <f>COMM!$P$11&amp;" "&amp;COMM!F19&amp;" "&amp;SETUP!C64</f>
        <v>Residential Space Heating Detached Geothermal to Residential Existing 00</v>
      </c>
      <c r="O22" s="737" t="str">
        <f>COMM!E19</f>
        <v>RSDRENGEO</v>
      </c>
      <c r="P22" s="737" t="str">
        <f>COMM!$O$11</f>
        <v>RSDSH_Det</v>
      </c>
      <c r="Q22" s="920">
        <f>E12/SUM($E$7:$E$25)*0.15</f>
        <v>6.5519553409322051E-3</v>
      </c>
      <c r="R22" s="921">
        <f>Q22*DwellingStocks!$K$38/1000</f>
        <v>4.7464312320516191</v>
      </c>
      <c r="S22" s="922">
        <f>(R12*1000)/E12*DwellingStocks!$V$37+0.0095</f>
        <v>1.6633633626442148</v>
      </c>
      <c r="T22" s="923">
        <f>G12/100</f>
        <v>3.0897837837837834</v>
      </c>
      <c r="U22" s="923">
        <f t="shared" ref="U22" si="3">X22/R22/W22</f>
        <v>0.21841678709847476</v>
      </c>
      <c r="V22" s="924">
        <v>20</v>
      </c>
      <c r="W22" s="924">
        <v>1</v>
      </c>
      <c r="X22" s="925">
        <f>Y22*T22</f>
        <v>1.0367002598885697</v>
      </c>
      <c r="Y22" s="925">
        <f>RSD_Balance!H22</f>
        <v>0.33552517989430808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R-SH_Det_RENGEO_X0</v>
      </c>
      <c r="AD22" s="81" t="str">
        <f t="shared" ref="AD22" si="5">N22</f>
        <v>Residential Space Heating Detached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37" t="s">
        <v>279</v>
      </c>
      <c r="M23" s="937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37"/>
      <c r="M24" s="937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19"/>
      <c r="N25" s="919"/>
      <c r="O25" s="919"/>
      <c r="P25" s="919"/>
      <c r="Q25" s="919"/>
      <c r="R25" s="914">
        <f>SUM(R6:R23)</f>
        <v>724.42972899999995</v>
      </c>
      <c r="S25" s="919"/>
      <c r="T25" s="919"/>
      <c r="U25" s="919"/>
      <c r="V25" s="919"/>
      <c r="W25" s="919"/>
      <c r="X25" s="912">
        <f>SUM(X6:X23)</f>
        <v>34.637176403318449</v>
      </c>
      <c r="Y25" s="912">
        <f>SUM(Y6:Y23)</f>
        <v>42.547822373862516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28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0.99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0">
        <f>(E31+E38+E40)/SUM($E$31:$E$49)-($Q$46/7)</f>
        <v>4.2750604037060293E-3</v>
      </c>
      <c r="R31" s="921">
        <f>Q31*DwellingStocks!$K$38/1000</f>
        <v>3.096980849715389</v>
      </c>
      <c r="S31" s="1030">
        <f>IFERROR((R31*1000)/(E31+E38+E40),0)-0.0955</f>
        <v>1.970531253979579</v>
      </c>
      <c r="T31" s="923">
        <f>T7</f>
        <v>0.61986329460013678</v>
      </c>
      <c r="U31" s="923">
        <f>IFERROR(X31/R31/W31,0)</f>
        <v>1.1373789455284335E-2</v>
      </c>
      <c r="V31" s="924">
        <v>20</v>
      </c>
      <c r="W31" s="924">
        <v>1</v>
      </c>
      <c r="X31" s="925">
        <f>Y31*T31</f>
        <v>3.5224408131710412E-2</v>
      </c>
      <c r="Y31" s="925">
        <f>IF(((D31+I31+D38+I38+D40+I40)*$B$2)&lt;=0,0,((D31+I31+D38+I38+D40+I40)*S31*$B$2))</f>
        <v>5.6826091234250413E-2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R-WH_Det_COA_X0</v>
      </c>
      <c r="AD31" s="737" t="str">
        <f t="shared" si="6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26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27">
        <f>E32/SUM($E$31:$E$49)</f>
        <v>7.6099157201833988E-6</v>
      </c>
      <c r="R32" s="928">
        <f>Q32*DwellingStocks!$K$38/1000</f>
        <v>5.5128491828852991E-3</v>
      </c>
      <c r="S32" s="929">
        <f>IFERROR((R32*1000)/E32,0)</f>
        <v>2.7564245914426495</v>
      </c>
      <c r="T32" s="938">
        <v>0.9</v>
      </c>
      <c r="U32" s="930">
        <f>X32/R32/W32</f>
        <v>1.0679040000000001E-2</v>
      </c>
      <c r="V32" s="931">
        <v>20</v>
      </c>
      <c r="W32" s="931">
        <v>1</v>
      </c>
      <c r="X32" s="932">
        <f>Y32*T32</f>
        <v>5.8871936937999427E-5</v>
      </c>
      <c r="Y32" s="933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R-WH_Det_BIODST_X0</v>
      </c>
      <c r="AD32" s="81" t="str">
        <f t="shared" si="6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0">
        <f>E33/SUM($E$31:$E$49)</f>
        <v>7.6099157201833988E-6</v>
      </c>
      <c r="R33" s="921">
        <f>Q33*DwellingStocks!$K$38/1000</f>
        <v>5.5128491828852991E-3</v>
      </c>
      <c r="S33" s="922">
        <f>IFERROR((R33*1000)/E33,0)</f>
        <v>2.7564245914426495</v>
      </c>
      <c r="T33" s="939">
        <v>0.9</v>
      </c>
      <c r="U33" s="923">
        <f>IFERROR(X33/R33/W33,0)</f>
        <v>1.2096540000000001E-2</v>
      </c>
      <c r="V33" s="924">
        <v>20</v>
      </c>
      <c r="W33" s="924">
        <v>1</v>
      </c>
      <c r="X33" s="925">
        <f>IFERROR(Y33*T33,0)</f>
        <v>6.6686400654739344E-5</v>
      </c>
      <c r="Y33" s="925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R-WH_Det_BIOETH_X0</v>
      </c>
      <c r="AD33" s="737" t="str">
        <f t="shared" si="6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26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27">
        <f>(E34+E35)/SUM($E$31:$E$49)-($Q$46/7)</f>
        <v>2.0773357685063637E-2</v>
      </c>
      <c r="R34" s="928">
        <f>(Q34)*DwellingStocks!$K$38/1000</f>
        <v>15.048837878210716</v>
      </c>
      <c r="S34" s="929">
        <f>IFERROR((R34*1000)/(E34+E35),0)</f>
        <v>2.5790639037207739</v>
      </c>
      <c r="T34" s="930">
        <f t="shared" ref="T34" si="7">T10</f>
        <v>0.82661774762699336</v>
      </c>
      <c r="U34" s="930">
        <f t="shared" ref="U34:U41" si="8">X34/R34/W34</f>
        <v>1.4149231710993282E-2</v>
      </c>
      <c r="V34" s="931">
        <v>20</v>
      </c>
      <c r="W34" s="931">
        <v>1</v>
      </c>
      <c r="X34" s="932">
        <f>Y34*T34</f>
        <v>0.21292949411997592</v>
      </c>
      <c r="Y34" s="933">
        <f>IF(((D34+I34+D35+I35)*$B$2)&lt;=0,0,((D34+I34+D35+I35)*S34*$B$2))</f>
        <v>0.25759124423742613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R-WH_Det_OILLPG_X0</v>
      </c>
      <c r="AD34" s="81" t="str">
        <f t="shared" si="6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0">
        <f>E49/SUM($E$31:$E$49)-($Q$46/7)</f>
        <v>2.2538858132146188E-2</v>
      </c>
      <c r="R35" s="921">
        <f>Q35*DwellingStocks!$K$38/1000</f>
        <v>16.327818888640106</v>
      </c>
      <c r="S35" s="922">
        <f>IFERROR((R35*1000)/E49,0)+0.084</f>
        <v>2.6761287329163528</v>
      </c>
      <c r="T35" s="923">
        <f>T11</f>
        <v>0.99952095808383234</v>
      </c>
      <c r="U35" s="923">
        <f t="shared" si="8"/>
        <v>1.3328486763070335E-2</v>
      </c>
      <c r="V35" s="924">
        <v>20</v>
      </c>
      <c r="W35" s="924">
        <v>1</v>
      </c>
      <c r="X35" s="925">
        <f>Y35*T35</f>
        <v>0.21762511792704944</v>
      </c>
      <c r="Y35" s="925">
        <f>IF(((D49+I49)*$B$2)&lt;=0,0,((D49+I49)*S35*$B$2))</f>
        <v>0.2177294194453466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R-WH_Det_ELC_X0</v>
      </c>
      <c r="AD35" s="737" t="str">
        <f t="shared" si="6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26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27">
        <f>E36/SUM($E$31:$E$49)-($Q$46/7)</f>
        <v>4.2423567908985403E-2</v>
      </c>
      <c r="R36" s="928">
        <f>Q36*DwellingStocks!$K$38/1000</f>
        <v>30.732893803519389</v>
      </c>
      <c r="S36" s="929">
        <f>IFERROR((R36*1000)/E36,0)+0.084</f>
        <v>2.7506285295895352</v>
      </c>
      <c r="T36" s="930">
        <f>T12</f>
        <v>3.0897837837837834</v>
      </c>
      <c r="U36" s="930">
        <f t="shared" si="8"/>
        <v>2.249918004381397E-2</v>
      </c>
      <c r="V36" s="931">
        <v>20</v>
      </c>
      <c r="W36" s="931">
        <v>1</v>
      </c>
      <c r="X36" s="932">
        <f>Y36*T36</f>
        <v>0.6914649109527975</v>
      </c>
      <c r="Y36" s="933">
        <f>IF(((D49+I49)*$B$2)&lt;=0,0,((D49+I49)*S36*$B$2))</f>
        <v>0.2237907113701082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R-WH_Det_ELC_X1</v>
      </c>
      <c r="AD36" s="81" t="str">
        <f t="shared" si="6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0">
        <f>E37/SUM($E$31:$E$49)-($Q$46/7)</f>
        <v>0.69549131518368434</v>
      </c>
      <c r="R37" s="921">
        <f>Q37*DwellingStocks!$K$38/1000</f>
        <v>503.83458498037004</v>
      </c>
      <c r="S37" s="1030">
        <f>IFERROR((R37*1000)/E37,0)-0.414</f>
        <v>2.3367743732583355</v>
      </c>
      <c r="T37" s="923">
        <f>T13</f>
        <v>0.82280373831775711</v>
      </c>
      <c r="U37" s="923">
        <f t="shared" si="8"/>
        <v>1.2270181372662557E-2</v>
      </c>
      <c r="V37" s="924">
        <v>20</v>
      </c>
      <c r="W37" s="924">
        <v>1</v>
      </c>
      <c r="X37" s="925">
        <f>Y37*T37</f>
        <v>6.1821417395293068</v>
      </c>
      <c r="Y37" s="925">
        <f t="shared" ref="Y37:Y39" si="9">IF(((D37+I37)*$B$2)&lt;=0,0,((D37+I37)*S37*$B$2))</f>
        <v>7.5135071118768257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R-WH_Det_OILKER_X0</v>
      </c>
      <c r="AD37" s="737" t="str">
        <f t="shared" si="6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0">
        <f>E39/SUM($E$31:$E$49)-($Q$46/7)</f>
        <v>0.15662937807963778</v>
      </c>
      <c r="R39" s="921">
        <f>Q39*DwellingStocks!$K$38/1000</f>
        <v>113.46697791567054</v>
      </c>
      <c r="S39" s="1030">
        <f>IFERROR((R39*1000)/E39,0)-0.441</f>
        <v>2.2905112642193197</v>
      </c>
      <c r="T39" s="923">
        <f t="shared" ref="T39:T41" si="10">T15</f>
        <v>0.82728758169934635</v>
      </c>
      <c r="U39" s="923">
        <f t="shared" si="8"/>
        <v>1.1853809357645259E-2</v>
      </c>
      <c r="V39" s="924">
        <v>20</v>
      </c>
      <c r="W39" s="924">
        <v>1</v>
      </c>
      <c r="X39" s="925">
        <f>Y39*T39</f>
        <v>1.3450159246005033</v>
      </c>
      <c r="Y39" s="925">
        <f t="shared" si="9"/>
        <v>1.6258142323829905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0">
        <f>(E41+E42)/SUM($E$31:$E$49)</f>
        <v>3.0135266251926258E-3</v>
      </c>
      <c r="R41" s="921">
        <f>Q41*DwellingStocks!$K$38/1000</f>
        <v>2.1830882764225783</v>
      </c>
      <c r="S41" s="922">
        <f>IFERROR((R36*1000)/E36,0)+0.16</f>
        <v>2.8266285295895353</v>
      </c>
      <c r="T41" s="923">
        <f t="shared" si="10"/>
        <v>0.5457894736842106</v>
      </c>
      <c r="U41" s="923">
        <f t="shared" si="8"/>
        <v>1.2491580177735408E-2</v>
      </c>
      <c r="V41" s="924">
        <v>20</v>
      </c>
      <c r="W41" s="924">
        <v>1</v>
      </c>
      <c r="X41" s="925">
        <f>Y41*T41</f>
        <v>2.7270222240006838E-2</v>
      </c>
      <c r="Y41" s="925">
        <f>IF(((D41+I41+D42+I42)*$B$2)&lt;=0,0,((D41+I41+D42+I42)*S41*$B$2))</f>
        <v>4.9964727344274817E-2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26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27">
        <f>E43/SUM($E$31:$E$49)-($Q$46/7)</f>
        <v>3.9265452885109291E-2</v>
      </c>
      <c r="R43" s="928">
        <f>Q43*DwellingStocks!$K$38/1000</f>
        <v>28.445061392621987</v>
      </c>
      <c r="S43" s="929">
        <f>(R43*1000)/E43-0.1377</f>
        <v>2.5219597842563801</v>
      </c>
      <c r="T43" s="930">
        <f>T19</f>
        <v>0.61474226804123711</v>
      </c>
      <c r="U43" s="930">
        <f t="shared" ref="U43:U45" si="11">X43/R43/W43</f>
        <v>1.1286753739723236E-2</v>
      </c>
      <c r="V43" s="931">
        <v>20</v>
      </c>
      <c r="W43" s="931">
        <v>1</v>
      </c>
      <c r="X43" s="932">
        <f>Y43*T43</f>
        <v>0.32105240304983323</v>
      </c>
      <c r="Y43" s="933">
        <f>IF(((D43+I43)*$B$2)&lt;=0,0,((D43+I43)*S43*$B$2))</f>
        <v>0.5222552925680668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0">
        <f>(E47+E44+E45+E46)/SUM($E$31:$E$49)</f>
        <v>4.8513212716169169E-3</v>
      </c>
      <c r="R44" s="921">
        <f>Q44*DwellingStocks!$K$38/1000</f>
        <v>3.5144413540893784</v>
      </c>
      <c r="S44" s="922">
        <f>(R44*1000)/(E47+E44+E45+E46)-0.1368</f>
        <v>2.6196245914426495</v>
      </c>
      <c r="T44" s="923">
        <f t="shared" ref="T44:T46" si="13">T20</f>
        <v>0.72928609692169366</v>
      </c>
      <c r="U44" s="923">
        <f t="shared" si="11"/>
        <v>1.2716454490790247E-2</v>
      </c>
      <c r="V44" s="924">
        <v>20</v>
      </c>
      <c r="W44" s="924">
        <v>1</v>
      </c>
      <c r="X44" s="925">
        <f>Y44*T44</f>
        <v>4.4691233539828831E-2</v>
      </c>
      <c r="Y44" s="925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26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27">
        <f>E48/SUM($E$31:$E$49)</f>
        <v>7.2294199341742292E-4</v>
      </c>
      <c r="R45" s="928">
        <f>Q45*DwellingStocks!$K$38/1000</f>
        <v>0.52372067237410336</v>
      </c>
      <c r="S45" s="929">
        <f>(R45*1000)/E48</f>
        <v>2.7564245914426495</v>
      </c>
      <c r="T45" s="930">
        <f t="shared" si="13"/>
        <v>0.65865731206453049</v>
      </c>
      <c r="U45" s="930">
        <f t="shared" si="11"/>
        <v>1.2874844310725912E-3</v>
      </c>
      <c r="V45" s="931">
        <v>20</v>
      </c>
      <c r="W45" s="931">
        <v>1</v>
      </c>
      <c r="X45" s="932">
        <f>Y45*T45</f>
        <v>6.7428221191252746E-4</v>
      </c>
      <c r="Y45" s="933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LEFT(SETUP!B3,1)&amp;"-"&amp;RIGHT(COMM!$O$17,6)&amp;"_"&amp;RIGHT(O46,LEN(O46)-3)&amp;"_"&amp;SETUP!B64</f>
        <v>R-WH_Det_RENSOL_X0</v>
      </c>
      <c r="N46" s="737" t="str">
        <f>COMM!$P$17&amp;" "&amp;COMM!F15&amp;" "&amp;SETUP!C64</f>
        <v>Residential Water Heating Detached Solar to Residential Existing 00</v>
      </c>
      <c r="O46" s="737" t="str">
        <f>COMM!E15</f>
        <v>RSDRENSOL</v>
      </c>
      <c r="P46" s="737" t="str">
        <f>COMM!$O$17</f>
        <v>RSDWH_Det</v>
      </c>
      <c r="Q46" s="920">
        <v>0.01</v>
      </c>
      <c r="R46" s="921">
        <f>Q46*DwellingStocks!$K$38/1000</f>
        <v>7.2442972899999996</v>
      </c>
      <c r="S46" s="922">
        <f>MAX(S31:S45)</f>
        <v>2.8266285295895353</v>
      </c>
      <c r="T46" s="923">
        <f t="shared" si="13"/>
        <v>3.0897837837837834</v>
      </c>
      <c r="U46" s="923">
        <f t="shared" ref="U46" si="14">X46/R46/W46</f>
        <v>0.11305151157683495</v>
      </c>
      <c r="V46" s="924">
        <v>20</v>
      </c>
      <c r="W46" s="924">
        <v>1</v>
      </c>
      <c r="X46" s="925">
        <f>Y46*T46</f>
        <v>0.81897875894646899</v>
      </c>
      <c r="Y46" s="925">
        <f>RSD_Balance!K18</f>
        <v>0.265060216590152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R-WH_Det_RENSOL_X0</v>
      </c>
      <c r="AD46" s="81" t="str">
        <f t="shared" ref="AD46" si="16">N46</f>
        <v>Residential Water Heating Detached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19"/>
      <c r="N49" s="919"/>
      <c r="O49" s="919"/>
      <c r="P49" s="919"/>
      <c r="Q49" s="919"/>
      <c r="R49" s="914">
        <f>SUM(R29:R47)</f>
        <v>724.42972899999995</v>
      </c>
      <c r="S49" s="919"/>
      <c r="T49" s="919"/>
      <c r="U49" s="919"/>
      <c r="V49" s="919"/>
      <c r="W49" s="919"/>
      <c r="X49" s="912">
        <f>SUM(X29:X47)</f>
        <v>9.897194053586988</v>
      </c>
      <c r="Y49" s="912">
        <f>SUM(Y29:Y47)</f>
        <v>10.794983076047465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18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04" t="str">
        <f>COMM!E24</f>
        <v>RSDELC</v>
      </c>
      <c r="P54" s="904" t="str">
        <f>COMM!$O$20</f>
        <v>RSDLT_Det</v>
      </c>
      <c r="Q54" s="904">
        <v>1</v>
      </c>
      <c r="R54" s="904">
        <f>DwellingStocks!K38/1000</f>
        <v>724.42972899999995</v>
      </c>
      <c r="S54" s="904">
        <f>(R54*1000)/SUM(G54:G62)</f>
        <v>2.7286413814404251</v>
      </c>
      <c r="T54" s="904">
        <f>D54/C54</f>
        <v>0.37037047102933268</v>
      </c>
      <c r="U54" s="904">
        <f t="shared" ref="U54:U55" si="17">X54/R54/W54</f>
        <v>1.4164579278735207E-3</v>
      </c>
      <c r="V54" s="905">
        <v>10</v>
      </c>
      <c r="W54" s="905">
        <v>1</v>
      </c>
      <c r="X54" s="906">
        <f>Y54*T54</f>
        <v>1.0261242328293161</v>
      </c>
      <c r="Y54" s="904">
        <f>IF(((D54+D55+D56+D57+D58+D59+D60+D61+D62)*$B$2)&lt;=0,0,((D54+D55+D56+D57+D58+D59+D60+D61+D62)*S34*$B$2))</f>
        <v>2.7705346756654605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R-LT_Det_X0</v>
      </c>
      <c r="AD54" s="904" t="str">
        <f>N54</f>
        <v>Residential Lighting Detached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LEFT(SETUP!B3,1)&amp;"-"&amp;RIGHT(COMM!$O$23,6)&amp;"_"&amp;SETUP!$B$64</f>
        <v>R-PF_Det_X0</v>
      </c>
      <c r="N55" s="907" t="str">
        <f>COMM!$P$23&amp;" "&amp;SETUP!$C$64</f>
        <v>Residential Pumps &amp; Fans Detached Existing 00</v>
      </c>
      <c r="O55" s="907" t="str">
        <f>COMM!E24</f>
        <v>RSDELC</v>
      </c>
      <c r="P55" s="907" t="str">
        <f>COMM!$O$23</f>
        <v>RSDPF_Det</v>
      </c>
      <c r="Q55" s="907">
        <v>1</v>
      </c>
      <c r="R55" s="907">
        <f>DwellingStocks!K38/1000</f>
        <v>724.42972899999995</v>
      </c>
      <c r="S55" s="907">
        <f>(R55*1000)/SUM(G54:G62)</f>
        <v>2.7286413814404251</v>
      </c>
      <c r="T55" s="907">
        <f>D55/C55</f>
        <v>0.370370398008326</v>
      </c>
      <c r="U55" s="907">
        <f t="shared" si="17"/>
        <v>2.9482684972058023E-4</v>
      </c>
      <c r="V55" s="908">
        <v>10</v>
      </c>
      <c r="W55" s="908">
        <v>1</v>
      </c>
      <c r="X55" s="909">
        <f>Y55*T55</f>
        <v>0.21358133484500363</v>
      </c>
      <c r="Y55" s="907">
        <f>IF(((F54+F55+F56+F57+F58+F59+F60+F61+F62)*$B$2)&lt;=0,0,((F54+F55+F56+F57+F58+F59+F60+F61+F62)*S34*$B$2))</f>
        <v>0.57666956104899691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R-PF_Det_X0</v>
      </c>
      <c r="AD55" s="907" t="str">
        <f>N55</f>
        <v>Residential Pumps &amp; Fans Detached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82" t="s">
        <v>484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551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553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2020-12-11T11:40:31Z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994991481304168</vt:r8>
  </property>
</Properties>
</file>