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EBDAEA6-17D6-476C-A557-480ECE119734}" xr6:coauthVersionLast="45" xr6:coauthVersionMax="46" xr10:uidLastSave="{00000000-0000-0000-0000-000000000000}"/>
  <bookViews>
    <workbookView xWindow="-120" yWindow="-120" windowWidth="29040" windowHeight="15840" firstSheet="4" activeTab="4" xr2:uid="{34F9D92C-266F-476D-89E0-63153305AC39}"/>
    <workbookView xWindow="-120" yWindow="-120" windowWidth="29040" windowHeight="15840" firstSheet="4" activeTab="4" xr2:uid="{7D8B849B-5E55-4ACE-8CF4-3734B2491195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Y97" i="55"/>
  <c r="Y101" i="55" s="1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X53" i="55" s="1"/>
  <c r="Y49" i="55"/>
  <c r="Y53" i="55" s="1"/>
  <c r="V49" i="55"/>
  <c r="Z47" i="55"/>
  <c r="Z48" i="55"/>
  <c r="Y20" i="55"/>
  <c r="W20" i="55"/>
  <c r="X20" i="55" s="1"/>
  <c r="W53" i="55" l="1"/>
  <c r="W93" i="55"/>
  <c r="V53" i="55"/>
  <c r="V93" i="55"/>
  <c r="X93" i="55"/>
  <c r="Y93" i="55"/>
  <c r="V101" i="55"/>
  <c r="V45" i="55"/>
  <c r="Y45" i="55"/>
  <c r="X101" i="55"/>
  <c r="X45" i="55"/>
  <c r="X66" i="55"/>
  <c r="Y13" i="55"/>
  <c r="X13" i="55"/>
  <c r="Y11" i="55" l="1"/>
  <c r="X11" i="55"/>
  <c r="W11" i="55"/>
  <c r="V11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V50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V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X54" i="55"/>
  <c r="V94" i="55"/>
  <c r="V102" i="55"/>
  <c r="Y102" i="55"/>
  <c r="Y94" i="55"/>
  <c r="X94" i="55"/>
  <c r="X102" i="55"/>
  <c r="Y54" i="55"/>
  <c r="Y46" i="55"/>
  <c r="W46" i="55"/>
  <c r="W54" i="55"/>
  <c r="W94" i="55"/>
  <c r="W102" i="55"/>
  <c r="V54" i="55"/>
  <c r="V46" i="55"/>
  <c r="V147" i="55"/>
  <c r="U148" i="55"/>
  <c r="W131" i="55" l="1"/>
  <c r="X131" i="55"/>
  <c r="Y131" i="55"/>
  <c r="V131" i="55"/>
  <c r="Y125" i="55"/>
  <c r="V77" i="55"/>
  <c r="X125" i="55"/>
  <c r="V125" i="55"/>
  <c r="W125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<sst xmlns="http://schemas.openxmlformats.org/spreadsheetml/2006/main" count="3505" uniqueCount="1044">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</sst>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59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  <sheetView workbookViewId="1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  <sheetView workbookViewId="1"/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zoomScale="90" zoomScaleNormal="90" workbookViewId="0">
      <selection activeCell="F37" sqref="F37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AL22/2</f>
        <v>5.3083202991120108E-4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AJ22</f>
        <v>3.2672173235706492E-3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372</v>
      </c>
      <c r="F9" s="71"/>
      <c r="G9" s="71"/>
      <c r="H9" s="109"/>
      <c r="I9" s="314">
        <f>AK22</f>
        <v>1.4074238978033962E-3</v>
      </c>
      <c r="J9" s="103"/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373</v>
      </c>
      <c r="F10" s="166"/>
      <c r="G10" s="166"/>
      <c r="H10" s="132"/>
      <c r="I10" s="316">
        <f>AL22/2</f>
        <v>5.3083202991120108E-4</v>
      </c>
      <c r="J10" s="141"/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AK37/2</f>
        <v>6.2401308018242394E-4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AI37</f>
        <v>9.0638384319306538E-3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</f>
        <v>2.0645399747711616E-3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402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I20" s="311" t="s">
        <v>688</v>
      </c>
      <c r="AJ20" s="312" t="s">
        <v>695</v>
      </c>
      <c r="AK20" s="312" t="s">
        <v>696</v>
      </c>
      <c r="AL20" s="5" t="s">
        <v>691</v>
      </c>
      <c r="AM20" s="310" t="s">
        <v>697</v>
      </c>
    </row>
    <row r="21" spans="2:39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</f>
        <v>3.5262400890868602E-3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I21" s="310" t="s">
        <v>694</v>
      </c>
    </row>
    <row r="22" spans="2:39" ht="15" x14ac:dyDescent="0.2">
      <c r="C22" s="132"/>
      <c r="D22" s="132"/>
      <c r="E22" s="165" t="s">
        <v>405</v>
      </c>
      <c r="F22" s="166"/>
      <c r="G22" s="166"/>
      <c r="H22" s="132"/>
      <c r="I22" s="316">
        <f>AK51/2</f>
        <v>9.2012709050415069E-4</v>
      </c>
      <c r="J22" s="141"/>
      <c r="W22" s="5" t="s">
        <v>665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  <sheetView workbookViewId="1"/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zoomScale="80" zoomScaleNormal="80" workbookViewId="0">
      <selection activeCell="O153" sqref="O153"/>
    </sheetView>
    <sheetView tabSelected="1" topLeftCell="F72" zoomScale="70" zoomScaleNormal="70" workbookViewId="1">
      <selection activeCell="AI71" sqref="AI7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0" t="s">
        <v>720</v>
      </c>
      <c r="I4" s="541"/>
      <c r="J4" s="541"/>
      <c r="K4" s="542"/>
      <c r="L4" s="540" t="s">
        <v>319</v>
      </c>
      <c r="M4" s="541"/>
      <c r="N4" s="541"/>
      <c r="O4" s="542"/>
      <c r="P4" s="540" t="s">
        <v>320</v>
      </c>
      <c r="Q4" s="541"/>
      <c r="R4" s="541"/>
      <c r="S4" s="542"/>
      <c r="T4" s="540" t="s">
        <v>321</v>
      </c>
      <c r="U4" s="542"/>
      <c r="V4" s="534" t="s">
        <v>322</v>
      </c>
      <c r="W4" s="535"/>
      <c r="X4" s="535"/>
      <c r="Y4" s="536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7" t="s">
        <v>45</v>
      </c>
      <c r="I6" s="538"/>
      <c r="J6" s="538"/>
      <c r="K6" s="539"/>
      <c r="L6" s="538" t="s">
        <v>45</v>
      </c>
      <c r="M6" s="538"/>
      <c r="N6" s="538"/>
      <c r="O6" s="539"/>
      <c r="P6" s="537" t="s">
        <v>45</v>
      </c>
      <c r="Q6" s="538"/>
      <c r="R6" s="538"/>
      <c r="S6" s="539"/>
      <c r="T6" s="537" t="s">
        <v>302</v>
      </c>
      <c r="U6" s="539"/>
      <c r="V6" s="537" t="s">
        <v>968</v>
      </c>
      <c r="W6" s="538"/>
      <c r="X6" s="538"/>
      <c r="Y6" s="539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2.79</f>
        <v>2.79</v>
      </c>
      <c r="W11" s="456">
        <f t="shared" si="7"/>
        <v>2.79</v>
      </c>
      <c r="X11" s="456">
        <f t="shared" si="7"/>
        <v>2.79</v>
      </c>
      <c r="Y11" s="456">
        <f t="shared" si="7"/>
        <v>2.79</v>
      </c>
      <c r="Z11" s="456">
        <v>0.12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1">I12*0.7</f>
        <v>0.7</v>
      </c>
      <c r="R12" s="321">
        <f t="shared" si="11"/>
        <v>0.7</v>
      </c>
      <c r="S12" s="322">
        <f t="shared" si="11"/>
        <v>0.7</v>
      </c>
      <c r="T12" s="99">
        <v>22</v>
      </c>
      <c r="U12" s="70"/>
      <c r="V12" s="457">
        <f>V11*($U$150/$U$149)</f>
        <v>2.8135443037974688</v>
      </c>
      <c r="W12" s="457">
        <f>W11*($U$150/$U$149)</f>
        <v>2.8135443037974688</v>
      </c>
      <c r="X12" s="457">
        <f>X11*($U$150/$U$149)</f>
        <v>2.8135443037974688</v>
      </c>
      <c r="Y12" s="457">
        <f>Y11*($U$150/$U$149)</f>
        <v>2.8135443037974688</v>
      </c>
      <c r="Z12" s="457">
        <v>0.12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2">H14*0.7</f>
        <v>0.7</v>
      </c>
      <c r="Q14" s="321">
        <f t="shared" si="12"/>
        <v>0.7</v>
      </c>
      <c r="R14" s="321">
        <f t="shared" si="12"/>
        <v>0.7</v>
      </c>
      <c r="S14" s="322">
        <f t="shared" si="12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3">C18</f>
        <v>R-SH_Apt_ELC_HPN1</v>
      </c>
      <c r="AM16" s="149" t="str">
        <f t="shared" si="13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3"/>
        <v>R-HC_Apt_ELC_HPN1</v>
      </c>
      <c r="AM17" s="151" t="str">
        <f t="shared" si="13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4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3"/>
        <v>R-SH_Apt_ELC_HPN2</v>
      </c>
      <c r="AM18" s="151" t="str">
        <f t="shared" si="13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4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3"/>
        <v>R-SW_Apt_ELC_HPN1</v>
      </c>
      <c r="AM19" s="151" t="str">
        <f t="shared" si="13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4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3"/>
        <v>R-SH_Apt_ELC_HPN3</v>
      </c>
      <c r="AM20" s="151" t="str">
        <f t="shared" si="13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5">I21*0.7</f>
        <v>0.76999999999999991</v>
      </c>
      <c r="R21" s="69">
        <f t="shared" si="15"/>
        <v>0.86333333333333329</v>
      </c>
      <c r="S21" s="103">
        <f t="shared" si="15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4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3"/>
        <v>R-HC_Apt_ELC_HPN2</v>
      </c>
      <c r="AM21" s="154" t="str">
        <f t="shared" si="13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4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4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6">I25*0.7</f>
        <v>1.2530864197530862</v>
      </c>
      <c r="R25" s="66">
        <f t="shared" si="16"/>
        <v>1.4691358024691357</v>
      </c>
      <c r="S25" s="102">
        <f t="shared" si="16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7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8">I26*0.7</f>
        <v>1.2055555555555555</v>
      </c>
      <c r="R26" s="72">
        <f t="shared" ref="R26" si="19">J26*0.7</f>
        <v>1.2055555555555555</v>
      </c>
      <c r="S26" s="105">
        <f t="shared" ref="S26" si="20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7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1">J28*0.7</f>
        <v>2.7299999999999995</v>
      </c>
      <c r="S28" s="105">
        <f t="shared" si="21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2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2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3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3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4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4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0" t="s">
        <v>318</v>
      </c>
      <c r="I42" s="541"/>
      <c r="J42" s="541"/>
      <c r="K42" s="542"/>
      <c r="L42" s="540" t="s">
        <v>319</v>
      </c>
      <c r="M42" s="541"/>
      <c r="N42" s="541"/>
      <c r="O42" s="542"/>
      <c r="P42" s="540" t="s">
        <v>320</v>
      </c>
      <c r="Q42" s="541"/>
      <c r="R42" s="541"/>
      <c r="S42" s="542"/>
      <c r="T42" s="540" t="s">
        <v>321</v>
      </c>
      <c r="U42" s="542"/>
      <c r="V42" s="534" t="s">
        <v>322</v>
      </c>
      <c r="W42" s="535"/>
      <c r="X42" s="535"/>
      <c r="Y42" s="536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7" t="s">
        <v>45</v>
      </c>
      <c r="I44" s="538"/>
      <c r="J44" s="538"/>
      <c r="K44" s="539"/>
      <c r="L44" s="538" t="s">
        <v>45</v>
      </c>
      <c r="M44" s="538"/>
      <c r="N44" s="538"/>
      <c r="O44" s="539"/>
      <c r="P44" s="537" t="s">
        <v>45</v>
      </c>
      <c r="Q44" s="538"/>
      <c r="R44" s="538"/>
      <c r="S44" s="539"/>
      <c r="T44" s="543" t="s">
        <v>302</v>
      </c>
      <c r="U44" s="544"/>
      <c r="V44" s="543" t="s">
        <v>968</v>
      </c>
      <c r="W44" s="545"/>
      <c r="X44" s="545"/>
      <c r="Y44" s="544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5">W49*1.3</f>
        <v>4.2250000000000005</v>
      </c>
      <c r="X45" s="456">
        <f t="shared" si="25"/>
        <v>4.2250000000000005</v>
      </c>
      <c r="Y45" s="456">
        <f t="shared" si="25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6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7">C45</f>
        <v>R-SH_Att_KER_N1</v>
      </c>
      <c r="AM45" s="151" t="str">
        <f t="shared" ref="AM45:AM60" si="28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29">I46*0.7</f>
        <v>0.7</v>
      </c>
      <c r="R46" s="69">
        <f t="shared" ref="R46:R48" si="30">J46*0.7</f>
        <v>0.7</v>
      </c>
      <c r="S46" s="103">
        <f t="shared" ref="S46:S48" si="31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2">W50*1.3</f>
        <v>4.2773760330578519</v>
      </c>
      <c r="X46" s="457">
        <f t="shared" si="32"/>
        <v>4.2773760330578519</v>
      </c>
      <c r="Y46" s="457">
        <f t="shared" si="32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6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7"/>
        <v>R-SW_Att_KER_N1</v>
      </c>
      <c r="AM46" s="151" t="str">
        <f t="shared" si="28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29"/>
        <v>0.7</v>
      </c>
      <c r="R47" s="75">
        <f t="shared" si="30"/>
        <v>0.7</v>
      </c>
      <c r="S47" s="104">
        <f t="shared" si="31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6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7"/>
        <v>R-SW_Att_KER_N2</v>
      </c>
      <c r="AM47" s="151" t="str">
        <f t="shared" si="28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29"/>
        <v>0.71749999999999992</v>
      </c>
      <c r="R48" s="69">
        <f t="shared" si="30"/>
        <v>0.71749999999999992</v>
      </c>
      <c r="S48" s="103">
        <f t="shared" si="31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7"/>
        <v>R-SW_Att_KER_N3</v>
      </c>
      <c r="AM48" s="151" t="str">
        <f t="shared" si="28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3">3.25</f>
        <v>3.25</v>
      </c>
      <c r="X49" s="456">
        <f t="shared" si="33"/>
        <v>3.25</v>
      </c>
      <c r="Y49" s="456">
        <f t="shared" si="33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6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7"/>
        <v>R-SH_Att_GAS_N1</v>
      </c>
      <c r="AM49" s="151" t="str">
        <f t="shared" si="28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4">I50*0.7</f>
        <v>0.7</v>
      </c>
      <c r="R50" s="69">
        <f t="shared" ref="R50:R52" si="35">J50*0.7</f>
        <v>0.7</v>
      </c>
      <c r="S50" s="103">
        <f t="shared" ref="S50:S52" si="36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6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7"/>
        <v>R-SW_Att_GAS_N1</v>
      </c>
      <c r="AM50" s="151" t="str">
        <f t="shared" si="28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4"/>
        <v>0.7</v>
      </c>
      <c r="R51" s="75">
        <f t="shared" si="35"/>
        <v>0.7</v>
      </c>
      <c r="S51" s="104">
        <f t="shared" si="36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6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7"/>
        <v>R-SW_Att_GAS_N2</v>
      </c>
      <c r="AM51" s="151" t="str">
        <f t="shared" si="28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4"/>
        <v>0.71749999999999992</v>
      </c>
      <c r="R52" s="69">
        <f t="shared" si="35"/>
        <v>0.71749999999999992</v>
      </c>
      <c r="S52" s="103">
        <f t="shared" si="36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6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7"/>
        <v>R-SW_Att_GAS_N3</v>
      </c>
      <c r="AM52" s="151" t="str">
        <f t="shared" si="28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V49</f>
        <v>3.25</v>
      </c>
      <c r="W53" s="456">
        <f t="shared" ref="W53:Y53" si="37">W49</f>
        <v>3.25</v>
      </c>
      <c r="X53" s="456">
        <f t="shared" si="37"/>
        <v>3.25</v>
      </c>
      <c r="Y53" s="456">
        <f t="shared" si="37"/>
        <v>3.25</v>
      </c>
      <c r="Z53" s="456">
        <v>0.12</v>
      </c>
      <c r="AA53" s="111"/>
      <c r="AB53" s="88"/>
      <c r="AC53" s="118"/>
      <c r="AD53" s="118"/>
      <c r="AE53" s="118"/>
      <c r="AF53" s="108">
        <f t="shared" si="26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7"/>
        <v>R-SH_Att_LPG_N1</v>
      </c>
      <c r="AM53" s="151" t="str">
        <f t="shared" si="28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8">I54*0.7</f>
        <v>0.7</v>
      </c>
      <c r="R54" s="69">
        <f t="shared" ref="R54" si="39">J54*0.7</f>
        <v>0.7</v>
      </c>
      <c r="S54" s="103">
        <f t="shared" ref="S54" si="40">K54*0.7</f>
        <v>0.7</v>
      </c>
      <c r="T54" s="99">
        <v>20</v>
      </c>
      <c r="U54" s="71"/>
      <c r="V54" s="457">
        <f>V50</f>
        <v>3.2902892561983474</v>
      </c>
      <c r="W54" s="457">
        <f t="shared" ref="W54:Y54" si="41">W50</f>
        <v>3.2902892561983474</v>
      </c>
      <c r="X54" s="457">
        <f t="shared" si="41"/>
        <v>3.2902892561983474</v>
      </c>
      <c r="Y54" s="457">
        <f t="shared" si="41"/>
        <v>3.2902892561983474</v>
      </c>
      <c r="Z54" s="457">
        <v>0.12</v>
      </c>
      <c r="AA54" s="112"/>
      <c r="AB54" s="90"/>
      <c r="AC54" s="119"/>
      <c r="AD54" s="119"/>
      <c r="AE54" s="119"/>
      <c r="AF54" s="109">
        <f t="shared" si="26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7"/>
        <v>R-SW_Att_LPG_N1</v>
      </c>
      <c r="AM54" s="151" t="str">
        <f t="shared" si="28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6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7"/>
        <v>R-SH_Att_WOO_N1</v>
      </c>
      <c r="AM55" s="151" t="str">
        <f t="shared" si="28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2">H56*0.7</f>
        <v>0.7</v>
      </c>
      <c r="Q56" s="69">
        <f t="shared" si="42"/>
        <v>0.7</v>
      </c>
      <c r="R56" s="69">
        <f t="shared" si="42"/>
        <v>0.7</v>
      </c>
      <c r="S56" s="103">
        <f t="shared" si="42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6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7"/>
        <v>R-SW_Att_WOO_N1</v>
      </c>
      <c r="AM56" s="154" t="str">
        <f t="shared" si="28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6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8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6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8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2"/>
        <v>0.7</v>
      </c>
      <c r="Q59" s="75">
        <f t="shared" si="42"/>
        <v>0.7</v>
      </c>
      <c r="R59" s="75">
        <f t="shared" si="42"/>
        <v>0.7</v>
      </c>
      <c r="S59" s="104">
        <f t="shared" si="42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6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7"/>
        <v>*R-H_Apt_HVO_N1</v>
      </c>
      <c r="AM59" s="154" t="str">
        <f t="shared" si="28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2"/>
        <v>0.7</v>
      </c>
      <c r="Q60" s="72">
        <f t="shared" si="42"/>
        <v>0.7</v>
      </c>
      <c r="R60" s="72">
        <f t="shared" si="42"/>
        <v>0.7</v>
      </c>
      <c r="S60" s="105">
        <f t="shared" si="42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6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7"/>
        <v>*R-H_Apt_HVO_N2</v>
      </c>
      <c r="AM60" s="154" t="str">
        <f t="shared" si="28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6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3">C64</f>
        <v>R-SH_Att_ELC_HPN1</v>
      </c>
      <c r="AM62" s="149" t="str">
        <f t="shared" si="43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3"/>
        <v>R-HC_Att_ELC_HPN1</v>
      </c>
      <c r="AM63" s="151" t="str">
        <f t="shared" si="43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6"/>
        <v>0.220752</v>
      </c>
      <c r="AG64" s="134"/>
      <c r="AH64" s="134">
        <v>2100</v>
      </c>
      <c r="AI64" s="134">
        <v>7</v>
      </c>
      <c r="AK64" s="152"/>
      <c r="AL64" s="151" t="str">
        <f t="shared" si="43"/>
        <v>R-SH_Att_ELC_HPN2</v>
      </c>
      <c r="AM64" s="151" t="str">
        <f t="shared" si="43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6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3"/>
        <v>R-SW_Att_ELC_HPN1</v>
      </c>
      <c r="AM65" s="151" t="str">
        <f t="shared" si="43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6"/>
        <v>0.220752</v>
      </c>
      <c r="AG66" s="111"/>
      <c r="AH66" s="111">
        <v>2019</v>
      </c>
      <c r="AI66" s="111">
        <v>7</v>
      </c>
      <c r="AK66" s="286"/>
      <c r="AL66" s="151" t="str">
        <f t="shared" si="43"/>
        <v>R-SW_Att_ELC_HPN2</v>
      </c>
      <c r="AM66" s="151" t="str">
        <f t="shared" si="43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4">I67*0.7</f>
        <v>0.76999999999999991</v>
      </c>
      <c r="R67" s="69">
        <f t="shared" ref="R67:R68" si="45">J67*0.7</f>
        <v>0.86333333333333329</v>
      </c>
      <c r="S67" s="103">
        <f t="shared" ref="S67:S68" si="46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6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3"/>
        <v>R-SH_Att_ELC_HPN3</v>
      </c>
      <c r="AM67" s="151" t="str">
        <f t="shared" si="43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4"/>
        <v>0.77700000000000002</v>
      </c>
      <c r="R68" s="75">
        <f t="shared" si="45"/>
        <v>0.83299999999999996</v>
      </c>
      <c r="S68" s="104">
        <f t="shared" si="46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6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3"/>
        <v>R-HC_Att_ELC_HPN2</v>
      </c>
      <c r="AM68" s="154" t="str">
        <f t="shared" si="43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6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6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7">I72*0.7</f>
        <v>1.2530864197530862</v>
      </c>
      <c r="R72" s="66">
        <f t="shared" ref="R72:R73" si="48">J72*0.7</f>
        <v>1.4691358024691357</v>
      </c>
      <c r="S72" s="102">
        <f t="shared" ref="S72:S73" si="49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6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7"/>
        <v>1.2055555555555555</v>
      </c>
      <c r="R73" s="72">
        <f t="shared" si="48"/>
        <v>1.2055555555555555</v>
      </c>
      <c r="S73" s="105">
        <f t="shared" si="49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0">I75*0.7</f>
        <v>2.5409999999999995</v>
      </c>
      <c r="R75" s="72">
        <f t="shared" ref="R75" si="51">J75*0.7</f>
        <v>2.7299999999999995</v>
      </c>
      <c r="S75" s="105">
        <f t="shared" ref="S75" si="52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6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6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6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6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6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6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0" t="s">
        <v>318</v>
      </c>
      <c r="I90" s="541"/>
      <c r="J90" s="541"/>
      <c r="K90" s="542"/>
      <c r="L90" s="540" t="s">
        <v>319</v>
      </c>
      <c r="M90" s="541"/>
      <c r="N90" s="541"/>
      <c r="O90" s="542"/>
      <c r="P90" s="540" t="s">
        <v>320</v>
      </c>
      <c r="Q90" s="541"/>
      <c r="R90" s="541"/>
      <c r="S90" s="542"/>
      <c r="T90" s="540" t="s">
        <v>321</v>
      </c>
      <c r="U90" s="542"/>
      <c r="V90" s="534" t="s">
        <v>322</v>
      </c>
      <c r="W90" s="535"/>
      <c r="X90" s="535"/>
      <c r="Y90" s="536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7" t="s">
        <v>45</v>
      </c>
      <c r="I92" s="538"/>
      <c r="J92" s="538"/>
      <c r="K92" s="539"/>
      <c r="L92" s="538" t="s">
        <v>45</v>
      </c>
      <c r="M92" s="538"/>
      <c r="N92" s="538"/>
      <c r="O92" s="539"/>
      <c r="P92" s="537" t="s">
        <v>45</v>
      </c>
      <c r="Q92" s="538"/>
      <c r="R92" s="538"/>
      <c r="S92" s="539"/>
      <c r="T92" s="543" t="s">
        <v>302</v>
      </c>
      <c r="U92" s="544"/>
      <c r="V92" s="543" t="s">
        <v>968</v>
      </c>
      <c r="W92" s="545"/>
      <c r="X92" s="545"/>
      <c r="Y92" s="544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3">W97*1.3</f>
        <v>4.5825000000000005</v>
      </c>
      <c r="X93" s="456">
        <f t="shared" si="53"/>
        <v>4.5825000000000005</v>
      </c>
      <c r="Y93" s="456">
        <f t="shared" si="53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4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5">I94*0.7</f>
        <v>0.7</v>
      </c>
      <c r="R94" s="69">
        <f t="shared" ref="R94:R96" si="56">J94*0.7</f>
        <v>0.7</v>
      </c>
      <c r="S94" s="103">
        <f t="shared" ref="S94:S96" si="57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8">W98*1.3</f>
        <v>4.9452075289575284</v>
      </c>
      <c r="X94" s="457">
        <f t="shared" si="58"/>
        <v>4.9452075289575284</v>
      </c>
      <c r="Y94" s="457">
        <f t="shared" si="58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4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59">C94</f>
        <v>R-SW_Det_KER_N1</v>
      </c>
      <c r="AM94" s="151" t="str">
        <f t="shared" ref="AM94:AM108" si="60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5"/>
        <v>0.7</v>
      </c>
      <c r="R95" s="75">
        <f t="shared" si="56"/>
        <v>0.7</v>
      </c>
      <c r="S95" s="104">
        <f t="shared" si="57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4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59"/>
        <v>R-SW_Det_KER_N2</v>
      </c>
      <c r="AM95" s="151" t="str">
        <f t="shared" si="60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5"/>
        <v>0.71749999999999992</v>
      </c>
      <c r="R96" s="69">
        <f t="shared" si="56"/>
        <v>0.71749999999999992</v>
      </c>
      <c r="S96" s="103">
        <f t="shared" si="57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4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59"/>
        <v>R-SW_Det_KER_N3</v>
      </c>
      <c r="AM96" s="151" t="str">
        <f t="shared" si="60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1">3.525</f>
        <v>3.5249999999999999</v>
      </c>
      <c r="X97" s="456">
        <f t="shared" si="61"/>
        <v>3.5249999999999999</v>
      </c>
      <c r="Y97" s="456">
        <f t="shared" si="61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4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59"/>
        <v>R-SH_Det_GAS_N1</v>
      </c>
      <c r="AM97" s="151" t="str">
        <f t="shared" si="60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2">I98*0.7</f>
        <v>0.7</v>
      </c>
      <c r="R98" s="69">
        <f t="shared" ref="R98:R100" si="63">J98*0.7</f>
        <v>0.7</v>
      </c>
      <c r="S98" s="103">
        <f t="shared" ref="S98:S100" si="64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4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59"/>
        <v>R-SW_Det_GAS_N1</v>
      </c>
      <c r="AM98" s="151" t="str">
        <f t="shared" si="60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2"/>
        <v>0.7</v>
      </c>
      <c r="R99" s="75">
        <f t="shared" si="63"/>
        <v>0.7</v>
      </c>
      <c r="S99" s="104">
        <f t="shared" si="64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4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59"/>
        <v>R-SW_Det_GAS_N2</v>
      </c>
      <c r="AM99" s="151" t="str">
        <f t="shared" si="60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2"/>
        <v>0.71749999999999992</v>
      </c>
      <c r="R100" s="69">
        <f t="shared" si="63"/>
        <v>0.71749999999999992</v>
      </c>
      <c r="S100" s="103">
        <f t="shared" si="64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4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59"/>
        <v>R-SW_Det_GAS_N3</v>
      </c>
      <c r="AM100" s="151" t="str">
        <f t="shared" si="60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</f>
        <v>3.5249999999999999</v>
      </c>
      <c r="W101" s="456">
        <f t="shared" ref="W101:Y101" si="65">W97</f>
        <v>3.5249999999999999</v>
      </c>
      <c r="X101" s="456">
        <f t="shared" si="65"/>
        <v>3.5249999999999999</v>
      </c>
      <c r="Y101" s="456">
        <f t="shared" si="65"/>
        <v>3.5249999999999999</v>
      </c>
      <c r="Z101" s="456">
        <v>0.12</v>
      </c>
      <c r="AA101" s="111"/>
      <c r="AB101" s="88"/>
      <c r="AC101" s="118"/>
      <c r="AD101" s="118"/>
      <c r="AE101" s="118"/>
      <c r="AF101" s="108">
        <f t="shared" si="54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59"/>
        <v>R-SH_Det_LPG_N1</v>
      </c>
      <c r="AM101" s="151" t="str">
        <f t="shared" si="60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6">I102*0.7</f>
        <v>0.7</v>
      </c>
      <c r="R102" s="69">
        <f t="shared" ref="R102" si="67">J102*0.7</f>
        <v>0.7</v>
      </c>
      <c r="S102" s="103">
        <f t="shared" ref="S102" si="68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69">W98</f>
        <v>3.8040057915057912</v>
      </c>
      <c r="X102" s="457">
        <f t="shared" si="69"/>
        <v>3.8040057915057912</v>
      </c>
      <c r="Y102" s="457">
        <f t="shared" si="69"/>
        <v>3.8040057915057912</v>
      </c>
      <c r="Z102" s="457">
        <v>0.12</v>
      </c>
      <c r="AA102" s="112"/>
      <c r="AB102" s="90"/>
      <c r="AC102" s="119"/>
      <c r="AD102" s="119"/>
      <c r="AE102" s="119"/>
      <c r="AF102" s="109">
        <f t="shared" si="54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59"/>
        <v>R-SW_Det_LPG_N1</v>
      </c>
      <c r="AM102" s="151" t="str">
        <f t="shared" si="60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4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59"/>
        <v>R-SH_Det_WOO_N1</v>
      </c>
      <c r="AM103" s="151" t="str">
        <f t="shared" si="60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0">H104*0.7</f>
        <v>0.7</v>
      </c>
      <c r="Q104" s="69">
        <f t="shared" si="70"/>
        <v>0.7</v>
      </c>
      <c r="R104" s="69">
        <f t="shared" si="70"/>
        <v>0.7</v>
      </c>
      <c r="S104" s="103">
        <f t="shared" si="70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1">W103*($U$152/$U$151)</f>
        <v>22.04476084710744</v>
      </c>
      <c r="X104" s="457">
        <f t="shared" ref="X104" si="72">X103*($U$152/$U$151)</f>
        <v>20.839163429752066</v>
      </c>
      <c r="Y104" s="457">
        <f t="shared" ref="Y104" si="73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4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59"/>
        <v>R-SW_Det_WOO_N1</v>
      </c>
      <c r="AM104" s="154" t="str">
        <f t="shared" si="60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4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0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4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0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0"/>
        <v>0.7</v>
      </c>
      <c r="Q107" s="75">
        <f t="shared" si="70"/>
        <v>0.7</v>
      </c>
      <c r="R107" s="75">
        <f t="shared" si="70"/>
        <v>0.7</v>
      </c>
      <c r="S107" s="104">
        <f t="shared" si="70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4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59"/>
        <v>*R-H_Apt_HVO_N1</v>
      </c>
      <c r="AM107" s="154" t="str">
        <f t="shared" si="60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0"/>
        <v>0.7</v>
      </c>
      <c r="Q108" s="72">
        <f t="shared" si="70"/>
        <v>0.7</v>
      </c>
      <c r="R108" s="72">
        <f t="shared" si="70"/>
        <v>0.7</v>
      </c>
      <c r="S108" s="105">
        <f t="shared" si="70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4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59"/>
        <v>*R-H_Apt_HVO_N2</v>
      </c>
      <c r="AM108" s="154" t="str">
        <f t="shared" si="60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4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4">C112</f>
        <v>R-SH_Det_ELC_HPN1</v>
      </c>
      <c r="AM110" s="149" t="str">
        <f t="shared" ref="AM110:AM116" si="75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4"/>
        <v>R-HC_Det_ELC_HPN1</v>
      </c>
      <c r="AM111" s="151" t="str">
        <f t="shared" si="75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4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4"/>
        <v>R-SH_Det_ELC_HPN2</v>
      </c>
      <c r="AM112" s="151" t="str">
        <f t="shared" si="75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4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4"/>
        <v>R-SW_Det_ELC_HPN1</v>
      </c>
      <c r="AM113" s="151" t="str">
        <f t="shared" si="75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4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4"/>
        <v>R-SW_Det_ELC_HPN2</v>
      </c>
      <c r="AM114" s="151" t="str">
        <f t="shared" si="75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6">I115*0.7</f>
        <v>0.76999999999999991</v>
      </c>
      <c r="R115" s="69">
        <f t="shared" ref="R115:R116" si="77">J115*0.7</f>
        <v>0.86333333333333329</v>
      </c>
      <c r="S115" s="103">
        <f t="shared" ref="S115:S116" si="78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79">W114*($U$150/$U$149)</f>
        <v>9.0363883122362889</v>
      </c>
      <c r="X115" s="457">
        <f t="shared" ref="X115" si="80">X114*($U$150/$U$149)</f>
        <v>8.2231133641350223</v>
      </c>
      <c r="Y115" s="457">
        <f t="shared" ref="Y115" si="81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4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4"/>
        <v>R-SH_Det_ELC_HPN3</v>
      </c>
      <c r="AM115" s="151" t="str">
        <f t="shared" si="75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6"/>
        <v>0.77700000000000002</v>
      </c>
      <c r="R116" s="75">
        <f t="shared" si="77"/>
        <v>0.83299999999999996</v>
      </c>
      <c r="S116" s="104">
        <f t="shared" si="78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4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4"/>
        <v>R-HC_Det_ELC_HPN2</v>
      </c>
      <c r="AM116" s="154" t="str">
        <f t="shared" si="75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4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4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2">I120*0.7</f>
        <v>1.2530864197530862</v>
      </c>
      <c r="R120" s="66">
        <f t="shared" ref="R120:R121" si="83">J120*0.7</f>
        <v>1.4691358024691357</v>
      </c>
      <c r="S120" s="102">
        <f t="shared" ref="S120:S121" si="84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4"/>
        <v>1.1983680000000001</v>
      </c>
      <c r="AG120" s="134"/>
      <c r="AH120" s="134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2"/>
        <v>1.2055555555555555</v>
      </c>
      <c r="R121" s="72">
        <f t="shared" si="83"/>
        <v>1.2055555555555555</v>
      </c>
      <c r="S121" s="105">
        <f t="shared" si="84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4"/>
        <v>1.1983680000000001</v>
      </c>
      <c r="AG121" s="113"/>
      <c r="AH121" s="113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5">C128</f>
        <v>R-WH_Det_ELC_N1</v>
      </c>
      <c r="AM122" s="149" t="str">
        <f t="shared" ref="AM122:AM123" si="86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7">I123*0.7</f>
        <v>2.5409999999999995</v>
      </c>
      <c r="R123" s="72">
        <f t="shared" ref="R123" si="88">J123*0.7</f>
        <v>2.7299999999999995</v>
      </c>
      <c r="S123" s="105">
        <f t="shared" ref="S123" si="89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4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5"/>
        <v>R-WH_Det_SOL_N1</v>
      </c>
      <c r="AM123" s="151" t="str">
        <f t="shared" si="86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</f>
        <v>3.1055555555555552</v>
      </c>
      <c r="W125" s="65">
        <f>(JRC_Data!BC62/1000)*($U$154/$U$148)</f>
        <v>3.1055555555555552</v>
      </c>
      <c r="X125" s="65">
        <f>(JRC_Data!BD62/1000)*($U$154/$U$148)</f>
        <v>3.1055555555555552</v>
      </c>
      <c r="Y125" s="65">
        <f>(JRC_Data!BE62/1000)*($U$154/$U$148)</f>
        <v>3.1055555555555552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4"/>
        <v>1.1983680000000001</v>
      </c>
      <c r="AG125" s="134"/>
      <c r="AH125" s="134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v>2.7222222222222219</v>
      </c>
      <c r="W126" s="329">
        <v>2.7222222222222219</v>
      </c>
      <c r="X126" s="329">
        <v>2.7222222222222219</v>
      </c>
      <c r="Y126" s="329">
        <v>2.7222222222222219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4"/>
        <v>1.1983680000000001</v>
      </c>
      <c r="AG126" s="113"/>
      <c r="AH126" s="113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4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4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4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0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0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0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0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0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0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0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0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0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0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E4" workbookViewId="0">
      <selection activeCell="U7" sqref="U7:U8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4" t="s">
        <v>322</v>
      </c>
      <c r="M5" s="535"/>
      <c r="N5" s="535"/>
      <c r="O5" s="536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3" t="s">
        <v>968</v>
      </c>
      <c r="M6" s="545"/>
      <c r="N6" s="545"/>
      <c r="O6" s="544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6" t="s">
        <v>662</v>
      </c>
      <c r="S18" s="546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6"/>
      <c r="S19" s="546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6"/>
      <c r="S20" s="546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6"/>
      <c r="S21" s="546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6"/>
      <c r="S22" s="546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4" t="s">
        <v>322</v>
      </c>
      <c r="M33" s="535"/>
      <c r="N33" s="535"/>
      <c r="O33" s="536"/>
    </row>
    <row r="34" spans="8:15" x14ac:dyDescent="0.2">
      <c r="H34" s="5" t="s">
        <v>375</v>
      </c>
      <c r="L34" s="543" t="s">
        <v>327</v>
      </c>
      <c r="M34" s="545"/>
      <c r="N34" s="545"/>
      <c r="O34" s="544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B1" workbookViewId="0">
      <selection activeCell="E10" sqref="E10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0" t="s">
        <v>110</v>
      </c>
      <c r="I4" s="541"/>
      <c r="J4" s="542"/>
      <c r="K4" s="534" t="s">
        <v>322</v>
      </c>
      <c r="L4" s="535"/>
      <c r="M4" s="536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7" t="s">
        <v>45</v>
      </c>
      <c r="I5" s="548"/>
      <c r="J5" s="549"/>
      <c r="K5" s="547" t="s">
        <v>757</v>
      </c>
      <c r="L5" s="548"/>
      <c r="M5" s="549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50" t="s">
        <v>1013</v>
      </c>
      <c r="AC5" s="550"/>
      <c r="AD5" s="461"/>
      <c r="AE5" s="551" t="s">
        <v>110</v>
      </c>
      <c r="AF5" s="551"/>
      <c r="AG5" s="551" t="s">
        <v>1014</v>
      </c>
      <c r="AH5" s="551"/>
      <c r="AI5" s="552" t="s">
        <v>1015</v>
      </c>
      <c r="AJ5" s="552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4" t="s">
        <v>322</v>
      </c>
      <c r="M27" s="535"/>
      <c r="N27" s="535"/>
      <c r="O27" s="536"/>
      <c r="T27" s="283"/>
      <c r="U27" s="283"/>
    </row>
    <row r="28" spans="3:21" x14ac:dyDescent="0.2">
      <c r="J28" s="5" t="s">
        <v>375</v>
      </c>
      <c r="L28" s="537" t="s">
        <v>327</v>
      </c>
      <c r="M28" s="538"/>
      <c r="N28" s="538"/>
      <c r="O28" s="539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  <sheetView workbookViewId="1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  <sheetView workbookViewId="1">
      <selection activeCell="E30" sqref="E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3" t="s">
        <v>767</v>
      </c>
      <c r="E4" s="554"/>
      <c r="F4" s="554"/>
      <c r="G4" s="554"/>
      <c r="H4" s="555"/>
      <c r="I4" s="554" t="s">
        <v>768</v>
      </c>
      <c r="J4" s="554"/>
      <c r="K4" s="554"/>
      <c r="L4" s="554"/>
      <c r="M4" s="555"/>
      <c r="N4" s="554" t="s">
        <v>769</v>
      </c>
      <c r="O4" s="554"/>
      <c r="P4" s="554"/>
      <c r="Q4" s="554"/>
      <c r="R4" s="555"/>
      <c r="S4" s="554" t="s">
        <v>770</v>
      </c>
      <c r="T4" s="554"/>
      <c r="U4" s="554"/>
      <c r="V4" s="554"/>
      <c r="W4" s="555"/>
      <c r="X4" s="554" t="s">
        <v>771</v>
      </c>
      <c r="Y4" s="554"/>
      <c r="Z4" s="554"/>
      <c r="AA4" s="554"/>
      <c r="AB4" s="555"/>
      <c r="AC4" s="554" t="s">
        <v>772</v>
      </c>
      <c r="AD4" s="554"/>
      <c r="AE4" s="554"/>
      <c r="AF4" s="554"/>
      <c r="AG4" s="555"/>
      <c r="AH4" s="554" t="s">
        <v>773</v>
      </c>
      <c r="AI4" s="554"/>
      <c r="AJ4" s="554"/>
      <c r="AK4" s="554"/>
      <c r="AL4" s="555"/>
      <c r="AM4" s="554" t="s">
        <v>774</v>
      </c>
      <c r="AN4" s="554"/>
      <c r="AO4" s="554"/>
      <c r="AP4" s="554"/>
      <c r="AQ4" s="555"/>
      <c r="AR4" s="554" t="s">
        <v>775</v>
      </c>
      <c r="AS4" s="554"/>
      <c r="AT4" s="554"/>
      <c r="AU4" s="554"/>
      <c r="AV4" s="555"/>
      <c r="AW4" s="554" t="s">
        <v>776</v>
      </c>
      <c r="AX4" s="554"/>
      <c r="AY4" s="554"/>
      <c r="AZ4" s="554"/>
      <c r="BA4" s="554"/>
      <c r="BB4" s="553" t="s">
        <v>777</v>
      </c>
      <c r="BC4" s="554"/>
      <c r="BD4" s="554"/>
      <c r="BE4" s="554"/>
      <c r="BF4" s="555"/>
      <c r="BG4" s="554" t="s">
        <v>778</v>
      </c>
      <c r="BH4" s="554"/>
      <c r="BI4" s="554"/>
      <c r="BJ4" s="554"/>
      <c r="BK4" s="554"/>
      <c r="BL4" s="553" t="s">
        <v>779</v>
      </c>
      <c r="BM4" s="554"/>
      <c r="BN4" s="554"/>
      <c r="BO4" s="554"/>
      <c r="BP4" s="554"/>
      <c r="BQ4" s="553" t="s">
        <v>780</v>
      </c>
      <c r="BR4" s="554"/>
      <c r="BS4" s="554"/>
      <c r="BT4" s="554"/>
      <c r="BU4" s="555"/>
      <c r="BV4" s="357" t="s">
        <v>781</v>
      </c>
      <c r="BW4" s="556" t="s">
        <v>782</v>
      </c>
      <c r="BX4" s="557"/>
      <c r="BY4" s="557"/>
      <c r="BZ4" s="557"/>
      <c r="CA4" s="558"/>
      <c r="CB4" s="556" t="s">
        <v>783</v>
      </c>
      <c r="CC4" s="557"/>
      <c r="CD4" s="557"/>
      <c r="CE4" s="557"/>
      <c r="CF4" s="558"/>
      <c r="CG4" s="556" t="s">
        <v>784</v>
      </c>
      <c r="CH4" s="557"/>
      <c r="CI4" s="557"/>
      <c r="CJ4" s="557"/>
      <c r="CK4" s="558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2021-03-26T14:53:45Z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972408533096313</vt:r8>
  </property>
</Properties>
</file>