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B1ECDFD3-588F-404A-BF35-7B513D618455}" xr6:coauthVersionLast="45" xr6:coauthVersionMax="45" xr10:uidLastSave="{00000000-0000-0000-0000-000000000000}"/>
  <bookViews>
    <workbookView xWindow="-120" yWindow="-120" windowWidth="29040" windowHeight="15840" activeTab="5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" i="48" l="1"/>
  <c r="B7" i="48"/>
  <c r="B6" i="48"/>
  <c r="K6" i="46" l="1"/>
  <c r="B8" i="3" l="1"/>
  <c r="B9" i="3"/>
  <c r="B10" i="3"/>
  <c r="B11" i="3"/>
  <c r="B12" i="3"/>
  <c r="B7" i="3"/>
  <c r="B7" i="54"/>
  <c r="B8" i="54"/>
  <c r="B9" i="54"/>
  <c r="B10" i="54"/>
  <c r="B11" i="54"/>
  <c r="B12" i="54"/>
  <c r="B13" i="54"/>
  <c r="B14" i="54"/>
  <c r="B15" i="54"/>
  <c r="B6" i="54"/>
  <c r="L55" i="52"/>
  <c r="L54" i="52"/>
  <c r="L55" i="51"/>
  <c r="L54" i="51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55" i="28"/>
  <c r="L54" i="28"/>
  <c r="L45" i="28"/>
  <c r="L44" i="28"/>
  <c r="L43" i="28"/>
  <c r="L41" i="28"/>
  <c r="L39" i="28"/>
  <c r="L37" i="28"/>
  <c r="L36" i="28"/>
  <c r="L35" i="28"/>
  <c r="L34" i="28"/>
  <c r="L33" i="28"/>
  <c r="L32" i="28"/>
  <c r="L31" i="28"/>
  <c r="L21" i="28"/>
  <c r="L19" i="28"/>
  <c r="L12" i="28"/>
  <c r="L10" i="28"/>
  <c r="L8" i="28"/>
  <c r="L20" i="28"/>
  <c r="L17" i="28"/>
  <c r="L15" i="28"/>
  <c r="L13" i="28"/>
  <c r="L11" i="28"/>
  <c r="L9" i="28"/>
  <c r="L7" i="28"/>
  <c r="B19" i="46"/>
  <c r="B18" i="46"/>
  <c r="B17" i="46"/>
  <c r="B9" i="46"/>
  <c r="B8" i="46"/>
  <c r="B7" i="46"/>
  <c r="B6" i="46"/>
  <c r="C27" i="48"/>
  <c r="C26" i="48"/>
  <c r="C25" i="48"/>
  <c r="C24" i="48"/>
  <c r="C23" i="48"/>
  <c r="C22" i="48"/>
  <c r="C21" i="48"/>
  <c r="L8" i="54" l="1"/>
  <c r="L9" i="54"/>
  <c r="L10" i="54"/>
  <c r="L11" i="54"/>
  <c r="L12" i="54"/>
  <c r="L13" i="54"/>
  <c r="L14" i="54"/>
  <c r="L15" i="54"/>
  <c r="L7" i="54"/>
  <c r="L6" i="54"/>
  <c r="AB55" i="52" l="1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AB55" i="51"/>
  <c r="AB54" i="51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55" i="28"/>
  <c r="AB54" i="28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17" i="28"/>
  <c r="AB15" i="28"/>
  <c r="AB21" i="28"/>
  <c r="AB20" i="28"/>
  <c r="AB19" i="28"/>
  <c r="AB13" i="28"/>
  <c r="AB12" i="28"/>
  <c r="AB11" i="28"/>
  <c r="AB10" i="28"/>
  <c r="AB9" i="28"/>
  <c r="AB8" i="28"/>
  <c r="AB7" i="28"/>
  <c r="D38" i="9"/>
  <c r="D34" i="9"/>
  <c r="D35" i="9"/>
  <c r="D36" i="9"/>
  <c r="D37" i="9"/>
  <c r="D28" i="9"/>
  <c r="D29" i="9"/>
  <c r="D30" i="9"/>
  <c r="D33" i="9"/>
  <c r="D32" i="9"/>
  <c r="D31" i="9"/>
  <c r="D27" i="9"/>
  <c r="D26" i="9"/>
  <c r="D25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7" i="9"/>
  <c r="D6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6" i="9"/>
  <c r="O7" i="9"/>
  <c r="T11" i="48"/>
  <c r="T10" i="48"/>
  <c r="T9" i="48"/>
  <c r="T8" i="48"/>
  <c r="T7" i="48"/>
  <c r="T6" i="48"/>
  <c r="T5" i="48"/>
  <c r="J6" i="48" l="1"/>
  <c r="J5" i="48"/>
  <c r="J9" i="48" l="1"/>
  <c r="O13" i="48" l="1"/>
  <c r="J10" i="48"/>
  <c r="J11" i="48"/>
  <c r="J13" i="48"/>
  <c r="G6" i="48" l="1"/>
  <c r="P6" i="48"/>
  <c r="O6" i="48" s="1"/>
  <c r="P8" i="48" l="1"/>
  <c r="O8" i="48" s="1"/>
  <c r="P7" i="48"/>
  <c r="O7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C10" i="54" l="1"/>
  <c r="M10" i="54" s="1"/>
  <c r="E14" i="9"/>
  <c r="E7" i="48" s="1"/>
  <c r="E10" i="54" l="1"/>
  <c r="B13" i="48" l="1"/>
  <c r="B12" i="48"/>
  <c r="B11" i="48"/>
  <c r="B10" i="48"/>
  <c r="B9" i="48"/>
  <c r="B5" i="48"/>
  <c r="L8" i="46"/>
  <c r="L9" i="46"/>
  <c r="L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E33" i="9" l="1"/>
  <c r="E34" i="9"/>
  <c r="F9" i="48" s="1"/>
  <c r="E35" i="9"/>
  <c r="C10" i="48" s="1"/>
  <c r="U8" i="48" s="1"/>
  <c r="E36" i="9"/>
  <c r="C11" i="48" s="1"/>
  <c r="U9" i="48" s="1"/>
  <c r="E37" i="9"/>
  <c r="F12" i="48" s="1"/>
  <c r="E38" i="9"/>
  <c r="F13" i="48" s="1"/>
  <c r="E32" i="9"/>
  <c r="F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Q45" i="51" s="1"/>
  <c r="R45" i="51" s="1"/>
  <c r="S45" i="51" s="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Q45" i="52" s="1"/>
  <c r="R45" i="52" s="1"/>
  <c r="S45" i="52" s="1"/>
  <c r="E39" i="52"/>
  <c r="E40" i="52"/>
  <c r="E41" i="52"/>
  <c r="E42" i="52"/>
  <c r="E43" i="52"/>
  <c r="E44" i="52"/>
  <c r="E45" i="52"/>
  <c r="E46" i="52"/>
  <c r="E47" i="52"/>
  <c r="E48" i="52"/>
  <c r="E49" i="52"/>
  <c r="G25" i="48"/>
  <c r="G24" i="48"/>
  <c r="G23" i="48"/>
  <c r="R26" i="22"/>
  <c r="G22" i="48" s="1"/>
  <c r="G21" i="48"/>
  <c r="B26" i="43"/>
  <c r="E24" i="9"/>
  <c r="B16" i="43"/>
  <c r="B10" i="43"/>
  <c r="E8" i="9"/>
  <c r="F33" i="9"/>
  <c r="D6" i="48" s="1"/>
  <c r="V6" i="48" s="1"/>
  <c r="F34" i="9"/>
  <c r="D9" i="48" s="1"/>
  <c r="V7" i="48" s="1"/>
  <c r="F35" i="9"/>
  <c r="D10" i="48" s="1"/>
  <c r="V8" i="48" s="1"/>
  <c r="F36" i="9"/>
  <c r="D11" i="48" s="1"/>
  <c r="V9" i="48" s="1"/>
  <c r="F37" i="9"/>
  <c r="D12" i="48" s="1"/>
  <c r="V10" i="48" s="1"/>
  <c r="F38" i="9"/>
  <c r="D13" i="48" s="1"/>
  <c r="V11" i="48" s="1"/>
  <c r="F32" i="9"/>
  <c r="E21" i="48" s="1"/>
  <c r="D5" i="48"/>
  <c r="V5" i="48" s="1"/>
  <c r="P6" i="9"/>
  <c r="C7" i="46" s="1"/>
  <c r="M7" i="46" s="1"/>
  <c r="Q6" i="9"/>
  <c r="D7" i="46" s="1"/>
  <c r="N7" i="46" s="1"/>
  <c r="P9" i="9"/>
  <c r="P17" i="28" s="1"/>
  <c r="P12" i="9"/>
  <c r="P15" i="9"/>
  <c r="P44" i="28" s="1"/>
  <c r="P18" i="9"/>
  <c r="P21" i="9"/>
  <c r="G7" i="46"/>
  <c r="P7" i="9"/>
  <c r="C8" i="46" s="1"/>
  <c r="M8" i="46" s="1"/>
  <c r="Q7" i="9"/>
  <c r="D8" i="46" s="1"/>
  <c r="N8" i="46" s="1"/>
  <c r="P10" i="9"/>
  <c r="P17" i="51" s="1"/>
  <c r="P13" i="9"/>
  <c r="P16" i="9"/>
  <c r="P35" i="51" s="1"/>
  <c r="P19" i="9"/>
  <c r="M54" i="51" s="1"/>
  <c r="AC54" i="51" s="1"/>
  <c r="P22" i="9"/>
  <c r="G8" i="46"/>
  <c r="P8" i="9"/>
  <c r="C9" i="46" s="1"/>
  <c r="M9" i="46" s="1"/>
  <c r="Q8" i="9"/>
  <c r="D9" i="46" s="1"/>
  <c r="N9" i="46" s="1"/>
  <c r="P11" i="9"/>
  <c r="P20" i="52" s="1"/>
  <c r="P14" i="9"/>
  <c r="P17" i="9"/>
  <c r="P34" i="52" s="1"/>
  <c r="P20" i="9"/>
  <c r="M54" i="52" s="1"/>
  <c r="AC54" i="52" s="1"/>
  <c r="P23" i="9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Q12" i="51" s="1"/>
  <c r="R12" i="51" s="1"/>
  <c r="E13" i="51"/>
  <c r="E14" i="51"/>
  <c r="E15" i="51"/>
  <c r="E16" i="51"/>
  <c r="E17" i="51"/>
  <c r="Q13" i="51" s="1"/>
  <c r="R13" i="51" s="1"/>
  <c r="E18" i="51"/>
  <c r="E19" i="51"/>
  <c r="E20" i="51"/>
  <c r="Q20" i="51" s="1"/>
  <c r="R20" i="51" s="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Q35" i="52"/>
  <c r="R35" i="52" s="1"/>
  <c r="S35" i="52" s="1"/>
  <c r="Y35" i="52" s="1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Q8" i="51"/>
  <c r="R8" i="51" s="1"/>
  <c r="D8" i="51"/>
  <c r="I8" i="51"/>
  <c r="D25" i="51"/>
  <c r="I25" i="51"/>
  <c r="D12" i="51"/>
  <c r="I12" i="51"/>
  <c r="D19" i="51"/>
  <c r="I24" i="51"/>
  <c r="I19" i="51"/>
  <c r="E25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D24" i="52" s="1" a="1"/>
  <c r="D24" i="52" s="1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Q23" i="9"/>
  <c r="N55" i="52" s="1"/>
  <c r="AD55" i="52" s="1"/>
  <c r="Q20" i="9"/>
  <c r="N54" i="52" s="1"/>
  <c r="AD54" i="52" s="1"/>
  <c r="M55" i="52"/>
  <c r="AC55" i="52" s="1"/>
  <c r="P55" i="52"/>
  <c r="R55" i="52"/>
  <c r="R54" i="52"/>
  <c r="S54" i="52" s="1"/>
  <c r="G8" i="52"/>
  <c r="C23" i="43"/>
  <c r="F21" i="9"/>
  <c r="N13" i="54" s="1"/>
  <c r="Q11" i="9"/>
  <c r="C8" i="43"/>
  <c r="F6" i="9"/>
  <c r="N6" i="54" s="1"/>
  <c r="B27" i="22"/>
  <c r="C27" i="43"/>
  <c r="F25" i="9"/>
  <c r="N15" i="54" s="1"/>
  <c r="B19" i="22"/>
  <c r="C18" i="43"/>
  <c r="F16" i="9"/>
  <c r="N11" i="54" s="1"/>
  <c r="F23" i="9"/>
  <c r="B10" i="22"/>
  <c r="C9" i="43"/>
  <c r="F7" i="9"/>
  <c r="B17" i="22"/>
  <c r="C16" i="43"/>
  <c r="F14" i="9"/>
  <c r="N10" i="54" s="1"/>
  <c r="B13" i="22"/>
  <c r="C12" i="43"/>
  <c r="F10" i="9"/>
  <c r="B26" i="22"/>
  <c r="C26" i="43"/>
  <c r="F24" i="9"/>
  <c r="N14" i="54" s="1"/>
  <c r="B11" i="22"/>
  <c r="C10" i="43"/>
  <c r="F8" i="9"/>
  <c r="N8" i="54" s="1"/>
  <c r="C22" i="43"/>
  <c r="F20" i="9"/>
  <c r="N12" i="54" s="1"/>
  <c r="P45" i="52"/>
  <c r="P39" i="52"/>
  <c r="P33" i="52"/>
  <c r="P36" i="52"/>
  <c r="Q17" i="9"/>
  <c r="N41" i="52" s="1"/>
  <c r="AD41" i="52" s="1"/>
  <c r="N39" i="52"/>
  <c r="B9" i="43"/>
  <c r="E7" i="9"/>
  <c r="O41" i="51" s="1"/>
  <c r="M41" i="51" s="1"/>
  <c r="AC41" i="51" s="1"/>
  <c r="O39" i="52"/>
  <c r="B12" i="43"/>
  <c r="E10" i="9"/>
  <c r="O37" i="52" s="1"/>
  <c r="O34" i="52"/>
  <c r="B22" i="43"/>
  <c r="E20" i="9"/>
  <c r="O33" i="52"/>
  <c r="M33" i="52" s="1"/>
  <c r="AC33" i="52" s="1"/>
  <c r="B23" i="43"/>
  <c r="E21" i="9"/>
  <c r="B8" i="43"/>
  <c r="E6" i="9"/>
  <c r="O31" i="52" s="1"/>
  <c r="M31" i="52" s="1"/>
  <c r="AC31" i="52" s="1"/>
  <c r="B27" i="43"/>
  <c r="E25" i="9"/>
  <c r="O45" i="51" s="1"/>
  <c r="M45" i="51" s="1"/>
  <c r="AC45" i="51" s="1"/>
  <c r="B18" i="43"/>
  <c r="E16" i="9"/>
  <c r="E23" i="9"/>
  <c r="M43" i="52" s="1"/>
  <c r="AC43" i="52" s="1"/>
  <c r="O15" i="52"/>
  <c r="M15" i="52" s="1"/>
  <c r="AC15" i="52" s="1"/>
  <c r="O12" i="52"/>
  <c r="P21" i="52"/>
  <c r="P17" i="52"/>
  <c r="P12" i="52"/>
  <c r="P10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C48" i="52" s="1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T20" i="52" s="1"/>
  <c r="T44" i="52" s="1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12" i="52" s="1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C24" i="52" s="1" a="1"/>
  <c r="C24" i="52" s="1"/>
  <c r="T55" i="52"/>
  <c r="S55" i="52"/>
  <c r="T54" i="52"/>
  <c r="T15" i="52"/>
  <c r="T39" i="52" s="1"/>
  <c r="T17" i="52"/>
  <c r="T41" i="52" s="1"/>
  <c r="T19" i="52"/>
  <c r="T43" i="52"/>
  <c r="AD39" i="52"/>
  <c r="AA30" i="52"/>
  <c r="O11" i="52"/>
  <c r="AA6" i="52"/>
  <c r="R54" i="51"/>
  <c r="G54" i="51"/>
  <c r="G55" i="51"/>
  <c r="G56" i="51"/>
  <c r="G57" i="51"/>
  <c r="G58" i="51"/>
  <c r="G59" i="51"/>
  <c r="G60" i="51"/>
  <c r="G61" i="51"/>
  <c r="G62" i="51"/>
  <c r="R55" i="51"/>
  <c r="Q22" i="9"/>
  <c r="N55" i="51" s="1"/>
  <c r="AD55" i="51" s="1"/>
  <c r="Q19" i="9"/>
  <c r="N54" i="51" s="1"/>
  <c r="AD54" i="51" s="1"/>
  <c r="M55" i="51"/>
  <c r="P55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16" i="9"/>
  <c r="N41" i="51" s="1"/>
  <c r="AD41" i="51" s="1"/>
  <c r="Q10" i="9"/>
  <c r="N15" i="51" s="1"/>
  <c r="AD15" i="51" s="1"/>
  <c r="N10" i="51"/>
  <c r="AD10" i="51" s="1"/>
  <c r="P45" i="51"/>
  <c r="P43" i="51"/>
  <c r="P39" i="51"/>
  <c r="P33" i="51"/>
  <c r="P34" i="51"/>
  <c r="P36" i="51"/>
  <c r="P32" i="51"/>
  <c r="O39" i="51"/>
  <c r="O34" i="51"/>
  <c r="O33" i="51"/>
  <c r="M33" i="51" s="1"/>
  <c r="AC33" i="51" s="1"/>
  <c r="G7" i="51"/>
  <c r="G14" i="51"/>
  <c r="G16" i="51"/>
  <c r="G8" i="51"/>
  <c r="T8" i="51"/>
  <c r="T32" i="51" s="1"/>
  <c r="P21" i="51"/>
  <c r="P19" i="51"/>
  <c r="P9" i="51"/>
  <c r="P12" i="51"/>
  <c r="P8" i="51"/>
  <c r="O17" i="51"/>
  <c r="M17" i="51" s="1"/>
  <c r="AC17" i="51" s="1"/>
  <c r="O12" i="51"/>
  <c r="O9" i="51"/>
  <c r="O8" i="51"/>
  <c r="O15" i="28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3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T12" i="51" s="1"/>
  <c r="T36" i="51" s="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C55" i="51"/>
  <c r="T55" i="51"/>
  <c r="O55" i="51"/>
  <c r="T11" i="51"/>
  <c r="T35" i="51"/>
  <c r="T13" i="51"/>
  <c r="T37" i="51"/>
  <c r="T17" i="51"/>
  <c r="T41" i="51" s="1"/>
  <c r="T20" i="51"/>
  <c r="T44" i="51"/>
  <c r="AA30" i="51"/>
  <c r="O15" i="51"/>
  <c r="O11" i="51"/>
  <c r="AA6" i="51"/>
  <c r="O36" i="28"/>
  <c r="M35" i="28" s="1"/>
  <c r="AC35" i="28" s="1"/>
  <c r="Q15" i="9"/>
  <c r="N32" i="28" s="1"/>
  <c r="AD32" i="28" s="1"/>
  <c r="G25" i="28"/>
  <c r="T11" i="28" s="1"/>
  <c r="T35" i="28" s="1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Q9" i="9"/>
  <c r="N13" i="28" s="1"/>
  <c r="AD13" i="28" s="1"/>
  <c r="O17" i="28"/>
  <c r="O20" i="28"/>
  <c r="O21" i="28"/>
  <c r="M21" i="28" s="1"/>
  <c r="AC21" i="28" s="1"/>
  <c r="O11" i="28"/>
  <c r="J25" i="28"/>
  <c r="H25" i="28"/>
  <c r="F25" i="28"/>
  <c r="J12" i="28"/>
  <c r="H12" i="28"/>
  <c r="G12" i="28"/>
  <c r="T12" i="28" s="1"/>
  <c r="T36" i="28" s="1"/>
  <c r="F12" i="28"/>
  <c r="N31" i="28"/>
  <c r="G7" i="28"/>
  <c r="G14" i="28"/>
  <c r="G16" i="28"/>
  <c r="C28" i="22"/>
  <c r="N33" i="28"/>
  <c r="AD33" i="28" s="1"/>
  <c r="G21" i="28"/>
  <c r="G22" i="28"/>
  <c r="G23" i="28"/>
  <c r="M55" i="28"/>
  <c r="AC55" i="28" s="1"/>
  <c r="Q21" i="9"/>
  <c r="N55" i="28" s="1"/>
  <c r="AD55" i="28" s="1"/>
  <c r="C55" i="28"/>
  <c r="T55" i="28" s="1"/>
  <c r="R55" i="28"/>
  <c r="C54" i="28"/>
  <c r="R54" i="28"/>
  <c r="G54" i="28"/>
  <c r="G55" i="28"/>
  <c r="G56" i="28"/>
  <c r="G57" i="28"/>
  <c r="G58" i="28"/>
  <c r="G59" i="28"/>
  <c r="G60" i="28"/>
  <c r="G61" i="28"/>
  <c r="G62" i="28"/>
  <c r="P55" i="28"/>
  <c r="O55" i="28"/>
  <c r="G19" i="28"/>
  <c r="T19" i="28" s="1"/>
  <c r="T43" i="28" s="1"/>
  <c r="G17" i="28"/>
  <c r="G18" i="28"/>
  <c r="G13" i="28"/>
  <c r="T13" i="28" s="1"/>
  <c r="T37" i="28" s="1"/>
  <c r="G15" i="28"/>
  <c r="T15" i="28" s="1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N45" i="28"/>
  <c r="AD45" i="28" s="1"/>
  <c r="O44" i="28"/>
  <c r="M44" i="28" s="1"/>
  <c r="AC44" i="28" s="1"/>
  <c r="N43" i="28"/>
  <c r="AD43" i="28" s="1"/>
  <c r="N41" i="28"/>
  <c r="AD41" i="28" s="1"/>
  <c r="N39" i="28"/>
  <c r="AD39" i="28" s="1"/>
  <c r="O39" i="28"/>
  <c r="N37" i="28"/>
  <c r="AD37" i="28" s="1"/>
  <c r="O34" i="28"/>
  <c r="O33" i="28"/>
  <c r="M33" i="28" s="1"/>
  <c r="AC33" i="28" s="1"/>
  <c r="O32" i="28"/>
  <c r="AD31" i="28"/>
  <c r="AA30" i="28"/>
  <c r="P45" i="28"/>
  <c r="P39" i="28"/>
  <c r="P36" i="28"/>
  <c r="P34" i="28"/>
  <c r="O8" i="28"/>
  <c r="E26" i="9"/>
  <c r="C7" i="3" s="1"/>
  <c r="E27" i="9"/>
  <c r="E29" i="9"/>
  <c r="C10" i="3" s="1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10" i="28"/>
  <c r="M10" i="28" s="1"/>
  <c r="AC10" i="28" s="1"/>
  <c r="O9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P54" i="28"/>
  <c r="Q18" i="9"/>
  <c r="N54" i="28" s="1"/>
  <c r="AD54" i="28" s="1"/>
  <c r="M54" i="28"/>
  <c r="AC54" i="28" s="1"/>
  <c r="P19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Q12" i="9"/>
  <c r="Q13" i="9"/>
  <c r="Q14" i="9"/>
  <c r="T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T14" i="46"/>
  <c r="T13" i="46"/>
  <c r="T32" i="46"/>
  <c r="T31" i="46"/>
  <c r="T30" i="46"/>
  <c r="T29" i="46"/>
  <c r="T28" i="46"/>
  <c r="V34" i="46"/>
  <c r="V33" i="46"/>
  <c r="V23" i="46"/>
  <c r="V24" i="46"/>
  <c r="V25" i="46"/>
  <c r="V26" i="46"/>
  <c r="V27" i="46"/>
  <c r="V22" i="46"/>
  <c r="V21" i="46"/>
  <c r="V20" i="46"/>
  <c r="V19" i="46"/>
  <c r="V17" i="46"/>
  <c r="V18" i="46"/>
  <c r="V16" i="46"/>
  <c r="V15" i="46"/>
  <c r="V13" i="46"/>
  <c r="V12" i="46"/>
  <c r="V11" i="46"/>
  <c r="V10" i="46"/>
  <c r="V9" i="46"/>
  <c r="V6" i="46"/>
  <c r="V7" i="46"/>
  <c r="V8" i="46"/>
  <c r="V5" i="46"/>
  <c r="V4" i="46"/>
  <c r="V3" i="46"/>
  <c r="T4" i="46"/>
  <c r="T5" i="46"/>
  <c r="T6" i="46"/>
  <c r="T7" i="46"/>
  <c r="T8" i="46"/>
  <c r="T9" i="46"/>
  <c r="T10" i="46"/>
  <c r="T11" i="46"/>
  <c r="T12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34" i="46"/>
  <c r="T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8" i="46"/>
  <c r="E9" i="9"/>
  <c r="E17" i="9"/>
  <c r="F27" i="6"/>
  <c r="F28" i="6"/>
  <c r="E19" i="9"/>
  <c r="E12" i="9"/>
  <c r="F15" i="6" s="1"/>
  <c r="E13" i="9"/>
  <c r="E18" i="9"/>
  <c r="E11" i="9"/>
  <c r="F14" i="6" s="1"/>
  <c r="E15" i="9"/>
  <c r="F18" i="6" s="1"/>
  <c r="E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6" i="48"/>
  <c r="E25" i="48"/>
  <c r="E24" i="48"/>
  <c r="E23" i="48"/>
  <c r="E22" i="48"/>
  <c r="U31" i="46"/>
  <c r="U29" i="46"/>
  <c r="U28" i="46"/>
  <c r="U32" i="46"/>
  <c r="U30" i="46"/>
  <c r="D26" i="6"/>
  <c r="C8" i="3"/>
  <c r="E31" i="9"/>
  <c r="C12" i="3" s="1"/>
  <c r="C11" i="3"/>
  <c r="D19" i="46"/>
  <c r="D18" i="46"/>
  <c r="D17" i="46"/>
  <c r="A20" i="9"/>
  <c r="F27" i="9"/>
  <c r="F29" i="9"/>
  <c r="F30" i="9"/>
  <c r="F31" i="9"/>
  <c r="C27" i="9"/>
  <c r="C28" i="9"/>
  <c r="C29" i="9"/>
  <c r="C30" i="9"/>
  <c r="C31" i="9"/>
  <c r="C26" i="9"/>
  <c r="D24" i="6"/>
  <c r="U26" i="46"/>
  <c r="F23" i="6"/>
  <c r="B25" i="22"/>
  <c r="B22" i="22"/>
  <c r="B21" i="22"/>
  <c r="B20" i="22"/>
  <c r="B18" i="22"/>
  <c r="B16" i="22"/>
  <c r="B15" i="22"/>
  <c r="B14" i="22"/>
  <c r="B12" i="22"/>
  <c r="D23" i="6"/>
  <c r="U25" i="46"/>
  <c r="D6" i="6"/>
  <c r="U3" i="46"/>
  <c r="C20" i="43"/>
  <c r="F18" i="9"/>
  <c r="D21" i="6" s="1"/>
  <c r="C15" i="43"/>
  <c r="F13" i="9"/>
  <c r="D16" i="6" s="1"/>
  <c r="U17" i="46"/>
  <c r="C21" i="43"/>
  <c r="F19" i="9"/>
  <c r="D22" i="6" s="1"/>
  <c r="C24" i="43"/>
  <c r="F22" i="9"/>
  <c r="D25" i="6" s="1"/>
  <c r="C17" i="43"/>
  <c r="F15" i="9"/>
  <c r="U18" i="46" s="1"/>
  <c r="C13" i="43"/>
  <c r="F11" i="9"/>
  <c r="D14" i="6" s="1"/>
  <c r="C14" i="43"/>
  <c r="F12" i="9"/>
  <c r="D15" i="6" s="1"/>
  <c r="C11" i="43"/>
  <c r="F9" i="9"/>
  <c r="U12" i="46" s="1"/>
  <c r="C19" i="43"/>
  <c r="F17" i="9"/>
  <c r="U22" i="46" s="1"/>
  <c r="A16" i="43"/>
  <c r="A14" i="9"/>
  <c r="A10" i="54" s="1"/>
  <c r="F17" i="6"/>
  <c r="A17" i="43"/>
  <c r="C15" i="9"/>
  <c r="A18" i="43"/>
  <c r="A16" i="9"/>
  <c r="A11" i="54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A6" i="54" s="1"/>
  <c r="F22" i="6"/>
  <c r="U14" i="46"/>
  <c r="U13" i="46"/>
  <c r="D12" i="6"/>
  <c r="U24" i="46"/>
  <c r="U20" i="46"/>
  <c r="U19" i="46"/>
  <c r="U21" i="46"/>
  <c r="D28" i="6"/>
  <c r="U34" i="46"/>
  <c r="D11" i="6"/>
  <c r="D9" i="6"/>
  <c r="U7" i="46"/>
  <c r="D7" i="6"/>
  <c r="U5" i="46"/>
  <c r="U4" i="46"/>
  <c r="D27" i="6"/>
  <c r="U33" i="46"/>
  <c r="D10" i="6"/>
  <c r="U9" i="46"/>
  <c r="U8" i="46"/>
  <c r="U16" i="46"/>
  <c r="D8" i="6"/>
  <c r="U6" i="46"/>
  <c r="D17" i="6"/>
  <c r="D13" i="6"/>
  <c r="D19" i="6"/>
  <c r="F20" i="6"/>
  <c r="F9" i="6"/>
  <c r="F7" i="6"/>
  <c r="F21" i="6"/>
  <c r="F19" i="6"/>
  <c r="F11" i="6"/>
  <c r="F16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13" i="54" s="1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S55" i="51" l="1"/>
  <c r="T54" i="28"/>
  <c r="T17" i="28"/>
  <c r="T41" i="28" s="1"/>
  <c r="S54" i="51"/>
  <c r="Q19" i="51"/>
  <c r="R19" i="51" s="1"/>
  <c r="Y9" i="51"/>
  <c r="X9" i="51" s="1"/>
  <c r="Q11" i="51"/>
  <c r="R11" i="51" s="1"/>
  <c r="Q7" i="51"/>
  <c r="D48" i="51"/>
  <c r="Y45" i="51" s="1"/>
  <c r="J27" i="22" s="1"/>
  <c r="Q32" i="51"/>
  <c r="R32" i="51" s="1"/>
  <c r="S32" i="51" s="1"/>
  <c r="Y32" i="51" s="1"/>
  <c r="Q44" i="51"/>
  <c r="R44" i="51" s="1"/>
  <c r="S44" i="51" s="1"/>
  <c r="Y44" i="51" s="1"/>
  <c r="Q31" i="51"/>
  <c r="T7" i="51"/>
  <c r="T31" i="51" s="1"/>
  <c r="D24" i="51" a="1"/>
  <c r="D24" i="51" s="1"/>
  <c r="Q17" i="51"/>
  <c r="R17" i="51" s="1"/>
  <c r="Q33" i="51"/>
  <c r="R33" i="51" s="1"/>
  <c r="S33" i="51" s="1"/>
  <c r="Y33" i="51" s="1"/>
  <c r="C24" i="51" a="1"/>
  <c r="C24" i="51" s="1"/>
  <c r="C48" i="51"/>
  <c r="Q34" i="51"/>
  <c r="R34" i="51" s="1"/>
  <c r="S34" i="51" s="1"/>
  <c r="Y54" i="51" s="1"/>
  <c r="Y8" i="52"/>
  <c r="H24" i="22" s="1"/>
  <c r="G24" i="52"/>
  <c r="T21" i="52" s="1"/>
  <c r="T45" i="52" s="1"/>
  <c r="D48" i="52"/>
  <c r="Y45" i="52" s="1"/>
  <c r="Q33" i="52"/>
  <c r="R33" i="52" s="1"/>
  <c r="S33" i="52" s="1"/>
  <c r="Y33" i="52" s="1"/>
  <c r="K23" i="22" s="1"/>
  <c r="Q36" i="52"/>
  <c r="R36" i="52" s="1"/>
  <c r="S36" i="52" s="1"/>
  <c r="Y36" i="52" s="1"/>
  <c r="X36" i="52" s="1"/>
  <c r="U36" i="52" s="1"/>
  <c r="Q32" i="52"/>
  <c r="R32" i="52" s="1"/>
  <c r="S32" i="52" s="1"/>
  <c r="Y32" i="52" s="1"/>
  <c r="X32" i="52" s="1"/>
  <c r="U32" i="52" s="1"/>
  <c r="Y9" i="52"/>
  <c r="H23" i="22" s="1"/>
  <c r="Q19" i="52"/>
  <c r="R19" i="52" s="1"/>
  <c r="Q10" i="52"/>
  <c r="R10" i="52" s="1"/>
  <c r="Q34" i="52"/>
  <c r="R34" i="52" s="1"/>
  <c r="S34" i="52" s="1"/>
  <c r="Q17" i="52"/>
  <c r="R17" i="52" s="1"/>
  <c r="Q9" i="52"/>
  <c r="R9" i="52" s="1"/>
  <c r="Q44" i="52"/>
  <c r="R44" i="52" s="1"/>
  <c r="S44" i="52" s="1"/>
  <c r="Y44" i="52" s="1"/>
  <c r="K19" i="22" s="1"/>
  <c r="G24" i="51"/>
  <c r="T21" i="51" s="1"/>
  <c r="T45" i="51" s="1"/>
  <c r="R7" i="51"/>
  <c r="R31" i="51"/>
  <c r="S31" i="51" s="1"/>
  <c r="Y31" i="51" s="1"/>
  <c r="J9" i="22" s="1"/>
  <c r="Q36" i="51"/>
  <c r="R36" i="51" s="1"/>
  <c r="S36" i="51" s="1"/>
  <c r="Y36" i="51" s="1"/>
  <c r="X36" i="51" s="1"/>
  <c r="U36" i="51" s="1"/>
  <c r="Q10" i="51"/>
  <c r="R10" i="51" s="1"/>
  <c r="Q21" i="51"/>
  <c r="R21" i="51" s="1"/>
  <c r="Q37" i="51"/>
  <c r="R37" i="51" s="1"/>
  <c r="S37" i="51" s="1"/>
  <c r="Y37" i="51" s="1"/>
  <c r="Q9" i="51"/>
  <c r="R9" i="51" s="1"/>
  <c r="Q35" i="51"/>
  <c r="R35" i="51" s="1"/>
  <c r="S35" i="51" s="1"/>
  <c r="Y35" i="51" s="1"/>
  <c r="Q39" i="51"/>
  <c r="R39" i="51" s="1"/>
  <c r="S39" i="51" s="1"/>
  <c r="Y39" i="51" s="1"/>
  <c r="Q41" i="51"/>
  <c r="R41" i="51" s="1"/>
  <c r="S41" i="51" s="1"/>
  <c r="Y41" i="51" s="1"/>
  <c r="J10" i="22" s="1"/>
  <c r="Q43" i="51"/>
  <c r="R43" i="51" s="1"/>
  <c r="S43" i="51" s="1"/>
  <c r="Y43" i="51" s="1"/>
  <c r="Q15" i="51"/>
  <c r="R15" i="51" s="1"/>
  <c r="Q8" i="52"/>
  <c r="R8" i="52" s="1"/>
  <c r="Q21" i="52"/>
  <c r="R21" i="52" s="1"/>
  <c r="Q11" i="52"/>
  <c r="R11" i="52" s="1"/>
  <c r="Q20" i="52"/>
  <c r="R20" i="52" s="1"/>
  <c r="Q13" i="52"/>
  <c r="R13" i="52" s="1"/>
  <c r="Q7" i="52"/>
  <c r="Q41" i="52"/>
  <c r="R41" i="52" s="1"/>
  <c r="S41" i="52" s="1"/>
  <c r="Y41" i="52" s="1"/>
  <c r="K10" i="22" s="1"/>
  <c r="Q31" i="52"/>
  <c r="Q39" i="52"/>
  <c r="R39" i="52" s="1"/>
  <c r="S39" i="52" s="1"/>
  <c r="Y39" i="52" s="1"/>
  <c r="X39" i="52" s="1"/>
  <c r="U39" i="52" s="1"/>
  <c r="Q12" i="52"/>
  <c r="R12" i="52" s="1"/>
  <c r="Q15" i="52"/>
  <c r="R15" i="52" s="1"/>
  <c r="Q43" i="52"/>
  <c r="R43" i="52" s="1"/>
  <c r="S43" i="52" s="1"/>
  <c r="Y43" i="52" s="1"/>
  <c r="K28" i="22" s="1"/>
  <c r="Q37" i="52"/>
  <c r="R37" i="52" s="1"/>
  <c r="S37" i="52" s="1"/>
  <c r="Y37" i="52" s="1"/>
  <c r="X37" i="52" s="1"/>
  <c r="U37" i="52" s="1"/>
  <c r="X8" i="52"/>
  <c r="Q20" i="28"/>
  <c r="R20" i="28" s="1"/>
  <c r="C24" i="28" a="1"/>
  <c r="C24" i="28" s="1"/>
  <c r="G24" i="28" s="1"/>
  <c r="T21" i="28" s="1"/>
  <c r="T45" i="28" s="1"/>
  <c r="T10" i="28"/>
  <c r="T34" i="28" s="1"/>
  <c r="D24" i="28" a="1"/>
  <c r="D24" i="28" s="1"/>
  <c r="S55" i="28"/>
  <c r="Q12" i="28"/>
  <c r="R12" i="28" s="1"/>
  <c r="Q19" i="28"/>
  <c r="R19" i="28" s="1"/>
  <c r="Q10" i="28"/>
  <c r="R10" i="28" s="1"/>
  <c r="C48" i="28"/>
  <c r="T7" i="28"/>
  <c r="T31" i="28" s="1"/>
  <c r="T20" i="28"/>
  <c r="T44" i="28" s="1"/>
  <c r="Q36" i="28"/>
  <c r="R36" i="28" s="1"/>
  <c r="S36" i="28" s="1"/>
  <c r="Y36" i="28" s="1"/>
  <c r="X36" i="28" s="1"/>
  <c r="U36" i="28" s="1"/>
  <c r="Q21" i="28"/>
  <c r="R21" i="28" s="1"/>
  <c r="Q45" i="28"/>
  <c r="R45" i="28" s="1"/>
  <c r="S45" i="28" s="1"/>
  <c r="Q34" i="28"/>
  <c r="R34" i="28" s="1"/>
  <c r="S34" i="28" s="1"/>
  <c r="Y54" i="28" s="1"/>
  <c r="X54" i="28" s="1"/>
  <c r="U54" i="28" s="1"/>
  <c r="Q13" i="28"/>
  <c r="R13" i="28" s="1"/>
  <c r="Q31" i="28"/>
  <c r="R31" i="28" s="1"/>
  <c r="S31" i="28" s="1"/>
  <c r="Y31" i="28" s="1"/>
  <c r="Q43" i="28"/>
  <c r="R43" i="28" s="1"/>
  <c r="S43" i="28" s="1"/>
  <c r="Y43" i="28" s="1"/>
  <c r="X43" i="28" s="1"/>
  <c r="U43" i="28" s="1"/>
  <c r="Q33" i="28"/>
  <c r="R33" i="28" s="1"/>
  <c r="S33" i="28" s="1"/>
  <c r="Y33" i="28" s="1"/>
  <c r="X33" i="28" s="1"/>
  <c r="U33" i="28" s="1"/>
  <c r="S54" i="28"/>
  <c r="Q8" i="28"/>
  <c r="R8" i="28" s="1"/>
  <c r="D48" i="28"/>
  <c r="Q44" i="28"/>
  <c r="R44" i="28" s="1"/>
  <c r="S44" i="28" s="1"/>
  <c r="Y44" i="28" s="1"/>
  <c r="Q32" i="28"/>
  <c r="R32" i="28" s="1"/>
  <c r="S32" i="28" s="1"/>
  <c r="Y32" i="28" s="1"/>
  <c r="I24" i="22" s="1"/>
  <c r="Q15" i="28"/>
  <c r="R15" i="28" s="1"/>
  <c r="Q17" i="28"/>
  <c r="R17" i="28" s="1"/>
  <c r="Q7" i="28"/>
  <c r="Q37" i="28"/>
  <c r="R37" i="28" s="1"/>
  <c r="S37" i="28" s="1"/>
  <c r="Y37" i="28" s="1"/>
  <c r="I13" i="22" s="1"/>
  <c r="Q11" i="28"/>
  <c r="R11" i="28" s="1"/>
  <c r="Q9" i="28"/>
  <c r="R9" i="28" s="1"/>
  <c r="Q35" i="28"/>
  <c r="R35" i="28" s="1"/>
  <c r="S35" i="28" s="1"/>
  <c r="Y35" i="28" s="1"/>
  <c r="Q39" i="28"/>
  <c r="R39" i="28" s="1"/>
  <c r="S39" i="28" s="1"/>
  <c r="Y39" i="28" s="1"/>
  <c r="X39" i="28" s="1"/>
  <c r="U39" i="28" s="1"/>
  <c r="Q41" i="28"/>
  <c r="R41" i="28" s="1"/>
  <c r="S41" i="28" s="1"/>
  <c r="Y41" i="28" s="1"/>
  <c r="I10" i="22" s="1"/>
  <c r="C21" i="9"/>
  <c r="P21" i="28"/>
  <c r="M15" i="28"/>
  <c r="AC15" i="28" s="1"/>
  <c r="M43" i="51"/>
  <c r="AC43" i="51" s="1"/>
  <c r="N35" i="51"/>
  <c r="AD35" i="51" s="1"/>
  <c r="C6" i="9"/>
  <c r="C17" i="46"/>
  <c r="P20" i="28"/>
  <c r="M9" i="28"/>
  <c r="AC9" i="28" s="1"/>
  <c r="P33" i="28"/>
  <c r="M39" i="28"/>
  <c r="AC39" i="28" s="1"/>
  <c r="O45" i="28"/>
  <c r="M45" i="28" s="1"/>
  <c r="AC45" i="28" s="1"/>
  <c r="N34" i="28"/>
  <c r="AD34" i="28" s="1"/>
  <c r="P11" i="28"/>
  <c r="O43" i="51"/>
  <c r="M8" i="51"/>
  <c r="AC8" i="51" s="1"/>
  <c r="P13" i="51"/>
  <c r="P20" i="51"/>
  <c r="N9" i="51"/>
  <c r="AD9" i="51" s="1"/>
  <c r="N39" i="51"/>
  <c r="AD39" i="51" s="1"/>
  <c r="P11" i="52"/>
  <c r="M11" i="52"/>
  <c r="AC11" i="52" s="1"/>
  <c r="C13" i="48"/>
  <c r="U11" i="48" s="1"/>
  <c r="F26" i="6"/>
  <c r="P9" i="28"/>
  <c r="C19" i="46"/>
  <c r="P15" i="28"/>
  <c r="P37" i="28"/>
  <c r="M32" i="28"/>
  <c r="AC32" i="28" s="1"/>
  <c r="M20" i="28"/>
  <c r="AC20" i="28" s="1"/>
  <c r="M12" i="51"/>
  <c r="AC12" i="51" s="1"/>
  <c r="P11" i="51"/>
  <c r="N17" i="51"/>
  <c r="AD17" i="51" s="1"/>
  <c r="P13" i="52"/>
  <c r="M19" i="52"/>
  <c r="AC19" i="52" s="1"/>
  <c r="P54" i="52"/>
  <c r="F9" i="46"/>
  <c r="C14" i="9"/>
  <c r="P8" i="28"/>
  <c r="P41" i="28"/>
  <c r="O41" i="28"/>
  <c r="M41" i="28" s="1"/>
  <c r="AC41" i="28" s="1"/>
  <c r="M19" i="28"/>
  <c r="AC19" i="28" s="1"/>
  <c r="M15" i="51"/>
  <c r="AC15" i="51" s="1"/>
  <c r="O13" i="51"/>
  <c r="M13" i="51" s="1"/>
  <c r="AC13" i="51" s="1"/>
  <c r="P10" i="51"/>
  <c r="N21" i="51"/>
  <c r="AD21" i="51" s="1"/>
  <c r="P54" i="51"/>
  <c r="P15" i="52"/>
  <c r="F7" i="46"/>
  <c r="M8" i="28"/>
  <c r="AC8" i="28" s="1"/>
  <c r="M17" i="28"/>
  <c r="AC17" i="28" s="1"/>
  <c r="O37" i="51"/>
  <c r="M37" i="51" s="1"/>
  <c r="AC37" i="51" s="1"/>
  <c r="E7" i="46"/>
  <c r="P7" i="28"/>
  <c r="F13" i="6"/>
  <c r="U10" i="46"/>
  <c r="P13" i="28"/>
  <c r="D27" i="48"/>
  <c r="P31" i="28"/>
  <c r="P43" i="28"/>
  <c r="M34" i="28"/>
  <c r="AC34" i="28" s="1"/>
  <c r="M43" i="28"/>
  <c r="AC43" i="28" s="1"/>
  <c r="M19" i="51"/>
  <c r="AC19" i="51" s="1"/>
  <c r="P15" i="51"/>
  <c r="N44" i="51"/>
  <c r="AD44" i="51" s="1"/>
  <c r="P8" i="52"/>
  <c r="P19" i="52"/>
  <c r="C5" i="48"/>
  <c r="U5" i="48" s="1"/>
  <c r="E27" i="48"/>
  <c r="D20" i="6"/>
  <c r="U11" i="46"/>
  <c r="P12" i="28"/>
  <c r="P32" i="28"/>
  <c r="O37" i="28"/>
  <c r="M37" i="28" s="1"/>
  <c r="AC37" i="28" s="1"/>
  <c r="O31" i="28"/>
  <c r="M31" i="28" s="1"/>
  <c r="AC31" i="28" s="1"/>
  <c r="M12" i="28"/>
  <c r="AC12" i="28" s="1"/>
  <c r="P7" i="51"/>
  <c r="N31" i="51"/>
  <c r="AD31" i="51" s="1"/>
  <c r="P9" i="52"/>
  <c r="N34" i="52"/>
  <c r="AD34" i="52" s="1"/>
  <c r="D21" i="48"/>
  <c r="C7" i="9"/>
  <c r="A7" i="54"/>
  <c r="C16" i="9"/>
  <c r="N9" i="28"/>
  <c r="AD9" i="28" s="1"/>
  <c r="N19" i="28"/>
  <c r="AD19" i="28" s="1"/>
  <c r="M11" i="28"/>
  <c r="AC11" i="28" s="1"/>
  <c r="O7" i="51"/>
  <c r="M7" i="51" s="1"/>
  <c r="AC7" i="51" s="1"/>
  <c r="O31" i="51"/>
  <c r="M31" i="51" s="1"/>
  <c r="AC31" i="51" s="1"/>
  <c r="N45" i="51"/>
  <c r="AD45" i="51" s="1"/>
  <c r="M12" i="52"/>
  <c r="AC12" i="52" s="1"/>
  <c r="O20" i="52"/>
  <c r="M20" i="52" s="1"/>
  <c r="AC20" i="52" s="1"/>
  <c r="E11" i="54"/>
  <c r="C11" i="54"/>
  <c r="M11" i="54" s="1"/>
  <c r="N33" i="52"/>
  <c r="AD33" i="52" s="1"/>
  <c r="N45" i="52"/>
  <c r="AD45" i="52" s="1"/>
  <c r="N13" i="52"/>
  <c r="AD13" i="52" s="1"/>
  <c r="N9" i="54"/>
  <c r="N21" i="52"/>
  <c r="AD21" i="52" s="1"/>
  <c r="N11" i="52"/>
  <c r="AD11" i="52" s="1"/>
  <c r="E12" i="48"/>
  <c r="E6" i="48"/>
  <c r="C14" i="54"/>
  <c r="M14" i="54" s="1"/>
  <c r="E14" i="54"/>
  <c r="C20" i="9"/>
  <c r="A12" i="54"/>
  <c r="O7" i="28"/>
  <c r="M7" i="28" s="1"/>
  <c r="AC7" i="28" s="1"/>
  <c r="N11" i="51"/>
  <c r="AD11" i="51" s="1"/>
  <c r="N36" i="51"/>
  <c r="AD36" i="51" s="1"/>
  <c r="E9" i="54"/>
  <c r="C9" i="54"/>
  <c r="M9" i="54" s="1"/>
  <c r="E9" i="46"/>
  <c r="E8" i="48"/>
  <c r="C8" i="54"/>
  <c r="M8" i="54" s="1"/>
  <c r="E8" i="54"/>
  <c r="U23" i="46"/>
  <c r="N7" i="28"/>
  <c r="AD7" i="28" s="1"/>
  <c r="O43" i="28"/>
  <c r="O35" i="51"/>
  <c r="M34" i="51"/>
  <c r="AC34" i="51" s="1"/>
  <c r="P31" i="51"/>
  <c r="P41" i="51"/>
  <c r="N13" i="51"/>
  <c r="AD13" i="51" s="1"/>
  <c r="N32" i="51"/>
  <c r="AD32" i="51" s="1"/>
  <c r="O35" i="52"/>
  <c r="O55" i="52"/>
  <c r="O13" i="52"/>
  <c r="M13" i="52" s="1"/>
  <c r="AC13" i="52" s="1"/>
  <c r="O45" i="52"/>
  <c r="M45" i="52" s="1"/>
  <c r="AC45" i="52" s="1"/>
  <c r="E15" i="54"/>
  <c r="C15" i="54"/>
  <c r="M15" i="54" s="1"/>
  <c r="O9" i="52"/>
  <c r="M9" i="52" s="1"/>
  <c r="AC9" i="52" s="1"/>
  <c r="C12" i="54"/>
  <c r="M12" i="54" s="1"/>
  <c r="E12" i="54"/>
  <c r="N35" i="52"/>
  <c r="AD35" i="52" s="1"/>
  <c r="P31" i="52"/>
  <c r="P41" i="52"/>
  <c r="N19" i="52"/>
  <c r="AD19" i="52" s="1"/>
  <c r="C10" i="9"/>
  <c r="N8" i="28"/>
  <c r="AD8" i="28" s="1"/>
  <c r="N21" i="28"/>
  <c r="AD21" i="28" s="1"/>
  <c r="N15" i="28"/>
  <c r="AD15" i="28" s="1"/>
  <c r="N35" i="28"/>
  <c r="AD35" i="28" s="1"/>
  <c r="O19" i="51"/>
  <c r="O20" i="51"/>
  <c r="M20" i="51" s="1"/>
  <c r="AC20" i="51" s="1"/>
  <c r="N33" i="51"/>
  <c r="AD33" i="51" s="1"/>
  <c r="O19" i="52"/>
  <c r="M39" i="52"/>
  <c r="AC39" i="52" s="1"/>
  <c r="N36" i="52"/>
  <c r="AD36" i="52" s="1"/>
  <c r="P32" i="52"/>
  <c r="P43" i="52"/>
  <c r="N15" i="52"/>
  <c r="AD15" i="52" s="1"/>
  <c r="F6" i="6"/>
  <c r="N44" i="28"/>
  <c r="AD44" i="28" s="1"/>
  <c r="O13" i="28"/>
  <c r="M13" i="28" s="1"/>
  <c r="AC13" i="28" s="1"/>
  <c r="N36" i="28"/>
  <c r="AD36" i="28" s="1"/>
  <c r="O36" i="51"/>
  <c r="M36" i="51" s="1"/>
  <c r="AC36" i="51" s="1"/>
  <c r="P37" i="51"/>
  <c r="P44" i="51"/>
  <c r="N20" i="51"/>
  <c r="AD20" i="51" s="1"/>
  <c r="N34" i="51"/>
  <c r="AD34" i="51" s="1"/>
  <c r="M34" i="52"/>
  <c r="AC34" i="52" s="1"/>
  <c r="O19" i="28"/>
  <c r="E7" i="54"/>
  <c r="C7" i="54"/>
  <c r="M7" i="54" s="1"/>
  <c r="N37" i="52"/>
  <c r="AD37" i="52" s="1"/>
  <c r="P37" i="52"/>
  <c r="P44" i="52"/>
  <c r="N12" i="52"/>
  <c r="AD12" i="52" s="1"/>
  <c r="N20" i="52"/>
  <c r="AD20" i="52" s="1"/>
  <c r="N7" i="52"/>
  <c r="AD7" i="52" s="1"/>
  <c r="E9" i="48"/>
  <c r="N20" i="28"/>
  <c r="AD20" i="28" s="1"/>
  <c r="N12" i="28"/>
  <c r="AD12" i="28" s="1"/>
  <c r="O7" i="52"/>
  <c r="M7" i="52" s="1"/>
  <c r="AC7" i="52" s="1"/>
  <c r="C6" i="54"/>
  <c r="M6" i="54" s="1"/>
  <c r="E6" i="54"/>
  <c r="E10" i="48"/>
  <c r="C9" i="48"/>
  <c r="U7" i="48" s="1"/>
  <c r="N10" i="28"/>
  <c r="AD10" i="28" s="1"/>
  <c r="N11" i="28"/>
  <c r="AD11" i="28" s="1"/>
  <c r="O54" i="51"/>
  <c r="O10" i="51"/>
  <c r="M10" i="51" s="1"/>
  <c r="AC10" i="51" s="1"/>
  <c r="M39" i="51"/>
  <c r="AC39" i="51" s="1"/>
  <c r="N7" i="51"/>
  <c r="AD7" i="51" s="1"/>
  <c r="N37" i="51"/>
  <c r="AD37" i="51" s="1"/>
  <c r="O10" i="52"/>
  <c r="M10" i="52" s="1"/>
  <c r="AC10" i="52" s="1"/>
  <c r="O36" i="52"/>
  <c r="M36" i="52" s="1"/>
  <c r="AC36" i="52" s="1"/>
  <c r="N31" i="52"/>
  <c r="AD31" i="52" s="1"/>
  <c r="N43" i="52"/>
  <c r="AD43" i="52" s="1"/>
  <c r="P35" i="52"/>
  <c r="N9" i="52"/>
  <c r="AD9" i="52" s="1"/>
  <c r="E13" i="48"/>
  <c r="F11" i="48"/>
  <c r="C8" i="9"/>
  <c r="A8" i="54"/>
  <c r="O54" i="52"/>
  <c r="O44" i="52"/>
  <c r="M44" i="52" s="1"/>
  <c r="AC44" i="52" s="1"/>
  <c r="O32" i="52"/>
  <c r="M32" i="52" s="1"/>
  <c r="AC32" i="52" s="1"/>
  <c r="E13" i="54"/>
  <c r="C13" i="54"/>
  <c r="M13" i="54" s="1"/>
  <c r="M37" i="52"/>
  <c r="AC37" i="52" s="1"/>
  <c r="N32" i="52"/>
  <c r="AD32" i="52" s="1"/>
  <c r="N44" i="52"/>
  <c r="AD44" i="52" s="1"/>
  <c r="N17" i="52"/>
  <c r="AD17" i="52" s="1"/>
  <c r="N7" i="54"/>
  <c r="N8" i="52"/>
  <c r="AD8" i="52" s="1"/>
  <c r="E8" i="46"/>
  <c r="E11" i="48"/>
  <c r="C6" i="48"/>
  <c r="U6" i="48" s="1"/>
  <c r="F6" i="48"/>
  <c r="R29" i="22"/>
  <c r="Z37" i="22" s="1"/>
  <c r="X43" i="52"/>
  <c r="U43" i="52" s="1"/>
  <c r="X41" i="52"/>
  <c r="U41" i="52" s="1"/>
  <c r="X35" i="52"/>
  <c r="U35" i="52" s="1"/>
  <c r="K17" i="22"/>
  <c r="Y55" i="52"/>
  <c r="Y34" i="52"/>
  <c r="Y54" i="52"/>
  <c r="X33" i="52"/>
  <c r="U33" i="52" s="1"/>
  <c r="K24" i="2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X39" i="51"/>
  <c r="U39" i="51" s="1"/>
  <c r="J17" i="22"/>
  <c r="J23" i="22"/>
  <c r="X33" i="51"/>
  <c r="U33" i="51" s="1"/>
  <c r="X41" i="51"/>
  <c r="U41" i="51" s="1"/>
  <c r="X31" i="51"/>
  <c r="Y55" i="51"/>
  <c r="Y34" i="51"/>
  <c r="M11" i="51"/>
  <c r="AC11" i="51" s="1"/>
  <c r="M9" i="51"/>
  <c r="AC9" i="51" s="1"/>
  <c r="I23" i="22"/>
  <c r="I28" i="22"/>
  <c r="Y55" i="28"/>
  <c r="M36" i="28"/>
  <c r="AC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D18" i="6"/>
  <c r="O32" i="51"/>
  <c r="M32" i="51" s="1"/>
  <c r="AC32" i="51" s="1"/>
  <c r="O44" i="51"/>
  <c r="M44" i="51" s="1"/>
  <c r="AC44" i="51" s="1"/>
  <c r="N8" i="51"/>
  <c r="AD8" i="51" s="1"/>
  <c r="N19" i="51"/>
  <c r="AD19" i="51" s="1"/>
  <c r="N10" i="52"/>
  <c r="AD10" i="52" s="1"/>
  <c r="F8" i="46"/>
  <c r="E5" i="48"/>
  <c r="F10" i="48"/>
  <c r="O17" i="52"/>
  <c r="M17" i="52" s="1"/>
  <c r="AC17" i="52" s="1"/>
  <c r="O41" i="52"/>
  <c r="M41" i="52" s="1"/>
  <c r="AC41" i="52" s="1"/>
  <c r="O43" i="52"/>
  <c r="O21" i="51"/>
  <c r="M21" i="51" s="1"/>
  <c r="AC21" i="51" s="1"/>
  <c r="N12" i="51"/>
  <c r="AD12" i="51" s="1"/>
  <c r="N43" i="51"/>
  <c r="AD43" i="51" s="1"/>
  <c r="O8" i="52"/>
  <c r="M8" i="52" s="1"/>
  <c r="AC8" i="52" s="1"/>
  <c r="C12" i="48"/>
  <c r="U10" i="48" s="1"/>
  <c r="U27" i="46"/>
  <c r="U15" i="46"/>
  <c r="N17" i="28"/>
  <c r="AD17" i="28" s="1"/>
  <c r="O21" i="52"/>
  <c r="M21" i="52" s="1"/>
  <c r="AC21" i="52" s="1"/>
  <c r="K13" i="22" l="1"/>
  <c r="X9" i="52"/>
  <c r="U9" i="52" s="1"/>
  <c r="U8" i="52"/>
  <c r="U9" i="51"/>
  <c r="G23" i="22"/>
  <c r="M35" i="51"/>
  <c r="AC35" i="51" s="1"/>
  <c r="Y34" i="28"/>
  <c r="X41" i="28"/>
  <c r="U41" i="28" s="1"/>
  <c r="X44" i="28"/>
  <c r="U44" i="28" s="1"/>
  <c r="X45" i="52"/>
  <c r="U45" i="52" s="1"/>
  <c r="K27" i="22"/>
  <c r="X44" i="52"/>
  <c r="U44" i="52" s="1"/>
  <c r="K26" i="22"/>
  <c r="J26" i="22"/>
  <c r="J13" i="22"/>
  <c r="X37" i="51"/>
  <c r="U37" i="51" s="1"/>
  <c r="Q30" i="51"/>
  <c r="R49" i="51"/>
  <c r="R25" i="51"/>
  <c r="X45" i="51"/>
  <c r="U45" i="51" s="1"/>
  <c r="Q6" i="51"/>
  <c r="X35" i="51"/>
  <c r="U35" i="51" s="1"/>
  <c r="R7" i="52"/>
  <c r="R25" i="52" s="1"/>
  <c r="Q6" i="52"/>
  <c r="M35" i="52"/>
  <c r="AC35" i="52" s="1"/>
  <c r="R31" i="52"/>
  <c r="Q30" i="52"/>
  <c r="Y45" i="28"/>
  <c r="I27" i="22" s="1"/>
  <c r="X31" i="28"/>
  <c r="I9" i="22"/>
  <c r="I26" i="22"/>
  <c r="X32" i="28"/>
  <c r="U32" i="28" s="1"/>
  <c r="I17" i="22"/>
  <c r="I19" i="22"/>
  <c r="R7" i="28"/>
  <c r="R25" i="28" s="1"/>
  <c r="Q6" i="28"/>
  <c r="X37" i="28"/>
  <c r="U37" i="28" s="1"/>
  <c r="R49" i="28"/>
  <c r="Q30" i="28"/>
  <c r="X35" i="28"/>
  <c r="U35" i="28" s="1"/>
  <c r="Q26" i="22"/>
  <c r="Q29" i="22" s="1"/>
  <c r="X55" i="52"/>
  <c r="U55" i="52" s="1"/>
  <c r="N26" i="22"/>
  <c r="N29" i="22" s="1"/>
  <c r="X54" i="52"/>
  <c r="U54" i="52" s="1"/>
  <c r="K11" i="22"/>
  <c r="X34" i="52"/>
  <c r="U34" i="52" s="1"/>
  <c r="X34" i="51"/>
  <c r="U34" i="51" s="1"/>
  <c r="J11" i="22"/>
  <c r="P26" i="22"/>
  <c r="P29" i="22" s="1"/>
  <c r="X55" i="51"/>
  <c r="U55" i="51" s="1"/>
  <c r="U31" i="51"/>
  <c r="Y49" i="51"/>
  <c r="U31" i="28"/>
  <c r="L26" i="22"/>
  <c r="I11" i="22"/>
  <c r="X34" i="28"/>
  <c r="U34" i="28" s="1"/>
  <c r="O26" i="22"/>
  <c r="O29" i="22" s="1"/>
  <c r="X55" i="28"/>
  <c r="U55" i="28" s="1"/>
  <c r="S12" i="52"/>
  <c r="Y12" i="52" s="1"/>
  <c r="X12" i="52" s="1"/>
  <c r="U12" i="52" s="1"/>
  <c r="S19" i="52"/>
  <c r="Y19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9" i="28"/>
  <c r="Y9" i="28" s="1"/>
  <c r="S7" i="52" l="1"/>
  <c r="Y7" i="52" s="1"/>
  <c r="H9" i="22" s="1"/>
  <c r="Y49" i="28"/>
  <c r="S7" i="28"/>
  <c r="Y7" i="28" s="1"/>
  <c r="P12" i="48"/>
  <c r="O12" i="48" s="1"/>
  <c r="J12" i="48" s="1"/>
  <c r="X45" i="28"/>
  <c r="U45" i="28" s="1"/>
  <c r="J29" i="22"/>
  <c r="S31" i="52"/>
  <c r="Y31" i="52" s="1"/>
  <c r="R49" i="52"/>
  <c r="X49" i="51"/>
  <c r="I29" i="22"/>
  <c r="O30" i="22"/>
  <c r="Z35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K9" i="22" l="1"/>
  <c r="K29" i="22" s="1"/>
  <c r="I30" i="22" s="1"/>
  <c r="Z34" i="22" s="1"/>
  <c r="X31" i="52"/>
  <c r="Y49" i="52"/>
  <c r="Y13" i="22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U31" i="52" l="1"/>
  <c r="X49" i="52"/>
  <c r="Y29" i="22"/>
  <c r="F30" i="22"/>
  <c r="G5" i="22"/>
  <c r="H2" i="22" s="1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<sst xmlns="http://schemas.openxmlformats.org/spreadsheetml/2006/main" count="69482" uniqueCount="1328">
  <si>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</si>
  <si>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</si>
  <si>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</si>
  <si>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</si>
  <si>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</si>
  <si>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</si>
  <si>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</si>
  <si>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</si>
  <si>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</si>
  <si>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</si>
  <si>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</si>
  <si>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</si>
  <si>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</si>
  <si>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</si>
  <si>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</si>
  <si>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</si>
  <si>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</si>
  <si>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</si>
  <si>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</si>
  <si>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</si>
  <si>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</si>
  <si>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</si>
  <si>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</si>
  <si>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</si>
  <si>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</si>
  <si>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</si>
  <si>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</si>
  <si>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</si>
  <si>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</si>
  <si>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</si>
  <si>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</si>
  <si>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</si>
  <si>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</si>
  <si>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</si>
  <si>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</si>
  <si>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</si>
  <si>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</si>
  <si>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</si>
  <si>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</si>
  <si>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</si>
  <si>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</si>
  <si>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</si>
  <si>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</si>
  <si>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</si>
  <si>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</si>
  <si>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</si>
  <si>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</si>
  <si>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</si>
  <si>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</si>
  <si>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</si>
  <si>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</si>
  <si>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</si>
  <si>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</si>
  <si>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</si>
  <si>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</si>
  <si>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</si>
  <si>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</si>
  <si>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</si>
  <si>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</si>
  <si>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</si>
  <si>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</si>
  <si>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</si>
  <si>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</si>
  <si>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</si>
  <si>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</si>
  <si>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</si>
  <si>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</si>
  <si>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</si>
  <si>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</si>
  <si>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</si>
  <si>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</si>
  <si>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</si>
  <si>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</si>
  <si>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</si>
  <si>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</si>
  <si>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</si>
  <si>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</si>
  <si>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</si>
  <si>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</si>
  <si>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</si>
  <si>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</si>
  <si>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</si>
  <si>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</si>
  <si>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</si>
  <si>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</si>
  <si>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</si>
  <si>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</si>
  <si>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</si>
  <si>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</si>
  <si>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</si>
  <si>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</si>
  <si>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</si>
  <si>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</si>
  <si>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</si>
  <si>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</si>
  <si>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</si>
  <si>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</si>
  <si>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</si>
  <si>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</si>
  <si>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</si>
  <si>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</si>
  <si>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</si>
  <si>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</si>
  <si>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</si>
  <si>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</si>
  <si>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</si>
  <si>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</si>
  <si>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</si>
  <si>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</si>
  <si>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</si>
  <si>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</si>
  <si>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</si>
  <si>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</si>
  <si>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</si>
  <si>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</si>
  <si>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</si>
  <si>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</si>
  <si>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</si>
  <si>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</si>
  <si>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</si>
  <si>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</si>
  <si>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</si>
  <si>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</si>
  <si>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</si>
  <si>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</si>
  <si>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</si>
  <si>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</si>
  <si>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</si>
  <si>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</si>
  <si>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</si>
  <si>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</si>
  <si>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</si>
  <si>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</si>
  <si>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</si>
  <si>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</si>
  <si>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</si>
  <si>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</si>
  <si>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</si>
  <si>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</si>
  <si>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</si>
  <si>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</si>
  <si>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</si>
  <si>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</si>
  <si>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</si>
  <si>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</si>
  <si>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</si>
  <si>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</si>
  <si>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</si>
  <si>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</si>
  <si>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</si>
  <si>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</si>
  <si>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</si>
  <si>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</si>
  <si>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</si>
  <si>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</si>
  <si>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</si>
  <si>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</si>
  <si>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</si>
  <si>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</si>
  <si>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</si>
  <si>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</si>
  <si>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</si>
  <si>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</si>
  <si>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</si>
  <si>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</si>
  <si>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</si>
  <si>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</si>
  <si>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</si>
  <si>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</si>
  <si>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</si>
  <si>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</si>
  <si>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</si>
  <si>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</si>
  <si>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</si>
  <si>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</si>
  <si>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</si>
  <si>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</si>
  <si>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</si>
  <si>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</si>
  <si>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</si>
  <si>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</si>
  <si>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</si>
  <si>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</si>
  <si>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</si>
  <si>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</si>
  <si>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</si>
  <si>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</si>
  <si>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</si>
  <si>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</si>
  <si>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</si>
  <si>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</si>
  <si>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</si>
  <si>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</si>
  <si>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</si>
  <si>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</si>
  <si>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</si>
  <si>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</si>
  <si>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</si>
  <si>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</si>
  <si>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</si>
  <si>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</si>
  <si>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</si>
  <si>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</si>
  <si>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</si>
  <si>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</si>
  <si>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</si>
  <si>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</si>
  <si>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</si>
  <si>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</si>
  <si>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</si>
  <si>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</si>
  <si>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</si>
  <si>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</si>
  <si>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</si>
  <si>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</si>
  <si>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</si>
  <si>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</si>
  <si>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</si>
  <si>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</si>
  <si>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</si>
  <si>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</si>
  <si>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</si>
  <si>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</si>
  <si>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</si>
  <si>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</si>
  <si>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</si>
  <si>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</si>
  <si>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</si>
  <si>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</si>
  <si>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</si>
  <si>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</si>
  <si>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</si>
  <si>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</si>
  <si>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</si>
  <si>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</si>
  <si>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</si>
  <si>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</si>
  <si>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</si>
  <si>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</si>
  <si>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</si>
  <si>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</si>
  <si>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</si>
  <si>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</si>
  <si>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</si>
  <si>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</si>
  <si>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</si>
  <si>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</si>
  <si>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</si>
  <si>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</si>
  <si>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</si>
  <si>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</si>
  <si>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</si>
  <si>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</si>
  <si>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</si>
  <si>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</si>
  <si>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</si>
  <si>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</si>
  <si>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</si>
  <si>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</si>
  <si>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</si>
  <si>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</si>
  <si>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</si>
  <si>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</si>
  <si>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</si>
  <si>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</si>
  <si>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</si>
  <si>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</si>
  <si>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</si>
  <si>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</si>
  <si>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</si>
  <si>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</si>
  <si>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</si>
  <si>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</si>
  <si>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</si>
  <si>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</si>
  <si>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</si>
  <si>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</si>
  <si>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</si>
  <si>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</si>
  <si>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</si>
  <si>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</si>
  <si>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</si>
  <si>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</si>
  <si>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</si>
  <si>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</si>
  <si>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</si>
  <si>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</si>
  <si>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</si>
  <si>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</si>
  <si>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</si>
  <si>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</si>
  <si>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</si>
  <si>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</si>
  <si>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</si>
  <si>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</si>
  <si>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</si>
  <si>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</si>
  <si>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</si>
  <si>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</si>
  <si>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</si>
  <si>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</si>
  <si>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</si>
  <si>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</si>
  <si>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</si>
  <si>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</si>
  <si>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</si>
  <si>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</si>
  <si>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</si>
  <si>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</si>
  <si>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</si>
  <si>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</si>
  <si>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</si>
  <si>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</si>
  <si>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</si>
  <si>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</si>
  <si>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</si>
  <si>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</si>
  <si>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</si>
  <si>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</si>
  <si>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</si>
  <si>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</si>
  <si>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</si>
  <si>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</si>
  <si>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</si>
  <si>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</si>
  <si>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</si>
  <si>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</si>
  <si>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</si>
  <si>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</si>
  <si>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</si>
  <si>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</si>
  <si>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</si>
  <si>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</si>
  <si>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</si>
  <si>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</si>
  <si>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</si>
  <si>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</si>
  <si>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</si>
  <si>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</si>
  <si>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</si>
  <si>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</si>
  <si>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</si>
  <si>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</si>
  <si>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</si>
  <si>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</si>
  <si>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</si>
  <si>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</si>
  <si>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</si>
  <si>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</si>
  <si>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</si>
  <si>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</si>
  <si>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</si>
  <si>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</si>
  <si>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</si>
  <si>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</si>
  <si>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</si>
  <si>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</si>
  <si>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</si>
  <si>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</si>
  <si>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</si>
  <si>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</si>
  <si>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</si>
  <si>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</si>
  <si>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</si>
  <si>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</si>
  <si>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</si>
  <si>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</si>
  <si>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</si>
  <si>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</si>
  <si>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</si>
  <si>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</si>
  <si>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</si>
  <si>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</si>
  <si>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</si>
  <si>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</si>
  <si>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</si>
  <si>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</si>
  <si>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</si>
  <si>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</si>
  <si>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</si>
  <si>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</si>
  <si>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</si>
  <si>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</si>
  <si>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</si>
  <si>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</si>
  <si>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</si>
  <si>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</si>
  <si>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</si>
  <si>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</si>
  <si>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</si>
  <si>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</si>
  <si>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</si>
  <si>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</si>
  <si>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</si>
  <si>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</si>
  <si>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</si>
  <si>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</si>
  <si>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</si>
  <si>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</si>
  <si>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</si>
  <si>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</si>
  <si>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</si>
  <si>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</si>
  <si>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</si>
  <si>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</si>
  <si>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</si>
  <si>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</si>
  <si>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</si>
  <si>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</si>
  <si>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</si>
  <si>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</si>
  <si>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</si>
  <si>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</si>
  <si>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</si>
  <si>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</si>
  <si>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</si>
  <si>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</si>
  <si>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</si>
  <si>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</si>
  <si>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</si>
  <si>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</si>
  <si>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</si>
  <si>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</si>
  <si>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</si>
  <si>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</si>
  <si>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</si>
  <si>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</si>
  <si>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</si>
  <si>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</si>
  <si>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</si>
  <si>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</si>
  <si>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</si>
  <si>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</si>
  <si>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</si>
  <si>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</si>
  <si>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</si>
  <si>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</si>
  <si>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</si>
  <si>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</si>
  <si>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</si>
  <si>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</si>
  <si>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</si>
  <si>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</si>
  <si>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</si>
  <si>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</si>
  <si>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</si>
  <si>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</si>
  <si>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</si>
  <si>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</si>
  <si>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</si>
  <si>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</si>
  <si>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</si>
  <si>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</si>
  <si>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</si>
  <si>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</si>
  <si>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</si>
  <si>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</si>
  <si>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</si>
  <si>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</si>
  <si>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</si>
  <si>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</si>
  <si>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</si>
  <si>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</si>
  <si>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</si>
  <si>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</si>
  <si>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</si>
  <si>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</si>
  <si>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</si>
  <si>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</si>
  <si>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</si>
  <si>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</si>
  <si>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</si>
  <si>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</si>
  <si>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</si>
  <si>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</si>
  <si>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</si>
  <si>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</si>
  <si>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</si>
  <si>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</si>
  <si>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</si>
  <si>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</si>
  <si>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</si>
  <si>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</si>
  <si>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</si>
  <si>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</si>
  <si>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</si>
  <si>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</si>
  <si>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</si>
  <si>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</si>
  <si>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</si>
  <si>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</si>
  <si>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</si>
  <si>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</si>
  <si>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</si>
  <si>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</si>
  <si>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</si>
  <si>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</si>
  <si>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</si>
  <si>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</si>
  <si>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</si>
  <si>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</si>
  <si>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</si>
  <si>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</si>
  <si>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</si>
  <si>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</si>
  <si>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</si>
  <si>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</si>
  <si>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</si>
  <si>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</si>
  <si>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</si>
  <si>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</si>
  <si>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</si>
  <si>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</si>
  <si>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</si>
  <si>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</si>
  <si>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</si>
  <si>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</si>
  <si>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</si>
  <si>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</si>
  <si>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</si>
  <si>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</si>
  <si>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</si>
  <si>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</si>
  <si>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</si>
  <si>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</si>
  <si>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</si>
  <si>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</si>
  <si>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</si>
  <si>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</si>
  <si>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</si>
  <si>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</si>
  <si>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</si>
  <si>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</si>
  <si>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</si>
  <si>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</si>
  <si>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</si>
  <si>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</si>
  <si>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</si>
  <si>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</si>
  <si>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</si>
  <si>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</si>
  <si>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</si>
  <si>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</si>
  <si>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</si>
  <si>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</si>
  <si>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</si>
  <si>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</si>
  <si>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</si>
  <si>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</si>
  <si>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</si>
  <si>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</si>
  <si>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</si>
  <si>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</si>
  <si>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</si>
  <si>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</si>
  <si>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</si>
  <si>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</si>
  <si>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</si>
  <si>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</si>
  <si>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</si>
  <si>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</si>
  <si>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</si>
  <si>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</si>
  <si>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</si>
  <si>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</si>
  <si>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</si>
  <si>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</si>
  <si>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</si>
  <si>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</si>
  <si>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</si>
  <si>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</si>
  <si>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</si>
  <si>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</si>
  <si>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</si>
  <si>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</si>
  <si>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</si>
  <si>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</si>
  <si>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</si>
  <si>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</si>
  <si>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</si>
  <si>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</si>
  <si>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</si>
  <si>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</si>
  <si>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</si>
  <si>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</si>
  <si>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</si>
  <si>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</si>
  <si>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</si>
  <si>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</si>
  <si>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</si>
  <si>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</si>
  <si>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</si>
  <si>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</si>
  <si>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</si>
  <si>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</si>
  <si>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</si>
  <si>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</si>
  <si>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</si>
  <si>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</si>
  <si>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</si>
  <si>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</si>
  <si>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</si>
  <si>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</si>
  <si>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</si>
  <si>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</si>
  <si>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</si>
  <si>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</si>
  <si>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</si>
  <si>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</si>
  <si>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</si>
  <si>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</si>
  <si>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</si>
  <si>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</si>
  <si>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</si>
  <si>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</si>
  <si>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</si>
  <si>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</si>
  <si>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</si>
  <si>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</si>
  <si>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</si>
  <si>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</si>
  <si>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</si>
  <si>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</si>
  <si>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</si>
  <si>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</si>
  <si>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</si>
  <si>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</si>
  <si>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</si>
  <si>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</si>
  <si>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</si>
  <si>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</si>
  <si>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</si>
  <si>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</si>
  <si>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</si>
  <si>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</si>
  <si>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</si>
  <si>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</si>
  <si>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</si>
  <si>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</si>
  <si>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</si>
  <si>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</si>
  <si>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</si>
  <si>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</si>
  <si>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</si>
  <si>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</si>
  <si>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</si>
  <si>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</si>
  <si>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</si>
  <si>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</si>
  <si>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</si>
  <si>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</si>
  <si>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</si>
  <si>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</si>
  <si>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</si>
  <si>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</si>
  <si>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</si>
  <si>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</si>
  <si>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</si>
  <si>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</si>
  <si>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</si>
  <si>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</si>
  <si>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</si>
  <si>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</si>
  <si>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</si>
  <si>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</si>
  <si>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</si>
  <si>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</si>
  <si>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</si>
  <si>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</si>
  <si>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</si>
  <si>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</si>
  <si>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</si>
  <si>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</si>
  <si>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</si>
  <si>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</si>
  <si>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</si>
  <si>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</si>
  <si>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</si>
  <si>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</si>
  <si>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</si>
  <si>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</si>
  <si>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</si>
  <si>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</si>
  <si>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</si>
  <si>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</si>
  <si>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</si>
  <si>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</si>
  <si>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</si>
  <si>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</si>
  <si>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</si>
  <si>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</si>
  <si>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</si>
  <si>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</si>
  <si>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</si>
  <si>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</si>
  <si>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</si>
  <si>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</si>
  <si>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</si>
  <si>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</si>
  <si>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</si>
  <si>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</si>
  <si>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</si>
  <si>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</si>
  <si>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</si>
  <si>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</si>
  <si>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</si>
  <si>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</si>
  <si>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</si>
  <si>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</si>
  <si>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</si>
  <si>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</si>
  <si>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</si>
  <si>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</si>
  <si>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</si>
  <si>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</si>
  <si>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</si>
  <si>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</si>
  <si>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</si>
  <si>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</si>
  <si>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</si>
  <si>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</si>
  <si>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</si>
  <si>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</si>
  <si>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</si>
  <si>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</si>
  <si>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</si>
  <si>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</si>
  <si>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</si>
  <si>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</si>
  <si>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</si>
  <si>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</si>
  <si>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</si>
  <si>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</si>
  <si>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</si>
  <si>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</si>
  <si>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</si>
  <si>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</si>
  <si>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</si>
  <si>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</si>
  <si>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</si>
  <si>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</si>
  <si>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</si>
  <si>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</si>
  <si>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</si>
  <si>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</si>
  <si>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</si>
  <si>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</si>
  <si>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</si>
  <si>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</si>
  <si>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</si>
  <si>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</si>
  <si>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</si>
  <si>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</si>
  <si>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</si>
  <si>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</si>
  <si>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</si>
  <si>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</si>
  <si>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</si>
  <si>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</si>
  <si>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</si>
  <si>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</si>
  <si>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</si>
  <si>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</si>
  <si>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</si>
  <si>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</si>
  <si>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</si>
  <si>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</si>
  <si>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</si>
  <si>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</si>
  <si>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</si>
  <si>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</si>
  <si>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</si>
  <si>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</si>
  <si>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</si>
  <si>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</si>
  <si>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</si>
  <si>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</si>
  <si>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</si>
  <si>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</si>
  <si>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</si>
  <si>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</si>
  <si>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</si>
  <si>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</si>
  <si>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</si>
  <si>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</si>
  <si>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</si>
  <si>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</si>
  <si>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</si>
  <si>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</si>
  <si>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</si>
  <si>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</si>
  <si>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</si>
  <si>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</si>
  <si>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</si>
  <si>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</si>
  <si>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</si>
  <si>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</si>
  <si>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</si>
  <si>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</si>
  <si>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</si>
  <si>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</si>
  <si>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</si>
  <si>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</si>
  <si>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</si>
  <si>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</si>
  <si>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</si>
  <si>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</si>
  <si>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</si>
  <si>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</si>
  <si>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</si>
  <si>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</si>
  <si>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</si>
  <si>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</si>
  <si>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</si>
  <si>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</si>
  <si>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</si>
  <si>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</si>
  <si>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</si>
  <si>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</si>
  <si>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</si>
  <si>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</si>
  <si>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</si>
  <si>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</si>
  <si>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</si>
  <si>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</si>
  <si>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</si>
  <si>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</si>
  <si>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</si>
  <si>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</si>
  <si>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</si>
  <si>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</si>
  <si>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</si>
  <si>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</si>
  <si>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</si>
  <si>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</si>
  <si>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</si>
  <si>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</si>
  <si>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</si>
  <si>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</si>
  <si>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</si>
  <si>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</si>
  <si>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</si>
  <si>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</si>
  <si>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</si>
  <si>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</si>
  <si>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</si>
  <si>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</si>
  <si>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</si>
  <si>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</si>
  <si>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</si>
  <si>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</si>
  <si>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</si>
  <si>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</si>
  <si>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</si>
  <si>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</si>
  <si>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</si>
  <si>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</si>
  <si>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</si>
  <si>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</si>
  <si>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</si>
  <si>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</si>
  <si>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</si>
  <si>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</si>
  <si>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</si>
  <si>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</si>
  <si>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</si>
  <si>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</si>
  <si>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</si>
  <si>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</si>
  <si>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</si>
  <si>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</si>
  <si>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</si>
  <si>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</si>
  <si>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</si>
  <si>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</si>
  <si>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</si>
  <si>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</si>
  <si>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</si>
  <si>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</si>
  <si>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</si>
  <si>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</si>
  <si>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</si>
  <si>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</si>
  <si>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</si>
  <si>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</si>
  <si>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</si>
  <si>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</si>
  <si>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</si>
  <si>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</si>
  <si>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</si>
  <si>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</si>
  <si>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</si>
  <si>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</si>
  <si>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</si>
  <si>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</si>
  <si>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</si>
  <si>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</si>
  <si>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</si>
  <si>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</si>
  <si>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</si>
  <si>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</si>
  <si>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</si>
  <si>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</si>
  <si>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</si>
  <si>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</si>
  <si>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</si>
  <si>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</si>
  <si>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</si>
  <si>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</si>
  <si>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</si>
  <si>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</si>
  <si>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</si>
  <si>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</si>
  <si>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</si>
  <si>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</si>
  <si>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</si>
  <si>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</si>
  <si>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</si>
  <si>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</si>
  <si>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</si>
  <si>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</si>
  <si>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</si>
  <si>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</si>
  <si>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</si>
  <si>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</si>
  <si>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</si>
  <si>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</si>
  <si>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</si>
  <si>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</si>
  <si>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</si>
  <si>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</si>
  <si>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</si>
  <si>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</si>
  <si>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</si>
  <si>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</si>
  <si>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</si>
  <si>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</si>
  <si>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</si>
  <si>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</si>
  <si>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</si>
  <si>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</si>
  <si>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</si>
  <si>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</si>
  <si>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</si>
  <si>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</si>
  <si>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</si>
  <si>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</si>
  <si>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</si>
  <si>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</si>
  <si>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</si>
  <si>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</si>
  <si>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</si>
  <si>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</si>
  <si>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</si>
  <si>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</si>
  <si>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</si>
  <si>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</si>
  <si>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</si>
  <si>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</si>
  <si>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</si>
  <si>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</si>
  <si>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</si>
  <si>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</si>
  <si>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</si>
  <si>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</si>
  <si>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</si>
  <si>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</si>
  <si>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</si>
  <si>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</si>
  <si>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</si>
  <si>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</si>
  <si>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</si>
  <si>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</si>
  <si>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</si>
  <si>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</si>
  <si>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</si>
  <si>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</si>
  <si>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</si>
  <si>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</si>
  <si>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</si>
  <si>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</si>
  <si>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</si>
  <si>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</si>
  <si>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</si>
  <si>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</si>
  <si>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</si>
  <si>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</si>
  <si>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</si>
  <si>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</si>
  <si>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</si>
  <si>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</si>
  <si>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</si>
  <si>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</si>
  <si>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</si>
  <si>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</si>
  <si>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</si>
  <si>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</si>
  <si>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</si>
  <si>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</si>
  <si>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</si>
  <si>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</si>
  <si>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</si>
  <si>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</si>
  <si>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</si>
  <si>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</si>
  <si>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</si>
  <si>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</si>
  <si>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</si>
  <si>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</si>
  <si>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</si>
  <si>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</si>
  <si>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</si>
  <si>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</si>
  <si>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</si>
  <si>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</si>
  <si>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</si>
  <si>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</si>
  <si>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</si>
  <si>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</si>
  <si>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</si>
  <si>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</si>
  <si>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</si>
  <si>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</si>
  <si>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</si>
  <si>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</si>
  <si>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</si>
  <si>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</si>
  <si>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</si>
  <si>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</si>
  <si>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</si>
  <si>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</si>
  <si>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</si>
  <si>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</si>
  <si>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</si>
  <si>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</si>
  <si>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</si>
  <si>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</si>
  <si>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</si>
  <si>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</si>
  <si>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</si>
  <si>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</si>
  <si>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</si>
  <si>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</si>
  <si>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</si>
  <si>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</si>
  <si>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</si>
  <si>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</si>
  <si>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</si>
  <si>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</si>
  <si>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</si>
  <si>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</si>
  <si>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</si>
  <si>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</si>
  <si>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</si>
  <si>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</si>
  <si>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</si>
  <si>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</si>
  <si>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</si>
  <si>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</si>
  <si>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</si>
  <si>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</si>
  <si>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</si>
  <si>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</si>
  <si>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</si>
  <si>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</si>
  <si>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</si>
  <si>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</si>
  <si>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</si>
  <si>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</si>
  <si>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</si>
  <si>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</si>
  <si>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</si>
  <si>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</si>
  <si>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</si>
  <si>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</si>
  <si>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</si>
  <si>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</si>
  <si>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</si>
  <si>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</si>
  <si>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</si>
  <si>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</si>
  <si>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</si>
  <si>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</si>
  <si>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</si>
  <si>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</si>
  <si>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</si>
  <si>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</si>
  <si>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</si>
  <si>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</si>
  <si>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</si>
  <si>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</si>
  <si>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</si>
  <si>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</si>
  <si>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</si>
  <si>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</si>
  <si>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</si>
  <si>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</si>
  <si>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</si>
  <si>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</si>
  <si>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</si>
  <si>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</si>
  <si>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</si>
  <si>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</si>
  <si>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</si>
  <si>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</si>
  <si>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</si>
  <si>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</si>
  <si>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</si>
  <si>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</si>
  <si>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</si>
  <si>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</si>
  <si>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</si>
  <si>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</si>
  <si>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</si>
  <si>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</si>
  <si>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</si>
  <si>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</si>
  <si>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</si>
  <si>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</si>
  <si>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</si>
  <si>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</si>
  <si>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</si>
  <si>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</si>
  <si>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</si>
  <si>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</si>
  <si>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</si>
  <si>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</si>
  <si>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</si>
  <si>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</si>
  <si>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</si>
  <si>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</si>
  <si>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</si>
  <si>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</si>
  <si>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</si>
  <si>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</si>
  <si>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</si>
  <si>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</si>
  <si>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</si>
  <si>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</si>
  <si>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</si>
  <si>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</si>
  <si>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</si>
  <si>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</si>
  <si>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</si>
  <si>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</si>
  <si>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</si>
  <si>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</si>
  <si>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</si>
  <si>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</si>
  <si>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</si>
  <si>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</si>
  <si>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</si>
  <si>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</si>
  <si>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</si>
  <si>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</si>
  <si>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</si>
  <si>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</si>
  <si>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</si>
  <si>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</si>
  <si>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</si>
  <si>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</si>
  <si>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</si>
  <si>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</si>
  <si>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</si>
  <si>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</si>
  <si>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</si>
  <si>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</si>
  <si>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</si>
  <si>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</si>
  <si>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</si>
  <si>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</si>
  <si>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</si>
  <si>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</si>
  <si>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</si>
  <si>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</si>
  <si>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</si>
  <si>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</si>
  <si>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</si>
  <si>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</si>
  <si>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</si>
  <si>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</si>
  <si>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</si>
  <si>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</si>
  <si>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</si>
  <si>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</si>
  <si>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</si>
  <si>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</si>
  <si>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</si>
  <si>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</si>
  <si>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</si>
  <si>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</si>
  <si>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</si>
  <si>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</si>
  <si>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</si>
  <si>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</si>
  <si>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</si>
  <si>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</si>
  <si>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</si>
  <si>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</si>
  <si>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</si>
  <si>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</si>
  <si>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</si>
  <si>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</si>
  <si>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</si>
  <si>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</si>
  <si>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</si>
  <si>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</si>
  <si>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</si>
  <si>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</si>
  <si>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</si>
  <si>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</si>
  <si>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</si>
  <si>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</si>
  <si>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</si>
  <si>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</si>
  <si>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</si>
  <si>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</si>
  <si>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</si>
  <si>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</si>
  <si>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</si>
  <si>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</si>
  <si>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</si>
  <si>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</si>
  <si>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</si>
  <si>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</si>
  <si>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</si>
  <si>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</si>
  <si>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</si>
  <si>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</si>
  <si>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</si>
  <si>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</si>
  <si>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</si>
  <si>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</si>
  <si>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</si>
  <si>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</si>
  <si>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</si>
  <si>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</si>
  <si>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</si>
  <si>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</si>
  <si>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</si>
  <si>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</si>
  <si>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</si>
  <si>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</si>
  <si>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</si>
  <si>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</si>
  <si>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</si>
  <si>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</si>
  <si>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</si>
  <si>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</si>
  <si>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</si>
  <si>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</si>
  <si>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</si>
  <si>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</si>
  <si>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</si>
  <si>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</si>
  <si>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</si>
  <si>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</si>
  <si>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</si>
  <si>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</si>
  <si>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</si>
  <si>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</si>
  <si>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</si>
  <si>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</si>
  <si>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</si>
  <si>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</si>
  <si>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</si>
  <si>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</si>
  <si>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</si>
  <si>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</si>
  <si>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</si>
  <si>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</si>
  <si>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</si>
  <si>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</si>
  <si>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</si>
  <si>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</si>
  <si>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</si>
  <si>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</si>
  <si>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</si>
  <si>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</si>
  <si>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</si>
  <si>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</si>
  <si>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</si>
  <si>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</si>
  <si>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</si>
  <si>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</si>
  <si>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</si>
  <si>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</si>
  <si>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</si>
  <si>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</si>
  <si>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</si>
  <si>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</si>
  <si>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</si>
  <si>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</si>
  <si>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</si>
  <si>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</si>
  <si>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</si>
  <si>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</si>
  <si>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</si>
  <si>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</si>
  <si>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</si>
  <si>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</si>
  <si>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</si>
  <si>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</si>
  <si>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</si>
  <si>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</si>
  <si>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</si>
  <si>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</si>
  <si>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</si>
  <si>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</si>
  <si>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</si>
  <si>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</si>
  <si>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</si>
  <si>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</si>
  <si>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</si>
  <si>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</si>
  <si>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</si>
  <si>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</si>
  <si>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</si>
  <si>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</si>
  <si>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</si>
  <si>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</si>
  <si>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</si>
  <si>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</si>
  <si>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</si>
  <si>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</si>
  <si>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</si>
  <si>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</si>
  <si>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***FI_T: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</si>
</sst>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69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83343</xdr:rowOff>
    </xdr:from>
    <xdr:to>
      <xdr:col>24</xdr:col>
      <xdr:colOff>119062</xdr:colOff>
      <xdr:row>49</xdr:row>
      <xdr:rowOff>154781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/>
      </xdr:nvSpPr>
      <xdr:spPr>
        <a:xfrm>
          <a:off x="702469" y="250031"/>
          <a:ext cx="13989843" cy="82391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48403</xdr:colOff>
      <xdr:row>0</xdr:row>
      <xdr:rowOff>34334</xdr:rowOff>
    </xdr:from>
    <xdr:to>
      <xdr:col>7</xdr:col>
      <xdr:colOff>500063</xdr:colOff>
      <xdr:row>3</xdr:row>
      <xdr:rowOff>0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55622" y="201022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</xdr:col>
      <xdr:colOff>476248</xdr:colOff>
      <xdr:row>3</xdr:row>
      <xdr:rowOff>63977</xdr:rowOff>
    </xdr:from>
    <xdr:to>
      <xdr:col>4</xdr:col>
      <xdr:colOff>154780</xdr:colOff>
      <xdr:row>5</xdr:row>
      <xdr:rowOff>72870</xdr:rowOff>
    </xdr:to>
    <xdr:sp macro="" textlink="">
      <xdr:nvSpPr>
        <xdr:cNvPr id="86" name="TextBox 1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/>
      </xdr:nvSpPr>
      <xdr:spPr>
        <a:xfrm>
          <a:off x="1690686" y="730727"/>
          <a:ext cx="892969" cy="342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Fabric</a:t>
          </a:r>
        </a:p>
      </xdr:txBody>
    </xdr:sp>
    <xdr:clientData/>
  </xdr:twoCellAnchor>
  <xdr:twoCellAnchor>
    <xdr:from>
      <xdr:col>2</xdr:col>
      <xdr:colOff>512752</xdr:colOff>
      <xdr:row>20</xdr:row>
      <xdr:rowOff>133350</xdr:rowOff>
    </xdr:from>
    <xdr:to>
      <xdr:col>8</xdr:col>
      <xdr:colOff>571500</xdr:colOff>
      <xdr:row>27</xdr:row>
      <xdr:rowOff>38100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727190" y="3467100"/>
          <a:ext cx="3702060" cy="1071563"/>
          <a:chOff x="2951152" y="6772275"/>
          <a:chExt cx="3716348" cy="1038225"/>
        </a:xfrm>
      </xdr:grpSpPr>
      <xdr:cxnSp macro="">
        <xdr:nvCxnSpPr>
          <xdr:cNvPr id="82" name="Straight Arrow Connector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Rectangle: Rounded Corners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Rectangle: Rounded Corners 96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8" name="Rectangle: Rounded Corners 97">
            <a:extLst>
              <a:ext uri="{FF2B5EF4-FFF2-40B4-BE49-F238E27FC236}">
                <a16:creationId xmlns:a16="http://schemas.microsoft.com/office/drawing/2014/main" id="{00000000-0008-0000-0300-000062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: Rounded Corners 98">
            <a:extLst>
              <a:ext uri="{FF2B5EF4-FFF2-40B4-BE49-F238E27FC236}">
                <a16:creationId xmlns:a16="http://schemas.microsoft.com/office/drawing/2014/main" id="{00000000-0008-0000-0300-000063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3</xdr:col>
      <xdr:colOff>331777</xdr:colOff>
      <xdr:row>28</xdr:row>
      <xdr:rowOff>19050</xdr:rowOff>
    </xdr:from>
    <xdr:to>
      <xdr:col>9</xdr:col>
      <xdr:colOff>390525</xdr:colOff>
      <xdr:row>34</xdr:row>
      <xdr:rowOff>85725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GrpSpPr/>
      </xdr:nvGrpSpPr>
      <xdr:grpSpPr>
        <a:xfrm>
          <a:off x="2153433" y="4686300"/>
          <a:ext cx="3702061" cy="1066800"/>
          <a:chOff x="2951152" y="6772275"/>
          <a:chExt cx="3716348" cy="1038225"/>
        </a:xfrm>
      </xdr:grpSpPr>
      <xdr:cxnSp macro="">
        <xdr:nvCxnSpPr>
          <xdr:cNvPr id="102" name="Straight Arrow Connector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Rectangle: Rounded Corners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: Rounded Corners 103">
            <a:extLst>
              <a:ext uri="{FF2B5EF4-FFF2-40B4-BE49-F238E27FC236}">
                <a16:creationId xmlns:a16="http://schemas.microsoft.com/office/drawing/2014/main" id="{00000000-0008-0000-0300-000068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Rectangle: Rounded Corners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6" name="Rectangle: Rounded Corners 105">
            <a:extLst>
              <a:ext uri="{FF2B5EF4-FFF2-40B4-BE49-F238E27FC236}">
                <a16:creationId xmlns:a16="http://schemas.microsoft.com/office/drawing/2014/main" id="{00000000-0008-0000-0300-00006A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236527</xdr:colOff>
      <xdr:row>36</xdr:row>
      <xdr:rowOff>0</xdr:rowOff>
    </xdr:from>
    <xdr:to>
      <xdr:col>10</xdr:col>
      <xdr:colOff>295275</xdr:colOff>
      <xdr:row>42</xdr:row>
      <xdr:rowOff>66675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GrpSpPr/>
      </xdr:nvGrpSpPr>
      <xdr:grpSpPr>
        <a:xfrm>
          <a:off x="2665402" y="6000750"/>
          <a:ext cx="3702061" cy="1066800"/>
          <a:chOff x="2951152" y="6772275"/>
          <a:chExt cx="3716348" cy="1038225"/>
        </a:xfrm>
      </xdr:grpSpPr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300-00006C000000}"/>
              </a:ext>
            </a:extLst>
          </xdr:cNvPr>
          <xdr:cNvCxnSpPr/>
        </xdr:nvCxnSpPr>
        <xdr:spPr>
          <a:xfrm>
            <a:off x="2951152" y="7083935"/>
            <a:ext cx="2011373" cy="2665"/>
          </a:xfrm>
          <a:prstGeom prst="straightConnector1">
            <a:avLst/>
          </a:prstGeom>
          <a:ln w="317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Rectangle: Rounded Corners 108">
            <a:extLst>
              <a:ext uri="{FF2B5EF4-FFF2-40B4-BE49-F238E27FC236}">
                <a16:creationId xmlns:a16="http://schemas.microsoft.com/office/drawing/2014/main" id="{00000000-0008-0000-0300-00006D000000}"/>
              </a:ext>
            </a:extLst>
          </xdr:cNvPr>
          <xdr:cNvSpPr/>
        </xdr:nvSpPr>
        <xdr:spPr>
          <a:xfrm>
            <a:off x="4974178" y="67722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0" name="Rectangle: Rounded Corners 109">
            <a:extLst>
              <a:ext uri="{FF2B5EF4-FFF2-40B4-BE49-F238E27FC236}">
                <a16:creationId xmlns:a16="http://schemas.microsoft.com/office/drawing/2014/main" id="{00000000-0008-0000-0300-00006E000000}"/>
              </a:ext>
            </a:extLst>
          </xdr:cNvPr>
          <xdr:cNvSpPr/>
        </xdr:nvSpPr>
        <xdr:spPr>
          <a:xfrm>
            <a:off x="5126578" y="69246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Rectangle: Rounded Corners 110">
            <a:extLst>
              <a:ext uri="{FF2B5EF4-FFF2-40B4-BE49-F238E27FC236}">
                <a16:creationId xmlns:a16="http://schemas.microsoft.com/office/drawing/2014/main" id="{00000000-0008-0000-0300-00006F000000}"/>
              </a:ext>
            </a:extLst>
          </xdr:cNvPr>
          <xdr:cNvSpPr/>
        </xdr:nvSpPr>
        <xdr:spPr>
          <a:xfrm>
            <a:off x="5278978" y="70770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2" name="Rectangle: Rounded Corners 111">
            <a:extLst>
              <a:ext uri="{FF2B5EF4-FFF2-40B4-BE49-F238E27FC236}">
                <a16:creationId xmlns:a16="http://schemas.microsoft.com/office/drawing/2014/main" id="{00000000-0008-0000-0300-000070000000}"/>
              </a:ext>
            </a:extLst>
          </xdr:cNvPr>
          <xdr:cNvSpPr/>
        </xdr:nvSpPr>
        <xdr:spPr>
          <a:xfrm>
            <a:off x="5431378" y="7229475"/>
            <a:ext cx="1236122" cy="581025"/>
          </a:xfrm>
          <a:prstGeom prst="roundRect">
            <a:avLst/>
          </a:prstGeom>
          <a:solidFill>
            <a:schemeClr val="bg2"/>
          </a:solidFill>
          <a:ln w="31750"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A Rated</a:t>
            </a:r>
          </a:p>
        </xdr:txBody>
      </xdr:sp>
    </xdr:grpSp>
    <xdr:clientData/>
  </xdr:twoCellAnchor>
  <xdr:twoCellAnchor>
    <xdr:from>
      <xdr:col>4</xdr:col>
      <xdr:colOff>566418</xdr:colOff>
      <xdr:row>3</xdr:row>
      <xdr:rowOff>63977</xdr:rowOff>
    </xdr:from>
    <xdr:to>
      <xdr:col>6</xdr:col>
      <xdr:colOff>28575</xdr:colOff>
      <xdr:row>5</xdr:row>
      <xdr:rowOff>68108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4209731" y="4064477"/>
          <a:ext cx="67659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Fuel</a:t>
          </a:r>
        </a:p>
      </xdr:txBody>
    </xdr:sp>
    <xdr:clientData/>
  </xdr:twoCellAnchor>
  <xdr:twoCellAnchor>
    <xdr:from>
      <xdr:col>11</xdr:col>
      <xdr:colOff>329247</xdr:colOff>
      <xdr:row>3</xdr:row>
      <xdr:rowOff>113030</xdr:rowOff>
    </xdr:from>
    <xdr:to>
      <xdr:col>12</xdr:col>
      <xdr:colOff>47628</xdr:colOff>
      <xdr:row>13</xdr:row>
      <xdr:rowOff>57149</xdr:rowOff>
    </xdr:to>
    <xdr:sp macro="" textlink="">
      <xdr:nvSpPr>
        <xdr:cNvPr id="116" name="TextBox 16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/>
      </xdr:nvSpPr>
      <xdr:spPr>
        <a:xfrm rot="16200000">
          <a:off x="7636353" y="4616924"/>
          <a:ext cx="1563369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Space </a:t>
          </a:r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Heat</a:t>
          </a:r>
          <a:r>
            <a:rPr lang="en-GB" sz="1400">
              <a:solidFill>
                <a:sysClr val="windowText" lastClr="000000"/>
              </a:solidFill>
            </a:rPr>
            <a:t> </a:t>
          </a:r>
          <a:r>
            <a:rPr lang="en-GB" sz="1400" baseline="0">
              <a:solidFill>
                <a:sysClr val="windowText" lastClr="000000"/>
              </a:solidFill>
            </a:rPr>
            <a:t>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5</xdr:row>
      <xdr:rowOff>38099</xdr:rowOff>
    </xdr:from>
    <xdr:to>
      <xdr:col>12</xdr:col>
      <xdr:colOff>0</xdr:colOff>
      <xdr:row>47</xdr:row>
      <xdr:rowOff>28574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>
          <a:off x="8524875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465693</xdr:colOff>
      <xdr:row>5</xdr:row>
      <xdr:rowOff>38099</xdr:rowOff>
    </xdr:from>
    <xdr:to>
      <xdr:col>12</xdr:col>
      <xdr:colOff>475218</xdr:colOff>
      <xdr:row>47</xdr:row>
      <xdr:rowOff>28574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9000093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359886</xdr:colOff>
      <xdr:row>5</xdr:row>
      <xdr:rowOff>38099</xdr:rowOff>
    </xdr:from>
    <xdr:to>
      <xdr:col>13</xdr:col>
      <xdr:colOff>369411</xdr:colOff>
      <xdr:row>47</xdr:row>
      <xdr:rowOff>28574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/>
      </xdr:nvCxnSpPr>
      <xdr:spPr>
        <a:xfrm>
          <a:off x="9503886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169388</xdr:colOff>
      <xdr:row>3</xdr:row>
      <xdr:rowOff>0</xdr:rowOff>
    </xdr:from>
    <xdr:to>
      <xdr:col>12</xdr:col>
      <xdr:colOff>497369</xdr:colOff>
      <xdr:row>13</xdr:row>
      <xdr:rowOff>57149</xdr:rowOff>
    </xdr:to>
    <xdr:sp macro="" textlink="">
      <xdr:nvSpPr>
        <xdr:cNvPr id="120" name="TextBox 1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 rot="16200000">
          <a:off x="7619367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Water Heat</a:t>
          </a:r>
          <a:r>
            <a:rPr lang="en-GB" sz="1400" baseline="0">
              <a:solidFill>
                <a:sysClr val="windowText" lastClr="000000"/>
              </a:solidFill>
            </a:rPr>
            <a:t> 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66679</xdr:colOff>
      <xdr:row>3</xdr:row>
      <xdr:rowOff>0</xdr:rowOff>
    </xdr:from>
    <xdr:to>
      <xdr:col>13</xdr:col>
      <xdr:colOff>394660</xdr:colOff>
      <xdr:row>13</xdr:row>
      <xdr:rowOff>57149</xdr:rowOff>
    </xdr:to>
    <xdr:sp macro="" textlink="">
      <xdr:nvSpPr>
        <xdr:cNvPr id="121" name="TextBox 16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/>
      </xdr:nvSpPr>
      <xdr:spPr>
        <a:xfrm rot="16200000">
          <a:off x="8126258" y="4150196"/>
          <a:ext cx="2496824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Lighting</a:t>
          </a:r>
          <a:r>
            <a:rPr lang="en-GB" sz="1400" baseline="0">
              <a:solidFill>
                <a:sysClr val="windowText" lastClr="000000"/>
              </a:solidFill>
            </a:rPr>
            <a:t>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206454</xdr:colOff>
      <xdr:row>5</xdr:row>
      <xdr:rowOff>38099</xdr:rowOff>
    </xdr:from>
    <xdr:to>
      <xdr:col>14</xdr:col>
      <xdr:colOff>215979</xdr:colOff>
      <xdr:row>47</xdr:row>
      <xdr:rowOff>28574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9960054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487844</xdr:colOff>
      <xdr:row>3</xdr:row>
      <xdr:rowOff>0</xdr:rowOff>
    </xdr:from>
    <xdr:to>
      <xdr:col>14</xdr:col>
      <xdr:colOff>173519</xdr:colOff>
      <xdr:row>13</xdr:row>
      <xdr:rowOff>57149</xdr:rowOff>
    </xdr:to>
    <xdr:sp macro="" textlink="">
      <xdr:nvSpPr>
        <xdr:cNvPr id="125" name="TextBox 16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/>
      </xdr:nvSpPr>
      <xdr:spPr>
        <a:xfrm rot="16200000">
          <a:off x="8269770" y="3905249"/>
          <a:ext cx="301942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Pumps &amp; Fans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110170</xdr:colOff>
      <xdr:row>5</xdr:row>
      <xdr:rowOff>38099</xdr:rowOff>
    </xdr:from>
    <xdr:to>
      <xdr:col>15</xdr:col>
      <xdr:colOff>119695</xdr:colOff>
      <xdr:row>47</xdr:row>
      <xdr:rowOff>28574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0473370" y="4248149"/>
          <a:ext cx="9525" cy="6791325"/>
        </a:xfrm>
        <a:prstGeom prst="straightConnector1">
          <a:avLst/>
        </a:prstGeom>
        <a:ln w="31750">
          <a:solidFill>
            <a:schemeClr val="accent3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438152</xdr:colOff>
      <xdr:row>3</xdr:row>
      <xdr:rowOff>0</xdr:rowOff>
    </xdr:from>
    <xdr:to>
      <xdr:col>15</xdr:col>
      <xdr:colOff>161927</xdr:colOff>
      <xdr:row>13</xdr:row>
      <xdr:rowOff>57149</xdr:rowOff>
    </xdr:to>
    <xdr:sp macro="" textlink="">
      <xdr:nvSpPr>
        <xdr:cNvPr id="127" name="TextBox 1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/>
      </xdr:nvSpPr>
      <xdr:spPr>
        <a:xfrm rot="16200000">
          <a:off x="8848728" y="3886199"/>
          <a:ext cx="30194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 baseline="0">
              <a:solidFill>
                <a:sysClr val="windowText" lastClr="000000"/>
              </a:solidFill>
            </a:rPr>
            <a:t>Appliances [PJ]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569902</xdr:colOff>
      <xdr:row>24</xdr:row>
      <xdr:rowOff>76200</xdr:rowOff>
    </xdr:from>
    <xdr:to>
      <xdr:col>11</xdr:col>
      <xdr:colOff>590550</xdr:colOff>
      <xdr:row>24</xdr:row>
      <xdr:rowOff>76200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/>
      </xdr:nvCxnSpPr>
      <xdr:spPr>
        <a:xfrm>
          <a:off x="6665902" y="7362825"/>
          <a:ext cx="18494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19050</xdr:rowOff>
    </xdr:from>
    <xdr:to>
      <xdr:col>12</xdr:col>
      <xdr:colOff>447675</xdr:colOff>
      <xdr:row>25</xdr:row>
      <xdr:rowOff>19050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>
        <a:xfrm>
          <a:off x="6665902" y="7467600"/>
          <a:ext cx="231617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25</xdr:row>
      <xdr:rowOff>123825</xdr:rowOff>
    </xdr:from>
    <xdr:to>
      <xdr:col>13</xdr:col>
      <xdr:colOff>352425</xdr:colOff>
      <xdr:row>25</xdr:row>
      <xdr:rowOff>152400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CxnSpPr/>
      </xdr:nvCxnSpPr>
      <xdr:spPr>
        <a:xfrm flipV="1">
          <a:off x="6665902" y="7572375"/>
          <a:ext cx="2830523" cy="2857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569902</xdr:colOff>
      <xdr:row>26</xdr:row>
      <xdr:rowOff>95250</xdr:rowOff>
    </xdr:from>
    <xdr:to>
      <xdr:col>14</xdr:col>
      <xdr:colOff>228600</xdr:colOff>
      <xdr:row>26</xdr:row>
      <xdr:rowOff>95251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CxnSpPr/>
      </xdr:nvCxnSpPr>
      <xdr:spPr>
        <a:xfrm flipV="1">
          <a:off x="6665902" y="7705725"/>
          <a:ext cx="331629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31</xdr:row>
      <xdr:rowOff>133350</xdr:rowOff>
    </xdr:from>
    <xdr:to>
      <xdr:col>12</xdr:col>
      <xdr:colOff>0</xdr:colOff>
      <xdr:row>31</xdr:row>
      <xdr:rowOff>133350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104052" y="8553450"/>
          <a:ext cx="1430348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32</xdr:row>
      <xdr:rowOff>66675</xdr:rowOff>
    </xdr:from>
    <xdr:to>
      <xdr:col>12</xdr:col>
      <xdr:colOff>447675</xdr:colOff>
      <xdr:row>32</xdr:row>
      <xdr:rowOff>76200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V="1">
          <a:off x="7104052" y="8648700"/>
          <a:ext cx="1878023" cy="9525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47625</xdr:rowOff>
    </xdr:from>
    <xdr:to>
      <xdr:col>13</xdr:col>
      <xdr:colOff>381000</xdr:colOff>
      <xdr:row>33</xdr:row>
      <xdr:rowOff>47626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7104052" y="8791575"/>
          <a:ext cx="2420948" cy="1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398452</xdr:colOff>
      <xdr:row>33</xdr:row>
      <xdr:rowOff>152402</xdr:rowOff>
    </xdr:from>
    <xdr:to>
      <xdr:col>14</xdr:col>
      <xdr:colOff>238125</xdr:colOff>
      <xdr:row>34</xdr:row>
      <xdr:rowOff>0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7104052" y="8896352"/>
          <a:ext cx="288767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39</xdr:row>
      <xdr:rowOff>95250</xdr:rowOff>
    </xdr:from>
    <xdr:to>
      <xdr:col>12</xdr:col>
      <xdr:colOff>19050</xdr:colOff>
      <xdr:row>39</xdr:row>
      <xdr:rowOff>95250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CxnSpPr/>
      </xdr:nvCxnSpPr>
      <xdr:spPr>
        <a:xfrm>
          <a:off x="7627927" y="9810750"/>
          <a:ext cx="925523" cy="0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40</xdr:row>
      <xdr:rowOff>28575</xdr:rowOff>
    </xdr:from>
    <xdr:to>
      <xdr:col>12</xdr:col>
      <xdr:colOff>476250</xdr:colOff>
      <xdr:row>40</xdr:row>
      <xdr:rowOff>38101</xdr:rowOff>
    </xdr:to>
    <xdr:cxnSp macro="">
      <xdr:nvCxnSpPr>
        <xdr:cNvPr id="196" name="Straight Arrow Connector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7627927" y="9906000"/>
          <a:ext cx="1382723" cy="9526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9527</xdr:rowOff>
    </xdr:from>
    <xdr:to>
      <xdr:col>13</xdr:col>
      <xdr:colOff>361950</xdr:colOff>
      <xdr:row>41</xdr:row>
      <xdr:rowOff>19050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>
          <a:off x="7627927" y="10048877"/>
          <a:ext cx="1878023" cy="9523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312727</xdr:colOff>
      <xdr:row>41</xdr:row>
      <xdr:rowOff>114300</xdr:rowOff>
    </xdr:from>
    <xdr:to>
      <xdr:col>14</xdr:col>
      <xdr:colOff>219075</xdr:colOff>
      <xdr:row>41</xdr:row>
      <xdr:rowOff>114302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7627927" y="10153650"/>
          <a:ext cx="2344748" cy="2"/>
        </a:xfrm>
        <a:prstGeom prst="straightConnector1">
          <a:avLst/>
        </a:prstGeom>
        <a:ln w="317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224472</xdr:colOff>
      <xdr:row>4</xdr:row>
      <xdr:rowOff>28575</xdr:rowOff>
    </xdr:from>
    <xdr:to>
      <xdr:col>20</xdr:col>
      <xdr:colOff>552453</xdr:colOff>
      <xdr:row>15</xdr:row>
      <xdr:rowOff>114305</xdr:rowOff>
    </xdr:to>
    <xdr:sp macro="" textlink="">
      <xdr:nvSpPr>
        <xdr:cNvPr id="201" name="TextBox 16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/>
      </xdr:nvSpPr>
      <xdr:spPr>
        <a:xfrm rot="16200000">
          <a:off x="12866210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400">
              <a:solidFill>
                <a:sysClr val="windowText" lastClr="000000"/>
              </a:solidFill>
            </a:rPr>
            <a:t>Apartment</a:t>
          </a:r>
          <a:r>
            <a:rPr lang="en-GB" sz="1400" baseline="0">
              <a:solidFill>
                <a:sysClr val="windowText" lastClr="000000"/>
              </a:solidFill>
            </a:rPr>
            <a:t> [000 units]</a:t>
          </a:r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523875</xdr:colOff>
      <xdr:row>5</xdr:row>
      <xdr:rowOff>55880</xdr:rowOff>
    </xdr:from>
    <xdr:to>
      <xdr:col>20</xdr:col>
      <xdr:colOff>533400</xdr:colOff>
      <xdr:row>47</xdr:row>
      <xdr:rowOff>46355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CxnSpPr/>
      </xdr:nvCxnSpPr>
      <xdr:spPr>
        <a:xfrm>
          <a:off x="139350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333375</xdr:colOff>
      <xdr:row>5</xdr:row>
      <xdr:rowOff>55880</xdr:rowOff>
    </xdr:from>
    <xdr:to>
      <xdr:col>21</xdr:col>
      <xdr:colOff>342900</xdr:colOff>
      <xdr:row>47</xdr:row>
      <xdr:rowOff>46355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1435417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238125</xdr:colOff>
      <xdr:row>5</xdr:row>
      <xdr:rowOff>55880</xdr:rowOff>
    </xdr:from>
    <xdr:to>
      <xdr:col>22</xdr:col>
      <xdr:colOff>247650</xdr:colOff>
      <xdr:row>47</xdr:row>
      <xdr:rowOff>46355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>
          <a:off x="14868525" y="4265930"/>
          <a:ext cx="9525" cy="6791325"/>
        </a:xfrm>
        <a:prstGeom prst="straightConnector1">
          <a:avLst/>
        </a:prstGeom>
        <a:ln w="31750">
          <a:solidFill>
            <a:srgbClr val="FFC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14923</xdr:colOff>
      <xdr:row>4</xdr:row>
      <xdr:rowOff>28575</xdr:rowOff>
    </xdr:from>
    <xdr:to>
      <xdr:col>21</xdr:col>
      <xdr:colOff>342904</xdr:colOff>
      <xdr:row>15</xdr:row>
      <xdr:rowOff>114305</xdr:rowOff>
    </xdr:to>
    <xdr:sp macro="" textlink="">
      <xdr:nvSpPr>
        <xdr:cNvPr id="205" name="TextBox 16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/>
      </xdr:nvSpPr>
      <xdr:spPr>
        <a:xfrm rot="16200000">
          <a:off x="132662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Attached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510223</xdr:colOff>
      <xdr:row>4</xdr:row>
      <xdr:rowOff>28575</xdr:rowOff>
    </xdr:from>
    <xdr:to>
      <xdr:col>22</xdr:col>
      <xdr:colOff>228604</xdr:colOff>
      <xdr:row>15</xdr:row>
      <xdr:rowOff>114305</xdr:rowOff>
    </xdr:to>
    <xdr:sp macro="" textlink="">
      <xdr:nvSpPr>
        <xdr:cNvPr id="206" name="TextBox 16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/>
      </xdr:nvSpPr>
      <xdr:spPr>
        <a:xfrm rot="16200000">
          <a:off x="13761561" y="4846162"/>
          <a:ext cx="1866905" cy="3279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kern="1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Detached [000 units]</a:t>
          </a:r>
          <a:endParaRPr lang="en-IE" sz="1400" kern="1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GB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590550</xdr:colOff>
      <xdr:row>15</xdr:row>
      <xdr:rowOff>119063</xdr:rowOff>
    </xdr:from>
    <xdr:to>
      <xdr:col>17</xdr:col>
      <xdr:colOff>2128</xdr:colOff>
      <xdr:row>15</xdr:row>
      <xdr:rowOff>133350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CxnSpPr/>
      </xdr:nvCxnSpPr>
      <xdr:spPr>
        <a:xfrm flipV="1">
          <a:off x="8515350" y="5948363"/>
          <a:ext cx="3069178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592678</xdr:colOff>
      <xdr:row>14</xdr:row>
      <xdr:rowOff>85725</xdr:rowOff>
    </xdr:from>
    <xdr:to>
      <xdr:col>19</xdr:col>
      <xdr:colOff>0</xdr:colOff>
      <xdr:row>18</xdr:row>
      <xdr:rowOff>19050</xdr:rowOff>
    </xdr:to>
    <xdr:sp macro="" textlink="">
      <xdr:nvSpPr>
        <xdr:cNvPr id="208" name="Rectangle: Rounded Corners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/>
      </xdr:nvSpPr>
      <xdr:spPr>
        <a:xfrm>
          <a:off x="11565478" y="5753100"/>
          <a:ext cx="1236122" cy="5810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RSD_Apt</a:t>
          </a:r>
        </a:p>
      </xdr:txBody>
    </xdr:sp>
    <xdr:clientData/>
  </xdr:twoCellAnchor>
  <xdr:twoCellAnchor>
    <xdr:from>
      <xdr:col>19</xdr:col>
      <xdr:colOff>0</xdr:colOff>
      <xdr:row>16</xdr:row>
      <xdr:rowOff>52388</xdr:rowOff>
    </xdr:from>
    <xdr:to>
      <xdr:col>20</xdr:col>
      <xdr:colOff>542925</xdr:colOff>
      <xdr:row>16</xdr:row>
      <xdr:rowOff>57150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>
          <a:stCxn id="208" idx="3"/>
        </xdr:cNvCxnSpPr>
      </xdr:nvCxnSpPr>
      <xdr:spPr>
        <a:xfrm>
          <a:off x="12843711" y="5987967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16</xdr:row>
      <xdr:rowOff>56885</xdr:rowOff>
    </xdr:from>
    <xdr:to>
      <xdr:col>17</xdr:col>
      <xdr:colOff>2128</xdr:colOff>
      <xdr:row>16</xdr:row>
      <xdr:rowOff>71173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 flipV="1">
          <a:off x="9010650" y="6048110"/>
          <a:ext cx="2573878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354806</xdr:colOff>
      <xdr:row>16</xdr:row>
      <xdr:rowOff>156633</xdr:rowOff>
    </xdr:from>
    <xdr:to>
      <xdr:col>17</xdr:col>
      <xdr:colOff>2128</xdr:colOff>
      <xdr:row>17</xdr:row>
      <xdr:rowOff>2381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V="1">
          <a:off x="9498806" y="6147858"/>
          <a:ext cx="2085722" cy="7673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213266</xdr:colOff>
      <xdr:row>17</xdr:row>
      <xdr:rowOff>87313</xdr:rowOff>
    </xdr:from>
    <xdr:to>
      <xdr:col>17</xdr:col>
      <xdr:colOff>2128</xdr:colOff>
      <xdr:row>17</xdr:row>
      <xdr:rowOff>97631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 flipV="1">
          <a:off x="9966866" y="6240463"/>
          <a:ext cx="1617662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601662</xdr:colOff>
      <xdr:row>22</xdr:row>
      <xdr:rowOff>1</xdr:rowOff>
    </xdr:from>
    <xdr:to>
      <xdr:col>17</xdr:col>
      <xdr:colOff>13240</xdr:colOff>
      <xdr:row>22</xdr:row>
      <xdr:rowOff>14288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>
        <a:xfrm flipV="1">
          <a:off x="8547100" y="682625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603790</xdr:colOff>
      <xdr:row>20</xdr:row>
      <xdr:rowOff>125413</xdr:rowOff>
    </xdr:from>
    <xdr:to>
      <xdr:col>19</xdr:col>
      <xdr:colOff>11112</xdr:colOff>
      <xdr:row>24</xdr:row>
      <xdr:rowOff>58738</xdr:rowOff>
    </xdr:to>
    <xdr:sp macro="" textlink="">
      <xdr:nvSpPr>
        <xdr:cNvPr id="214" name="Rectangle: Rounded Corners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/>
      </xdr:nvSpPr>
      <xdr:spPr>
        <a:xfrm>
          <a:off x="11605165" y="663416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RSD_Att</a:t>
          </a:r>
        </a:p>
      </xdr:txBody>
    </xdr:sp>
    <xdr:clientData/>
  </xdr:twoCellAnchor>
  <xdr:twoCellAnchor>
    <xdr:from>
      <xdr:col>19</xdr:col>
      <xdr:colOff>11112</xdr:colOff>
      <xdr:row>22</xdr:row>
      <xdr:rowOff>92076</xdr:rowOff>
    </xdr:from>
    <xdr:to>
      <xdr:col>21</xdr:col>
      <xdr:colOff>349250</xdr:colOff>
      <xdr:row>22</xdr:row>
      <xdr:rowOff>103188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CxnSpPr>
          <a:stCxn id="214" idx="3"/>
        </xdr:cNvCxnSpPr>
      </xdr:nvCxnSpPr>
      <xdr:spPr>
        <a:xfrm>
          <a:off x="12846050" y="6918326"/>
          <a:ext cx="1560513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487362</xdr:colOff>
      <xdr:row>22</xdr:row>
      <xdr:rowOff>96573</xdr:rowOff>
    </xdr:from>
    <xdr:to>
      <xdr:col>17</xdr:col>
      <xdr:colOff>13240</xdr:colOff>
      <xdr:row>22</xdr:row>
      <xdr:rowOff>110861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/>
      </xdr:nvCxnSpPr>
      <xdr:spPr>
        <a:xfrm flipV="1">
          <a:off x="9043987" y="692282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365918</xdr:colOff>
      <xdr:row>23</xdr:row>
      <xdr:rowOff>37571</xdr:rowOff>
    </xdr:from>
    <xdr:to>
      <xdr:col>17</xdr:col>
      <xdr:colOff>13240</xdr:colOff>
      <xdr:row>23</xdr:row>
      <xdr:rowOff>42069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CxnSpPr/>
      </xdr:nvCxnSpPr>
      <xdr:spPr>
        <a:xfrm flipV="1">
          <a:off x="9533731" y="702257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224378</xdr:colOff>
      <xdr:row>23</xdr:row>
      <xdr:rowOff>127001</xdr:rowOff>
    </xdr:from>
    <xdr:to>
      <xdr:col>17</xdr:col>
      <xdr:colOff>13240</xdr:colOff>
      <xdr:row>23</xdr:row>
      <xdr:rowOff>137319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0003378" y="711200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595312</xdr:colOff>
      <xdr:row>28</xdr:row>
      <xdr:rowOff>57151</xdr:rowOff>
    </xdr:from>
    <xdr:to>
      <xdr:col>17</xdr:col>
      <xdr:colOff>6890</xdr:colOff>
      <xdr:row>28</xdr:row>
      <xdr:rowOff>71438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 flipV="1">
          <a:off x="8540750" y="7835901"/>
          <a:ext cx="3078703" cy="14287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597440</xdr:colOff>
      <xdr:row>27</xdr:row>
      <xdr:rowOff>23813</xdr:rowOff>
    </xdr:from>
    <xdr:to>
      <xdr:col>19</xdr:col>
      <xdr:colOff>4762</xdr:colOff>
      <xdr:row>30</xdr:row>
      <xdr:rowOff>115888</xdr:rowOff>
    </xdr:to>
    <xdr:sp macro="" textlink="">
      <xdr:nvSpPr>
        <xdr:cNvPr id="220" name="Rectangle: Rounded Corners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/>
      </xdr:nvSpPr>
      <xdr:spPr>
        <a:xfrm>
          <a:off x="11598815" y="7643813"/>
          <a:ext cx="1240885" cy="568325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400">
              <a:solidFill>
                <a:sysClr val="windowText" lastClr="000000"/>
              </a:solidFill>
            </a:rPr>
            <a:t>RSD_Det</a:t>
          </a:r>
        </a:p>
      </xdr:txBody>
    </xdr:sp>
    <xdr:clientData/>
  </xdr:twoCellAnchor>
  <xdr:twoCellAnchor>
    <xdr:from>
      <xdr:col>19</xdr:col>
      <xdr:colOff>4762</xdr:colOff>
      <xdr:row>28</xdr:row>
      <xdr:rowOff>149226</xdr:rowOff>
    </xdr:from>
    <xdr:to>
      <xdr:col>22</xdr:col>
      <xdr:colOff>230188</xdr:colOff>
      <xdr:row>28</xdr:row>
      <xdr:rowOff>150813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>
          <a:stCxn id="220" idx="3"/>
        </xdr:cNvCxnSpPr>
      </xdr:nvCxnSpPr>
      <xdr:spPr>
        <a:xfrm>
          <a:off x="12839700" y="7927976"/>
          <a:ext cx="2058988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481012</xdr:colOff>
      <xdr:row>28</xdr:row>
      <xdr:rowOff>153723</xdr:rowOff>
    </xdr:from>
    <xdr:to>
      <xdr:col>17</xdr:col>
      <xdr:colOff>6890</xdr:colOff>
      <xdr:row>29</xdr:row>
      <xdr:rowOff>9261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9037637" y="7932473"/>
          <a:ext cx="2581816" cy="1428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359568</xdr:colOff>
      <xdr:row>29</xdr:row>
      <xdr:rowOff>94721</xdr:rowOff>
    </xdr:from>
    <xdr:to>
      <xdr:col>17</xdr:col>
      <xdr:colOff>6890</xdr:colOff>
      <xdr:row>29</xdr:row>
      <xdr:rowOff>99219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V="1">
          <a:off x="9527381" y="8032221"/>
          <a:ext cx="2092072" cy="449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218028</xdr:colOff>
      <xdr:row>30</xdr:row>
      <xdr:rowOff>25401</xdr:rowOff>
    </xdr:from>
    <xdr:to>
      <xdr:col>17</xdr:col>
      <xdr:colOff>6890</xdr:colOff>
      <xdr:row>30</xdr:row>
      <xdr:rowOff>35719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 flipV="1">
          <a:off x="9997028" y="8121651"/>
          <a:ext cx="1622425" cy="10318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59531</xdr:colOff>
      <xdr:row>3</xdr:row>
      <xdr:rowOff>63977</xdr:rowOff>
    </xdr:from>
    <xdr:to>
      <xdr:col>23</xdr:col>
      <xdr:colOff>571499</xdr:colOff>
      <xdr:row>5</xdr:row>
      <xdr:rowOff>68108</xdr:rowOff>
    </xdr:to>
    <xdr:sp macro="" textlink="">
      <xdr:nvSpPr>
        <xdr:cNvPr id="225" name="TextBox 16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/>
      </xdr:nvSpPr>
      <xdr:spPr>
        <a:xfrm>
          <a:off x="13418344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Drivers</a:t>
          </a:r>
        </a:p>
      </xdr:txBody>
    </xdr:sp>
    <xdr:clientData/>
  </xdr:twoCellAnchor>
  <xdr:twoCellAnchor>
    <xdr:from>
      <xdr:col>11</xdr:col>
      <xdr:colOff>497681</xdr:colOff>
      <xdr:row>3</xdr:row>
      <xdr:rowOff>63977</xdr:rowOff>
    </xdr:from>
    <xdr:to>
      <xdr:col>15</xdr:col>
      <xdr:colOff>402430</xdr:colOff>
      <xdr:row>5</xdr:row>
      <xdr:rowOff>68108</xdr:rowOff>
    </xdr:to>
    <xdr:sp macro="" textlink="">
      <xdr:nvSpPr>
        <xdr:cNvPr id="226" name="TextBox 16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/>
      </xdr:nvSpPr>
      <xdr:spPr>
        <a:xfrm>
          <a:off x="8391525" y="4064477"/>
          <a:ext cx="2333624" cy="337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>
              <a:solidFill>
                <a:sysClr val="windowText" lastClr="000000"/>
              </a:solidFill>
            </a:rPr>
            <a:t>Energy Service Demands</a:t>
          </a:r>
        </a:p>
      </xdr:txBody>
    </xdr:sp>
    <xdr:clientData/>
  </xdr:twoCellAnchor>
  <xdr:twoCellAnchor>
    <xdr:from>
      <xdr:col>16</xdr:col>
      <xdr:colOff>595649</xdr:colOff>
      <xdr:row>33</xdr:row>
      <xdr:rowOff>83254</xdr:rowOff>
    </xdr:from>
    <xdr:to>
      <xdr:col>19</xdr:col>
      <xdr:colOff>3687</xdr:colOff>
      <xdr:row>37</xdr:row>
      <xdr:rowOff>12044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00000000-0008-0000-0300-0000E3000000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n-GB" sz="120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House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Stock</m:t>
                        </m:r>
                        <m:r>
                          <a:rPr lang="en-US" sz="1200" b="0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227" name="Rectangle: Rounded Corners 226">
              <a:extLst>
                <a:ext uri="{FF2B5EF4-FFF2-40B4-BE49-F238E27FC236}">
                  <a16:creationId xmlns:a16="http://schemas.microsoft.com/office/drawing/2014/main" id="{754EE00E-E5B9-4C44-B942-B56A1D7DA50D}"/>
                </a:ext>
              </a:extLst>
            </xdr:cNvPr>
            <xdr:cNvSpPr/>
          </xdr:nvSpPr>
          <xdr:spPr>
            <a:xfrm>
              <a:off x="11604544" y="8745991"/>
              <a:ext cx="1242854" cy="570474"/>
            </a:xfrm>
            <a:prstGeom prst="roundRect">
              <a:avLst/>
            </a:prstGeom>
            <a:solidFill>
              <a:schemeClr val="accent3">
                <a:lumMod val="60000"/>
                <a:lumOff val="4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20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∑▒〖</a:t>
              </a:r>
              <a:r>
                <a:rPr lang="en-US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House Stock </a:t>
              </a:r>
              <a:r>
                <a:rPr lang="en-GB" sz="12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5</xdr:col>
      <xdr:colOff>201866</xdr:colOff>
      <xdr:row>18</xdr:row>
      <xdr:rowOff>94449</xdr:rowOff>
    </xdr:from>
    <xdr:to>
      <xdr:col>14</xdr:col>
      <xdr:colOff>220916</xdr:colOff>
      <xdr:row>18</xdr:row>
      <xdr:rowOff>116221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4476910" y="6431375"/>
          <a:ext cx="5515535" cy="2177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253045</xdr:colOff>
      <xdr:row>5</xdr:row>
      <xdr:rowOff>27305</xdr:rowOff>
    </xdr:from>
    <xdr:to>
      <xdr:col>15</xdr:col>
      <xdr:colOff>112059</xdr:colOff>
      <xdr:row>47</xdr:row>
      <xdr:rowOff>17780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GrpSpPr/>
      </xdr:nvGrpSpPr>
      <xdr:grpSpPr>
        <a:xfrm>
          <a:off x="1467483" y="860743"/>
          <a:ext cx="7752857" cy="6991350"/>
          <a:chOff x="1467483" y="1027430"/>
          <a:chExt cx="7752857" cy="699135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pSpPr/>
        </xdr:nvGrpSpPr>
        <xdr:grpSpPr>
          <a:xfrm>
            <a:off x="1467483" y="1027430"/>
            <a:ext cx="1218569" cy="6991350"/>
            <a:chOff x="2691445" y="4237355"/>
            <a:chExt cx="1223332" cy="6791325"/>
          </a:xfrm>
        </xdr:grpSpPr>
        <xdr:sp macro="" textlink="">
          <xdr:nvSpPr>
            <xdr:cNvPr id="141" name="TextBox 16">
              <a:extLst>
                <a:ext uri="{FF2B5EF4-FFF2-40B4-BE49-F238E27FC236}">
                  <a16:creationId xmlns:a16="http://schemas.microsoft.com/office/drawing/2014/main" id="{00000000-0008-0000-0300-00008D000000}"/>
                </a:ext>
              </a:extLst>
            </xdr:cNvPr>
            <xdr:cNvSpPr txBox="1"/>
          </xdr:nvSpPr>
          <xdr:spPr>
            <a:xfrm rot="16200000">
              <a:off x="1607024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Apartment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4" name="Straight Arrow Connector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CxnSpPr/>
          </xdr:nvCxnSpPr>
          <xdr:spPr>
            <a:xfrm>
              <a:off x="29527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CxnSpPr/>
          </xdr:nvCxnSpPr>
          <xdr:spPr>
            <a:xfrm>
              <a:off x="337185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Straight Arrow Connector 78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CxnSpPr/>
          </xdr:nvCxnSpPr>
          <xdr:spPr>
            <a:xfrm>
              <a:off x="3886200" y="4237355"/>
              <a:ext cx="9525" cy="6791325"/>
            </a:xfrm>
            <a:prstGeom prst="straightConnector1">
              <a:avLst/>
            </a:prstGeom>
            <a:ln w="31750">
              <a:solidFill>
                <a:sysClr val="windowText" lastClr="000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0" name="TextBox 16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 rot="16200000">
              <a:off x="20070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Attached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81" name="TextBox 16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 rot="16200000">
              <a:off x="2502375" y="5321777"/>
              <a:ext cx="2496824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Detached &lt; BER Rating &gt; [PJ]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/>
        </xdr:nvCxnSpPr>
        <xdr:spPr>
          <a:xfrm>
            <a:off x="3245644" y="2290763"/>
            <a:ext cx="1109662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>
            <a:extLst>
              <a:ext uri="{FF2B5EF4-FFF2-40B4-BE49-F238E27FC236}">
                <a16:creationId xmlns:a16="http://schemas.microsoft.com/office/drawing/2014/main" id="{00000000-0008-0000-0300-000059000000}"/>
              </a:ext>
            </a:extLst>
          </xdr:cNvPr>
          <xdr:cNvCxnSpPr/>
        </xdr:nvCxnSpPr>
        <xdr:spPr>
          <a:xfrm>
            <a:off x="3226594" y="1071562"/>
            <a:ext cx="16809" cy="2312614"/>
          </a:xfrm>
          <a:prstGeom prst="straightConnector1">
            <a:avLst/>
          </a:prstGeom>
          <a:ln w="31750">
            <a:solidFill>
              <a:srgbClr val="7030A0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Rectangle: Rounded Corners 91">
            <a:extLst>
              <a:ext uri="{FF2B5EF4-FFF2-40B4-BE49-F238E27FC236}">
                <a16:creationId xmlns:a16="http://schemas.microsoft.com/office/drawing/2014/main" id="{00000000-0008-0000-0300-00005C000000}"/>
              </a:ext>
            </a:extLst>
          </xdr:cNvPr>
          <xdr:cNvSpPr/>
        </xdr:nvSpPr>
        <xdr:spPr>
          <a:xfrm>
            <a:off x="4357434" y="1957388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3" name="Rectangle: Rounded Corners 92">
            <a:extLst>
              <a:ext uri="{FF2B5EF4-FFF2-40B4-BE49-F238E27FC236}">
                <a16:creationId xmlns:a16="http://schemas.microsoft.com/office/drawing/2014/main" id="{00000000-0008-0000-0300-00005D000000}"/>
              </a:ext>
            </a:extLst>
          </xdr:cNvPr>
          <xdr:cNvSpPr/>
        </xdr:nvSpPr>
        <xdr:spPr>
          <a:xfrm>
            <a:off x="4509834" y="2114550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4" name="Rectangle: Rounded Corners 93">
            <a:extLst>
              <a:ext uri="{FF2B5EF4-FFF2-40B4-BE49-F238E27FC236}">
                <a16:creationId xmlns:a16="http://schemas.microsoft.com/office/drawing/2014/main" id="{00000000-0008-0000-0300-00005E000000}"/>
              </a:ext>
            </a:extLst>
          </xdr:cNvPr>
          <xdr:cNvSpPr/>
        </xdr:nvSpPr>
        <xdr:spPr>
          <a:xfrm>
            <a:off x="4662234" y="2271713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: Rounded Corners 94">
            <a:extLst>
              <a:ext uri="{FF2B5EF4-FFF2-40B4-BE49-F238E27FC236}">
                <a16:creationId xmlns:a16="http://schemas.microsoft.com/office/drawing/2014/main" id="{00000000-0008-0000-0300-00005F000000}"/>
              </a:ext>
            </a:extLst>
          </xdr:cNvPr>
          <xdr:cNvSpPr/>
        </xdr:nvSpPr>
        <xdr:spPr>
          <a:xfrm>
            <a:off x="4814634" y="2428875"/>
            <a:ext cx="1231360" cy="600075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400">
                <a:solidFill>
                  <a:sysClr val="windowText" lastClr="000000"/>
                </a:solidFill>
              </a:rPr>
              <a:t>Boilers</a:t>
            </a: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00000000-0008-0000-0300-000080000000}"/>
              </a:ext>
            </a:extLst>
          </xdr:cNvPr>
          <xdr:cNvCxnSpPr/>
        </xdr:nvCxnSpPr>
        <xdr:spPr>
          <a:xfrm>
            <a:off x="6045994" y="2547938"/>
            <a:ext cx="1250156" cy="0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00000000-0008-0000-0300-000082000000}"/>
              </a:ext>
            </a:extLst>
          </xdr:cNvPr>
          <xdr:cNvCxnSpPr/>
        </xdr:nvCxnSpPr>
        <xdr:spPr>
          <a:xfrm>
            <a:off x="6036469" y="2686050"/>
            <a:ext cx="1707356" cy="9525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Arrow Connector 198">
            <a:extLst>
              <a:ext uri="{FF2B5EF4-FFF2-40B4-BE49-F238E27FC236}">
                <a16:creationId xmlns:a16="http://schemas.microsoft.com/office/drawing/2014/main" id="{00000000-0008-0000-0300-0000C7000000}"/>
              </a:ext>
            </a:extLst>
          </xdr:cNvPr>
          <xdr:cNvCxnSpPr/>
        </xdr:nvCxnSpPr>
        <xdr:spPr>
          <a:xfrm flipV="1">
            <a:off x="3245644" y="3180670"/>
            <a:ext cx="5001986" cy="544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Arrow Connector 228">
            <a:extLst>
              <a:ext uri="{FF2B5EF4-FFF2-40B4-BE49-F238E27FC236}">
                <a16:creationId xmlns:a16="http://schemas.microsoft.com/office/drawing/2014/main" id="{00000000-0008-0000-0300-0000E5000000}"/>
              </a:ext>
            </a:extLst>
          </xdr:cNvPr>
          <xdr:cNvCxnSpPr/>
        </xdr:nvCxnSpPr>
        <xdr:spPr>
          <a:xfrm flipV="1">
            <a:off x="3239080" y="3350559"/>
            <a:ext cx="5981260" cy="27693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120316</xdr:colOff>
      <xdr:row>35</xdr:row>
      <xdr:rowOff>45118</xdr:rowOff>
    </xdr:from>
    <xdr:to>
      <xdr:col>16</xdr:col>
      <xdr:colOff>595649</xdr:colOff>
      <xdr:row>35</xdr:row>
      <xdr:rowOff>47649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CxnSpPr>
          <a:endCxn id="227" idx="1"/>
        </xdr:cNvCxnSpPr>
      </xdr:nvCxnSpPr>
      <xdr:spPr>
        <a:xfrm>
          <a:off x="10517605" y="9028697"/>
          <a:ext cx="1086939" cy="2531"/>
        </a:xfrm>
        <a:prstGeom prst="straightConnector1">
          <a:avLst/>
        </a:prstGeom>
        <a:ln w="31750">
          <a:solidFill>
            <a:schemeClr val="accent3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6016</xdr:colOff>
      <xdr:row>34</xdr:row>
      <xdr:rowOff>52388</xdr:rowOff>
    </xdr:from>
    <xdr:to>
      <xdr:col>20</xdr:col>
      <xdr:colOff>548941</xdr:colOff>
      <xdr:row>34</xdr:row>
      <xdr:rowOff>57150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CxnSpPr/>
      </xdr:nvCxnSpPr>
      <xdr:spPr>
        <a:xfrm>
          <a:off x="12849727" y="8875546"/>
          <a:ext cx="1154530" cy="476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7101</xdr:colOff>
      <xdr:row>35</xdr:row>
      <xdr:rowOff>56983</xdr:rowOff>
    </xdr:from>
    <xdr:to>
      <xdr:col>21</xdr:col>
      <xdr:colOff>345239</xdr:colOff>
      <xdr:row>35</xdr:row>
      <xdr:rowOff>68095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CxnSpPr/>
      </xdr:nvCxnSpPr>
      <xdr:spPr>
        <a:xfrm>
          <a:off x="12850812" y="9040562"/>
          <a:ext cx="1561348" cy="11112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10777</xdr:colOff>
      <xdr:row>36</xdr:row>
      <xdr:rowOff>58990</xdr:rowOff>
    </xdr:from>
    <xdr:to>
      <xdr:col>22</xdr:col>
      <xdr:colOff>236203</xdr:colOff>
      <xdr:row>36</xdr:row>
      <xdr:rowOff>60577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CxnSpPr/>
      </xdr:nvCxnSpPr>
      <xdr:spPr>
        <a:xfrm>
          <a:off x="12854488" y="9202990"/>
          <a:ext cx="2060241" cy="1587"/>
        </a:xfrm>
        <a:prstGeom prst="straightConnector1">
          <a:avLst/>
        </a:prstGeom>
        <a:ln w="31750">
          <a:solidFill>
            <a:srgbClr val="FFC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46021</xdr:colOff>
      <xdr:row>48</xdr:row>
      <xdr:rowOff>55765</xdr:rowOff>
    </xdr:from>
    <xdr:to>
      <xdr:col>26</xdr:col>
      <xdr:colOff>497680</xdr:colOff>
      <xdr:row>51</xdr:row>
      <xdr:rowOff>21431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2190396" y="8223453"/>
          <a:ext cx="4094972" cy="465728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26 Nov 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33" t="s">
        <v>702</v>
      </c>
      <c r="B17" s="1033"/>
      <c r="C17" s="1033"/>
      <c r="D17" s="1033"/>
      <c r="E17" s="1033"/>
      <c r="F17" s="1033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34" t="s">
        <v>703</v>
      </c>
      <c r="C20" s="1034"/>
      <c r="D20" s="1034"/>
      <c r="E20" s="1034"/>
      <c r="F20" s="1034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35" t="s">
        <v>1</v>
      </c>
      <c r="C21" s="1035"/>
      <c r="D21" s="1035"/>
      <c r="E21" s="1035"/>
      <c r="F21" s="1035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35" t="s">
        <v>705</v>
      </c>
      <c r="C22" s="1035"/>
      <c r="D22" s="1035"/>
      <c r="E22" s="1035"/>
      <c r="F22" s="1035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36"/>
      <c r="B25" s="1036"/>
      <c r="C25" s="1036"/>
      <c r="D25" s="1036"/>
      <c r="E25" s="1036"/>
      <c r="F25" s="1036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32"/>
      <c r="B26" s="1032"/>
      <c r="C26" s="1032"/>
      <c r="D26" s="1032"/>
      <c r="E26" s="1032"/>
      <c r="F26" s="1032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H25" sqref="H25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1265</v>
      </c>
      <c r="C5" s="1000" t="s">
        <v>226</v>
      </c>
      <c r="D5" s="1000" t="s">
        <v>1266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1267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1268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878</v>
      </c>
      <c r="B10" s="1001" t="s">
        <v>1269</v>
      </c>
    </row>
    <row r="11" spans="1:30">
      <c r="A11" s="1002" t="s">
        <v>1270</v>
      </c>
      <c r="B11" s="1002" t="s">
        <v>342</v>
      </c>
    </row>
    <row r="12" spans="1:30">
      <c r="A12" s="1003" t="s">
        <v>1271</v>
      </c>
      <c r="B12" s="1003" t="s">
        <v>358</v>
      </c>
    </row>
    <row r="13" spans="1:30">
      <c r="A13" s="1003" t="s">
        <v>1272</v>
      </c>
      <c r="B13" s="1003" t="s">
        <v>376</v>
      </c>
    </row>
    <row r="14" spans="1:30">
      <c r="A14" s="1003" t="s">
        <v>1273</v>
      </c>
      <c r="B14" s="1003" t="s">
        <v>380</v>
      </c>
    </row>
    <row r="15" spans="1:30">
      <c r="A15" s="1003" t="s">
        <v>1274</v>
      </c>
      <c r="B15" s="1003" t="s">
        <v>384</v>
      </c>
    </row>
    <row r="16" spans="1:30">
      <c r="A16" s="1003" t="s">
        <v>1275</v>
      </c>
      <c r="B16" s="1003" t="s">
        <v>388</v>
      </c>
    </row>
    <row r="17" spans="1:2">
      <c r="A17" s="1003" t="s">
        <v>1276</v>
      </c>
      <c r="B17" s="1003" t="s">
        <v>390</v>
      </c>
    </row>
    <row r="18" spans="1:2">
      <c r="A18" s="1003" t="s">
        <v>1277</v>
      </c>
      <c r="B18" s="1003" t="s">
        <v>391</v>
      </c>
    </row>
    <row r="19" spans="1:2">
      <c r="A19" s="1003" t="s">
        <v>1278</v>
      </c>
      <c r="B19" s="1003" t="s">
        <v>377</v>
      </c>
    </row>
    <row r="20" spans="1:2">
      <c r="A20" s="1003" t="s">
        <v>1279</v>
      </c>
      <c r="B20" s="1003" t="s">
        <v>378</v>
      </c>
    </row>
    <row r="21" spans="1:2">
      <c r="A21" s="1003" t="s">
        <v>1280</v>
      </c>
      <c r="B21" s="1003" t="s">
        <v>379</v>
      </c>
    </row>
    <row r="22" spans="1:2">
      <c r="A22" s="1003" t="s">
        <v>1281</v>
      </c>
      <c r="B22" s="1003" t="s">
        <v>395</v>
      </c>
    </row>
    <row r="23" spans="1:2">
      <c r="A23" s="1003" t="s">
        <v>1282</v>
      </c>
      <c r="B23" s="1003" t="s">
        <v>392</v>
      </c>
    </row>
    <row r="24" spans="1:2">
      <c r="A24" s="1003" t="s">
        <v>1283</v>
      </c>
      <c r="B24" s="1003" t="s">
        <v>381</v>
      </c>
    </row>
    <row r="25" spans="1:2">
      <c r="A25" s="1003" t="s">
        <v>1284</v>
      </c>
      <c r="B25" s="1003" t="s">
        <v>382</v>
      </c>
    </row>
    <row r="26" spans="1:2">
      <c r="A26" s="1003" t="s">
        <v>1285</v>
      </c>
      <c r="B26" s="1003" t="s">
        <v>396</v>
      </c>
    </row>
    <row r="27" spans="1:2">
      <c r="A27" s="1003" t="s">
        <v>1286</v>
      </c>
      <c r="B27" s="1003" t="s">
        <v>383</v>
      </c>
    </row>
    <row r="28" spans="1:2">
      <c r="A28" s="1003" t="s">
        <v>1287</v>
      </c>
      <c r="B28" s="1003" t="s">
        <v>399</v>
      </c>
    </row>
    <row r="29" spans="1:2">
      <c r="A29" s="1003" t="s">
        <v>1288</v>
      </c>
      <c r="B29" s="1003" t="s">
        <v>385</v>
      </c>
    </row>
    <row r="30" spans="1:2">
      <c r="A30" s="1003" t="s">
        <v>1289</v>
      </c>
      <c r="B30" s="1003" t="s">
        <v>397</v>
      </c>
    </row>
    <row r="31" spans="1:2">
      <c r="A31" s="1003" t="s">
        <v>1290</v>
      </c>
      <c r="B31" s="1003" t="s">
        <v>398</v>
      </c>
    </row>
    <row r="32" spans="1:2">
      <c r="A32" s="1003" t="s">
        <v>1291</v>
      </c>
      <c r="B32" s="1003" t="s">
        <v>393</v>
      </c>
    </row>
    <row r="33" spans="1:2">
      <c r="A33" s="1003" t="s">
        <v>1292</v>
      </c>
      <c r="B33" s="1003" t="s">
        <v>394</v>
      </c>
    </row>
    <row r="34" spans="1:2">
      <c r="A34" s="1003" t="s">
        <v>1293</v>
      </c>
      <c r="B34" s="1003" t="s">
        <v>386</v>
      </c>
    </row>
    <row r="35" spans="1:2">
      <c r="A35" s="1003" t="s">
        <v>1294</v>
      </c>
      <c r="B35" s="1003" t="s">
        <v>387</v>
      </c>
    </row>
    <row r="36" spans="1:2">
      <c r="A36" s="1003" t="s">
        <v>1295</v>
      </c>
      <c r="B36" s="1003" t="s">
        <v>389</v>
      </c>
    </row>
    <row r="37" spans="1:2" ht="15">
      <c r="A37" s="1004" t="s">
        <v>1296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topLeftCell="B1" zoomScale="80" zoomScaleNormal="80" workbookViewId="0">
      <selection activeCell="AA45" sqref="AA45"/>
    </sheetView>
  </sheetViews>
  <sheetFormatPr defaultRowHeight="12.7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topLeftCell="A66" workbookViewId="0">
      <selection activeCell="I87" sqref="I87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40" t="s">
        <v>32</v>
      </c>
      <c r="B1" s="1041"/>
      <c r="C1" s="1041"/>
    </row>
    <row r="2" spans="1:21" s="118" customFormat="1">
      <c r="A2" s="661" t="s">
        <v>752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1317</v>
      </c>
      <c r="C4" s="653" t="s">
        <v>902</v>
      </c>
    </row>
    <row r="5" spans="1:21">
      <c r="A5" s="652"/>
      <c r="B5" s="653" t="s">
        <v>827</v>
      </c>
      <c r="C5" s="653" t="s">
        <v>826</v>
      </c>
    </row>
    <row r="6" spans="1:21">
      <c r="A6" s="661"/>
      <c r="B6" s="661" t="s">
        <v>33</v>
      </c>
      <c r="C6" s="661" t="s">
        <v>6</v>
      </c>
    </row>
    <row r="7" spans="1:21">
      <c r="A7" s="1037" t="s">
        <v>34</v>
      </c>
      <c r="B7" s="1038"/>
      <c r="C7" s="1039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911</v>
      </c>
      <c r="L9" s="131" t="s">
        <v>912</v>
      </c>
      <c r="S9" s="131" t="s">
        <v>913</v>
      </c>
      <c r="T9" s="131" t="s">
        <v>914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878</v>
      </c>
      <c r="J10" s="131" t="s">
        <v>6</v>
      </c>
      <c r="L10" s="131" t="s">
        <v>878</v>
      </c>
      <c r="M10" s="131" t="s">
        <v>6</v>
      </c>
      <c r="N10" s="131" t="s">
        <v>915</v>
      </c>
      <c r="O10" s="131" t="s">
        <v>231</v>
      </c>
      <c r="P10" s="131" t="s">
        <v>916</v>
      </c>
      <c r="Q10" s="131" t="s">
        <v>917</v>
      </c>
      <c r="R10" s="131" t="s">
        <v>918</v>
      </c>
      <c r="T10" s="131" t="s">
        <v>878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919</v>
      </c>
      <c r="J11" s="131" t="s">
        <v>675</v>
      </c>
      <c r="L11" s="131" t="s">
        <v>1070</v>
      </c>
      <c r="M11" s="131" t="s">
        <v>1071</v>
      </c>
      <c r="N11" s="131" t="s">
        <v>888</v>
      </c>
      <c r="O11" s="131" t="s">
        <v>232</v>
      </c>
      <c r="P11" s="131" t="s">
        <v>887</v>
      </c>
      <c r="R11" s="131" t="s">
        <v>887</v>
      </c>
      <c r="T11" s="131" t="s">
        <v>920</v>
      </c>
      <c r="U11" s="131" t="s">
        <v>921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922</v>
      </c>
      <c r="J12" s="131" t="s">
        <v>923</v>
      </c>
      <c r="L12" s="131" t="s">
        <v>1072</v>
      </c>
      <c r="M12" s="131" t="s">
        <v>1073</v>
      </c>
      <c r="N12" s="131" t="s">
        <v>888</v>
      </c>
      <c r="O12" s="131" t="s">
        <v>233</v>
      </c>
      <c r="P12" s="131" t="s">
        <v>887</v>
      </c>
      <c r="R12" s="131" t="s">
        <v>887</v>
      </c>
      <c r="T12" s="131" t="s">
        <v>924</v>
      </c>
      <c r="U12" s="131" t="s">
        <v>925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926</v>
      </c>
      <c r="J13" s="131" t="s">
        <v>927</v>
      </c>
      <c r="L13" s="131" t="s">
        <v>1074</v>
      </c>
      <c r="M13" s="131" t="s">
        <v>1075</v>
      </c>
      <c r="N13" s="131" t="s">
        <v>888</v>
      </c>
      <c r="O13" s="131" t="s">
        <v>234</v>
      </c>
      <c r="P13" s="131" t="s">
        <v>887</v>
      </c>
      <c r="R13" s="131" t="s">
        <v>887</v>
      </c>
      <c r="T13" s="131" t="s">
        <v>928</v>
      </c>
      <c r="U13" s="131" t="s">
        <v>929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930</v>
      </c>
      <c r="J14" s="131" t="s">
        <v>931</v>
      </c>
      <c r="L14" s="131" t="s">
        <v>1076</v>
      </c>
      <c r="M14" s="131" t="s">
        <v>1077</v>
      </c>
      <c r="N14" s="131" t="s">
        <v>888</v>
      </c>
      <c r="O14" s="131" t="s">
        <v>235</v>
      </c>
      <c r="P14" s="131" t="s">
        <v>887</v>
      </c>
      <c r="R14" s="131" t="s">
        <v>887</v>
      </c>
      <c r="T14" s="131" t="s">
        <v>932</v>
      </c>
      <c r="U14" s="131" t="s">
        <v>933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934</v>
      </c>
      <c r="J15" s="131" t="s">
        <v>935</v>
      </c>
      <c r="L15" s="131" t="s">
        <v>1078</v>
      </c>
      <c r="M15" s="131" t="s">
        <v>1079</v>
      </c>
      <c r="N15" s="131" t="s">
        <v>888</v>
      </c>
      <c r="O15" s="131" t="s">
        <v>999</v>
      </c>
      <c r="P15" s="131" t="s">
        <v>887</v>
      </c>
      <c r="R15" s="131" t="s">
        <v>887</v>
      </c>
      <c r="T15" s="131" t="s">
        <v>936</v>
      </c>
      <c r="U15" s="131" t="s">
        <v>1080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937</v>
      </c>
      <c r="J16" s="131" t="s">
        <v>938</v>
      </c>
      <c r="L16" s="131" t="s">
        <v>1081</v>
      </c>
      <c r="M16" s="131" t="s">
        <v>1082</v>
      </c>
      <c r="N16" s="131" t="s">
        <v>888</v>
      </c>
      <c r="O16" s="131" t="s">
        <v>239</v>
      </c>
      <c r="P16" s="131" t="s">
        <v>887</v>
      </c>
      <c r="R16" s="131" t="s">
        <v>887</v>
      </c>
      <c r="T16" s="131" t="s">
        <v>939</v>
      </c>
      <c r="U16" s="131" t="s">
        <v>1083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940</v>
      </c>
      <c r="J17" s="131" t="s">
        <v>632</v>
      </c>
      <c r="L17" s="131" t="s">
        <v>1084</v>
      </c>
      <c r="M17" s="131" t="s">
        <v>1085</v>
      </c>
      <c r="N17" s="131" t="s">
        <v>888</v>
      </c>
      <c r="O17" s="131" t="s">
        <v>241</v>
      </c>
      <c r="P17" s="131" t="s">
        <v>887</v>
      </c>
      <c r="R17" s="131" t="s">
        <v>887</v>
      </c>
      <c r="T17" s="131" t="s">
        <v>941</v>
      </c>
      <c r="U17" s="131" t="s">
        <v>1086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942</v>
      </c>
      <c r="J18" s="131" t="s">
        <v>633</v>
      </c>
      <c r="L18" s="131" t="s">
        <v>1087</v>
      </c>
      <c r="M18" s="131" t="s">
        <v>1088</v>
      </c>
      <c r="N18" s="131" t="s">
        <v>888</v>
      </c>
      <c r="O18" s="131" t="s">
        <v>240</v>
      </c>
      <c r="P18" s="131" t="s">
        <v>887</v>
      </c>
      <c r="R18" s="131" t="s">
        <v>887</v>
      </c>
      <c r="T18" s="131" t="s">
        <v>943</v>
      </c>
      <c r="U18" s="131" t="s">
        <v>944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945</v>
      </c>
      <c r="J19" s="131" t="s">
        <v>946</v>
      </c>
      <c r="L19" s="131" t="s">
        <v>1089</v>
      </c>
      <c r="M19" s="131" t="s">
        <v>1090</v>
      </c>
      <c r="N19" s="131" t="s">
        <v>888</v>
      </c>
      <c r="O19" s="131" t="s">
        <v>237</v>
      </c>
      <c r="P19" s="131" t="s">
        <v>887</v>
      </c>
      <c r="R19" s="131" t="s">
        <v>887</v>
      </c>
      <c r="T19" s="131" t="s">
        <v>947</v>
      </c>
      <c r="U19" s="131" t="s">
        <v>948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949</v>
      </c>
      <c r="J20" s="131" t="s">
        <v>950</v>
      </c>
      <c r="L20" s="131" t="s">
        <v>1091</v>
      </c>
      <c r="M20" s="131" t="s">
        <v>1092</v>
      </c>
      <c r="N20" s="131" t="s">
        <v>888</v>
      </c>
      <c r="O20" s="131" t="s">
        <v>238</v>
      </c>
      <c r="P20" s="131" t="s">
        <v>887</v>
      </c>
      <c r="R20" s="131" t="s">
        <v>887</v>
      </c>
      <c r="T20" s="131" t="s">
        <v>951</v>
      </c>
      <c r="U20" s="131" t="s">
        <v>952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953</v>
      </c>
      <c r="J21" s="131" t="s">
        <v>954</v>
      </c>
      <c r="L21" s="131" t="s">
        <v>1093</v>
      </c>
      <c r="M21" s="131" t="s">
        <v>1094</v>
      </c>
      <c r="N21" s="131" t="s">
        <v>888</v>
      </c>
      <c r="O21" s="131" t="s">
        <v>242</v>
      </c>
      <c r="P21" s="131" t="s">
        <v>887</v>
      </c>
      <c r="R21" s="131" t="s">
        <v>887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955</v>
      </c>
      <c r="J22" s="131" t="s">
        <v>956</v>
      </c>
      <c r="L22" s="131" t="s">
        <v>1095</v>
      </c>
      <c r="M22" s="131" t="s">
        <v>1096</v>
      </c>
      <c r="N22" s="131" t="s">
        <v>888</v>
      </c>
      <c r="O22" s="131" t="s">
        <v>1011</v>
      </c>
      <c r="P22" s="131" t="s">
        <v>887</v>
      </c>
      <c r="R22" s="131" t="s">
        <v>887</v>
      </c>
      <c r="T22" s="131" t="s">
        <v>873</v>
      </c>
      <c r="W22" s="131" t="s">
        <v>874</v>
      </c>
      <c r="AA22" s="131" t="s">
        <v>875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957</v>
      </c>
      <c r="J23" s="131" t="s">
        <v>958</v>
      </c>
      <c r="L23" s="131" t="s">
        <v>1097</v>
      </c>
      <c r="M23" s="131" t="s">
        <v>1098</v>
      </c>
      <c r="N23" s="131" t="s">
        <v>888</v>
      </c>
      <c r="O23" s="131" t="s">
        <v>243</v>
      </c>
      <c r="P23" s="131" t="s">
        <v>887</v>
      </c>
      <c r="Q23" s="131" t="s">
        <v>883</v>
      </c>
      <c r="R23" s="131" t="s">
        <v>887</v>
      </c>
      <c r="T23" s="131" t="s">
        <v>878</v>
      </c>
      <c r="U23" s="131" t="s">
        <v>6</v>
      </c>
      <c r="W23" s="131" t="s">
        <v>878</v>
      </c>
      <c r="X23" s="131" t="s">
        <v>6</v>
      </c>
      <c r="AA23" s="131" t="s">
        <v>878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959</v>
      </c>
      <c r="J24" s="131" t="s">
        <v>960</v>
      </c>
      <c r="L24" s="131" t="s">
        <v>1099</v>
      </c>
      <c r="M24" s="131" t="s">
        <v>1100</v>
      </c>
      <c r="N24" s="131" t="s">
        <v>888</v>
      </c>
      <c r="O24" s="131" t="s">
        <v>1014</v>
      </c>
      <c r="P24" s="131" t="s">
        <v>887</v>
      </c>
      <c r="Q24" s="131" t="s">
        <v>889</v>
      </c>
      <c r="R24" s="131" t="s">
        <v>887</v>
      </c>
      <c r="T24" s="131" t="s">
        <v>879</v>
      </c>
      <c r="U24" s="131" t="s">
        <v>880</v>
      </c>
      <c r="W24" s="131" t="s">
        <v>881</v>
      </c>
      <c r="X24" s="131" t="s">
        <v>882</v>
      </c>
      <c r="AA24" s="131" t="s">
        <v>883</v>
      </c>
      <c r="AB24" s="131" t="s">
        <v>884</v>
      </c>
    </row>
    <row r="25" spans="1:28">
      <c r="A25" s="680"/>
      <c r="B25" s="655" t="s">
        <v>583</v>
      </c>
      <c r="C25" s="655" t="s">
        <v>513</v>
      </c>
      <c r="I25" s="131" t="s">
        <v>961</v>
      </c>
      <c r="J25" s="131" t="s">
        <v>962</v>
      </c>
      <c r="L25" s="131" t="s">
        <v>1101</v>
      </c>
      <c r="M25" s="131" t="s">
        <v>1102</v>
      </c>
      <c r="N25" s="131" t="s">
        <v>888</v>
      </c>
      <c r="O25" s="131" t="s">
        <v>1016</v>
      </c>
      <c r="P25" s="131" t="s">
        <v>887</v>
      </c>
      <c r="R25" s="131" t="s">
        <v>887</v>
      </c>
      <c r="T25" s="131" t="s">
        <v>754</v>
      </c>
      <c r="U25" s="131" t="s">
        <v>164</v>
      </c>
      <c r="W25" s="131" t="s">
        <v>887</v>
      </c>
      <c r="X25" s="131" t="s">
        <v>888</v>
      </c>
      <c r="AA25" s="131" t="s">
        <v>889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963</v>
      </c>
      <c r="J26" s="131" t="s">
        <v>964</v>
      </c>
      <c r="L26" s="131" t="s">
        <v>1103</v>
      </c>
      <c r="M26" s="131" t="s">
        <v>1104</v>
      </c>
      <c r="N26" s="131" t="s">
        <v>888</v>
      </c>
      <c r="O26" s="131" t="s">
        <v>1027</v>
      </c>
      <c r="P26" s="131" t="s">
        <v>887</v>
      </c>
      <c r="Q26" s="131" t="s">
        <v>899</v>
      </c>
      <c r="R26" s="131" t="s">
        <v>887</v>
      </c>
      <c r="W26" s="131" t="s">
        <v>893</v>
      </c>
      <c r="X26" s="131" t="s">
        <v>894</v>
      </c>
      <c r="AA26" s="131" t="s">
        <v>895</v>
      </c>
      <c r="AB26" s="131" t="s">
        <v>896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965</v>
      </c>
      <c r="J27" s="131" t="s">
        <v>966</v>
      </c>
      <c r="L27" s="131" t="s">
        <v>1105</v>
      </c>
      <c r="M27" s="131" t="s">
        <v>1106</v>
      </c>
      <c r="N27" s="131" t="s">
        <v>888</v>
      </c>
      <c r="O27" s="131" t="s">
        <v>1027</v>
      </c>
      <c r="P27" s="131" t="s">
        <v>887</v>
      </c>
      <c r="Q27" s="131" t="s">
        <v>903</v>
      </c>
      <c r="R27" s="131" t="s">
        <v>887</v>
      </c>
      <c r="W27" s="131" t="s">
        <v>897</v>
      </c>
      <c r="X27" s="131" t="s">
        <v>898</v>
      </c>
      <c r="AA27" s="131" t="s">
        <v>899</v>
      </c>
      <c r="AB27" s="131" t="s">
        <v>900</v>
      </c>
    </row>
    <row r="28" spans="1:28">
      <c r="A28" s="1037" t="s">
        <v>35</v>
      </c>
      <c r="B28" s="1038"/>
      <c r="C28" s="1039"/>
      <c r="I28" s="131" t="s">
        <v>955</v>
      </c>
      <c r="J28" s="131" t="s">
        <v>967</v>
      </c>
      <c r="L28" s="131" t="s">
        <v>1107</v>
      </c>
      <c r="M28" s="131" t="s">
        <v>1108</v>
      </c>
      <c r="N28" s="131" t="s">
        <v>888</v>
      </c>
      <c r="O28" s="131" t="s">
        <v>1027</v>
      </c>
      <c r="P28" s="131" t="s">
        <v>887</v>
      </c>
      <c r="Q28" s="131" t="s">
        <v>907</v>
      </c>
      <c r="R28" s="131" t="s">
        <v>887</v>
      </c>
      <c r="W28" s="131" t="s">
        <v>901</v>
      </c>
      <c r="X28" s="131" t="s">
        <v>902</v>
      </c>
      <c r="AA28" s="131" t="s">
        <v>903</v>
      </c>
      <c r="AB28" s="131" t="s">
        <v>904</v>
      </c>
    </row>
    <row r="29" spans="1:28">
      <c r="A29" s="680"/>
      <c r="B29" s="655" t="s">
        <v>36</v>
      </c>
      <c r="C29" s="655" t="s">
        <v>37</v>
      </c>
      <c r="I29" s="131" t="s">
        <v>968</v>
      </c>
      <c r="J29" s="131" t="s">
        <v>969</v>
      </c>
      <c r="L29" s="131" t="s">
        <v>1109</v>
      </c>
      <c r="M29" s="131" t="s">
        <v>1110</v>
      </c>
      <c r="N29" s="131" t="s">
        <v>888</v>
      </c>
      <c r="O29" s="131" t="s">
        <v>1027</v>
      </c>
      <c r="P29" s="131" t="s">
        <v>887</v>
      </c>
      <c r="Q29" s="131" t="s">
        <v>909</v>
      </c>
      <c r="R29" s="131" t="s">
        <v>887</v>
      </c>
      <c r="W29" s="131" t="s">
        <v>905</v>
      </c>
      <c r="X29" s="131" t="s">
        <v>906</v>
      </c>
      <c r="AA29" s="131" t="s">
        <v>907</v>
      </c>
      <c r="AB29" s="131" t="s">
        <v>908</v>
      </c>
    </row>
    <row r="30" spans="1:28">
      <c r="A30" s="680"/>
      <c r="B30" s="655" t="s">
        <v>38</v>
      </c>
      <c r="C30" s="655" t="s">
        <v>39</v>
      </c>
      <c r="I30" s="131" t="s">
        <v>970</v>
      </c>
      <c r="J30" s="131" t="s">
        <v>971</v>
      </c>
      <c r="L30" s="131" t="s">
        <v>1111</v>
      </c>
      <c r="M30" s="131" t="s">
        <v>1112</v>
      </c>
      <c r="N30" s="131" t="s">
        <v>888</v>
      </c>
      <c r="O30" s="131" t="s">
        <v>1031</v>
      </c>
      <c r="P30" s="131" t="s">
        <v>887</v>
      </c>
      <c r="Q30" s="131" t="s">
        <v>899</v>
      </c>
      <c r="R30" s="131" t="s">
        <v>887</v>
      </c>
      <c r="AA30" s="131" t="s">
        <v>909</v>
      </c>
      <c r="AB30" s="131" t="s">
        <v>910</v>
      </c>
    </row>
    <row r="31" spans="1:28">
      <c r="A31" s="680"/>
      <c r="B31" s="655" t="s">
        <v>42</v>
      </c>
      <c r="C31" s="655" t="s">
        <v>43</v>
      </c>
      <c r="E31" s="680"/>
      <c r="I31" s="131" t="s">
        <v>972</v>
      </c>
      <c r="J31" s="131" t="s">
        <v>973</v>
      </c>
      <c r="L31" s="131" t="s">
        <v>1113</v>
      </c>
      <c r="M31" s="131" t="s">
        <v>1114</v>
      </c>
      <c r="N31" s="131" t="s">
        <v>888</v>
      </c>
      <c r="O31" s="131" t="s">
        <v>1031</v>
      </c>
      <c r="P31" s="131" t="s">
        <v>887</v>
      </c>
      <c r="Q31" s="131" t="s">
        <v>903</v>
      </c>
      <c r="R31" s="131" t="s">
        <v>887</v>
      </c>
    </row>
    <row r="32" spans="1:28">
      <c r="A32" s="680"/>
      <c r="B32" s="655" t="s">
        <v>40</v>
      </c>
      <c r="C32" s="655" t="s">
        <v>41</v>
      </c>
      <c r="I32" s="131" t="s">
        <v>974</v>
      </c>
      <c r="J32" s="131" t="s">
        <v>975</v>
      </c>
      <c r="L32" s="131" t="s">
        <v>1115</v>
      </c>
      <c r="M32" s="131" t="s">
        <v>1116</v>
      </c>
      <c r="N32" s="131" t="s">
        <v>888</v>
      </c>
      <c r="O32" s="131" t="s">
        <v>1031</v>
      </c>
      <c r="P32" s="131" t="s">
        <v>887</v>
      </c>
      <c r="Q32" s="131" t="s">
        <v>907</v>
      </c>
      <c r="R32" s="131" t="s">
        <v>887</v>
      </c>
    </row>
    <row r="33" spans="1:24">
      <c r="A33" s="680"/>
      <c r="B33" s="655" t="s">
        <v>44</v>
      </c>
      <c r="C33" s="655" t="s">
        <v>45</v>
      </c>
      <c r="I33" s="131" t="s">
        <v>976</v>
      </c>
      <c r="J33" s="131" t="s">
        <v>977</v>
      </c>
      <c r="L33" s="131" t="s">
        <v>1117</v>
      </c>
      <c r="M33" s="131" t="s">
        <v>1118</v>
      </c>
      <c r="N33" s="131" t="s">
        <v>888</v>
      </c>
      <c r="O33" s="131" t="s">
        <v>1031</v>
      </c>
      <c r="P33" s="131" t="s">
        <v>887</v>
      </c>
      <c r="Q33" s="131" t="s">
        <v>909</v>
      </c>
      <c r="R33" s="131" t="s">
        <v>887</v>
      </c>
    </row>
    <row r="34" spans="1:24">
      <c r="A34" s="680"/>
      <c r="B34" s="655" t="s">
        <v>46</v>
      </c>
      <c r="C34" s="655" t="s">
        <v>47</v>
      </c>
      <c r="I34" s="131" t="s">
        <v>978</v>
      </c>
      <c r="J34" s="131" t="s">
        <v>979</v>
      </c>
      <c r="L34" s="131" t="s">
        <v>1119</v>
      </c>
      <c r="M34" s="131" t="s">
        <v>1120</v>
      </c>
      <c r="N34" s="131" t="s">
        <v>888</v>
      </c>
      <c r="O34" s="131" t="s">
        <v>1046</v>
      </c>
      <c r="P34" s="131" t="s">
        <v>887</v>
      </c>
      <c r="Q34" s="131" t="s">
        <v>899</v>
      </c>
      <c r="R34" s="131" t="s">
        <v>887</v>
      </c>
    </row>
    <row r="35" spans="1:24">
      <c r="A35" s="1037" t="s">
        <v>48</v>
      </c>
      <c r="B35" s="1038"/>
      <c r="C35" s="1039"/>
      <c r="I35" s="131" t="s">
        <v>980</v>
      </c>
      <c r="J35" s="131" t="s">
        <v>981</v>
      </c>
      <c r="L35" s="131" t="s">
        <v>1121</v>
      </c>
      <c r="M35" s="131" t="s">
        <v>1122</v>
      </c>
      <c r="N35" s="131" t="s">
        <v>888</v>
      </c>
      <c r="O35" s="131" t="s">
        <v>1046</v>
      </c>
      <c r="P35" s="131" t="s">
        <v>887</v>
      </c>
      <c r="Q35" s="131" t="s">
        <v>903</v>
      </c>
      <c r="R35" s="131" t="s">
        <v>887</v>
      </c>
      <c r="T35" s="131" t="s">
        <v>876</v>
      </c>
      <c r="W35" s="131" t="s">
        <v>877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982</v>
      </c>
      <c r="J36" s="131" t="s">
        <v>983</v>
      </c>
      <c r="L36" s="131" t="s">
        <v>1123</v>
      </c>
      <c r="M36" s="131" t="s">
        <v>1124</v>
      </c>
      <c r="N36" s="131" t="s">
        <v>888</v>
      </c>
      <c r="O36" s="131" t="s">
        <v>1046</v>
      </c>
      <c r="P36" s="131" t="s">
        <v>887</v>
      </c>
      <c r="Q36" s="131" t="s">
        <v>907</v>
      </c>
      <c r="R36" s="131" t="s">
        <v>887</v>
      </c>
      <c r="T36" s="131" t="s">
        <v>878</v>
      </c>
      <c r="U36" s="131" t="s">
        <v>6</v>
      </c>
      <c r="W36" s="131" t="s">
        <v>878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984</v>
      </c>
      <c r="J37" s="131" t="s">
        <v>985</v>
      </c>
      <c r="L37" s="131" t="s">
        <v>1125</v>
      </c>
      <c r="M37" s="131" t="s">
        <v>1126</v>
      </c>
      <c r="N37" s="131" t="s">
        <v>888</v>
      </c>
      <c r="O37" s="131" t="s">
        <v>1046</v>
      </c>
      <c r="P37" s="131" t="s">
        <v>887</v>
      </c>
      <c r="Q37" s="131" t="s">
        <v>909</v>
      </c>
      <c r="R37" s="131" t="s">
        <v>887</v>
      </c>
      <c r="T37" s="131" t="s">
        <v>73</v>
      </c>
      <c r="U37" s="131" t="s">
        <v>885</v>
      </c>
      <c r="W37" s="131" t="s">
        <v>65</v>
      </c>
      <c r="X37" s="131" t="s">
        <v>886</v>
      </c>
    </row>
    <row r="38" spans="1:24">
      <c r="A38" s="680"/>
      <c r="B38" s="655" t="s">
        <v>54</v>
      </c>
      <c r="C38" s="655" t="s">
        <v>55</v>
      </c>
      <c r="I38" s="131" t="s">
        <v>986</v>
      </c>
      <c r="J38" s="131" t="s">
        <v>987</v>
      </c>
      <c r="L38" s="131" t="s">
        <v>1127</v>
      </c>
      <c r="M38" s="131" t="s">
        <v>1128</v>
      </c>
      <c r="N38" s="131" t="s">
        <v>888</v>
      </c>
      <c r="O38" s="131" t="s">
        <v>1048</v>
      </c>
      <c r="P38" s="131" t="s">
        <v>887</v>
      </c>
      <c r="Q38" s="131" t="s">
        <v>899</v>
      </c>
      <c r="R38" s="131" t="s">
        <v>887</v>
      </c>
      <c r="T38" s="131" t="s">
        <v>890</v>
      </c>
      <c r="U38" s="131" t="s">
        <v>891</v>
      </c>
      <c r="W38" s="131" t="s">
        <v>67</v>
      </c>
      <c r="X38" s="131" t="s">
        <v>892</v>
      </c>
    </row>
    <row r="39" spans="1:24">
      <c r="A39" s="1037" t="s">
        <v>56</v>
      </c>
      <c r="B39" s="1038"/>
      <c r="C39" s="1039"/>
      <c r="I39" s="131" t="s">
        <v>988</v>
      </c>
      <c r="J39" s="131" t="s">
        <v>989</v>
      </c>
      <c r="L39" s="131" t="s">
        <v>1129</v>
      </c>
      <c r="M39" s="131" t="s">
        <v>1130</v>
      </c>
      <c r="N39" s="131" t="s">
        <v>888</v>
      </c>
      <c r="O39" s="131" t="s">
        <v>1048</v>
      </c>
      <c r="P39" s="131" t="s">
        <v>887</v>
      </c>
      <c r="Q39" s="131" t="s">
        <v>903</v>
      </c>
      <c r="R39" s="131" t="s">
        <v>887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990</v>
      </c>
      <c r="J40" s="131" t="s">
        <v>991</v>
      </c>
      <c r="L40" s="131" t="s">
        <v>1131</v>
      </c>
      <c r="M40" s="131" t="s">
        <v>1132</v>
      </c>
      <c r="N40" s="131" t="s">
        <v>888</v>
      </c>
      <c r="O40" s="131" t="s">
        <v>1048</v>
      </c>
      <c r="P40" s="131" t="s">
        <v>887</v>
      </c>
      <c r="Q40" s="131" t="s">
        <v>907</v>
      </c>
      <c r="R40" s="131" t="s">
        <v>887</v>
      </c>
    </row>
    <row r="41" spans="1:24">
      <c r="A41" s="680"/>
      <c r="B41" s="655" t="s">
        <v>59</v>
      </c>
      <c r="C41" s="677" t="s">
        <v>60</v>
      </c>
      <c r="I41" s="131" t="s">
        <v>754</v>
      </c>
      <c r="J41" s="131" t="s">
        <v>164</v>
      </c>
      <c r="L41" s="131" t="s">
        <v>1133</v>
      </c>
      <c r="M41" s="131" t="s">
        <v>1134</v>
      </c>
      <c r="N41" s="131" t="s">
        <v>888</v>
      </c>
      <c r="O41" s="131" t="s">
        <v>1048</v>
      </c>
      <c r="P41" s="131" t="s">
        <v>887</v>
      </c>
      <c r="Q41" s="131" t="s">
        <v>909</v>
      </c>
      <c r="R41" s="131" t="s">
        <v>887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1135</v>
      </c>
      <c r="M42" s="131" t="s">
        <v>1136</v>
      </c>
      <c r="N42" s="131" t="s">
        <v>882</v>
      </c>
      <c r="O42" s="131" t="s">
        <v>243</v>
      </c>
      <c r="P42" s="131" t="s">
        <v>881</v>
      </c>
      <c r="Q42" s="131" t="s">
        <v>899</v>
      </c>
      <c r="R42" s="131" t="s">
        <v>881</v>
      </c>
    </row>
    <row r="43" spans="1:24">
      <c r="A43" s="680"/>
      <c r="B43" s="655" t="s">
        <v>63</v>
      </c>
      <c r="C43" s="677" t="s">
        <v>64</v>
      </c>
      <c r="I43" s="131" t="s">
        <v>992</v>
      </c>
      <c r="J43" s="131" t="s">
        <v>993</v>
      </c>
      <c r="L43" s="131" t="s">
        <v>1137</v>
      </c>
      <c r="M43" s="131" t="s">
        <v>1138</v>
      </c>
      <c r="N43" s="131" t="s">
        <v>882</v>
      </c>
      <c r="O43" s="131" t="s">
        <v>243</v>
      </c>
      <c r="P43" s="131" t="s">
        <v>881</v>
      </c>
      <c r="Q43" s="131" t="s">
        <v>903</v>
      </c>
      <c r="R43" s="131" t="s">
        <v>881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994</v>
      </c>
      <c r="L44" s="131" t="s">
        <v>1139</v>
      </c>
      <c r="M44" s="131" t="s">
        <v>1140</v>
      </c>
      <c r="N44" s="131" t="s">
        <v>882</v>
      </c>
      <c r="O44" s="131" t="s">
        <v>236</v>
      </c>
      <c r="P44" s="131" t="s">
        <v>881</v>
      </c>
      <c r="Q44" s="131" t="s">
        <v>899</v>
      </c>
      <c r="R44" s="131" t="s">
        <v>881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995</v>
      </c>
      <c r="L45" s="131" t="s">
        <v>1141</v>
      </c>
      <c r="M45" s="131" t="s">
        <v>1142</v>
      </c>
      <c r="N45" s="131" t="s">
        <v>882</v>
      </c>
      <c r="O45" s="131" t="s">
        <v>236</v>
      </c>
      <c r="P45" s="131" t="s">
        <v>881</v>
      </c>
      <c r="Q45" s="131" t="s">
        <v>903</v>
      </c>
      <c r="R45" s="131" t="s">
        <v>881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996</v>
      </c>
      <c r="L46" s="131" t="s">
        <v>1143</v>
      </c>
      <c r="M46" s="131" t="s">
        <v>1144</v>
      </c>
      <c r="N46" s="131" t="s">
        <v>882</v>
      </c>
      <c r="O46" s="131" t="s">
        <v>1017</v>
      </c>
      <c r="P46" s="131" t="s">
        <v>881</v>
      </c>
      <c r="R46" s="131" t="s">
        <v>881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997</v>
      </c>
      <c r="L47" s="131" t="s">
        <v>1145</v>
      </c>
      <c r="M47" s="131" t="s">
        <v>1146</v>
      </c>
      <c r="N47" s="131" t="s">
        <v>882</v>
      </c>
      <c r="O47" s="131" t="s">
        <v>1019</v>
      </c>
      <c r="P47" s="131" t="s">
        <v>881</v>
      </c>
      <c r="R47" s="131" t="s">
        <v>881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998</v>
      </c>
      <c r="L48" s="131" t="s">
        <v>1147</v>
      </c>
      <c r="M48" s="131" t="s">
        <v>1148</v>
      </c>
      <c r="N48" s="131" t="s">
        <v>882</v>
      </c>
      <c r="O48" s="131" t="s">
        <v>244</v>
      </c>
      <c r="P48" s="131" t="s">
        <v>881</v>
      </c>
      <c r="R48" s="131" t="s">
        <v>881</v>
      </c>
    </row>
    <row r="49" spans="1:18">
      <c r="A49" s="1037" t="s">
        <v>75</v>
      </c>
      <c r="B49" s="1038"/>
      <c r="C49" s="1039"/>
      <c r="I49" s="131" t="s">
        <v>999</v>
      </c>
      <c r="J49" s="131" t="s">
        <v>1000</v>
      </c>
      <c r="L49" s="131" t="s">
        <v>1149</v>
      </c>
      <c r="M49" s="131" t="s">
        <v>1150</v>
      </c>
      <c r="N49" s="131" t="s">
        <v>882</v>
      </c>
      <c r="O49" s="131" t="s">
        <v>1022</v>
      </c>
      <c r="P49" s="131" t="s">
        <v>881</v>
      </c>
      <c r="R49" s="131" t="s">
        <v>881</v>
      </c>
    </row>
    <row r="50" spans="1:18">
      <c r="A50" s="681" t="e">
        <f>IF(SUM(RSD_Balance!#REF!)=0,"*"," ")</f>
        <v>#REF!</v>
      </c>
      <c r="B50" s="656" t="s">
        <v>854</v>
      </c>
      <c r="C50" s="655" t="s">
        <v>76</v>
      </c>
      <c r="I50" s="131" t="s">
        <v>1001</v>
      </c>
      <c r="J50" s="131" t="s">
        <v>1002</v>
      </c>
      <c r="L50" s="131" t="s">
        <v>1151</v>
      </c>
      <c r="M50" s="131" t="s">
        <v>1152</v>
      </c>
      <c r="N50" s="131" t="s">
        <v>882</v>
      </c>
      <c r="O50" s="131" t="s">
        <v>1024</v>
      </c>
      <c r="P50" s="131" t="s">
        <v>881</v>
      </c>
      <c r="R50" s="131" t="s">
        <v>881</v>
      </c>
    </row>
    <row r="51" spans="1:18">
      <c r="A51" s="681" t="e">
        <f>IF(SUM(RSD_Balance!#REF!)=0,"*"," ")</f>
        <v>#REF!</v>
      </c>
      <c r="B51" s="656" t="s">
        <v>855</v>
      </c>
      <c r="C51" s="655" t="s">
        <v>77</v>
      </c>
      <c r="I51" s="131" t="s">
        <v>239</v>
      </c>
      <c r="J51" s="131" t="s">
        <v>1003</v>
      </c>
      <c r="L51" s="131" t="s">
        <v>1153</v>
      </c>
      <c r="M51" s="131" t="s">
        <v>1154</v>
      </c>
      <c r="N51" s="131" t="s">
        <v>882</v>
      </c>
      <c r="O51" s="131" t="s">
        <v>248</v>
      </c>
      <c r="P51" s="131" t="s">
        <v>881</v>
      </c>
      <c r="R51" s="131" t="s">
        <v>881</v>
      </c>
    </row>
    <row r="52" spans="1:18">
      <c r="A52" s="681" t="e">
        <f>IF(SUM(RSD_Balance!#REF!)=0,"*"," ")</f>
        <v>#REF!</v>
      </c>
      <c r="B52" s="656" t="s">
        <v>856</v>
      </c>
      <c r="C52" s="655" t="s">
        <v>78</v>
      </c>
      <c r="I52" s="131" t="s">
        <v>241</v>
      </c>
      <c r="J52" s="131" t="s">
        <v>1004</v>
      </c>
      <c r="L52" s="131" t="s">
        <v>1155</v>
      </c>
      <c r="M52" s="131" t="s">
        <v>1156</v>
      </c>
      <c r="N52" s="131" t="s">
        <v>882</v>
      </c>
      <c r="O52" s="131" t="s">
        <v>1040</v>
      </c>
      <c r="P52" s="131" t="s">
        <v>881</v>
      </c>
      <c r="Q52" s="131" t="s">
        <v>899</v>
      </c>
      <c r="R52" s="131" t="s">
        <v>881</v>
      </c>
    </row>
    <row r="53" spans="1:18">
      <c r="A53" s="681" t="e">
        <f>IF(SUM(RSD_Balance!#REF!)=0,"*"," ")</f>
        <v>#REF!</v>
      </c>
      <c r="B53" s="656" t="s">
        <v>857</v>
      </c>
      <c r="C53" s="655" t="s">
        <v>572</v>
      </c>
      <c r="I53" s="131" t="s">
        <v>240</v>
      </c>
      <c r="J53" s="131" t="s">
        <v>1005</v>
      </c>
      <c r="L53" s="131" t="s">
        <v>1157</v>
      </c>
      <c r="M53" s="131" t="s">
        <v>1158</v>
      </c>
      <c r="N53" s="131" t="s">
        <v>882</v>
      </c>
      <c r="O53" s="131" t="s">
        <v>1040</v>
      </c>
      <c r="P53" s="131" t="s">
        <v>881</v>
      </c>
      <c r="Q53" s="131" t="s">
        <v>903</v>
      </c>
      <c r="R53" s="131" t="s">
        <v>881</v>
      </c>
    </row>
    <row r="54" spans="1:18">
      <c r="A54" s="681" t="e">
        <f>IF(SUM(RSD_Balance!#REF!)=0,"*"," ")</f>
        <v>#REF!</v>
      </c>
      <c r="B54" s="656" t="s">
        <v>858</v>
      </c>
      <c r="C54" s="655" t="s">
        <v>79</v>
      </c>
      <c r="I54" s="131" t="s">
        <v>237</v>
      </c>
      <c r="J54" s="131" t="s">
        <v>1006</v>
      </c>
      <c r="L54" s="131" t="s">
        <v>1159</v>
      </c>
      <c r="M54" s="131" t="s">
        <v>1160</v>
      </c>
      <c r="N54" s="131" t="s">
        <v>882</v>
      </c>
      <c r="O54" s="131" t="s">
        <v>1040</v>
      </c>
      <c r="P54" s="131" t="s">
        <v>881</v>
      </c>
      <c r="Q54" s="131" t="s">
        <v>907</v>
      </c>
      <c r="R54" s="131" t="s">
        <v>881</v>
      </c>
    </row>
    <row r="55" spans="1:18">
      <c r="A55" s="681" t="e">
        <f>IF(SUM(RSD_Balance!#REF!)=0,"*"," ")</f>
        <v>#REF!</v>
      </c>
      <c r="B55" s="656" t="s">
        <v>859</v>
      </c>
      <c r="C55" s="655" t="s">
        <v>80</v>
      </c>
      <c r="I55" s="131" t="s">
        <v>238</v>
      </c>
      <c r="J55" s="131" t="s">
        <v>1007</v>
      </c>
      <c r="L55" s="131" t="s">
        <v>1161</v>
      </c>
      <c r="M55" s="131" t="s">
        <v>1162</v>
      </c>
      <c r="N55" s="131" t="s">
        <v>882</v>
      </c>
      <c r="O55" s="131" t="s">
        <v>1042</v>
      </c>
      <c r="P55" s="131" t="s">
        <v>881</v>
      </c>
      <c r="Q55" s="131" t="s">
        <v>899</v>
      </c>
      <c r="R55" s="131" t="s">
        <v>881</v>
      </c>
    </row>
    <row r="56" spans="1:18">
      <c r="A56" s="681" t="e">
        <f>IF(SUM(RSD_Balance!#REF!)=0,"*"," ")</f>
        <v>#REF!</v>
      </c>
      <c r="B56" s="656" t="s">
        <v>860</v>
      </c>
      <c r="C56" s="655" t="s">
        <v>81</v>
      </c>
      <c r="I56" s="131" t="s">
        <v>242</v>
      </c>
      <c r="J56" s="131" t="s">
        <v>1008</v>
      </c>
      <c r="L56" s="131" t="s">
        <v>1163</v>
      </c>
      <c r="M56" s="131" t="s">
        <v>1164</v>
      </c>
      <c r="N56" s="131" t="s">
        <v>882</v>
      </c>
      <c r="O56" s="131" t="s">
        <v>1042</v>
      </c>
      <c r="P56" s="131" t="s">
        <v>881</v>
      </c>
      <c r="Q56" s="131" t="s">
        <v>903</v>
      </c>
      <c r="R56" s="131" t="s">
        <v>881</v>
      </c>
    </row>
    <row r="57" spans="1:18">
      <c r="A57" s="681" t="e">
        <f>IF(SUM(RSD_Balance!#REF!)=0,"*"," ")</f>
        <v>#REF!</v>
      </c>
      <c r="B57" s="656" t="s">
        <v>861</v>
      </c>
      <c r="C57" s="655" t="s">
        <v>82</v>
      </c>
      <c r="I57" s="131" t="s">
        <v>1009</v>
      </c>
      <c r="J57" s="131" t="s">
        <v>1010</v>
      </c>
      <c r="L57" s="131" t="s">
        <v>1165</v>
      </c>
      <c r="M57" s="131" t="s">
        <v>1166</v>
      </c>
      <c r="N57" s="131" t="s">
        <v>882</v>
      </c>
      <c r="O57" s="131" t="s">
        <v>1042</v>
      </c>
      <c r="P57" s="131" t="s">
        <v>881</v>
      </c>
      <c r="Q57" s="131" t="s">
        <v>907</v>
      </c>
      <c r="R57" s="131" t="s">
        <v>881</v>
      </c>
    </row>
    <row r="58" spans="1:18">
      <c r="A58" s="681" t="e">
        <f>IF(SUM(RSD_Balance!#REF!)=0,"*"," ")</f>
        <v>#REF!</v>
      </c>
      <c r="B58" s="656" t="s">
        <v>862</v>
      </c>
      <c r="C58" s="655" t="s">
        <v>84</v>
      </c>
      <c r="I58" s="131" t="s">
        <v>1011</v>
      </c>
      <c r="J58" s="131" t="s">
        <v>1012</v>
      </c>
      <c r="L58" s="131" t="s">
        <v>1167</v>
      </c>
      <c r="M58" s="131" t="s">
        <v>1168</v>
      </c>
      <c r="N58" s="131" t="s">
        <v>882</v>
      </c>
      <c r="O58" s="131" t="s">
        <v>1044</v>
      </c>
      <c r="P58" s="131" t="s">
        <v>881</v>
      </c>
      <c r="Q58" s="131" t="s">
        <v>899</v>
      </c>
      <c r="R58" s="131" t="s">
        <v>881</v>
      </c>
    </row>
    <row r="59" spans="1:18">
      <c r="A59" s="681" t="e">
        <f>IF(SUM(RSD_Balance!#REF!)=0,"*"," ")</f>
        <v>#REF!</v>
      </c>
      <c r="B59" s="656" t="s">
        <v>863</v>
      </c>
      <c r="C59" s="655" t="s">
        <v>85</v>
      </c>
      <c r="I59" s="131" t="s">
        <v>243</v>
      </c>
      <c r="J59" s="131" t="s">
        <v>1013</v>
      </c>
      <c r="L59" s="131" t="s">
        <v>1169</v>
      </c>
      <c r="M59" s="131" t="s">
        <v>1170</v>
      </c>
      <c r="N59" s="131" t="s">
        <v>882</v>
      </c>
      <c r="O59" s="131" t="s">
        <v>1044</v>
      </c>
      <c r="P59" s="131" t="s">
        <v>881</v>
      </c>
      <c r="Q59" s="131" t="s">
        <v>903</v>
      </c>
      <c r="R59" s="131" t="s">
        <v>881</v>
      </c>
    </row>
    <row r="60" spans="1:18">
      <c r="A60" s="681" t="e">
        <f>IF(SUM(RSD_Balance!#REF!)=0,"*"," ")</f>
        <v>#REF!</v>
      </c>
      <c r="B60" s="656" t="s">
        <v>864</v>
      </c>
      <c r="C60" s="655" t="s">
        <v>86</v>
      </c>
      <c r="I60" s="131" t="s">
        <v>1014</v>
      </c>
      <c r="J60" s="131" t="s">
        <v>1015</v>
      </c>
      <c r="L60" s="131" t="s">
        <v>1171</v>
      </c>
      <c r="M60" s="131" t="s">
        <v>1172</v>
      </c>
      <c r="N60" s="131" t="s">
        <v>882</v>
      </c>
      <c r="O60" s="131" t="s">
        <v>1044</v>
      </c>
      <c r="P60" s="131" t="s">
        <v>881</v>
      </c>
      <c r="Q60" s="131" t="s">
        <v>907</v>
      </c>
      <c r="R60" s="131" t="s">
        <v>881</v>
      </c>
    </row>
    <row r="61" spans="1:18">
      <c r="A61" s="681"/>
      <c r="B61" s="656" t="s">
        <v>865</v>
      </c>
      <c r="C61" s="655" t="s">
        <v>87</v>
      </c>
      <c r="I61" s="131" t="s">
        <v>1016</v>
      </c>
      <c r="J61" s="131" t="s">
        <v>991</v>
      </c>
      <c r="L61" s="131" t="s">
        <v>1173</v>
      </c>
      <c r="M61" s="131" t="s">
        <v>1174</v>
      </c>
      <c r="N61" s="131" t="s">
        <v>882</v>
      </c>
      <c r="O61" s="131" t="s">
        <v>1050</v>
      </c>
      <c r="P61" s="131" t="s">
        <v>881</v>
      </c>
      <c r="Q61" s="131" t="s">
        <v>899</v>
      </c>
      <c r="R61" s="131" t="s">
        <v>881</v>
      </c>
    </row>
    <row r="62" spans="1:18">
      <c r="A62" s="1037" t="s">
        <v>88</v>
      </c>
      <c r="B62" s="1038"/>
      <c r="C62" s="1039"/>
      <c r="I62" s="131" t="s">
        <v>1017</v>
      </c>
      <c r="J62" s="131" t="s">
        <v>1018</v>
      </c>
      <c r="L62" s="131" t="s">
        <v>1175</v>
      </c>
      <c r="M62" s="131" t="s">
        <v>1176</v>
      </c>
      <c r="N62" s="131" t="s">
        <v>882</v>
      </c>
      <c r="O62" s="131" t="s">
        <v>1050</v>
      </c>
      <c r="P62" s="131" t="s">
        <v>881</v>
      </c>
      <c r="Q62" s="131" t="s">
        <v>903</v>
      </c>
      <c r="R62" s="131" t="s">
        <v>881</v>
      </c>
    </row>
    <row r="63" spans="1:18">
      <c r="A63" s="1037" t="s">
        <v>89</v>
      </c>
      <c r="B63" s="1038"/>
      <c r="C63" s="1039"/>
      <c r="I63" s="131" t="s">
        <v>1019</v>
      </c>
      <c r="J63" s="131" t="s">
        <v>1020</v>
      </c>
      <c r="L63" s="131" t="s">
        <v>1177</v>
      </c>
      <c r="M63" s="131" t="s">
        <v>1178</v>
      </c>
      <c r="N63" s="131" t="s">
        <v>882</v>
      </c>
      <c r="O63" s="131" t="s">
        <v>1050</v>
      </c>
      <c r="P63" s="131" t="s">
        <v>881</v>
      </c>
      <c r="Q63" s="131" t="s">
        <v>907</v>
      </c>
      <c r="R63" s="131" t="s">
        <v>881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1021</v>
      </c>
      <c r="L64" s="131" t="s">
        <v>1179</v>
      </c>
      <c r="M64" s="131" t="s">
        <v>1180</v>
      </c>
      <c r="N64" s="131" t="s">
        <v>882</v>
      </c>
      <c r="O64" s="131" t="s">
        <v>1052</v>
      </c>
      <c r="P64" s="131" t="s">
        <v>881</v>
      </c>
      <c r="Q64" s="131" t="s">
        <v>899</v>
      </c>
      <c r="R64" s="131" t="s">
        <v>881</v>
      </c>
    </row>
    <row r="65" spans="1:18">
      <c r="A65" s="680"/>
      <c r="B65" s="655" t="s">
        <v>92</v>
      </c>
      <c r="C65" s="656" t="s">
        <v>93</v>
      </c>
      <c r="I65" s="131" t="s">
        <v>1022</v>
      </c>
      <c r="J65" s="131" t="s">
        <v>1023</v>
      </c>
      <c r="L65" s="131" t="s">
        <v>1181</v>
      </c>
      <c r="M65" s="131" t="s">
        <v>1182</v>
      </c>
      <c r="N65" s="131" t="s">
        <v>882</v>
      </c>
      <c r="O65" s="131" t="s">
        <v>1052</v>
      </c>
      <c r="P65" s="131" t="s">
        <v>881</v>
      </c>
      <c r="Q65" s="131" t="s">
        <v>903</v>
      </c>
      <c r="R65" s="131" t="s">
        <v>881</v>
      </c>
    </row>
    <row r="66" spans="1:18">
      <c r="A66" s="680"/>
      <c r="B66" s="655" t="s">
        <v>94</v>
      </c>
      <c r="C66" s="656" t="s">
        <v>95</v>
      </c>
      <c r="I66" s="131" t="s">
        <v>1024</v>
      </c>
      <c r="J66" s="131" t="s">
        <v>1025</v>
      </c>
      <c r="L66" s="131" t="s">
        <v>1183</v>
      </c>
      <c r="M66" s="131" t="s">
        <v>1184</v>
      </c>
      <c r="N66" s="131" t="s">
        <v>882</v>
      </c>
      <c r="O66" s="131" t="s">
        <v>1052</v>
      </c>
      <c r="P66" s="131" t="s">
        <v>881</v>
      </c>
      <c r="Q66" s="131" t="s">
        <v>907</v>
      </c>
      <c r="R66" s="131" t="s">
        <v>881</v>
      </c>
    </row>
    <row r="67" spans="1:18">
      <c r="A67" s="680"/>
      <c r="B67" s="655" t="s">
        <v>848</v>
      </c>
      <c r="C67" s="656" t="s">
        <v>851</v>
      </c>
      <c r="I67" s="131" t="s">
        <v>248</v>
      </c>
      <c r="J67" s="131" t="s">
        <v>1026</v>
      </c>
      <c r="L67" s="131" t="s">
        <v>1185</v>
      </c>
      <c r="M67" s="131" t="s">
        <v>1186</v>
      </c>
      <c r="N67" s="131" t="s">
        <v>882</v>
      </c>
      <c r="O67" s="131" t="s">
        <v>1054</v>
      </c>
      <c r="P67" s="131" t="s">
        <v>881</v>
      </c>
      <c r="Q67" s="131" t="s">
        <v>899</v>
      </c>
      <c r="R67" s="131" t="s">
        <v>881</v>
      </c>
    </row>
    <row r="68" spans="1:18">
      <c r="A68" s="680"/>
      <c r="B68" s="655" t="s">
        <v>849</v>
      </c>
      <c r="C68" s="656" t="s">
        <v>852</v>
      </c>
      <c r="I68" s="131" t="s">
        <v>1027</v>
      </c>
      <c r="J68" s="131" t="s">
        <v>1028</v>
      </c>
      <c r="L68" s="131" t="s">
        <v>1187</v>
      </c>
      <c r="M68" s="131" t="s">
        <v>1188</v>
      </c>
      <c r="N68" s="131" t="s">
        <v>882</v>
      </c>
      <c r="O68" s="131" t="s">
        <v>1054</v>
      </c>
      <c r="P68" s="131" t="s">
        <v>881</v>
      </c>
      <c r="Q68" s="131" t="s">
        <v>903</v>
      </c>
      <c r="R68" s="131" t="s">
        <v>881</v>
      </c>
    </row>
    <row r="69" spans="1:18">
      <c r="A69" s="680"/>
      <c r="B69" s="655" t="s">
        <v>850</v>
      </c>
      <c r="C69" s="656" t="s">
        <v>853</v>
      </c>
      <c r="I69" s="131" t="s">
        <v>1029</v>
      </c>
      <c r="J69" s="131" t="s">
        <v>1030</v>
      </c>
      <c r="L69" s="131" t="s">
        <v>1189</v>
      </c>
      <c r="M69" s="131" t="s">
        <v>1190</v>
      </c>
      <c r="N69" s="131" t="s">
        <v>882</v>
      </c>
      <c r="O69" s="131" t="s">
        <v>1054</v>
      </c>
      <c r="P69" s="131" t="s">
        <v>881</v>
      </c>
      <c r="Q69" s="131" t="s">
        <v>907</v>
      </c>
      <c r="R69" s="131" t="s">
        <v>881</v>
      </c>
    </row>
    <row r="70" spans="1:18">
      <c r="A70" s="1037" t="s">
        <v>96</v>
      </c>
      <c r="B70" s="1038"/>
      <c r="C70" s="1039"/>
      <c r="I70" s="131" t="s">
        <v>1031</v>
      </c>
      <c r="J70" s="131" t="s">
        <v>1032</v>
      </c>
      <c r="L70" s="131" t="s">
        <v>1191</v>
      </c>
      <c r="M70" s="131" t="s">
        <v>1192</v>
      </c>
      <c r="N70" s="131" t="s">
        <v>882</v>
      </c>
      <c r="O70" s="131" t="s">
        <v>1056</v>
      </c>
      <c r="P70" s="131" t="s">
        <v>881</v>
      </c>
      <c r="Q70" s="131" t="s">
        <v>899</v>
      </c>
      <c r="R70" s="131" t="s">
        <v>881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1033</v>
      </c>
      <c r="J71" s="131" t="s">
        <v>1034</v>
      </c>
      <c r="L71" s="131" t="s">
        <v>1193</v>
      </c>
      <c r="M71" s="131" t="s">
        <v>1194</v>
      </c>
      <c r="N71" s="131" t="s">
        <v>882</v>
      </c>
      <c r="O71" s="131" t="s">
        <v>1056</v>
      </c>
      <c r="P71" s="131" t="s">
        <v>881</v>
      </c>
      <c r="Q71" s="131" t="s">
        <v>903</v>
      </c>
      <c r="R71" s="131" t="s">
        <v>881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1035</v>
      </c>
      <c r="J72" s="131" t="s">
        <v>1036</v>
      </c>
      <c r="L72" s="131" t="s">
        <v>1195</v>
      </c>
      <c r="M72" s="131" t="s">
        <v>1196</v>
      </c>
      <c r="N72" s="131" t="s">
        <v>882</v>
      </c>
      <c r="O72" s="131" t="s">
        <v>1056</v>
      </c>
      <c r="P72" s="131" t="s">
        <v>881</v>
      </c>
      <c r="Q72" s="131" t="s">
        <v>907</v>
      </c>
      <c r="R72" s="131" t="s">
        <v>881</v>
      </c>
    </row>
    <row r="73" spans="1:18">
      <c r="A73" s="682"/>
      <c r="B73" s="656" t="s">
        <v>101</v>
      </c>
      <c r="C73" s="655" t="s">
        <v>102</v>
      </c>
      <c r="I73" s="131" t="s">
        <v>1037</v>
      </c>
      <c r="J73" s="131" t="s">
        <v>1038</v>
      </c>
      <c r="L73" s="131" t="s">
        <v>1197</v>
      </c>
      <c r="M73" s="131" t="s">
        <v>1198</v>
      </c>
      <c r="N73" s="131" t="s">
        <v>882</v>
      </c>
      <c r="O73" s="131" t="s">
        <v>1058</v>
      </c>
      <c r="P73" s="131" t="s">
        <v>881</v>
      </c>
      <c r="Q73" s="131" t="s">
        <v>899</v>
      </c>
      <c r="R73" s="131" t="s">
        <v>881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1039</v>
      </c>
      <c r="L74" s="131" t="s">
        <v>1199</v>
      </c>
      <c r="M74" s="131" t="s">
        <v>1200</v>
      </c>
      <c r="N74" s="131" t="s">
        <v>882</v>
      </c>
      <c r="O74" s="131" t="s">
        <v>1058</v>
      </c>
      <c r="P74" s="131" t="s">
        <v>881</v>
      </c>
      <c r="Q74" s="131" t="s">
        <v>903</v>
      </c>
      <c r="R74" s="131" t="s">
        <v>881</v>
      </c>
    </row>
    <row r="75" spans="1:18">
      <c r="A75" s="682"/>
      <c r="B75" s="656" t="s">
        <v>105</v>
      </c>
      <c r="C75" s="655" t="s">
        <v>106</v>
      </c>
      <c r="I75" s="131" t="s">
        <v>1040</v>
      </c>
      <c r="J75" s="131" t="s">
        <v>1041</v>
      </c>
      <c r="L75" s="131" t="s">
        <v>1201</v>
      </c>
      <c r="M75" s="131" t="s">
        <v>1202</v>
      </c>
      <c r="N75" s="131" t="s">
        <v>882</v>
      </c>
      <c r="O75" s="131" t="s">
        <v>1058</v>
      </c>
      <c r="P75" s="131" t="s">
        <v>881</v>
      </c>
      <c r="Q75" s="131" t="s">
        <v>907</v>
      </c>
      <c r="R75" s="131" t="s">
        <v>881</v>
      </c>
    </row>
    <row r="76" spans="1:18">
      <c r="A76" s="1037" t="s">
        <v>575</v>
      </c>
      <c r="B76" s="1038"/>
      <c r="C76" s="1039"/>
      <c r="I76" s="131" t="s">
        <v>1042</v>
      </c>
      <c r="J76" s="131" t="s">
        <v>1043</v>
      </c>
      <c r="L76" s="131" t="s">
        <v>1203</v>
      </c>
      <c r="M76" s="131" t="s">
        <v>1204</v>
      </c>
      <c r="N76" s="131" t="s">
        <v>882</v>
      </c>
      <c r="O76" s="131" t="s">
        <v>1060</v>
      </c>
      <c r="P76" s="131" t="s">
        <v>881</v>
      </c>
      <c r="Q76" s="131" t="s">
        <v>899</v>
      </c>
      <c r="R76" s="131" t="s">
        <v>881</v>
      </c>
    </row>
    <row r="77" spans="1:18">
      <c r="B77" s="656" t="s">
        <v>868</v>
      </c>
      <c r="C77" s="655" t="s">
        <v>573</v>
      </c>
      <c r="I77" s="131" t="s">
        <v>1044</v>
      </c>
      <c r="J77" s="131" t="s">
        <v>1045</v>
      </c>
      <c r="L77" s="131" t="s">
        <v>1205</v>
      </c>
      <c r="M77" s="131" t="s">
        <v>1206</v>
      </c>
      <c r="N77" s="131" t="s">
        <v>882</v>
      </c>
      <c r="O77" s="131" t="s">
        <v>1060</v>
      </c>
      <c r="P77" s="131" t="s">
        <v>881</v>
      </c>
      <c r="Q77" s="131" t="s">
        <v>903</v>
      </c>
      <c r="R77" s="131" t="s">
        <v>881</v>
      </c>
    </row>
    <row r="78" spans="1:18">
      <c r="B78" s="656" t="s">
        <v>574</v>
      </c>
      <c r="C78" s="655" t="s">
        <v>585</v>
      </c>
      <c r="I78" s="131" t="s">
        <v>1046</v>
      </c>
      <c r="J78" s="131" t="s">
        <v>1047</v>
      </c>
      <c r="L78" s="131" t="s">
        <v>1207</v>
      </c>
      <c r="M78" s="131" t="s">
        <v>1208</v>
      </c>
      <c r="N78" s="131" t="s">
        <v>882</v>
      </c>
      <c r="O78" s="131" t="s">
        <v>1060</v>
      </c>
      <c r="P78" s="131" t="s">
        <v>881</v>
      </c>
      <c r="Q78" s="131" t="s">
        <v>907</v>
      </c>
      <c r="R78" s="131" t="s">
        <v>881</v>
      </c>
    </row>
    <row r="79" spans="1:18">
      <c r="B79" s="656" t="s">
        <v>866</v>
      </c>
      <c r="C79" s="655" t="s">
        <v>867</v>
      </c>
      <c r="I79" s="131" t="s">
        <v>1048</v>
      </c>
      <c r="J79" s="131" t="s">
        <v>1049</v>
      </c>
      <c r="L79" s="131" t="s">
        <v>1209</v>
      </c>
      <c r="M79" s="131" t="s">
        <v>1210</v>
      </c>
      <c r="N79" s="131" t="s">
        <v>882</v>
      </c>
      <c r="O79" s="131" t="s">
        <v>1062</v>
      </c>
      <c r="P79" s="131" t="s">
        <v>881</v>
      </c>
      <c r="Q79" s="131" t="s">
        <v>899</v>
      </c>
      <c r="R79" s="131" t="s">
        <v>881</v>
      </c>
    </row>
    <row r="80" spans="1:18">
      <c r="B80" s="656" t="s">
        <v>577</v>
      </c>
      <c r="C80" s="655" t="s">
        <v>576</v>
      </c>
      <c r="I80" s="131" t="s">
        <v>1050</v>
      </c>
      <c r="J80" s="131" t="s">
        <v>1051</v>
      </c>
      <c r="L80" s="131" t="s">
        <v>1211</v>
      </c>
      <c r="M80" s="131" t="s">
        <v>1212</v>
      </c>
      <c r="N80" s="131" t="s">
        <v>882</v>
      </c>
      <c r="O80" s="131" t="s">
        <v>1062</v>
      </c>
      <c r="P80" s="131" t="s">
        <v>881</v>
      </c>
      <c r="Q80" s="131" t="s">
        <v>903</v>
      </c>
      <c r="R80" s="131" t="s">
        <v>881</v>
      </c>
    </row>
    <row r="81" spans="2:18">
      <c r="B81" s="656" t="s">
        <v>869</v>
      </c>
      <c r="C81" s="656" t="s">
        <v>870</v>
      </c>
      <c r="I81" s="131" t="s">
        <v>1052</v>
      </c>
      <c r="J81" s="131" t="s">
        <v>1053</v>
      </c>
      <c r="L81" s="131" t="s">
        <v>1213</v>
      </c>
      <c r="M81" s="131" t="s">
        <v>1214</v>
      </c>
      <c r="N81" s="131" t="s">
        <v>882</v>
      </c>
      <c r="O81" s="131" t="s">
        <v>1062</v>
      </c>
      <c r="P81" s="131" t="s">
        <v>881</v>
      </c>
      <c r="Q81" s="131" t="s">
        <v>907</v>
      </c>
      <c r="R81" s="131" t="s">
        <v>881</v>
      </c>
    </row>
    <row r="82" spans="2:18">
      <c r="B82" s="656" t="s">
        <v>578</v>
      </c>
      <c r="C82" s="656" t="s">
        <v>579</v>
      </c>
      <c r="I82" s="131" t="s">
        <v>1054</v>
      </c>
      <c r="J82" s="131" t="s">
        <v>1055</v>
      </c>
      <c r="L82" s="131" t="s">
        <v>1215</v>
      </c>
      <c r="M82" s="131" t="s">
        <v>1216</v>
      </c>
      <c r="N82" s="131" t="s">
        <v>882</v>
      </c>
      <c r="O82" s="131" t="s">
        <v>1066</v>
      </c>
      <c r="P82" s="131" t="s">
        <v>881</v>
      </c>
      <c r="R82" s="131" t="s">
        <v>881</v>
      </c>
    </row>
    <row r="83" spans="2:18">
      <c r="B83" s="656" t="s">
        <v>871</v>
      </c>
      <c r="C83" s="131" t="s">
        <v>872</v>
      </c>
      <c r="I83" s="131" t="s">
        <v>1056</v>
      </c>
      <c r="J83" s="131" t="s">
        <v>1057</v>
      </c>
      <c r="L83" s="131" t="s">
        <v>1217</v>
      </c>
      <c r="M83" s="131" t="s">
        <v>1218</v>
      </c>
      <c r="N83" s="131" t="s">
        <v>882</v>
      </c>
      <c r="O83" s="131" t="s">
        <v>1068</v>
      </c>
      <c r="P83" s="131" t="s">
        <v>881</v>
      </c>
      <c r="R83" s="131" t="s">
        <v>881</v>
      </c>
    </row>
    <row r="84" spans="2:18">
      <c r="I84" s="131" t="s">
        <v>1058</v>
      </c>
      <c r="J84" s="131" t="s">
        <v>1059</v>
      </c>
      <c r="L84" s="131" t="s">
        <v>1219</v>
      </c>
      <c r="M84" s="131" t="s">
        <v>1220</v>
      </c>
      <c r="N84" s="131" t="s">
        <v>888</v>
      </c>
      <c r="O84" s="131" t="s">
        <v>754</v>
      </c>
      <c r="P84" s="131" t="s">
        <v>887</v>
      </c>
      <c r="Q84" s="131" t="s">
        <v>883</v>
      </c>
      <c r="R84" s="131" t="s">
        <v>887</v>
      </c>
    </row>
    <row r="85" spans="2:18">
      <c r="I85" s="131" t="s">
        <v>1060</v>
      </c>
      <c r="J85" s="131" t="s">
        <v>1061</v>
      </c>
      <c r="L85" s="131" t="s">
        <v>1221</v>
      </c>
      <c r="M85" s="131" t="s">
        <v>1222</v>
      </c>
      <c r="N85" s="131" t="s">
        <v>894</v>
      </c>
      <c r="O85" s="131" t="s">
        <v>754</v>
      </c>
      <c r="P85" s="131" t="s">
        <v>893</v>
      </c>
      <c r="Q85" s="131" t="s">
        <v>883</v>
      </c>
      <c r="R85" s="131" t="s">
        <v>893</v>
      </c>
    </row>
    <row r="86" spans="2:18">
      <c r="I86" s="131" t="s">
        <v>1062</v>
      </c>
      <c r="J86" s="131" t="s">
        <v>1063</v>
      </c>
      <c r="L86" s="131" t="s">
        <v>1223</v>
      </c>
      <c r="M86" s="131" t="s">
        <v>1224</v>
      </c>
      <c r="N86" s="131" t="s">
        <v>906</v>
      </c>
      <c r="O86" s="131" t="s">
        <v>245</v>
      </c>
      <c r="P86" s="131" t="s">
        <v>905</v>
      </c>
      <c r="R86" s="131" t="s">
        <v>311</v>
      </c>
    </row>
    <row r="87" spans="2:18">
      <c r="I87" s="131" t="s">
        <v>1064</v>
      </c>
      <c r="J87" s="131" t="s">
        <v>1065</v>
      </c>
      <c r="L87" s="131" t="s">
        <v>1225</v>
      </c>
      <c r="M87" s="131" t="s">
        <v>1226</v>
      </c>
      <c r="N87" s="131" t="s">
        <v>898</v>
      </c>
      <c r="O87" s="131" t="s">
        <v>999</v>
      </c>
      <c r="P87" s="131" t="s">
        <v>897</v>
      </c>
      <c r="Q87" s="131" t="s">
        <v>895</v>
      </c>
      <c r="R87" s="131" t="s">
        <v>311</v>
      </c>
    </row>
    <row r="88" spans="2:18">
      <c r="I88" s="131" t="s">
        <v>1066</v>
      </c>
      <c r="J88" s="131" t="s">
        <v>1067</v>
      </c>
      <c r="L88" s="131" t="s">
        <v>1227</v>
      </c>
      <c r="M88" s="131" t="s">
        <v>1228</v>
      </c>
      <c r="N88" s="131" t="s">
        <v>902</v>
      </c>
      <c r="O88" s="131" t="s">
        <v>942</v>
      </c>
      <c r="P88" s="131" t="s">
        <v>901</v>
      </c>
      <c r="R88" s="131" t="s">
        <v>311</v>
      </c>
    </row>
    <row r="89" spans="2:18">
      <c r="C89" s="652" t="s">
        <v>49</v>
      </c>
      <c r="I89" s="131" t="s">
        <v>1068</v>
      </c>
      <c r="J89" s="131" t="s">
        <v>1069</v>
      </c>
      <c r="L89" s="131" t="s">
        <v>1229</v>
      </c>
      <c r="M89" s="131" t="s">
        <v>1230</v>
      </c>
      <c r="N89" s="131" t="s">
        <v>902</v>
      </c>
      <c r="O89" s="131" t="s">
        <v>919</v>
      </c>
      <c r="P89" s="131" t="s">
        <v>901</v>
      </c>
      <c r="R89" s="131" t="s">
        <v>311</v>
      </c>
    </row>
    <row r="90" spans="2:18">
      <c r="C90" s="652" t="s">
        <v>49</v>
      </c>
      <c r="L90" s="131" t="s">
        <v>1231</v>
      </c>
      <c r="M90" s="131" t="s">
        <v>1232</v>
      </c>
      <c r="N90" s="131" t="s">
        <v>902</v>
      </c>
      <c r="O90" s="131" t="s">
        <v>992</v>
      </c>
      <c r="P90" s="131" t="s">
        <v>901</v>
      </c>
      <c r="R90" s="131" t="s">
        <v>311</v>
      </c>
    </row>
    <row r="91" spans="2:18">
      <c r="C91" s="652" t="s">
        <v>49</v>
      </c>
      <c r="L91" s="131" t="s">
        <v>1233</v>
      </c>
      <c r="M91" s="131" t="s">
        <v>1234</v>
      </c>
      <c r="N91" s="131" t="s">
        <v>902</v>
      </c>
      <c r="O91" s="131" t="s">
        <v>945</v>
      </c>
      <c r="P91" s="131" t="s">
        <v>901</v>
      </c>
      <c r="R91" s="131" t="s">
        <v>311</v>
      </c>
    </row>
    <row r="92" spans="2:18">
      <c r="C92" s="652" t="s">
        <v>49</v>
      </c>
      <c r="L92" s="131" t="s">
        <v>1235</v>
      </c>
      <c r="M92" s="131" t="s">
        <v>1236</v>
      </c>
      <c r="N92" s="131" t="s">
        <v>902</v>
      </c>
      <c r="O92" s="131" t="s">
        <v>754</v>
      </c>
      <c r="P92" s="131" t="s">
        <v>901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tabSelected="1" topLeftCell="P1" workbookViewId="0">
      <selection activeCell="AH7" sqref="AH7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847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44" t="s">
        <v>1253</v>
      </c>
      <c r="G1" s="1045"/>
      <c r="H1" s="980" t="s">
        <v>1262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919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48" t="s">
        <v>257</v>
      </c>
      <c r="J7" s="1049"/>
      <c r="K7" s="1050"/>
      <c r="L7" s="1048" t="s">
        <v>258</v>
      </c>
      <c r="M7" s="1049"/>
      <c r="N7" s="1050"/>
      <c r="O7" s="1048" t="s">
        <v>259</v>
      </c>
      <c r="P7" s="1049"/>
      <c r="Q7" s="1049"/>
      <c r="R7" s="1046" t="s">
        <v>260</v>
      </c>
      <c r="S7" s="1048" t="s">
        <v>1252</v>
      </c>
      <c r="T7" s="1049"/>
      <c r="U7" s="1049"/>
      <c r="V7" s="1049"/>
      <c r="W7" s="1049"/>
      <c r="X7" s="1050"/>
      <c r="Y7" s="760" t="s">
        <v>255</v>
      </c>
      <c r="Z7" s="1042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47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43"/>
      <c r="AA8" s="98" t="s">
        <v>1261</v>
      </c>
      <c r="AB8" s="98"/>
      <c r="AC8" s="98"/>
    </row>
    <row r="9" spans="1:31" s="131" customFormat="1" ht="12" customHeight="1">
      <c r="A9" s="941" t="s">
        <v>919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919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754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754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1263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51" t="s">
        <v>650</v>
      </c>
      <c r="C4" s="1051"/>
      <c r="D4" s="1051"/>
      <c r="E4" s="1051"/>
      <c r="F4" s="1051"/>
      <c r="G4" s="1051"/>
      <c r="H4" s="1051"/>
      <c r="I4" s="1051"/>
      <c r="J4" s="1051"/>
      <c r="K4" s="1051"/>
      <c r="L4" s="1051"/>
      <c r="M4" s="762"/>
      <c r="O4" s="1051" t="s">
        <v>652</v>
      </c>
      <c r="P4" s="1051"/>
      <c r="Q4" s="1051"/>
      <c r="R4" s="1051"/>
      <c r="S4" s="1051"/>
      <c r="T4" s="1051"/>
      <c r="U4" s="1051"/>
      <c r="V4" s="1051"/>
      <c r="W4" s="1051"/>
      <c r="X4" s="1051"/>
      <c r="Y4" s="1051"/>
      <c r="Z4" s="1051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52" t="s">
        <v>659</v>
      </c>
      <c r="AZ18" s="1052"/>
      <c r="BA18" s="1052"/>
      <c r="BB18" s="1052"/>
      <c r="BC18" s="1052"/>
      <c r="BD18" s="1052"/>
      <c r="BE18" s="1052"/>
      <c r="BF18" s="1052"/>
      <c r="BG18" s="1052"/>
      <c r="BH18" s="1052"/>
      <c r="BI18" s="1052"/>
      <c r="BJ18" s="1052"/>
      <c r="BL18" s="1052" t="s">
        <v>660</v>
      </c>
      <c r="BM18" s="1052"/>
      <c r="BN18" s="1052"/>
      <c r="BO18" s="1052"/>
      <c r="BP18" s="1052"/>
      <c r="BQ18" s="1052"/>
      <c r="BR18" s="1052"/>
      <c r="BS18" s="1052"/>
      <c r="BT18" s="1052"/>
      <c r="BU18" s="1052"/>
      <c r="BV18" s="1052"/>
      <c r="BW18" s="1052"/>
      <c r="BX18" s="1052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51" t="s">
        <v>651</v>
      </c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762"/>
      <c r="O19" s="1051" t="s">
        <v>652</v>
      </c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51"/>
      <c r="AB19" s="1051" t="s">
        <v>653</v>
      </c>
      <c r="AC19" s="1051"/>
      <c r="AD19" s="1051"/>
      <c r="AE19" s="1051"/>
      <c r="AF19" s="1051"/>
      <c r="AG19" s="1051"/>
      <c r="AH19" s="1051"/>
      <c r="AI19" s="1051"/>
      <c r="AJ19" s="1051"/>
      <c r="AK19" s="1051"/>
      <c r="AL19" s="1051"/>
      <c r="AN19" s="1051" t="s">
        <v>654</v>
      </c>
      <c r="AO19" s="1051"/>
      <c r="AP19" s="1051"/>
      <c r="AQ19" s="1051"/>
      <c r="AR19" s="1051"/>
      <c r="AS19" s="1051"/>
      <c r="AT19" s="1051"/>
      <c r="AU19" s="1051"/>
      <c r="AV19" s="1051"/>
      <c r="AW19" s="1051"/>
      <c r="AY19" s="1051" t="s">
        <v>655</v>
      </c>
      <c r="AZ19" s="1051"/>
      <c r="BA19" s="1051"/>
      <c r="BB19" s="1051"/>
      <c r="BC19" s="1051"/>
      <c r="BD19" s="1051"/>
      <c r="BE19" s="1051"/>
      <c r="BF19" s="1051"/>
      <c r="BG19" s="1051"/>
      <c r="BH19" s="1051"/>
      <c r="BI19" s="1051"/>
      <c r="BJ19" s="1051"/>
      <c r="BL19" s="1051" t="s">
        <v>661</v>
      </c>
      <c r="BM19" s="1051"/>
      <c r="BN19" s="1051"/>
      <c r="BO19" s="1051"/>
      <c r="BP19" s="1051"/>
      <c r="BQ19" s="1051"/>
      <c r="BR19" s="1051"/>
      <c r="BS19" s="1051"/>
      <c r="BT19" s="1051"/>
      <c r="BU19" s="1051"/>
      <c r="BV19" s="1051"/>
      <c r="BW19" s="1051"/>
      <c r="BX19" s="1051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X140"/>
  <sheetViews>
    <sheetView topLeftCell="F1" workbookViewId="0">
      <selection activeCell="N25" sqref="N25"/>
    </sheetView>
  </sheetViews>
  <sheetFormatPr defaultColWidth="9.140625" defaultRowHeight="12.75"/>
  <cols>
    <col min="1" max="2" width="4.7109375" style="131" customWidth="1"/>
    <col min="3" max="4" width="9.140625" style="131"/>
    <col min="5" max="5" width="15.85546875" style="131" customWidth="1"/>
    <col min="6" max="6" width="36.28515625" style="131" customWidth="1"/>
    <col min="7" max="7" width="13.140625" style="131" customWidth="1"/>
    <col min="8" max="8" width="16.28515625" style="131" customWidth="1"/>
    <col min="9" max="9" width="12.85546875" style="131" customWidth="1"/>
    <col min="10" max="10" width="13.42578125" style="131" customWidth="1"/>
    <col min="11" max="12" width="9.140625" style="131"/>
    <col min="13" max="13" width="4.42578125" style="131" customWidth="1"/>
    <col min="14" max="14" width="14.42578125" style="131" bestFit="1" customWidth="1"/>
    <col min="15" max="15" width="12" style="131" bestFit="1" customWidth="1"/>
    <col min="16" max="16" width="15.42578125" style="131" bestFit="1" customWidth="1"/>
    <col min="17" max="17" width="30.85546875" style="131" bestFit="1" customWidth="1"/>
    <col min="18" max="18" width="13.42578125" style="131" customWidth="1"/>
    <col min="19" max="19" width="9.140625" style="131"/>
    <col min="20" max="20" width="12.7109375" style="131" customWidth="1"/>
    <col min="21" max="21" width="9.140625" style="131"/>
    <col min="22" max="22" width="10.5703125" style="131" bestFit="1" customWidth="1"/>
    <col min="23" max="23" width="4.28515625" style="131" bestFit="1" customWidth="1"/>
    <col min="24" max="24" width="10" style="131" bestFit="1" customWidth="1"/>
    <col min="25" max="16384" width="9.140625" style="131"/>
  </cols>
  <sheetData>
    <row r="2" spans="1:22" ht="21">
      <c r="C2" s="77" t="s">
        <v>268</v>
      </c>
      <c r="D2" s="77"/>
      <c r="E2" s="79"/>
      <c r="N2" s="77" t="s">
        <v>268</v>
      </c>
      <c r="O2" s="79"/>
    </row>
    <row r="3" spans="1:22" ht="15">
      <c r="C3" s="68" t="s">
        <v>269</v>
      </c>
      <c r="D3" s="68"/>
      <c r="E3" s="68"/>
      <c r="F3" s="80"/>
      <c r="G3" s="80"/>
      <c r="H3" s="80"/>
      <c r="I3" s="80"/>
      <c r="J3" s="80"/>
      <c r="K3" s="80"/>
      <c r="N3" s="68" t="s">
        <v>269</v>
      </c>
      <c r="O3" s="68"/>
      <c r="P3" s="82"/>
      <c r="Q3" s="82"/>
      <c r="R3" s="82"/>
      <c r="S3" s="82"/>
      <c r="T3" s="82"/>
      <c r="U3" s="82"/>
    </row>
    <row r="4" spans="1:22" ht="15.75" thickBot="1">
      <c r="C4" s="69" t="s">
        <v>270</v>
      </c>
      <c r="D4" s="73" t="s">
        <v>1297</v>
      </c>
      <c r="E4" s="69" t="s">
        <v>271</v>
      </c>
      <c r="F4" s="69" t="s">
        <v>272</v>
      </c>
      <c r="G4" s="69" t="s">
        <v>273</v>
      </c>
      <c r="H4" s="69" t="s">
        <v>274</v>
      </c>
      <c r="I4" s="69" t="s">
        <v>275</v>
      </c>
      <c r="J4" s="69" t="s">
        <v>276</v>
      </c>
      <c r="K4" s="69" t="s">
        <v>277</v>
      </c>
      <c r="N4" s="696" t="s">
        <v>270</v>
      </c>
      <c r="O4" s="73" t="s">
        <v>1297</v>
      </c>
      <c r="P4" s="696" t="s">
        <v>271</v>
      </c>
      <c r="Q4" s="696" t="s">
        <v>272</v>
      </c>
      <c r="R4" s="696" t="s">
        <v>273</v>
      </c>
      <c r="S4" s="696" t="s">
        <v>274</v>
      </c>
      <c r="T4" s="696" t="s">
        <v>275</v>
      </c>
      <c r="U4" s="696" t="s">
        <v>276</v>
      </c>
      <c r="V4" s="696" t="s">
        <v>277</v>
      </c>
    </row>
    <row r="5" spans="1:22" ht="36.75" customHeight="1" thickBot="1">
      <c r="C5" s="694" t="s">
        <v>278</v>
      </c>
      <c r="D5" s="74" t="s">
        <v>1298</v>
      </c>
      <c r="E5" s="694" t="s">
        <v>279</v>
      </c>
      <c r="F5" s="694" t="s">
        <v>280</v>
      </c>
      <c r="G5" s="695" t="s">
        <v>273</v>
      </c>
      <c r="H5" s="695" t="s">
        <v>281</v>
      </c>
      <c r="I5" s="695" t="s">
        <v>282</v>
      </c>
      <c r="J5" s="695" t="s">
        <v>283</v>
      </c>
      <c r="K5" s="695" t="s">
        <v>284</v>
      </c>
      <c r="N5" s="695" t="s">
        <v>278</v>
      </c>
      <c r="O5" s="74" t="s">
        <v>1298</v>
      </c>
      <c r="P5" s="695" t="s">
        <v>279</v>
      </c>
      <c r="Q5" s="695" t="s">
        <v>280</v>
      </c>
      <c r="R5" s="695" t="s">
        <v>273</v>
      </c>
      <c r="S5" s="695" t="s">
        <v>281</v>
      </c>
      <c r="T5" s="695" t="s">
        <v>282</v>
      </c>
      <c r="U5" s="695" t="s">
        <v>283</v>
      </c>
      <c r="V5" s="695" t="s">
        <v>284</v>
      </c>
    </row>
    <row r="6" spans="1:22">
      <c r="A6" s="131" t="str">
        <f>TRIM(SETUP!A8)</f>
        <v/>
      </c>
      <c r="C6" s="131" t="str">
        <f>A6&amp;"NRG"</f>
        <v>NRG</v>
      </c>
      <c r="D6" s="125" t="str">
        <f>_xlfn.TEXTJOIN(",",TRUE,IF(LEFT(Regions!$C$3,1)&lt;&gt;"*",Regions!$C$3,""),IF(LEFT(Regions!$D$3,1)&lt;&gt;"*",Regions!$D$3,""))</f>
        <v>IE,National</v>
      </c>
      <c r="E6" s="131" t="str">
        <f>SETUP!B8</f>
        <v>RSDCOA</v>
      </c>
      <c r="F6" s="131" t="str">
        <f>SETUP!C8</f>
        <v>Coal to Residential</v>
      </c>
      <c r="G6" s="132" t="s">
        <v>19</v>
      </c>
      <c r="H6" s="131" t="s">
        <v>285</v>
      </c>
      <c r="I6" s="95" t="s">
        <v>286</v>
      </c>
      <c r="J6" s="131" t="s">
        <v>285</v>
      </c>
      <c r="K6" s="131" t="s">
        <v>285</v>
      </c>
      <c r="N6" s="904" t="s">
        <v>287</v>
      </c>
      <c r="O6" s="125" t="str">
        <f>_xlfn.TEXTJOIN(",",TRUE,IF(LEFT(Regions!$C$3,1)&lt;&gt;"*",Regions!$C$3,""),IF(LEFT(Regions!$D$3,1)&lt;&gt;"*",Regions!$D$3,""))</f>
        <v>IE,National</v>
      </c>
      <c r="P6" s="657" t="str">
        <f>SETUP!B3&amp;"_"&amp;SETUP!B36</f>
        <v>RSD_Apt</v>
      </c>
      <c r="Q6" s="657" t="str">
        <f>"Residential "&amp;SETUP!C36&amp;" demand"</f>
        <v>Residential Apartment demand</v>
      </c>
      <c r="R6" s="658" t="s">
        <v>288</v>
      </c>
      <c r="S6" s="657"/>
      <c r="T6" s="657" t="s">
        <v>286</v>
      </c>
      <c r="U6" s="657"/>
      <c r="V6" s="657"/>
    </row>
    <row r="7" spans="1:22">
      <c r="A7" s="131" t="str">
        <f>TRIM(SETUP!A9)</f>
        <v/>
      </c>
      <c r="C7" s="131" t="str">
        <f t="shared" ref="C7:C25" si="0">A7&amp;"NRG"</f>
        <v>NRG</v>
      </c>
      <c r="D7" s="125" t="str">
        <f>_xlfn.TEXTJOIN(",",TRUE,IF(LEFT(Regions!$C$3,1)&lt;&gt;"*",Regions!$C$3,""),IF(LEFT(Regions!$D$3,1)&lt;&gt;"*",Regions!$D$3,""))</f>
        <v>IE,National</v>
      </c>
      <c r="E7" s="131" t="str">
        <f>SETUP!B9</f>
        <v>RSDPEA</v>
      </c>
      <c r="F7" s="131" t="str">
        <f>SETUP!C9</f>
        <v>Peat to Residential</v>
      </c>
      <c r="G7" s="132" t="s">
        <v>19</v>
      </c>
      <c r="I7" s="95" t="s">
        <v>286</v>
      </c>
      <c r="N7" s="125" t="s">
        <v>287</v>
      </c>
      <c r="O7" s="125" t="str">
        <f>_xlfn.TEXTJOIN(",",TRUE,IF(LEFT(Regions!$C$3,1)&lt;&gt;"*",Regions!$C$3,""),IF(LEFT(Regions!$D$3,1)&lt;&gt;"*",Regions!$D$3,""))</f>
        <v>IE,National</v>
      </c>
      <c r="P7" s="95" t="str">
        <f>SETUP!B3&amp;"_"&amp;SETUP!B37</f>
        <v>RSD_Att</v>
      </c>
      <c r="Q7" s="95" t="str">
        <f>"Residential "&amp;SETUP!C37&amp;" demand"</f>
        <v>Residential Attached demand</v>
      </c>
      <c r="R7" s="110" t="s">
        <v>288</v>
      </c>
      <c r="S7" s="95"/>
      <c r="T7" s="95" t="s">
        <v>286</v>
      </c>
      <c r="U7" s="95"/>
      <c r="V7" s="95"/>
    </row>
    <row r="8" spans="1:22" ht="13.5" thickBot="1">
      <c r="A8" s="131" t="str">
        <f>TRIM(SETUP!A10)</f>
        <v/>
      </c>
      <c r="C8" s="131" t="str">
        <f t="shared" si="0"/>
        <v>NRG</v>
      </c>
      <c r="D8" s="125" t="str">
        <f>_xlfn.TEXTJOIN(",",TRUE,IF(LEFT(Regions!$C$3,1)&lt;&gt;"*",Regions!$C$3,""),IF(LEFT(Regions!$D$3,1)&lt;&gt;"*",Regions!$D$3,""))</f>
        <v>IE,National</v>
      </c>
      <c r="E8" s="131" t="str">
        <f>SETUP!B10</f>
        <v>RSDOILLPG</v>
      </c>
      <c r="F8" s="131" t="str">
        <f>SETUP!C10</f>
        <v>LPG to Residential</v>
      </c>
      <c r="G8" s="132" t="s">
        <v>19</v>
      </c>
      <c r="I8" s="95" t="s">
        <v>286</v>
      </c>
      <c r="N8" s="905" t="s">
        <v>287</v>
      </c>
      <c r="O8" s="905" t="str">
        <f>_xlfn.TEXTJOIN(",",TRUE,IF(LEFT(Regions!$C$3,1)&lt;&gt;"*",Regions!$C$3,""),IF(LEFT(Regions!$D$3,1)&lt;&gt;"*",Regions!$D$3,""))</f>
        <v>IE,National</v>
      </c>
      <c r="P8" s="659" t="str">
        <f>SETUP!B3&amp;"_"&amp;SETUP!B38</f>
        <v>RSD_Det</v>
      </c>
      <c r="Q8" s="659" t="str">
        <f>"Residential "&amp;SETUP!C38&amp;" demand"</f>
        <v>Residential Detached demand</v>
      </c>
      <c r="R8" s="660" t="s">
        <v>288</v>
      </c>
      <c r="S8" s="659"/>
      <c r="T8" s="659" t="s">
        <v>286</v>
      </c>
      <c r="U8" s="659"/>
      <c r="V8" s="659"/>
    </row>
    <row r="9" spans="1:22">
      <c r="A9" s="131" t="str">
        <f>TRIM(SETUP!A11)</f>
        <v>*</v>
      </c>
      <c r="C9" s="131" t="str">
        <f t="shared" si="0"/>
        <v>*NRG</v>
      </c>
      <c r="D9" s="125" t="str">
        <f>_xlfn.TEXTJOIN(",",TRUE,IF(LEFT(Regions!$C$3,1)&lt;&gt;"*",Regions!$C$3,""),IF(LEFT(Regions!$D$3,1)&lt;&gt;"*",Regions!$D$3,""))</f>
        <v>IE,National</v>
      </c>
      <c r="E9" s="131" t="str">
        <f>SETUP!B11</f>
        <v>RSDOILGSL</v>
      </c>
      <c r="F9" s="131" t="str">
        <f>SETUP!C11</f>
        <v>Gasoline to Residential</v>
      </c>
      <c r="G9" s="132" t="s">
        <v>19</v>
      </c>
      <c r="I9" s="131" t="s">
        <v>286</v>
      </c>
      <c r="N9" s="657" t="s">
        <v>290</v>
      </c>
      <c r="O9" s="125" t="str">
        <f>_xlfn.TEXTJOIN(",",TRUE,IF(LEFT(Regions!$C$3,1)&lt;&gt;"*",Regions!$C$3,""),IF(LEFT(Regions!$D$3,1)&lt;&gt;"*",Regions!$D$3,""))</f>
        <v>IE,National</v>
      </c>
      <c r="P9" s="657" t="str">
        <f>SETUP!B50&amp;"_"&amp;SETUP!B36</f>
        <v>RSH_Apt</v>
      </c>
      <c r="Q9" s="657" t="str">
        <f>SETUP!C50&amp;" "&amp;  SETUP!C36</f>
        <v>Residential Space Heating Apartment</v>
      </c>
      <c r="R9" s="657" t="s">
        <v>19</v>
      </c>
      <c r="S9" s="657"/>
      <c r="T9" s="657"/>
      <c r="U9" s="95"/>
      <c r="V9" s="95"/>
    </row>
    <row r="10" spans="1:22">
      <c r="A10" s="131" t="str">
        <f>TRIM(SETUP!A12)</f>
        <v/>
      </c>
      <c r="C10" s="131" t="str">
        <f t="shared" si="0"/>
        <v>NRG</v>
      </c>
      <c r="D10" s="125" t="str">
        <f>_xlfn.TEXTJOIN(",",TRUE,IF(LEFT(Regions!$C$3,1)&lt;&gt;"*",Regions!$C$3,""),IF(LEFT(Regions!$D$3,1)&lt;&gt;"*",Regions!$D$3,""))</f>
        <v>IE,National</v>
      </c>
      <c r="E10" s="131" t="str">
        <f>SETUP!B12</f>
        <v>RSDOILKER</v>
      </c>
      <c r="F10" s="131" t="str">
        <f>SETUP!C12</f>
        <v>Kerosene to Residential</v>
      </c>
      <c r="G10" s="132" t="s">
        <v>19</v>
      </c>
      <c r="I10" s="131" t="s">
        <v>286</v>
      </c>
      <c r="N10" s="95" t="s">
        <v>290</v>
      </c>
      <c r="O10" s="125" t="str">
        <f>_xlfn.TEXTJOIN(",",TRUE,IF(LEFT(Regions!$C$3,1)&lt;&gt;"*",Regions!$C$3,""),IF(LEFT(Regions!$D$3,1)&lt;&gt;"*",Regions!$D$3,""))</f>
        <v>IE,National</v>
      </c>
      <c r="P10" s="95" t="str">
        <f>SETUP!B50&amp;"_"&amp;SETUP!B37</f>
        <v>RSH_Att</v>
      </c>
      <c r="Q10" s="95" t="str">
        <f>SETUP!C50&amp;" "&amp;  SETUP!C37</f>
        <v>Residential Space Heating Attached</v>
      </c>
      <c r="R10" s="95" t="s">
        <v>19</v>
      </c>
      <c r="S10" s="95"/>
      <c r="T10" s="95"/>
      <c r="U10" s="95"/>
      <c r="V10" s="95"/>
    </row>
    <row r="11" spans="1:22" ht="13.5" thickBot="1">
      <c r="A11" s="131" t="s">
        <v>295</v>
      </c>
      <c r="C11" s="131" t="str">
        <f t="shared" si="0"/>
        <v>*NRG</v>
      </c>
      <c r="D11" s="125" t="str">
        <f>_xlfn.TEXTJOIN(",",TRUE,IF(LEFT(Regions!$C$3,1)&lt;&gt;"*",Regions!$C$3,""),IF(LEFT(Regions!$D$3,1)&lt;&gt;"*",Regions!$D$3,""))</f>
        <v>IE,National</v>
      </c>
      <c r="E11" s="131" t="str">
        <f>SETUP!B13</f>
        <v>RSDOILDST</v>
      </c>
      <c r="F11" s="131" t="str">
        <f>SETUP!C13</f>
        <v>Gasoil / Diesel /DERV to Residential</v>
      </c>
      <c r="G11" s="132" t="s">
        <v>19</v>
      </c>
      <c r="I11" s="131" t="s">
        <v>286</v>
      </c>
      <c r="N11" s="659" t="s">
        <v>290</v>
      </c>
      <c r="O11" s="905" t="str">
        <f>_xlfn.TEXTJOIN(",",TRUE,IF(LEFT(Regions!$C$3,1)&lt;&gt;"*",Regions!$C$3,""),IF(LEFT(Regions!$D$3,1)&lt;&gt;"*",Regions!$D$3,""))</f>
        <v>IE,National</v>
      </c>
      <c r="P11" s="659" t="str">
        <f>SETUP!B50&amp;"_"&amp;SETUP!B38</f>
        <v>RSH_Det</v>
      </c>
      <c r="Q11" s="659" t="str">
        <f>SETUP!C50&amp;" "&amp;  SETUP!C38</f>
        <v>Residential Space Heating Detached</v>
      </c>
      <c r="R11" s="659" t="s">
        <v>19</v>
      </c>
      <c r="S11" s="659"/>
      <c r="T11" s="659"/>
      <c r="U11" s="659"/>
      <c r="V11" s="659"/>
    </row>
    <row r="12" spans="1:22">
      <c r="A12" s="131" t="s">
        <v>295</v>
      </c>
      <c r="C12" s="131" t="str">
        <f t="shared" si="0"/>
        <v>*NRG</v>
      </c>
      <c r="D12" s="125" t="str">
        <f>_xlfn.TEXTJOIN(",",TRUE,IF(LEFT(Regions!$C$3,1)&lt;&gt;"*",Regions!$C$3,""),IF(LEFT(Regions!$D$3,1)&lt;&gt;"*",Regions!$D$3,""))</f>
        <v>IE,National</v>
      </c>
      <c r="E12" s="131" t="str">
        <f>SETUP!B14</f>
        <v>RSDOILHFO</v>
      </c>
      <c r="F12" s="131" t="str">
        <f>SETUP!C14</f>
        <v>Fueloil to Residential</v>
      </c>
      <c r="G12" s="132" t="s">
        <v>19</v>
      </c>
      <c r="I12" s="131" t="s">
        <v>286</v>
      </c>
      <c r="N12" s="95" t="s">
        <v>290</v>
      </c>
      <c r="O12" s="125" t="str">
        <f>_xlfn.TEXTJOIN(",",TRUE,IF(LEFT(Regions!$C$3,1)&lt;&gt;"*",Regions!$C$3,""),IF(LEFT(Regions!$D$3,1)&lt;&gt;"*",Regions!$D$3,""))</f>
        <v>IE,National</v>
      </c>
      <c r="P12" s="95" t="str">
        <f>SETUP!$B$51&amp;"_"&amp;SETUP!B36</f>
        <v>RSC_Apt</v>
      </c>
      <c r="Q12" s="95" t="str">
        <f>SETUP!$C$51&amp;" "&amp;  SETUP!C36</f>
        <v>Residential Space Cooling Apartment</v>
      </c>
      <c r="R12" s="95" t="s">
        <v>19</v>
      </c>
      <c r="S12" s="95"/>
      <c r="T12" s="95"/>
      <c r="U12" s="95"/>
      <c r="V12" s="95"/>
    </row>
    <row r="13" spans="1:22">
      <c r="A13" s="131" t="s">
        <v>295</v>
      </c>
      <c r="C13" s="131" t="str">
        <f t="shared" si="0"/>
        <v>*NRG</v>
      </c>
      <c r="D13" s="125" t="str">
        <f>_xlfn.TEXTJOIN(",",TRUE,IF(LEFT(Regions!$C$3,1)&lt;&gt;"*",Regions!$C$3,""),IF(LEFT(Regions!$D$3,1)&lt;&gt;"*",Regions!$D$3,""))</f>
        <v>IE,National</v>
      </c>
      <c r="E13" s="131" t="str">
        <f>SETUP!B15</f>
        <v>RSDOILCOK</v>
      </c>
      <c r="F13" s="131" t="str">
        <f>SETUP!C15</f>
        <v>Petroleum Coke to Residential</v>
      </c>
      <c r="G13" s="110" t="s">
        <v>19</v>
      </c>
      <c r="H13" s="95"/>
      <c r="I13" s="131" t="s">
        <v>286</v>
      </c>
      <c r="J13" s="95"/>
      <c r="K13" s="95"/>
      <c r="N13" s="95" t="s">
        <v>290</v>
      </c>
      <c r="O13" s="125" t="str">
        <f>_xlfn.TEXTJOIN(",",TRUE,IF(LEFT(Regions!$C$3,1)&lt;&gt;"*",Regions!$C$3,""),IF(LEFT(Regions!$D$3,1)&lt;&gt;"*",Regions!$D$3,""))</f>
        <v>IE,National</v>
      </c>
      <c r="P13" s="95" t="str">
        <f>SETUP!$B$51&amp;"_"&amp;SETUP!B37</f>
        <v>RSC_Att</v>
      </c>
      <c r="Q13" s="95" t="str">
        <f>SETUP!$C$51&amp;" "&amp;  SETUP!C37</f>
        <v>Residential Space Cooling Attached</v>
      </c>
      <c r="R13" s="95" t="s">
        <v>19</v>
      </c>
      <c r="S13" s="95"/>
      <c r="T13" s="95"/>
      <c r="U13" s="95"/>
      <c r="V13" s="95"/>
    </row>
    <row r="14" spans="1:22" ht="13.5" thickBot="1">
      <c r="A14" s="131" t="str">
        <f>TRIM(SETUP!A16)</f>
        <v/>
      </c>
      <c r="C14" s="131" t="str">
        <f t="shared" si="0"/>
        <v>NRG</v>
      </c>
      <c r="D14" s="125" t="str">
        <f>_xlfn.TEXTJOIN(",",TRUE,IF(LEFT(Regions!$C$3,1)&lt;&gt;"*",Regions!$C$3,""),IF(LEFT(Regions!$D$3,1)&lt;&gt;"*",Regions!$D$3,""))</f>
        <v>IE,National</v>
      </c>
      <c r="E14" s="131" t="str">
        <f>SETUP!B16</f>
        <v>RSDGASNAT</v>
      </c>
      <c r="F14" s="131" t="str">
        <f>SETUP!C16</f>
        <v>Natural Gas to Residential</v>
      </c>
      <c r="G14" s="110" t="s">
        <v>19</v>
      </c>
      <c r="H14" s="95"/>
      <c r="I14" s="95" t="s">
        <v>286</v>
      </c>
      <c r="J14" s="95"/>
      <c r="K14" s="95"/>
      <c r="N14" s="659" t="s">
        <v>290</v>
      </c>
      <c r="O14" s="905" t="str">
        <f>_xlfn.TEXTJOIN(",",TRUE,IF(LEFT(Regions!$C$3,1)&lt;&gt;"*",Regions!$C$3,""),IF(LEFT(Regions!$D$3,1)&lt;&gt;"*",Regions!$D$3,""))</f>
        <v>IE,National</v>
      </c>
      <c r="P14" s="659" t="str">
        <f>SETUP!$B$51&amp;"_"&amp;SETUP!B38</f>
        <v>RSC_Det</v>
      </c>
      <c r="Q14" s="659" t="str">
        <f>SETUP!$C$51&amp;" "&amp;  SETUP!C38</f>
        <v>Residential Space Cooling Detached</v>
      </c>
      <c r="R14" s="659" t="s">
        <v>19</v>
      </c>
      <c r="S14" s="659"/>
      <c r="T14" s="659"/>
      <c r="U14" s="659"/>
      <c r="V14" s="659"/>
    </row>
    <row r="15" spans="1:22">
      <c r="A15" s="131" t="s">
        <v>295</v>
      </c>
      <c r="C15" s="131" t="str">
        <f t="shared" si="0"/>
        <v>*NRG</v>
      </c>
      <c r="D15" s="125" t="str">
        <f>_xlfn.TEXTJOIN(",",TRUE,IF(LEFT(Regions!$C$3,1)&lt;&gt;"*",Regions!$C$3,""),IF(LEFT(Regions!$D$3,1)&lt;&gt;"*",Regions!$D$3,""))</f>
        <v>IE,National</v>
      </c>
      <c r="E15" s="131" t="str">
        <f>SETUP!B17</f>
        <v>RSDRENSOL</v>
      </c>
      <c r="F15" s="131" t="str">
        <f>SETUP!C17</f>
        <v>Solar to Residential</v>
      </c>
      <c r="G15" s="110" t="s">
        <v>19</v>
      </c>
      <c r="H15" s="95"/>
      <c r="I15" s="95" t="s">
        <v>286</v>
      </c>
      <c r="J15" s="95"/>
      <c r="K15" s="95"/>
      <c r="N15" s="95" t="s">
        <v>290</v>
      </c>
      <c r="O15" s="125" t="str">
        <f>_xlfn.TEXTJOIN(",",TRUE,IF(LEFT(Regions!$C$3,1)&lt;&gt;"*",Regions!$C$3,""),IF(LEFT(Regions!$D$3,1)&lt;&gt;"*",Regions!$D$3,""))</f>
        <v>IE,National</v>
      </c>
      <c r="P15" s="95" t="str">
        <f>SETUP!$B$52&amp;"_"&amp;SETUP!B36</f>
        <v>RWH_Apt</v>
      </c>
      <c r="Q15" s="95" t="str">
        <f>SETUP!$C$52&amp;" "&amp;  SETUP!C36</f>
        <v>Residential Water Heating Apartment</v>
      </c>
      <c r="R15" s="95" t="s">
        <v>19</v>
      </c>
      <c r="S15" s="95"/>
      <c r="T15" s="95"/>
      <c r="U15" s="95"/>
      <c r="V15" s="95"/>
    </row>
    <row r="16" spans="1:22">
      <c r="A16" s="131" t="str">
        <f>TRIM(SETUP!A18)</f>
        <v/>
      </c>
      <c r="C16" s="131" t="str">
        <f t="shared" si="0"/>
        <v>NRG</v>
      </c>
      <c r="D16" s="125" t="str">
        <f>_xlfn.TEXTJOIN(",",TRUE,IF(LEFT(Regions!$C$3,1)&lt;&gt;"*",Regions!$C$3,""),IF(LEFT(Regions!$D$3,1)&lt;&gt;"*",Regions!$D$3,""))</f>
        <v>IE,National</v>
      </c>
      <c r="E16" s="131" t="str">
        <f>SETUP!B18</f>
        <v>RSDBIOWOO</v>
      </c>
      <c r="F16" s="131" t="str">
        <f>SETUP!C18</f>
        <v>Biomass and Renewable Waste to Residential</v>
      </c>
      <c r="G16" s="110" t="s">
        <v>19</v>
      </c>
      <c r="H16" s="95"/>
      <c r="I16" s="95" t="s">
        <v>286</v>
      </c>
      <c r="J16" s="95"/>
      <c r="K16" s="95"/>
      <c r="N16" s="95" t="s">
        <v>290</v>
      </c>
      <c r="O16" s="125" t="str">
        <f>_xlfn.TEXTJOIN(",",TRUE,IF(LEFT(Regions!$C$3,1)&lt;&gt;"*",Regions!$C$3,""),IF(LEFT(Regions!$D$3,1)&lt;&gt;"*",Regions!$D$3,""))</f>
        <v>IE,National</v>
      </c>
      <c r="P16" s="95" t="str">
        <f>SETUP!$B$52&amp;"_"&amp;SETUP!B37</f>
        <v>RWH_Att</v>
      </c>
      <c r="Q16" s="95" t="str">
        <f>SETUP!$C$52&amp;" "&amp;  SETUP!C37</f>
        <v>Residential Water Heating Attached</v>
      </c>
      <c r="R16" s="95" t="s">
        <v>19</v>
      </c>
      <c r="S16" s="95"/>
      <c r="T16" s="95"/>
      <c r="U16" s="95"/>
      <c r="V16" s="95"/>
    </row>
    <row r="17" spans="1:22" ht="13.5" thickBot="1">
      <c r="A17" s="131" t="s">
        <v>295</v>
      </c>
      <c r="C17" s="131" t="str">
        <f t="shared" si="0"/>
        <v>*NRG</v>
      </c>
      <c r="D17" s="125" t="str">
        <f>_xlfn.TEXTJOIN(",",TRUE,IF(LEFT(Regions!$C$3,1)&lt;&gt;"*",Regions!$C$3,""),IF(LEFT(Regions!$D$3,1)&lt;&gt;"*",Regions!$D$3,""))</f>
        <v>IE,National</v>
      </c>
      <c r="E17" s="131" t="str">
        <f>SETUP!B19</f>
        <v>RSDBIOGAS</v>
      </c>
      <c r="F17" s="131" t="str">
        <f>SETUP!C19</f>
        <v>Biogas to Residential</v>
      </c>
      <c r="G17" s="110" t="s">
        <v>19</v>
      </c>
      <c r="H17" s="95"/>
      <c r="I17" s="95" t="s">
        <v>286</v>
      </c>
      <c r="J17" s="95"/>
      <c r="K17" s="95"/>
      <c r="N17" s="659" t="s">
        <v>290</v>
      </c>
      <c r="O17" s="905" t="str">
        <f>_xlfn.TEXTJOIN(",",TRUE,IF(LEFT(Regions!$C$3,1)&lt;&gt;"*",Regions!$C$3,""),IF(LEFT(Regions!$D$3,1)&lt;&gt;"*",Regions!$D$3,""))</f>
        <v>IE,National</v>
      </c>
      <c r="P17" s="659" t="str">
        <f>SETUP!$B$52&amp;"_"&amp;SETUP!B38</f>
        <v>RWH_Det</v>
      </c>
      <c r="Q17" s="659" t="str">
        <f>SETUP!$C$52&amp;" "&amp;  SETUP!C38</f>
        <v>Residential Water Heating Detached</v>
      </c>
      <c r="R17" s="659" t="s">
        <v>19</v>
      </c>
      <c r="S17" s="659"/>
      <c r="T17" s="659"/>
      <c r="U17" s="659"/>
      <c r="V17" s="659"/>
    </row>
    <row r="18" spans="1:22">
      <c r="A18" s="131" t="s">
        <v>295</v>
      </c>
      <c r="C18" s="131" t="str">
        <f t="shared" si="0"/>
        <v>*NRG</v>
      </c>
      <c r="D18" s="125" t="str">
        <f>_xlfn.TEXTJOIN(",",TRUE,IF(LEFT(Regions!$C$3,1)&lt;&gt;"*",Regions!$C$3,""),IF(LEFT(Regions!$D$3,1)&lt;&gt;"*",Regions!$D$3,""))</f>
        <v>IE,National</v>
      </c>
      <c r="E18" s="131" t="str">
        <f>SETUP!B20</f>
        <v>RSDBIOMUN</v>
      </c>
      <c r="F18" s="131" t="str">
        <f>SETUP!C20</f>
        <v>Landfill Gas to Residential</v>
      </c>
      <c r="G18" s="110" t="s">
        <v>19</v>
      </c>
      <c r="H18" s="95"/>
      <c r="I18" s="95" t="s">
        <v>286</v>
      </c>
      <c r="J18" s="95"/>
      <c r="K18" s="95"/>
      <c r="N18" s="95" t="s">
        <v>290</v>
      </c>
      <c r="O18" s="125" t="str">
        <f>_xlfn.TEXTJOIN(",",TRUE,IF(LEFT(Regions!$C$3,1)&lt;&gt;"*",Regions!$C$3,""),IF(LEFT(Regions!$D$3,1)&lt;&gt;"*",Regions!$D$3,""))</f>
        <v>IE,National</v>
      </c>
      <c r="P18" s="95" t="str">
        <f>SETUP!$B$55&amp;"_"&amp;SETUP!B36</f>
        <v>RLT_Apt</v>
      </c>
      <c r="Q18" s="95" t="str">
        <f>SETUP!$C$55&amp;" "&amp;  SETUP!C36</f>
        <v>Residential Lighting Apartment</v>
      </c>
      <c r="R18" s="95" t="s">
        <v>19</v>
      </c>
      <c r="S18" s="95"/>
      <c r="T18" s="95"/>
      <c r="U18" s="95"/>
      <c r="V18" s="95"/>
    </row>
    <row r="19" spans="1:22">
      <c r="A19" s="131" t="s">
        <v>295</v>
      </c>
      <c r="C19" s="131" t="str">
        <f t="shared" si="0"/>
        <v>*NRG</v>
      </c>
      <c r="D19" s="125" t="str">
        <f>_xlfn.TEXTJOIN(",",TRUE,IF(LEFT(Regions!$C$3,1)&lt;&gt;"*",Regions!$C$3,""),IF(LEFT(Regions!$D$3,1)&lt;&gt;"*",Regions!$D$3,""))</f>
        <v>IE,National</v>
      </c>
      <c r="E19" s="131" t="str">
        <f>SETUP!B21</f>
        <v>RSDRENGEO</v>
      </c>
      <c r="F19" s="131" t="str">
        <f>SETUP!C21</f>
        <v>Geothermal to Residential</v>
      </c>
      <c r="G19" s="110" t="s">
        <v>19</v>
      </c>
      <c r="H19" s="95"/>
      <c r="I19" s="95" t="s">
        <v>286</v>
      </c>
      <c r="J19" s="95"/>
      <c r="K19" s="95"/>
      <c r="N19" s="95" t="s">
        <v>290</v>
      </c>
      <c r="O19" s="125" t="str">
        <f>_xlfn.TEXTJOIN(",",TRUE,IF(LEFT(Regions!$C$3,1)&lt;&gt;"*",Regions!$C$3,""),IF(LEFT(Regions!$D$3,1)&lt;&gt;"*",Regions!$D$3,""))</f>
        <v>IE,National</v>
      </c>
      <c r="P19" s="95" t="str">
        <f>SETUP!$B$55&amp;"_"&amp;SETUP!B37</f>
        <v>RLT_Att</v>
      </c>
      <c r="Q19" s="95" t="str">
        <f>SETUP!$C$55&amp;" "&amp;  SETUP!C37</f>
        <v>Residential Lighting Attached</v>
      </c>
      <c r="R19" s="95" t="s">
        <v>19</v>
      </c>
      <c r="S19" s="95"/>
      <c r="T19" s="95"/>
      <c r="U19" s="95"/>
      <c r="V19" s="95"/>
    </row>
    <row r="20" spans="1:22" ht="13.5" thickBot="1">
      <c r="A20" s="131" t="str">
        <f>TRIM(SETUP!A22)</f>
        <v/>
      </c>
      <c r="C20" s="131" t="str">
        <f t="shared" si="0"/>
        <v>NRG</v>
      </c>
      <c r="D20" s="125" t="str">
        <f>_xlfn.TEXTJOIN(",",TRUE,IF(LEFT(Regions!$C$3,1)&lt;&gt;"*",Regions!$C$3,""),IF(LEFT(Regions!$D$3,1)&lt;&gt;"*",Regions!$D$3,""))</f>
        <v>IE,National</v>
      </c>
      <c r="E20" s="131" t="str">
        <f>SETUP!B22</f>
        <v>RSDBIOETH</v>
      </c>
      <c r="F20" s="131" t="str">
        <f>SETUP!C22</f>
        <v>Ethanol to Residential</v>
      </c>
      <c r="G20" s="110" t="s">
        <v>19</v>
      </c>
      <c r="H20" s="95"/>
      <c r="I20" s="95" t="s">
        <v>286</v>
      </c>
      <c r="J20" s="95"/>
      <c r="K20" s="95"/>
      <c r="N20" s="659" t="s">
        <v>290</v>
      </c>
      <c r="O20" s="905" t="str">
        <f>_xlfn.TEXTJOIN(",",TRUE,IF(LEFT(Regions!$C$3,1)&lt;&gt;"*",Regions!$C$3,""),IF(LEFT(Regions!$D$3,1)&lt;&gt;"*",Regions!$D$3,""))</f>
        <v>IE,National</v>
      </c>
      <c r="P20" s="659" t="str">
        <f>SETUP!$B$55&amp;"_"&amp;SETUP!B38</f>
        <v>RLT_Det</v>
      </c>
      <c r="Q20" s="659" t="str">
        <f>SETUP!$C$55&amp;" "&amp;  SETUP!C38</f>
        <v>Residential Lighting Detached</v>
      </c>
      <c r="R20" s="659" t="s">
        <v>19</v>
      </c>
      <c r="S20" s="659"/>
      <c r="T20" s="659"/>
      <c r="U20" s="659"/>
      <c r="V20" s="659"/>
    </row>
    <row r="21" spans="1:22">
      <c r="A21" s="131" t="str">
        <f>TRIM(SETUP!A23)</f>
        <v/>
      </c>
      <c r="C21" s="131" t="str">
        <f t="shared" si="0"/>
        <v>NRG</v>
      </c>
      <c r="D21" s="125" t="str">
        <f>_xlfn.TEXTJOIN(",",TRUE,IF(LEFT(Regions!$C$3,1)&lt;&gt;"*",Regions!$C$3,""),IF(LEFT(Regions!$D$3,1)&lt;&gt;"*",Regions!$D$3,""))</f>
        <v>IE,National</v>
      </c>
      <c r="E21" s="131" t="str">
        <f>SETUP!B23</f>
        <v>RSDBIODST</v>
      </c>
      <c r="F21" s="131" t="str">
        <f>SETUP!C23</f>
        <v>Biodiesel to Residential</v>
      </c>
      <c r="G21" s="110" t="s">
        <v>19</v>
      </c>
      <c r="H21" s="95"/>
      <c r="I21" s="95" t="s">
        <v>286</v>
      </c>
      <c r="J21" s="95"/>
      <c r="K21" s="95"/>
      <c r="N21" s="95" t="s">
        <v>290</v>
      </c>
      <c r="O21" s="125" t="str">
        <f>_xlfn.TEXTJOIN(",",TRUE,IF(LEFT(Regions!$C$3,1)&lt;&gt;"*",Regions!$C$3,""),IF(LEFT(Regions!$D$3,1)&lt;&gt;"*",Regions!$D$3,""))</f>
        <v>IE,National</v>
      </c>
      <c r="P21" s="95" t="str">
        <f>SETUP!$B$53&amp;"_"&amp;SETUP!B36</f>
        <v>RPF_Apt</v>
      </c>
      <c r="Q21" s="95" t="str">
        <f>SETUP!$C$53&amp;" "&amp;  SETUP!C36</f>
        <v>Residential Pumps &amp; Fans Apartment</v>
      </c>
      <c r="R21" s="95" t="s">
        <v>19</v>
      </c>
      <c r="S21" s="95"/>
      <c r="T21" s="95"/>
      <c r="U21" s="95"/>
      <c r="V21" s="95"/>
    </row>
    <row r="22" spans="1:22">
      <c r="A22" s="131" t="s">
        <v>295</v>
      </c>
      <c r="C22" s="131" t="str">
        <f t="shared" si="0"/>
        <v>*NRG</v>
      </c>
      <c r="D22" s="125" t="str">
        <f>_xlfn.TEXTJOIN(",",TRUE,IF(LEFT(Regions!$C$3,1)&lt;&gt;"*",Regions!$C$3,""),IF(LEFT(Regions!$D$3,1)&lt;&gt;"*",Regions!$D$3,""))</f>
        <v>IE,National</v>
      </c>
      <c r="E22" s="131" t="str">
        <f>SETUP!B24</f>
        <v>RSDBIOSLU</v>
      </c>
      <c r="F22" s="131" t="str">
        <f>SETUP!C24</f>
        <v>Non-Renewable Waste to Residential</v>
      </c>
      <c r="G22" s="110" t="s">
        <v>19</v>
      </c>
      <c r="H22" s="95"/>
      <c r="I22" s="95" t="s">
        <v>286</v>
      </c>
      <c r="J22" s="95"/>
      <c r="K22" s="95"/>
      <c r="N22" s="95" t="s">
        <v>290</v>
      </c>
      <c r="O22" s="125" t="str">
        <f>_xlfn.TEXTJOIN(",",TRUE,IF(LEFT(Regions!$C$3,1)&lt;&gt;"*",Regions!$C$3,""),IF(LEFT(Regions!$D$3,1)&lt;&gt;"*",Regions!$D$3,""))</f>
        <v>IE,National</v>
      </c>
      <c r="P22" s="95" t="str">
        <f>SETUP!$B$53&amp;"_"&amp;SETUP!B37</f>
        <v>RPF_Att</v>
      </c>
      <c r="Q22" s="95" t="str">
        <f>SETUP!$C$53&amp;" "&amp;  SETUP!C37</f>
        <v>Residential Pumps &amp; Fans Attached</v>
      </c>
      <c r="R22" s="95" t="s">
        <v>19</v>
      </c>
      <c r="S22" s="95"/>
      <c r="T22" s="95"/>
      <c r="U22" s="95"/>
      <c r="V22" s="95"/>
    </row>
    <row r="23" spans="1:22" ht="13.5" thickBot="1">
      <c r="C23" s="131" t="s">
        <v>290</v>
      </c>
      <c r="D23" s="125" t="str">
        <f>_xlfn.TEXTJOIN(",",TRUE,IF(LEFT(Regions!$C$3,1)&lt;&gt;"*",Regions!$C$3,""),IF(LEFT(Regions!$D$3,1)&lt;&gt;"*",Regions!$D$3,""))</f>
        <v>IE,National</v>
      </c>
      <c r="E23" s="131" t="str">
        <f>SETUP!B25</f>
        <v>RSDSMF</v>
      </c>
      <c r="F23" s="131" t="str">
        <f>SETUP!C25</f>
        <v>Solid Multi-Fuel</v>
      </c>
      <c r="G23" s="110" t="s">
        <v>19</v>
      </c>
      <c r="H23" s="95"/>
      <c r="I23" s="95" t="s">
        <v>286</v>
      </c>
      <c r="J23" s="95"/>
      <c r="K23" s="95"/>
      <c r="N23" s="659" t="s">
        <v>290</v>
      </c>
      <c r="O23" s="905" t="str">
        <f>_xlfn.TEXTJOIN(",",TRUE,IF(LEFT(Regions!$C$3,1)&lt;&gt;"*",Regions!$C$3,""),IF(LEFT(Regions!$D$3,1)&lt;&gt;"*",Regions!$D$3,""))</f>
        <v>IE,National</v>
      </c>
      <c r="P23" s="659" t="str">
        <f>SETUP!$B$53&amp;"_"&amp;SETUP!B38</f>
        <v>RPF_Det</v>
      </c>
      <c r="Q23" s="659" t="str">
        <f>SETUP!$C$53&amp;" "&amp;  SETUP!C38</f>
        <v>Residential Pumps &amp; Fans Detached</v>
      </c>
      <c r="R23" s="659" t="s">
        <v>19</v>
      </c>
      <c r="S23" s="659"/>
      <c r="T23" s="659"/>
      <c r="U23" s="659"/>
      <c r="V23" s="659"/>
    </row>
    <row r="24" spans="1:22">
      <c r="A24" s="131" t="str">
        <f>TRIM(SETUP!A26)</f>
        <v/>
      </c>
      <c r="C24" s="131" t="str">
        <f t="shared" si="0"/>
        <v>NRG</v>
      </c>
      <c r="D24" s="125" t="str">
        <f>_xlfn.TEXTJOIN(",",TRUE,IF(LEFT(Regions!$C$3,1)&lt;&gt;"*",Regions!$C$3,""),IF(LEFT(Regions!$D$3,1)&lt;&gt;"*",Regions!$D$3,""))</f>
        <v>IE,National</v>
      </c>
      <c r="E24" s="131" t="str">
        <f>SETUP!B26</f>
        <v>RSDELC</v>
      </c>
      <c r="F24" s="131" t="str">
        <f>SETUP!C26</f>
        <v>Electricity to Residential</v>
      </c>
      <c r="G24" s="110" t="s">
        <v>19</v>
      </c>
      <c r="H24" s="95"/>
      <c r="I24" s="131" t="s">
        <v>289</v>
      </c>
      <c r="J24" s="95"/>
      <c r="N24" s="95"/>
      <c r="O24" s="95"/>
      <c r="P24" s="95"/>
      <c r="Q24" s="95"/>
      <c r="R24" s="95"/>
      <c r="S24" s="95"/>
      <c r="T24" s="95"/>
      <c r="U24" s="95"/>
    </row>
    <row r="25" spans="1:22" ht="13.5" thickBot="1">
      <c r="A25" s="131" t="str">
        <f>TRIM(SETUP!A27)</f>
        <v/>
      </c>
      <c r="C25" s="659" t="str">
        <f t="shared" si="0"/>
        <v>NRG</v>
      </c>
      <c r="D25" s="905" t="str">
        <f>_xlfn.TEXTJOIN(",",TRUE,IF(LEFT(Regions!$C$3,1)&lt;&gt;"*",Regions!$C$3,""),IF(LEFT(Regions!$D$3,1)&lt;&gt;"*",Regions!$D$3,""))</f>
        <v>IE,National</v>
      </c>
      <c r="E25" s="659" t="str">
        <f>SETUP!B27</f>
        <v>RSDHET</v>
      </c>
      <c r="F25" s="659" t="str">
        <f>SETUP!C27</f>
        <v>Heat to Residential</v>
      </c>
      <c r="G25" s="660" t="s">
        <v>19</v>
      </c>
      <c r="H25" s="659"/>
      <c r="I25" s="659" t="s">
        <v>286</v>
      </c>
      <c r="J25" s="659"/>
      <c r="K25" s="659"/>
      <c r="N25" s="95"/>
      <c r="O25" s="95"/>
      <c r="P25" s="95"/>
      <c r="Q25" s="95"/>
      <c r="R25" s="95"/>
      <c r="S25" s="95"/>
      <c r="T25" s="95"/>
      <c r="U25" s="95"/>
    </row>
    <row r="26" spans="1:22">
      <c r="C26" s="95" t="str">
        <f t="shared" ref="C26:C31" si="1">A26&amp;"ENV"</f>
        <v>ENV</v>
      </c>
      <c r="D26" s="125" t="str">
        <f>_xlfn.TEXTJOIN(",",TRUE,IF(LEFT(Regions!$C$3,1)&lt;&gt;"*",Regions!$C$3,""),IF(LEFT(Regions!$D$3,1)&lt;&gt;"*",Regions!$D$3,""))</f>
        <v>IE,National</v>
      </c>
      <c r="E26" s="95" t="str">
        <f>A26&amp;SETUP!B29</f>
        <v>RSDCO2</v>
      </c>
      <c r="F26" s="95" t="str">
        <f>A26&amp;SETUP!C29</f>
        <v>Carbon Dioxide - Combustion (RSD)</v>
      </c>
      <c r="G26" s="110" t="s">
        <v>291</v>
      </c>
      <c r="H26" s="95"/>
      <c r="I26" s="95"/>
      <c r="J26" s="95"/>
      <c r="K26" s="95"/>
      <c r="N26" s="95"/>
      <c r="O26" s="95"/>
      <c r="P26" s="95"/>
      <c r="Q26" s="95"/>
      <c r="R26" s="95"/>
      <c r="S26" s="95"/>
      <c r="T26" s="95"/>
      <c r="U26" s="95"/>
    </row>
    <row r="27" spans="1:22">
      <c r="C27" s="95" t="str">
        <f t="shared" si="1"/>
        <v>ENV</v>
      </c>
      <c r="D27" s="125" t="str">
        <f>_xlfn.TEXTJOIN(",",TRUE,IF(LEFT(Regions!$C$3,1)&lt;&gt;"*",Regions!$C$3,""),IF(LEFT(Regions!$D$3,1)&lt;&gt;"*",Regions!$D$3,""))</f>
        <v>IE,National</v>
      </c>
      <c r="E27" s="95" t="str">
        <f>A27&amp;SETUP!B30</f>
        <v>RSDCH4</v>
      </c>
      <c r="F27" s="95" t="str">
        <f>A27&amp;SETUP!C30</f>
        <v>Methane (RSD)</v>
      </c>
      <c r="G27" s="110" t="s">
        <v>291</v>
      </c>
      <c r="H27" s="95"/>
      <c r="I27" s="95"/>
      <c r="J27" s="95"/>
      <c r="K27" s="95"/>
    </row>
    <row r="28" spans="1:22">
      <c r="C28" s="95" t="str">
        <f t="shared" si="1"/>
        <v>ENV</v>
      </c>
      <c r="D28" s="125" t="str">
        <f>_xlfn.TEXTJOIN(",",TRUE,IF(LEFT(Regions!$C$3,1)&lt;&gt;"*",Regions!$C$3,""),IF(LEFT(Regions!$D$3,1)&lt;&gt;"*",Regions!$D$3,""))</f>
        <v>IE,National</v>
      </c>
      <c r="E28" s="95" t="str">
        <f>A28&amp;SETUP!B31</f>
        <v>RSDN2O</v>
      </c>
      <c r="F28" s="95" t="str">
        <f>A28&amp;SETUP!C31</f>
        <v>Nitrogen Oxide (RSD)</v>
      </c>
      <c r="G28" s="110" t="s">
        <v>291</v>
      </c>
      <c r="H28" s="95"/>
      <c r="I28" s="95"/>
      <c r="J28" s="95"/>
      <c r="K28" s="95"/>
    </row>
    <row r="29" spans="1:22">
      <c r="C29" s="95" t="str">
        <f t="shared" si="1"/>
        <v>ENV</v>
      </c>
      <c r="D29" s="125" t="str">
        <f>_xlfn.TEXTJOIN(",",TRUE,IF(LEFT(Regions!$C$3,1)&lt;&gt;"*",Regions!$C$3,""),IF(LEFT(Regions!$D$3,1)&lt;&gt;"*",Regions!$D$3,""))</f>
        <v>IE,National</v>
      </c>
      <c r="E29" s="95" t="str">
        <f>A29&amp;SETUP!B32</f>
        <v>RSDSO2N</v>
      </c>
      <c r="F29" s="95" t="str">
        <f>A29&amp;SETUP!C32</f>
        <v>Sulphur Oxides (RSD)</v>
      </c>
      <c r="G29" s="110" t="s">
        <v>291</v>
      </c>
      <c r="H29" s="95"/>
      <c r="I29" s="95"/>
      <c r="J29" s="95"/>
      <c r="K29" s="95"/>
    </row>
    <row r="30" spans="1:22">
      <c r="C30" s="95" t="str">
        <f t="shared" si="1"/>
        <v>ENV</v>
      </c>
      <c r="D30" s="125" t="str">
        <f>_xlfn.TEXTJOIN(",",TRUE,IF(LEFT(Regions!$C$3,1)&lt;&gt;"*",Regions!$C$3,""),IF(LEFT(Regions!$D$3,1)&lt;&gt;"*",Regions!$D$3,""))</f>
        <v>IE,National</v>
      </c>
      <c r="E30" s="95" t="str">
        <f>A30&amp;SETUP!B33</f>
        <v>RSDPM10</v>
      </c>
      <c r="F30" s="95" t="str">
        <f>A30&amp;SETUP!C33</f>
        <v>Particulate Matter &lt;10 µm (RSD)</v>
      </c>
      <c r="G30" s="110" t="s">
        <v>291</v>
      </c>
      <c r="H30" s="95"/>
      <c r="I30" s="95"/>
      <c r="J30" s="95"/>
      <c r="K30" s="95"/>
      <c r="L30" s="81"/>
    </row>
    <row r="31" spans="1:22" ht="13.5" thickBot="1">
      <c r="C31" s="659" t="str">
        <f t="shared" si="1"/>
        <v>ENV</v>
      </c>
      <c r="D31" s="905" t="str">
        <f>_xlfn.TEXTJOIN(",",TRUE,IF(LEFT(Regions!$C$3,1)&lt;&gt;"*",Regions!$C$3,""),IF(LEFT(Regions!$D$3,1)&lt;&gt;"*",Regions!$D$3,""))</f>
        <v>IE,National</v>
      </c>
      <c r="E31" s="659" t="str">
        <f>A31&amp;SETUP!B34</f>
        <v>RSDPM25</v>
      </c>
      <c r="F31" s="659" t="str">
        <f>A31&amp;SETUP!C34</f>
        <v>Particulate Matter &lt;2.5 µm (RSD)</v>
      </c>
      <c r="G31" s="660" t="s">
        <v>291</v>
      </c>
      <c r="H31" s="659"/>
      <c r="I31" s="659"/>
      <c r="J31" s="659"/>
      <c r="K31" s="659"/>
    </row>
    <row r="32" spans="1:22">
      <c r="C32" s="95" t="s">
        <v>287</v>
      </c>
      <c r="D32" s="125" t="str">
        <f>_xlfn.TEXTJOIN(",",TRUE,IF(LEFT(Regions!$C$3,1)&lt;&gt;"*",Regions!$C$3,""),IF(LEFT(Regions!$D$3,1)&lt;&gt;"*",Regions!$D$3,""))</f>
        <v>IE,National</v>
      </c>
      <c r="E32" s="95" t="str">
        <f>SETUP!B3&amp;SETUP!B54</f>
        <v>RSDRRF</v>
      </c>
      <c r="F32" s="95" t="str">
        <f>SETUP!C54</f>
        <v>Residential Refrigeration</v>
      </c>
      <c r="G32" s="95" t="s">
        <v>19</v>
      </c>
      <c r="H32" s="95"/>
      <c r="I32" s="95"/>
      <c r="J32" s="95"/>
      <c r="K32" s="95"/>
      <c r="L32" s="81"/>
    </row>
    <row r="33" spans="1:22">
      <c r="C33" s="95" t="str">
        <f t="shared" ref="C33:C38" si="2">A33&amp;"DEM"</f>
        <v>DEM</v>
      </c>
      <c r="D33" s="125" t="str">
        <f>_xlfn.TEXTJOIN(",",TRUE,IF(LEFT(Regions!$C$3,1)&lt;&gt;"*",Regions!$C$3,""),IF(LEFT(Regions!$D$3,1)&lt;&gt;"*",Regions!$D$3,""))</f>
        <v>IE,National</v>
      </c>
      <c r="E33" s="95" t="str">
        <f>SETUP!B3&amp;SETUP!B56</f>
        <v>RSDRCK</v>
      </c>
      <c r="F33" s="95" t="str">
        <f>SETUP!C56</f>
        <v>Residential Cooking</v>
      </c>
      <c r="G33" s="95" t="s">
        <v>19</v>
      </c>
      <c r="H33" s="95"/>
      <c r="I33" s="95"/>
      <c r="J33" s="95"/>
      <c r="K33" s="95"/>
      <c r="L33" s="81"/>
    </row>
    <row r="34" spans="1:22">
      <c r="C34" s="95" t="str">
        <f t="shared" si="2"/>
        <v>DEM</v>
      </c>
      <c r="D34" s="125" t="str">
        <f>_xlfn.TEXTJOIN(",",TRUE,IF(LEFT(Regions!$C$3,1)&lt;&gt;"*",Regions!$C$3,""),IF(LEFT(Regions!$D$3,1)&lt;&gt;"*",Regions!$D$3,""))</f>
        <v>IE,National</v>
      </c>
      <c r="E34" s="95" t="str">
        <f>SETUP!B3&amp;SETUP!B57</f>
        <v>RSDRCW</v>
      </c>
      <c r="F34" s="95" t="str">
        <f>SETUP!C57</f>
        <v>Residential Cloth Washing demand</v>
      </c>
      <c r="G34" s="95" t="s">
        <v>19</v>
      </c>
      <c r="H34" s="95"/>
      <c r="I34" s="95"/>
      <c r="J34" s="95"/>
      <c r="K34" s="95"/>
      <c r="L34" s="81"/>
    </row>
    <row r="35" spans="1:22">
      <c r="C35" s="95" t="str">
        <f t="shared" si="2"/>
        <v>DEM</v>
      </c>
      <c r="D35" s="125" t="str">
        <f>_xlfn.TEXTJOIN(",",TRUE,IF(LEFT(Regions!$C$3,1)&lt;&gt;"*",Regions!$C$3,""),IF(LEFT(Regions!$D$3,1)&lt;&gt;"*",Regions!$D$3,""))</f>
        <v>IE,National</v>
      </c>
      <c r="E35" s="95" t="str">
        <f>SETUP!B3&amp;SETUP!B58</f>
        <v>RSDRCD</v>
      </c>
      <c r="F35" s="95" t="str">
        <f>SETUP!C58</f>
        <v>Residential Cloth Drying demand</v>
      </c>
      <c r="G35" s="95" t="s">
        <v>19</v>
      </c>
      <c r="H35" s="95"/>
      <c r="I35" s="95"/>
      <c r="J35" s="95"/>
      <c r="K35" s="95"/>
      <c r="L35" s="81"/>
    </row>
    <row r="36" spans="1:22">
      <c r="C36" s="95" t="str">
        <f t="shared" si="2"/>
        <v>DEM</v>
      </c>
      <c r="D36" s="125" t="str">
        <f>_xlfn.TEXTJOIN(",",TRUE,IF(LEFT(Regions!$C$3,1)&lt;&gt;"*",Regions!$C$3,""),IF(LEFT(Regions!$D$3,1)&lt;&gt;"*",Regions!$D$3,""))</f>
        <v>IE,National</v>
      </c>
      <c r="E36" s="95" t="str">
        <f>SETUP!B3&amp;SETUP!B59</f>
        <v>RSDRDW</v>
      </c>
      <c r="F36" s="95" t="str">
        <f>SETUP!C59</f>
        <v>Residential Dish Washing demand</v>
      </c>
      <c r="G36" s="95" t="s">
        <v>19</v>
      </c>
      <c r="H36" s="95"/>
      <c r="I36" s="95"/>
      <c r="J36" s="95"/>
      <c r="K36" s="95"/>
      <c r="L36" s="81"/>
    </row>
    <row r="37" spans="1:22">
      <c r="C37" s="95" t="str">
        <f t="shared" si="2"/>
        <v>DEM</v>
      </c>
      <c r="D37" s="125" t="str">
        <f>_xlfn.TEXTJOIN(",",TRUE,IF(LEFT(Regions!$C$3,1)&lt;&gt;"*",Regions!$C$3,""),IF(LEFT(Regions!$D$3,1)&lt;&gt;"*",Regions!$D$3,""))</f>
        <v>IE,National</v>
      </c>
      <c r="E37" s="95" t="str">
        <f>SETUP!B3&amp;SETUP!B60</f>
        <v>RSDROE</v>
      </c>
      <c r="F37" s="95" t="str">
        <f>SETUP!C60</f>
        <v>Residential ELC Appliances</v>
      </c>
      <c r="G37" s="95" t="s">
        <v>19</v>
      </c>
      <c r="H37" s="95"/>
      <c r="I37" s="95"/>
      <c r="J37" s="95"/>
      <c r="K37" s="95"/>
      <c r="L37" s="81"/>
    </row>
    <row r="38" spans="1:22" ht="13.5" thickBot="1">
      <c r="A38" s="131" t="str">
        <f>TRIM(SETUP!A61)</f>
        <v/>
      </c>
      <c r="C38" s="659" t="str">
        <f t="shared" si="2"/>
        <v>DEM</v>
      </c>
      <c r="D38" s="659" t="str">
        <f>_xlfn.TEXTJOIN(",",TRUE,IF(LEFT(Regions!$C$3,1)&lt;&gt;"*",Regions!$C$3,""),IF(LEFT(Regions!$D$3,1)&lt;&gt;"*",Regions!$D$3,""))</f>
        <v>IE,National</v>
      </c>
      <c r="E38" s="659" t="str">
        <f>SETUP!B3&amp;SETUP!B61</f>
        <v>RSDROA</v>
      </c>
      <c r="F38" s="659" t="str">
        <f>SETUP!C61</f>
        <v>Residential Other Applications</v>
      </c>
      <c r="G38" s="659" t="s">
        <v>19</v>
      </c>
      <c r="H38" s="659"/>
      <c r="I38" s="659"/>
      <c r="J38" s="659"/>
      <c r="K38" s="659"/>
      <c r="L38" s="81"/>
    </row>
    <row r="39" spans="1:22">
      <c r="L39" s="81"/>
    </row>
    <row r="40" spans="1:22">
      <c r="L40" s="81"/>
    </row>
    <row r="41" spans="1:22">
      <c r="L41" s="81"/>
      <c r="V41" s="81"/>
    </row>
    <row r="42" spans="1:22">
      <c r="L42" s="81"/>
      <c r="V42" s="81"/>
    </row>
    <row r="43" spans="1:22">
      <c r="L43" s="81"/>
      <c r="V43" s="81"/>
    </row>
    <row r="44" spans="1:22">
      <c r="L44" s="81"/>
      <c r="V44" s="81"/>
    </row>
    <row r="45" spans="1:22">
      <c r="L45" s="81"/>
      <c r="V45" s="81"/>
    </row>
    <row r="46" spans="1:22">
      <c r="L46" s="81"/>
      <c r="V46" s="81"/>
    </row>
    <row r="47" spans="1:22">
      <c r="L47" s="81"/>
      <c r="V47" s="81"/>
    </row>
    <row r="48" spans="1:22">
      <c r="L48" s="81"/>
      <c r="V48" s="81"/>
    </row>
    <row r="49" spans="12:22">
      <c r="L49" s="81"/>
      <c r="V49" s="81"/>
    </row>
    <row r="50" spans="12:22">
      <c r="L50" s="81"/>
      <c r="V50" s="81"/>
    </row>
    <row r="51" spans="12:22">
      <c r="L51" s="81"/>
      <c r="V51" s="81"/>
    </row>
    <row r="52" spans="12:22">
      <c r="L52" s="81"/>
      <c r="V52" s="81"/>
    </row>
    <row r="53" spans="12:22">
      <c r="L53" s="81"/>
    </row>
    <row r="54" spans="12:22">
      <c r="L54" s="81"/>
    </row>
    <row r="55" spans="12:22">
      <c r="L55" s="81"/>
    </row>
    <row r="56" spans="12:22">
      <c r="L56" s="81"/>
    </row>
    <row r="57" spans="12:22">
      <c r="L57" s="81"/>
    </row>
    <row r="58" spans="12:22">
      <c r="L58" s="81"/>
    </row>
    <row r="59" spans="12:22">
      <c r="L59" s="81"/>
    </row>
    <row r="60" spans="12:22">
      <c r="L60" s="81"/>
    </row>
    <row r="61" spans="12:22">
      <c r="L61" s="81"/>
    </row>
    <row r="62" spans="12:22">
      <c r="L62" s="81"/>
    </row>
    <row r="63" spans="12:22">
      <c r="L63" s="81"/>
    </row>
    <row r="64" spans="12:22">
      <c r="L64" s="81"/>
    </row>
    <row r="65" spans="12:22">
      <c r="L65" s="81"/>
    </row>
    <row r="66" spans="12:22">
      <c r="L66" s="81"/>
    </row>
    <row r="67" spans="12:22">
      <c r="L67" s="81"/>
      <c r="V67" s="95"/>
    </row>
    <row r="68" spans="12:22">
      <c r="L68" s="81"/>
      <c r="V68" s="95"/>
    </row>
    <row r="69" spans="12:22">
      <c r="L69" s="81"/>
      <c r="V69" s="95"/>
    </row>
    <row r="70" spans="12:22">
      <c r="L70" s="81"/>
      <c r="V70" s="95"/>
    </row>
    <row r="71" spans="12:22">
      <c r="L71" s="81"/>
      <c r="V71" s="81"/>
    </row>
    <row r="72" spans="12:22">
      <c r="L72" s="81"/>
      <c r="V72" s="81"/>
    </row>
    <row r="73" spans="12:22">
      <c r="L73" s="81"/>
      <c r="V73" s="81"/>
    </row>
    <row r="74" spans="12:22">
      <c r="L74" s="81"/>
      <c r="V74" s="81"/>
    </row>
    <row r="75" spans="12:22">
      <c r="L75" s="81"/>
      <c r="V75" s="81"/>
    </row>
    <row r="76" spans="12:22">
      <c r="L76" s="81"/>
      <c r="V76" s="81"/>
    </row>
    <row r="77" spans="12:22">
      <c r="L77" s="81"/>
      <c r="V77" s="81"/>
    </row>
    <row r="78" spans="12:22">
      <c r="L78" s="81"/>
      <c r="V78" s="81"/>
    </row>
    <row r="79" spans="12:22">
      <c r="L79" s="81"/>
      <c r="V79" s="81"/>
    </row>
    <row r="80" spans="12:22">
      <c r="L80" s="81"/>
      <c r="V80" s="81"/>
    </row>
    <row r="81" spans="12:23">
      <c r="L81" s="81"/>
      <c r="V81" s="81"/>
    </row>
    <row r="82" spans="12:23">
      <c r="L82" s="81"/>
      <c r="V82" s="81"/>
    </row>
    <row r="83" spans="12:23">
      <c r="L83" s="81"/>
      <c r="V83" s="81"/>
    </row>
    <row r="84" spans="12:23">
      <c r="L84" s="81"/>
      <c r="M84" s="81"/>
      <c r="V84" s="81"/>
    </row>
    <row r="85" spans="12:23">
      <c r="L85" s="81"/>
      <c r="M85" s="81"/>
      <c r="V85" s="81"/>
    </row>
    <row r="86" spans="12:23">
      <c r="L86" s="81"/>
      <c r="M86" s="81"/>
    </row>
    <row r="87" spans="12:23">
      <c r="L87" s="81"/>
      <c r="M87" s="81"/>
    </row>
    <row r="88" spans="12:23">
      <c r="L88" s="81"/>
      <c r="M88" s="81"/>
    </row>
    <row r="89" spans="12:23">
      <c r="L89" s="81"/>
      <c r="M89" s="81"/>
      <c r="W89" s="81"/>
    </row>
    <row r="90" spans="12:23">
      <c r="L90" s="81"/>
      <c r="M90" s="81"/>
      <c r="W90" s="81"/>
    </row>
    <row r="91" spans="12:23">
      <c r="L91" s="81"/>
      <c r="M91" s="81"/>
      <c r="W91" s="81"/>
    </row>
    <row r="92" spans="12:23">
      <c r="L92" s="81"/>
      <c r="M92" s="81"/>
      <c r="W92" s="81"/>
    </row>
    <row r="93" spans="12:23">
      <c r="L93" s="81"/>
      <c r="M93" s="81"/>
      <c r="W93" s="81"/>
    </row>
    <row r="94" spans="12:23">
      <c r="L94" s="81"/>
      <c r="M94" s="81"/>
      <c r="W94" s="81"/>
    </row>
    <row r="95" spans="12:23">
      <c r="L95" s="81"/>
      <c r="M95" s="81"/>
      <c r="W95" s="81"/>
    </row>
    <row r="96" spans="12:23">
      <c r="L96" s="81"/>
      <c r="W96" s="81"/>
    </row>
    <row r="97" spans="12:23">
      <c r="L97" s="81"/>
      <c r="W97" s="81"/>
    </row>
    <row r="98" spans="12:23">
      <c r="L98" s="81"/>
      <c r="W98" s="81"/>
    </row>
    <row r="99" spans="12:23">
      <c r="L99" s="81"/>
      <c r="W99" s="81"/>
    </row>
    <row r="100" spans="12:23">
      <c r="L100" s="81"/>
      <c r="W100" s="81"/>
    </row>
    <row r="101" spans="12:23">
      <c r="L101" s="81"/>
    </row>
    <row r="102" spans="12:23">
      <c r="L102" s="81"/>
    </row>
    <row r="103" spans="12:23">
      <c r="L103" s="81"/>
    </row>
    <row r="104" spans="12:23">
      <c r="L104" s="81"/>
    </row>
    <row r="105" spans="12:23">
      <c r="L105" s="81"/>
    </row>
    <row r="106" spans="12:23">
      <c r="L106" s="81"/>
    </row>
    <row r="107" spans="12:23">
      <c r="L107" s="81"/>
    </row>
    <row r="108" spans="12:23">
      <c r="L108" s="81"/>
    </row>
    <row r="109" spans="12:23">
      <c r="L109" s="81"/>
    </row>
    <row r="110" spans="12:23">
      <c r="L110" s="81"/>
    </row>
    <row r="111" spans="12:23">
      <c r="L111" s="81"/>
    </row>
    <row r="112" spans="12:23">
      <c r="L112" s="81"/>
    </row>
    <row r="113" spans="12:24">
      <c r="L113" s="81"/>
    </row>
    <row r="114" spans="12:24">
      <c r="L114" s="81"/>
      <c r="M114" s="81"/>
    </row>
    <row r="115" spans="12:24">
      <c r="L115" s="81"/>
      <c r="M115" s="81"/>
      <c r="W115" s="95"/>
      <c r="X115" s="95"/>
    </row>
    <row r="116" spans="12:24">
      <c r="L116" s="81"/>
      <c r="M116" s="81"/>
      <c r="W116" s="95"/>
      <c r="X116" s="95"/>
    </row>
    <row r="117" spans="12:24">
      <c r="L117" s="81"/>
      <c r="M117" s="81"/>
      <c r="W117" s="95"/>
      <c r="X117" s="95"/>
    </row>
    <row r="118" spans="12:24">
      <c r="L118" s="81"/>
      <c r="M118" s="81"/>
      <c r="W118" s="95"/>
      <c r="X118" s="95"/>
    </row>
    <row r="119" spans="12:24">
      <c r="L119" s="81"/>
      <c r="M119" s="81"/>
      <c r="W119" s="95"/>
      <c r="X119" s="95"/>
    </row>
    <row r="120" spans="12:24">
      <c r="L120" s="81"/>
      <c r="M120" s="81"/>
      <c r="W120" s="95"/>
      <c r="X120" s="95"/>
    </row>
    <row r="121" spans="12:24">
      <c r="L121" s="81"/>
      <c r="M121" s="81"/>
      <c r="W121" s="95"/>
      <c r="X121" s="95"/>
    </row>
    <row r="122" spans="12:24">
      <c r="L122" s="81"/>
      <c r="M122" s="81"/>
      <c r="W122" s="95"/>
      <c r="X122" s="95"/>
    </row>
    <row r="123" spans="12:24">
      <c r="L123" s="81"/>
      <c r="M123" s="81"/>
      <c r="W123" s="95"/>
      <c r="X123" s="95"/>
    </row>
    <row r="124" spans="12:24">
      <c r="L124" s="81"/>
      <c r="M124" s="81"/>
      <c r="W124" s="95"/>
      <c r="X124" s="95"/>
    </row>
    <row r="125" spans="12:24">
      <c r="L125" s="81"/>
      <c r="M125" s="81"/>
      <c r="W125" s="95"/>
      <c r="X125" s="95"/>
    </row>
    <row r="126" spans="12:24">
      <c r="L126" s="81"/>
      <c r="M126" s="81"/>
      <c r="W126" s="95"/>
      <c r="X126" s="95"/>
    </row>
    <row r="127" spans="12:24">
      <c r="L127" s="81"/>
      <c r="M127" s="81"/>
    </row>
    <row r="128" spans="12:24">
      <c r="L128" s="81"/>
      <c r="M128" s="81"/>
    </row>
    <row r="129" spans="12:13">
      <c r="L129" s="81"/>
      <c r="M129" s="81"/>
    </row>
    <row r="130" spans="12:13">
      <c r="L130" s="81"/>
      <c r="M130" s="81"/>
    </row>
    <row r="131" spans="12:13">
      <c r="L131" s="81"/>
      <c r="M131" s="81"/>
    </row>
    <row r="132" spans="12:13">
      <c r="L132" s="81"/>
      <c r="M132" s="81"/>
    </row>
    <row r="133" spans="12:13">
      <c r="L133" s="81"/>
      <c r="M133" s="81"/>
    </row>
    <row r="134" spans="12:13">
      <c r="L134" s="81"/>
      <c r="M134" s="81"/>
    </row>
    <row r="135" spans="12:13">
      <c r="L135" s="81"/>
      <c r="M135" s="81"/>
    </row>
    <row r="136" spans="12:13">
      <c r="L136" s="81"/>
      <c r="M136" s="81"/>
    </row>
    <row r="137" spans="12:13">
      <c r="L137" s="81"/>
      <c r="M137" s="81"/>
    </row>
    <row r="138" spans="12:13">
      <c r="L138" s="81"/>
      <c r="M138" s="81"/>
    </row>
    <row r="139" spans="12:13">
      <c r="L139" s="81"/>
    </row>
    <row r="140" spans="12:13">
      <c r="L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>
      <selection activeCell="J31" sqref="J31"/>
    </sheetView>
  </sheetViews>
  <sheetFormatPr defaultColWidth="9.140625" defaultRowHeight="12.75"/>
  <cols>
    <col min="1" max="1" width="9.140625" style="78"/>
    <col min="2" max="2" width="10.855468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B5" s="727" t="s">
        <v>1297</v>
      </c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B6" s="78" t="s">
        <v>295</v>
      </c>
      <c r="C6" s="819"/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 t="str">
        <f>_xlfn.TEXTJOIN(",",TRUE,IF(LEFT(Regions!$C$3,1)&lt;&gt;"*",Regions!$C$3,""),IF(LEFT(Regions!$D$3,1)&lt;&gt;"*",Regions!$D$3,""))</f>
        <v>IE,National</v>
      </c>
      <c r="C7" s="828" t="str">
        <f>COMM!E26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 t="str">
        <f>_xlfn.TEXTJOIN(",",TRUE,IF(LEFT(Regions!$C$3,1)&lt;&gt;"*",Regions!$C$3,""),IF(LEFT(Regions!$D$3,1)&lt;&gt;"*",Regions!$D$3,""))</f>
        <v>IE,National</v>
      </c>
      <c r="C8" s="729" t="str">
        <f>COMM!E27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 t="str">
        <f>_xlfn.TEXTJOIN(",",TRUE,IF(LEFT(Regions!$C$3,1)&lt;&gt;"*",Regions!$C$3,""),IF(LEFT(Regions!$D$3,1)&lt;&gt;"*",Regions!$D$3,""))</f>
        <v>IE,National</v>
      </c>
      <c r="C9" s="728" t="str">
        <f>COMM!E28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 t="str">
        <f>_xlfn.TEXTJOIN(",",TRUE,IF(LEFT(Regions!$C$3,1)&lt;&gt;"*",Regions!$C$3,""),IF(LEFT(Regions!$D$3,1)&lt;&gt;"*",Regions!$D$3,""))</f>
        <v>IE,National</v>
      </c>
      <c r="C10" s="829" t="str">
        <f>COMM!E29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 t="str">
        <f>_xlfn.TEXTJOIN(",",TRUE,IF(LEFT(Regions!$C$3,1)&lt;&gt;"*",Regions!$C$3,""),IF(LEFT(Regions!$D$3,1)&lt;&gt;"*",Regions!$D$3,""))</f>
        <v>IE,National</v>
      </c>
      <c r="C11" s="728" t="str">
        <f>COMM!E30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 t="str">
        <f>_xlfn.TEXTJOIN(",",TRUE,IF(LEFT(Regions!$C$3,1)&lt;&gt;"*",Regions!$C$3,""),IF(LEFT(Regions!$D$3,1)&lt;&gt;"*",Regions!$D$3,""))</f>
        <v>IE,National</v>
      </c>
      <c r="C12" s="730" t="str">
        <f>COMM!E31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753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825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846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829</v>
      </c>
      <c r="I4" s="744" t="s">
        <v>303</v>
      </c>
      <c r="J4" s="744" t="s">
        <v>828</v>
      </c>
      <c r="K4" s="744" t="s">
        <v>304</v>
      </c>
      <c r="L4" s="744" t="s">
        <v>836</v>
      </c>
      <c r="M4" s="744" t="s">
        <v>830</v>
      </c>
      <c r="N4" s="744" t="s">
        <v>831</v>
      </c>
      <c r="O4" s="744" t="s">
        <v>832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833</v>
      </c>
      <c r="M5" s="742" t="s">
        <v>833</v>
      </c>
      <c r="N5" s="742" t="s">
        <v>833</v>
      </c>
      <c r="O5" s="742" t="s">
        <v>833</v>
      </c>
      <c r="P5" s="742"/>
    </row>
    <row r="6" spans="2:22" ht="13.5" customHeight="1">
      <c r="C6" s="726" t="str">
        <f>SETUP!B$8</f>
        <v>RSDCOA</v>
      </c>
      <c r="D6" s="726" t="str">
        <f>SETUP!$C$5&amp;"_"&amp;COMM!F6</f>
        <v>Distribution_Coal to Residential</v>
      </c>
      <c r="E6" s="726" t="e">
        <f>RSD_Balance!#REF!</f>
        <v>#REF!</v>
      </c>
      <c r="F6" s="726" t="str">
        <f>COMM!$E$6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835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834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SETUP!$C$5&amp;"_"&amp;COMM!F7</f>
        <v>Distribution_Peat to Residential</v>
      </c>
      <c r="E10" s="726" t="str">
        <f>RSD_Balance!A10</f>
        <v>PEA</v>
      </c>
      <c r="F10" s="726" t="str">
        <f>COMM!E7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SETUP!$C$5&amp;"_"&amp;COMM!F8</f>
        <v>Distribution_LPG to Residential</v>
      </c>
      <c r="E11" s="724" t="str">
        <f>RSD_Balance!A11</f>
        <v>OILLPG</v>
      </c>
      <c r="F11" s="724" t="str">
        <f>COMM!E8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SETUP!$C$5&amp;"_"&amp;COMM!F9</f>
        <v>Distribution_Gasoline to Residential</v>
      </c>
      <c r="E12" s="726" t="str">
        <f>RSD_Balance!A12</f>
        <v>OILGSL</v>
      </c>
      <c r="F12" s="726" t="str">
        <f>COMM!E9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SETUP!$C$5&amp;"_"&amp;COMM!F10</f>
        <v>Distribution_Kerosene to Residential</v>
      </c>
      <c r="E13" s="724" t="str">
        <f>RSD_Balance!A13</f>
        <v>OILKER</v>
      </c>
      <c r="F13" s="724" t="str">
        <f>COMM!E10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SETUP!$C$5&amp;"_"&amp;COMM!F11</f>
        <v>Distribution_Gasoil / Diesel /DERV to Residential</v>
      </c>
      <c r="E14" s="726" t="str">
        <f>RSD_Balance!A14</f>
        <v>OILDST</v>
      </c>
      <c r="F14" s="726" t="str">
        <f>COMM!E11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SETUP!$C$5&amp;"_"&amp;COMM!F12</f>
        <v>Distribution_Fueloil to Residential</v>
      </c>
      <c r="E15" s="724" t="str">
        <f>RSD_Balance!A15</f>
        <v>OILHFO</v>
      </c>
      <c r="F15" s="724" t="str">
        <f>COMM!E12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SETUP!$C$5&amp;"_"&amp;COMM!F13</f>
        <v>Distribution_Petroleum Coke to Residential</v>
      </c>
      <c r="E16" s="726" t="str">
        <f>RSD_Balance!A16</f>
        <v>OILCOK</v>
      </c>
      <c r="F16" s="726" t="str">
        <f>COMM!E13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SETUP!$C$5&amp;"_"&amp;COMM!F14</f>
        <v>Distribution_Natural Gas to Residential</v>
      </c>
      <c r="E17" s="724" t="str">
        <f>RSD_Balance!A17</f>
        <v>GASNAT</v>
      </c>
      <c r="F17" s="724" t="str">
        <f>COMM!E14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SETUP!$C$5&amp;"_"&amp;COMM!F15</f>
        <v>Distribution_Solar to Residential</v>
      </c>
      <c r="E18" s="726" t="str">
        <f>RSD_Balance!A18</f>
        <v>RENSOL</v>
      </c>
      <c r="F18" s="726" t="str">
        <f>COMM!E15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SETUP!$C$5&amp;"_"&amp;COMM!F16</f>
        <v>Distribution_Biomass and Renewable Waste to Residential</v>
      </c>
      <c r="E19" s="724" t="str">
        <f>RSD_Balance!A19</f>
        <v>BIOWOO</v>
      </c>
      <c r="F19" s="724" t="str">
        <f>COMM!E16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SETUP!$C$5&amp;"_"&amp;COMM!F17</f>
        <v>Distribution_Biogas to Residential</v>
      </c>
      <c r="E20" s="726" t="str">
        <f>RSD_Balance!A20</f>
        <v>BIOGAS</v>
      </c>
      <c r="F20" s="726" t="str">
        <f>COMM!E17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SETUP!$C$5&amp;"_"&amp;COMM!F18</f>
        <v>Distribution_Landfill Gas to Residential</v>
      </c>
      <c r="E21" s="724" t="str">
        <f>RSD_Balance!A21</f>
        <v>BIOMUN</v>
      </c>
      <c r="F21" s="724" t="str">
        <f>COMM!E18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SETUP!$C$5&amp;"_"&amp;COMM!F19</f>
        <v>Distribution_Geothermal to Residential</v>
      </c>
      <c r="E22" s="726" t="str">
        <f>RSD_Balance!A22</f>
        <v>RENGEO</v>
      </c>
      <c r="F22" s="726" t="str">
        <f>COMM!E19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SETUP!$C$5&amp;"_"&amp;COMM!F20</f>
        <v>Distribution_Ethanol to Residential</v>
      </c>
      <c r="E23" s="724" t="str">
        <f>RSD_Balance!A23</f>
        <v>BIOETH</v>
      </c>
      <c r="F23" s="724" t="str">
        <f>COMM!E20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SETUP!$C$5&amp;"_"&amp;COMM!F21</f>
        <v>Distribution_Biodiesel to Residential</v>
      </c>
      <c r="E24" s="726" t="str">
        <f>RSD_Balance!A24</f>
        <v>BIODST</v>
      </c>
      <c r="F24" s="726" t="str">
        <f>COMM!E21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SETUP!$C$5&amp;"_"&amp;COMM!F22</f>
        <v>Distribution_Non-Renewable Waste to Residential</v>
      </c>
      <c r="E25" s="724" t="str">
        <f>RSD_Balance!A25</f>
        <v>BIOSLU</v>
      </c>
      <c r="F25" s="724" t="str">
        <f>COMM!E22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SETUP!$C$5&amp;"_"&amp;COMM!F23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COMM!E6&amp;","&amp;COMM!#REF!&amp;","&amp;COMM!#REF!&amp;","&amp;COMM!E7&amp;","&amp;COMM!E16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SETUP!$C$5&amp;"_"&amp;COMM!F24</f>
        <v>Distribution_Electricity to Residential</v>
      </c>
      <c r="E27" s="724" t="str">
        <f>RSD_Balance!A26</f>
        <v>ELC</v>
      </c>
      <c r="F27" s="724" t="str">
        <f>COMM!E24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SETUP!$C$5&amp;"_"&amp;COMM!F25</f>
        <v>Distribution_Heat to Residential</v>
      </c>
      <c r="E28" s="726" t="str">
        <f>RSD_Balance!A27</f>
        <v>HET</v>
      </c>
      <c r="F28" s="726" t="str">
        <f>COMM!E25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12" sqref="D12"/>
    </sheetView>
  </sheetViews>
  <sheetFormatPr defaultColWidth="8.85546875" defaultRowHeight="15"/>
  <cols>
    <col min="1" max="1" width="3.28515625" style="1005" customWidth="1"/>
    <col min="2" max="2" width="10.7109375" style="1005" bestFit="1" customWidth="1"/>
    <col min="3" max="3" width="15.5703125" style="1005" bestFit="1" customWidth="1"/>
    <col min="4" max="4" width="12.140625" style="1005" bestFit="1" customWidth="1"/>
    <col min="5" max="5" width="11.28515625" style="1005" customWidth="1"/>
    <col min="6" max="6" width="7.85546875" style="1005" bestFit="1" customWidth="1"/>
    <col min="7" max="7" width="12.85546875" style="1005" bestFit="1" customWidth="1"/>
    <col min="8" max="8" width="10.7109375" style="1005" bestFit="1" customWidth="1"/>
    <col min="9" max="9" width="9.5703125" style="1005" bestFit="1" customWidth="1"/>
    <col min="10" max="10" width="3.7109375" style="1005" customWidth="1"/>
    <col min="11" max="11" width="12.28515625" style="1005" customWidth="1"/>
    <col min="12" max="12" width="10" style="1005" bestFit="1" customWidth="1"/>
    <col min="13" max="13" width="15.140625" style="1005" customWidth="1"/>
    <col min="14" max="14" width="49" style="1005" customWidth="1"/>
    <col min="15" max="16" width="8.85546875" style="1005"/>
    <col min="17" max="17" width="12.85546875" style="1005" customWidth="1"/>
    <col min="18" max="18" width="15.28515625" style="1005" customWidth="1"/>
    <col min="19" max="16384" width="8.85546875" style="1005"/>
  </cols>
  <sheetData>
    <row r="2" spans="1:19">
      <c r="E2" s="1006" t="s">
        <v>296</v>
      </c>
      <c r="F2" s="1006"/>
      <c r="H2" s="1006"/>
      <c r="K2" s="1007" t="s">
        <v>297</v>
      </c>
      <c r="L2" s="1007"/>
      <c r="M2" s="1008"/>
      <c r="N2" s="1008"/>
      <c r="O2" s="1008"/>
      <c r="P2" s="1008"/>
      <c r="Q2" s="1008"/>
      <c r="R2" s="1008"/>
      <c r="S2" s="1008"/>
    </row>
    <row r="3" spans="1:19">
      <c r="B3" s="1009" t="s">
        <v>1297</v>
      </c>
      <c r="C3" s="1009" t="s">
        <v>298</v>
      </c>
      <c r="D3" s="1010" t="s">
        <v>300</v>
      </c>
      <c r="E3" s="1009" t="s">
        <v>301</v>
      </c>
      <c r="F3" s="1009" t="s">
        <v>302</v>
      </c>
      <c r="G3" s="1011" t="s">
        <v>315</v>
      </c>
      <c r="H3" s="1011" t="s">
        <v>1300</v>
      </c>
      <c r="I3" s="1011" t="s">
        <v>1301</v>
      </c>
      <c r="K3" s="1012" t="s">
        <v>305</v>
      </c>
      <c r="L3" s="1013" t="s">
        <v>1297</v>
      </c>
      <c r="M3" s="1012" t="s">
        <v>298</v>
      </c>
      <c r="N3" s="1012" t="s">
        <v>299</v>
      </c>
      <c r="O3" s="1012" t="s">
        <v>306</v>
      </c>
      <c r="P3" s="1012" t="s">
        <v>307</v>
      </c>
      <c r="Q3" s="1012" t="s">
        <v>308</v>
      </c>
      <c r="R3" s="1012" t="s">
        <v>309</v>
      </c>
      <c r="S3" s="1012" t="s">
        <v>1302</v>
      </c>
    </row>
    <row r="4" spans="1:19" ht="35.25" thickBot="1">
      <c r="B4" s="1014" t="s">
        <v>1298</v>
      </c>
      <c r="C4" s="1014" t="s">
        <v>317</v>
      </c>
      <c r="D4" s="1014" t="s">
        <v>319</v>
      </c>
      <c r="E4" s="1014" t="s">
        <v>320</v>
      </c>
      <c r="F4" s="1014" t="s">
        <v>1303</v>
      </c>
      <c r="G4" s="1014" t="s">
        <v>1304</v>
      </c>
      <c r="H4" s="1014" t="s">
        <v>1305</v>
      </c>
      <c r="I4" s="1014" t="s">
        <v>1306</v>
      </c>
      <c r="K4" s="1015" t="s">
        <v>1307</v>
      </c>
      <c r="L4" s="1015" t="s">
        <v>1308</v>
      </c>
      <c r="M4" s="1015" t="s">
        <v>1309</v>
      </c>
      <c r="N4" s="1015" t="s">
        <v>318</v>
      </c>
      <c r="O4" s="1015" t="s">
        <v>1310</v>
      </c>
      <c r="P4" s="1015" t="s">
        <v>1311</v>
      </c>
      <c r="Q4" s="1015" t="s">
        <v>1312</v>
      </c>
      <c r="R4" s="1015" t="s">
        <v>1313</v>
      </c>
      <c r="S4" s="1015" t="s">
        <v>1314</v>
      </c>
    </row>
    <row r="5" spans="1:19" ht="15.75" thickBot="1">
      <c r="B5" s="1014" t="s">
        <v>581</v>
      </c>
      <c r="C5" s="1014"/>
      <c r="D5" s="1016"/>
      <c r="E5" s="1016"/>
      <c r="F5" s="1016"/>
      <c r="G5" s="1016" t="s">
        <v>1315</v>
      </c>
      <c r="H5" s="1016" t="s">
        <v>1316</v>
      </c>
      <c r="I5" s="1016" t="s">
        <v>19</v>
      </c>
      <c r="K5" s="1015" t="s">
        <v>295</v>
      </c>
      <c r="L5" s="1017"/>
      <c r="M5" s="1017"/>
      <c r="N5" s="1017"/>
      <c r="O5" s="1017"/>
      <c r="P5" s="1017"/>
      <c r="Q5" s="1017"/>
      <c r="R5" s="1017"/>
      <c r="S5" s="1017"/>
    </row>
    <row r="6" spans="1:19" s="1020" customFormat="1" ht="12.75">
      <c r="A6" s="1020" t="str">
        <f>COMM!A6</f>
        <v/>
      </c>
      <c r="B6" s="1021" t="str">
        <f>L6</f>
        <v>IE,National</v>
      </c>
      <c r="C6" s="1018" t="str">
        <f>_xlfn.TEXTJOIN("-",TRUE,SETUP!$B$4,COMM!E6)</f>
        <v>FT-RSDCOA</v>
      </c>
      <c r="D6" s="1019" t="s">
        <v>1318</v>
      </c>
      <c r="E6" s="1018" t="str">
        <f>COMM!E6</f>
        <v>RSDCOA</v>
      </c>
      <c r="F6" s="1020">
        <v>1</v>
      </c>
      <c r="G6" s="1020">
        <v>50</v>
      </c>
      <c r="H6" s="1020">
        <v>0.01</v>
      </c>
      <c r="K6" s="1018" t="s">
        <v>311</v>
      </c>
      <c r="L6" s="1021" t="str">
        <f>_xlfn.TEXTJOIN(",",TRUE,IF(LEFT(Regions!$C$3,1)&lt;&gt;"*",Regions!$C$3,""),IF(LEFT(Regions!$D$3,1)&lt;&gt;"*",Regions!$D$3,""))</f>
        <v>IE,National</v>
      </c>
      <c r="M6" s="1021" t="str">
        <f t="shared" ref="M6:M15" si="0">C6</f>
        <v>FT-RSDCOA</v>
      </c>
      <c r="N6" s="1022" t="str">
        <f>_xlfn.TEXTJOIN(" ",TRUE,SETUP!$B$3,COMM!F6)</f>
        <v>RSD Coal to Residential</v>
      </c>
      <c r="O6" s="1021" t="s">
        <v>19</v>
      </c>
      <c r="P6" s="1021" t="s">
        <v>1299</v>
      </c>
      <c r="Q6" s="1021"/>
      <c r="R6" s="1021"/>
      <c r="S6" s="1021"/>
    </row>
    <row r="7" spans="1:19" s="1020" customFormat="1" ht="12.75">
      <c r="A7" s="1020" t="str">
        <f>COMM!A7</f>
        <v/>
      </c>
      <c r="B7" s="1021" t="str">
        <f t="shared" ref="B7:B15" si="1">L7</f>
        <v>IE,National</v>
      </c>
      <c r="C7" s="1018" t="str">
        <f>_xlfn.TEXTJOIN("-",TRUE,SETUP!$B$4,COMM!E7)</f>
        <v>FT-RSDPEA</v>
      </c>
      <c r="D7" s="1019" t="s">
        <v>236</v>
      </c>
      <c r="E7" s="1018" t="str">
        <f>COMM!E7</f>
        <v>RSDPEA</v>
      </c>
      <c r="F7" s="1020">
        <v>1</v>
      </c>
      <c r="G7" s="1020">
        <v>50</v>
      </c>
      <c r="H7" s="1020">
        <v>0.01</v>
      </c>
      <c r="K7" s="1018"/>
      <c r="L7" s="1020" t="str">
        <f>_xlfn.TEXTJOIN(",",TRUE,IF(LEFT(Regions!$C$3,1)&lt;&gt;"*",Regions!$C$3,""),IF(LEFT(Regions!$D$3,1)&lt;&gt;"*",Regions!$D$3,""))</f>
        <v>IE,National</v>
      </c>
      <c r="M7" s="1021" t="str">
        <f t="shared" si="0"/>
        <v>FT-RSDPEA</v>
      </c>
      <c r="N7" s="1022" t="str">
        <f>_xlfn.TEXTJOIN(" ",TRUE,SETUP!$B$3,COMM!F7)</f>
        <v>RSD Peat to Residential</v>
      </c>
      <c r="O7" s="1021" t="s">
        <v>19</v>
      </c>
      <c r="P7" s="1021" t="s">
        <v>1299</v>
      </c>
    </row>
    <row r="8" spans="1:19" s="1020" customFormat="1" ht="12.75">
      <c r="A8" s="1020" t="str">
        <f>COMM!A8</f>
        <v/>
      </c>
      <c r="B8" s="1021" t="str">
        <f t="shared" si="1"/>
        <v>IE,National</v>
      </c>
      <c r="C8" s="1018" t="str">
        <f>_xlfn.TEXTJOIN("-",TRUE,SETUP!$B$4,COMM!E8)</f>
        <v>FT-RSDOILLPG</v>
      </c>
      <c r="D8" s="1019" t="s">
        <v>237</v>
      </c>
      <c r="E8" s="1018" t="str">
        <f>COMM!E8</f>
        <v>RSDOILLPG</v>
      </c>
      <c r="F8" s="1020">
        <v>1</v>
      </c>
      <c r="G8" s="1020">
        <v>50</v>
      </c>
      <c r="H8" s="1020">
        <v>0.01</v>
      </c>
      <c r="K8" s="1018"/>
      <c r="L8" s="1020" t="str">
        <f>_xlfn.TEXTJOIN(",",TRUE,IF(LEFT(Regions!$C$3,1)&lt;&gt;"*",Regions!$C$3,""),IF(LEFT(Regions!$D$3,1)&lt;&gt;"*",Regions!$D$3,""))</f>
        <v>IE,National</v>
      </c>
      <c r="M8" s="1021" t="str">
        <f t="shared" si="0"/>
        <v>FT-RSDOILLPG</v>
      </c>
      <c r="N8" s="1022" t="str">
        <f>_xlfn.TEXTJOIN(" ",TRUE,SETUP!$B$3,COMM!F8)</f>
        <v>RSD LPG to Residential</v>
      </c>
      <c r="O8" s="1021" t="s">
        <v>19</v>
      </c>
      <c r="P8" s="1021" t="s">
        <v>1299</v>
      </c>
    </row>
    <row r="9" spans="1:19" s="1020" customFormat="1" ht="12.75">
      <c r="A9" s="1020" t="str">
        <f>COMM!A10</f>
        <v/>
      </c>
      <c r="B9" s="1021" t="str">
        <f t="shared" si="1"/>
        <v>IE,National</v>
      </c>
      <c r="C9" s="1018" t="str">
        <f>_xlfn.TEXTJOIN("-",TRUE,SETUP!$B$4,COMM!E10)</f>
        <v>FT-RSDOILKER</v>
      </c>
      <c r="D9" s="1019" t="s">
        <v>239</v>
      </c>
      <c r="E9" s="1018" t="str">
        <f>COMM!E10</f>
        <v>RSDOILKER</v>
      </c>
      <c r="F9" s="1020">
        <v>1</v>
      </c>
      <c r="G9" s="1020">
        <v>50</v>
      </c>
      <c r="H9" s="1020">
        <v>0.01</v>
      </c>
      <c r="K9" s="1018"/>
      <c r="L9" s="1020" t="str">
        <f>_xlfn.TEXTJOIN(",",TRUE,IF(LEFT(Regions!$C$3,1)&lt;&gt;"*",Regions!$C$3,""),IF(LEFT(Regions!$D$3,1)&lt;&gt;"*",Regions!$D$3,""))</f>
        <v>IE,National</v>
      </c>
      <c r="M9" s="1021" t="str">
        <f t="shared" si="0"/>
        <v>FT-RSDOILKER</v>
      </c>
      <c r="N9" s="1022" t="str">
        <f>_xlfn.TEXTJOIN(" ",TRUE,SETUP!$B$3,COMM!F10)</f>
        <v>RSD Kerosene to Residential</v>
      </c>
      <c r="O9" s="1021" t="s">
        <v>19</v>
      </c>
      <c r="P9" s="1021" t="s">
        <v>1299</v>
      </c>
    </row>
    <row r="10" spans="1:19" s="1020" customFormat="1" ht="12.75">
      <c r="A10" s="1020" t="str">
        <f>COMM!A14</f>
        <v/>
      </c>
      <c r="B10" s="1021" t="str">
        <f t="shared" si="1"/>
        <v>IE,National</v>
      </c>
      <c r="C10" s="1018" t="str">
        <f>_xlfn.TEXTJOIN("-",TRUE,SETUP!$B$4,COMM!E14)</f>
        <v>FT-RSDGASNAT</v>
      </c>
      <c r="D10" s="1019" t="s">
        <v>243</v>
      </c>
      <c r="E10" s="1018" t="str">
        <f>COMM!E14</f>
        <v>RSDGASNAT</v>
      </c>
      <c r="F10" s="1020">
        <v>1</v>
      </c>
      <c r="G10" s="1020">
        <v>50</v>
      </c>
      <c r="H10" s="1020">
        <v>0.01</v>
      </c>
      <c r="K10" s="1018"/>
      <c r="L10" s="1020" t="str">
        <f>_xlfn.TEXTJOIN(",",TRUE,IF(LEFT(Regions!$C$3,1)&lt;&gt;"*",Regions!$C$3,""),IF(LEFT(Regions!$D$3,1)&lt;&gt;"*",Regions!$D$3,""))</f>
        <v>IE,National</v>
      </c>
      <c r="M10" s="1021" t="str">
        <f t="shared" si="0"/>
        <v>FT-RSDGASNAT</v>
      </c>
      <c r="N10" s="1022" t="str">
        <f>_xlfn.TEXTJOIN(" ",TRUE,SETUP!$B$3,COMM!F14)</f>
        <v>RSD Natural Gas to Residential</v>
      </c>
      <c r="O10" s="1021" t="s">
        <v>19</v>
      </c>
      <c r="P10" s="1021" t="s">
        <v>1299</v>
      </c>
    </row>
    <row r="11" spans="1:19" s="1020" customFormat="1" ht="12.75">
      <c r="A11" s="1020" t="str">
        <f>COMM!A16</f>
        <v/>
      </c>
      <c r="B11" s="1021" t="str">
        <f t="shared" si="1"/>
        <v>IE,National</v>
      </c>
      <c r="C11" s="1018" t="str">
        <f>_xlfn.TEXTJOIN("-",TRUE,SETUP!$B$4,COMM!E16)</f>
        <v>FT-RSDBIOWOO</v>
      </c>
      <c r="D11" s="1019" t="s">
        <v>245</v>
      </c>
      <c r="E11" s="1018" t="str">
        <f>COMM!E16</f>
        <v>RSDBIOWOO</v>
      </c>
      <c r="F11" s="1020">
        <v>1</v>
      </c>
      <c r="G11" s="1020">
        <v>50</v>
      </c>
      <c r="H11" s="1020">
        <v>0.01</v>
      </c>
      <c r="L11" s="1020" t="str">
        <f>_xlfn.TEXTJOIN(",",TRUE,IF(LEFT(Regions!$C$3,1)&lt;&gt;"*",Regions!$C$3,""),IF(LEFT(Regions!$D$3,1)&lt;&gt;"*",Regions!$D$3,""))</f>
        <v>IE,National</v>
      </c>
      <c r="M11" s="1021" t="str">
        <f t="shared" si="0"/>
        <v>FT-RSDBIOWOO</v>
      </c>
      <c r="N11" s="1022" t="str">
        <f>_xlfn.TEXTJOIN(" ",TRUE,SETUP!$B$3,COMM!F16)</f>
        <v>RSD Biomass and Renewable Waste to Residential</v>
      </c>
      <c r="O11" s="1021" t="s">
        <v>19</v>
      </c>
      <c r="P11" s="1021" t="s">
        <v>1299</v>
      </c>
    </row>
    <row r="12" spans="1:19">
      <c r="A12" s="1020" t="str">
        <f>COMM!A20</f>
        <v/>
      </c>
      <c r="B12" s="1021" t="str">
        <f t="shared" si="1"/>
        <v>IE,National</v>
      </c>
      <c r="C12" s="1018" t="str">
        <f>_xlfn.TEXTJOIN("-",TRUE,SETUP!$B$4,COMM!E20)</f>
        <v>FT-RSDBIOETH</v>
      </c>
      <c r="D12" s="1019" t="s">
        <v>1320</v>
      </c>
      <c r="E12" s="1018" t="str">
        <f>COMM!E20</f>
        <v>RSDBIOETH</v>
      </c>
      <c r="F12" s="1020">
        <v>1</v>
      </c>
      <c r="G12" s="1020">
        <v>50</v>
      </c>
      <c r="H12" s="1020">
        <v>0.01</v>
      </c>
      <c r="I12" s="1020"/>
      <c r="L12" s="1020" t="str">
        <f>_xlfn.TEXTJOIN(",",TRUE,IF(LEFT(Regions!$C$3,1)&lt;&gt;"*",Regions!$C$3,""),IF(LEFT(Regions!$D$3,1)&lt;&gt;"*",Regions!$D$3,""))</f>
        <v>IE,National</v>
      </c>
      <c r="M12" s="1021" t="str">
        <f t="shared" si="0"/>
        <v>FT-RSDBIOETH</v>
      </c>
      <c r="N12" s="1022" t="str">
        <f>_xlfn.TEXTJOIN(" ",TRUE,SETUP!$B$3,COMM!F20)</f>
        <v>RSD Ethanol to Residential</v>
      </c>
      <c r="O12" s="1021" t="s">
        <v>19</v>
      </c>
      <c r="P12" s="1021" t="s">
        <v>1299</v>
      </c>
    </row>
    <row r="13" spans="1:19">
      <c r="A13" s="1020" t="str">
        <f>COMM!A21</f>
        <v/>
      </c>
      <c r="B13" s="1021" t="str">
        <f t="shared" si="1"/>
        <v>IE,National</v>
      </c>
      <c r="C13" s="1018" t="str">
        <f>_xlfn.TEXTJOIN("-",TRUE,SETUP!$B$4,COMM!E21)</f>
        <v>FT-RSDBIODST</v>
      </c>
      <c r="D13" s="1019" t="s">
        <v>1321</v>
      </c>
      <c r="E13" s="1018" t="str">
        <f>COMM!E21</f>
        <v>RSDBIODST</v>
      </c>
      <c r="F13" s="1020">
        <v>1</v>
      </c>
      <c r="G13" s="1020">
        <v>50</v>
      </c>
      <c r="H13" s="1020">
        <v>0.01</v>
      </c>
      <c r="I13" s="1020"/>
      <c r="L13" s="1020" t="str">
        <f>_xlfn.TEXTJOIN(",",TRUE,IF(LEFT(Regions!$C$3,1)&lt;&gt;"*",Regions!$C$3,""),IF(LEFT(Regions!$D$3,1)&lt;&gt;"*",Regions!$D$3,""))</f>
        <v>IE,National</v>
      </c>
      <c r="M13" s="1021" t="str">
        <f t="shared" si="0"/>
        <v>FT-RSDBIODST</v>
      </c>
      <c r="N13" s="1022" t="str">
        <f>_xlfn.TEXTJOIN(" ",TRUE,SETUP!$B$3,COMM!F21)</f>
        <v>RSD Biodiesel to Residential</v>
      </c>
      <c r="O13" s="1021" t="s">
        <v>19</v>
      </c>
      <c r="P13" s="1021" t="s">
        <v>1299</v>
      </c>
    </row>
    <row r="14" spans="1:19">
      <c r="A14" s="1020"/>
      <c r="B14" s="1021" t="str">
        <f t="shared" si="1"/>
        <v>IE,National</v>
      </c>
      <c r="C14" s="1018" t="str">
        <f>_xlfn.TEXTJOIN("-",TRUE,SETUP!$B$4,COMM!E24)</f>
        <v>FT-RSDELC</v>
      </c>
      <c r="D14" s="1019" t="s">
        <v>1319</v>
      </c>
      <c r="E14" s="1018" t="str">
        <f>COMM!E24</f>
        <v>RSDELC</v>
      </c>
      <c r="F14" s="1020">
        <v>1</v>
      </c>
      <c r="G14" s="1020">
        <v>50</v>
      </c>
      <c r="H14" s="1020">
        <v>0.01</v>
      </c>
      <c r="I14" s="1020"/>
      <c r="L14" s="1020" t="str">
        <f>_xlfn.TEXTJOIN(",",TRUE,IF(LEFT(Regions!$C$3,1)&lt;&gt;"*",Regions!$C$3,""),IF(LEFT(Regions!$D$3,1)&lt;&gt;"*",Regions!$D$3,""))</f>
        <v>IE,National</v>
      </c>
      <c r="M14" s="1021" t="str">
        <f t="shared" si="0"/>
        <v>FT-RSDELC</v>
      </c>
      <c r="N14" s="1022" t="str">
        <f>_xlfn.TEXTJOIN(" ",TRUE,SETUP!$B$3,COMM!F24)</f>
        <v>RSD Electricity to Residential</v>
      </c>
      <c r="O14" s="1021" t="s">
        <v>19</v>
      </c>
      <c r="P14" s="1021" t="s">
        <v>1299</v>
      </c>
    </row>
    <row r="15" spans="1:19">
      <c r="A15" s="1020"/>
      <c r="B15" s="1021" t="str">
        <f t="shared" si="1"/>
        <v>IE,National</v>
      </c>
      <c r="C15" s="1018" t="str">
        <f>_xlfn.TEXTJOIN("-",TRUE,SETUP!$B$4,COMM!E25)</f>
        <v>FT-RSDHET</v>
      </c>
      <c r="D15" s="1019" t="s">
        <v>1322</v>
      </c>
      <c r="E15" s="1018" t="str">
        <f>COMM!E25</f>
        <v>RSDHET</v>
      </c>
      <c r="F15" s="1020">
        <v>1</v>
      </c>
      <c r="G15" s="1020">
        <v>50</v>
      </c>
      <c r="H15" s="1020">
        <v>0.01</v>
      </c>
      <c r="I15" s="1020"/>
      <c r="L15" s="1020" t="str">
        <f>_xlfn.TEXTJOIN(",",TRUE,IF(LEFT(Regions!$C$3,1)&lt;&gt;"*",Regions!$C$3,""),IF(LEFT(Regions!$D$3,1)&lt;&gt;"*",Regions!$D$3,""))</f>
        <v>IE,National</v>
      </c>
      <c r="M15" s="1021" t="str">
        <f t="shared" si="0"/>
        <v>FT-RSDHET</v>
      </c>
      <c r="N15" s="1022" t="str">
        <f>_xlfn.TEXTJOIN(" ",TRUE,SETUP!$B$3,COMM!F25)</f>
        <v>RSD Heat to Residential</v>
      </c>
      <c r="O15" s="1021" t="s">
        <v>19</v>
      </c>
      <c r="P15" s="1021" t="s">
        <v>1299</v>
      </c>
    </row>
    <row r="16" spans="1:19">
      <c r="A16" s="1020"/>
      <c r="B16" s="1020"/>
      <c r="C16" s="1018"/>
    </row>
    <row r="17" spans="1:3">
      <c r="A17" s="1020"/>
      <c r="B17" s="1020"/>
      <c r="C17" s="1018"/>
    </row>
    <row r="18" spans="1:3">
      <c r="A18" s="1020"/>
      <c r="B18" s="1020"/>
      <c r="C18" s="1018"/>
    </row>
    <row r="19" spans="1:3">
      <c r="A19" s="1020"/>
      <c r="B19" s="1020"/>
      <c r="C19" s="1018"/>
    </row>
    <row r="20" spans="1:3">
      <c r="A20" s="1020"/>
      <c r="B20" s="1020"/>
      <c r="C20" s="1018"/>
    </row>
    <row r="21" spans="1:3">
      <c r="A21" s="1020"/>
      <c r="B21" s="1020"/>
      <c r="C21" s="1018"/>
    </row>
    <row r="22" spans="1:3">
      <c r="A22" s="1020"/>
      <c r="B22" s="1020"/>
      <c r="C22" s="1018"/>
    </row>
    <row r="23" spans="1:3">
      <c r="A23" s="1020"/>
      <c r="B23" s="1020"/>
      <c r="C23" s="1018"/>
    </row>
    <row r="24" spans="1:3">
      <c r="A24" s="1020"/>
      <c r="B24" s="102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37"/>
  <sheetViews>
    <sheetView zoomScaleNormal="100" workbookViewId="0">
      <selection activeCell="B26" sqref="B26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9.140625" style="652"/>
    <col min="20" max="20" width="16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1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S1" s="131"/>
      <c r="W1" s="149" t="s">
        <v>1327</v>
      </c>
      <c r="Y1" s="148"/>
      <c r="AE1" s="148"/>
      <c r="AF1" s="148"/>
      <c r="AG1" s="148"/>
      <c r="AH1" s="148"/>
      <c r="AI1" s="148"/>
      <c r="AJ1" s="148"/>
    </row>
    <row r="2" spans="2:61" ht="12" customHeight="1" thickBot="1">
      <c r="R2" s="131"/>
      <c r="S2" s="131"/>
      <c r="T2" s="150" t="s">
        <v>298</v>
      </c>
      <c r="U2" s="150" t="s">
        <v>798</v>
      </c>
      <c r="V2" s="150" t="s">
        <v>840</v>
      </c>
      <c r="W2" s="150" t="s">
        <v>844</v>
      </c>
      <c r="X2" s="151" t="s">
        <v>841</v>
      </c>
      <c r="Y2" s="906" t="s">
        <v>845</v>
      </c>
      <c r="Z2" s="907" t="s">
        <v>842</v>
      </c>
      <c r="AA2" s="906" t="s">
        <v>843</v>
      </c>
      <c r="AB2" s="877" t="s">
        <v>766</v>
      </c>
      <c r="AC2" s="878" t="s">
        <v>767</v>
      </c>
      <c r="AD2" s="878" t="s">
        <v>768</v>
      </c>
      <c r="AE2" s="878" t="s">
        <v>769</v>
      </c>
      <c r="AF2" s="878" t="s">
        <v>770</v>
      </c>
      <c r="AG2" s="878" t="s">
        <v>771</v>
      </c>
      <c r="AH2" s="878" t="s">
        <v>772</v>
      </c>
      <c r="AI2" s="878" t="s">
        <v>773</v>
      </c>
      <c r="AJ2" s="878" t="s">
        <v>774</v>
      </c>
      <c r="AK2" s="878" t="s">
        <v>775</v>
      </c>
      <c r="AL2" s="878" t="s">
        <v>776</v>
      </c>
      <c r="AM2" s="878" t="s">
        <v>777</v>
      </c>
      <c r="AN2" s="878" t="s">
        <v>778</v>
      </c>
      <c r="AO2" s="878" t="s">
        <v>779</v>
      </c>
      <c r="AP2" s="878" t="s">
        <v>780</v>
      </c>
      <c r="AQ2" s="878" t="s">
        <v>781</v>
      </c>
      <c r="AR2" s="880" t="s">
        <v>295</v>
      </c>
      <c r="AS2" s="878" t="s">
        <v>782</v>
      </c>
      <c r="AT2" s="878" t="s">
        <v>783</v>
      </c>
      <c r="AU2" s="878" t="s">
        <v>784</v>
      </c>
      <c r="AV2" s="878" t="s">
        <v>785</v>
      </c>
      <c r="AW2" s="878" t="s">
        <v>786</v>
      </c>
      <c r="AX2" s="878" t="s">
        <v>787</v>
      </c>
      <c r="AY2" s="878" t="s">
        <v>788</v>
      </c>
      <c r="AZ2" s="878" t="s">
        <v>789</v>
      </c>
      <c r="BA2" s="878" t="s">
        <v>790</v>
      </c>
      <c r="BB2" s="878" t="s">
        <v>791</v>
      </c>
      <c r="BC2" s="878" t="s">
        <v>792</v>
      </c>
      <c r="BD2" s="878" t="s">
        <v>793</v>
      </c>
      <c r="BE2" s="878" t="s">
        <v>794</v>
      </c>
      <c r="BF2" s="878" t="s">
        <v>795</v>
      </c>
      <c r="BG2" s="878" t="s">
        <v>796</v>
      </c>
      <c r="BH2" s="879" t="s">
        <v>797</v>
      </c>
      <c r="BI2" s="150" t="s">
        <v>327</v>
      </c>
    </row>
    <row r="3" spans="2:61" ht="12" customHeight="1">
      <c r="C3" s="120" t="s">
        <v>1264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131"/>
      <c r="T3" s="883" t="str">
        <f>"*H_"&amp;"*"&amp;RIGHT(W3,LEN(W3)-3)&amp;"_"&amp;SETUP!B64</f>
        <v>*H_*COABIT_X0</v>
      </c>
      <c r="U3" s="883" t="str">
        <f>COMM!F6&amp;"_"&amp;SETUP!C64</f>
        <v>Coal to Residential_Existing 00</v>
      </c>
      <c r="V3" s="883" t="e">
        <f>RSD_Balance!#REF!</f>
        <v>#REF!</v>
      </c>
      <c r="W3" s="883" t="s">
        <v>676</v>
      </c>
      <c r="X3" s="883">
        <v>1</v>
      </c>
      <c r="Y3" s="883"/>
      <c r="Z3" s="883"/>
      <c r="AA3" s="883"/>
      <c r="AB3" s="883">
        <v>5.2909653443917494E-2</v>
      </c>
      <c r="AC3" s="883">
        <v>0.1130595111768057</v>
      </c>
      <c r="AD3" s="883">
        <v>0.18480169736713609</v>
      </c>
      <c r="AE3" s="883">
        <v>9.1980608893918028E-2</v>
      </c>
      <c r="AF3" s="883">
        <v>4.0248445684114405E-2</v>
      </c>
      <c r="AG3" s="883">
        <v>6.6194646918417144E-2</v>
      </c>
      <c r="AH3" s="883">
        <v>0.12021532312122017</v>
      </c>
      <c r="AI3" s="883">
        <v>5.2154967135292975E-2</v>
      </c>
      <c r="AJ3" s="883">
        <v>1.3178805351752886E-2</v>
      </c>
      <c r="AK3" s="883">
        <v>1.4108453121111133E-2</v>
      </c>
      <c r="AL3" s="883">
        <v>2.1205986611954164E-2</v>
      </c>
      <c r="AM3" s="883">
        <v>7.1491504124769718E-3</v>
      </c>
      <c r="AN3" s="883">
        <v>3.4589279795612465E-2</v>
      </c>
      <c r="AO3" s="883">
        <v>5.5365584468802055E-2</v>
      </c>
      <c r="AP3" s="883">
        <v>9.9766180708504015E-2</v>
      </c>
      <c r="AQ3" s="883">
        <v>4.2243948847130071E-2</v>
      </c>
      <c r="AR3" s="881"/>
      <c r="AS3" s="883">
        <v>5.0264170771721614E-2</v>
      </c>
      <c r="AT3" s="883">
        <v>0.10740653561796541</v>
      </c>
      <c r="AU3" s="883">
        <v>0.17556161249877927</v>
      </c>
      <c r="AV3" s="883">
        <v>8.7381578449222119E-2</v>
      </c>
      <c r="AW3" s="883">
        <v>3.8236023399908683E-2</v>
      </c>
      <c r="AX3" s="883">
        <v>6.2884914572496287E-2</v>
      </c>
      <c r="AY3" s="883">
        <v>0.11420455696515916</v>
      </c>
      <c r="AZ3" s="883">
        <v>4.9547218778528322E-2</v>
      </c>
      <c r="BA3" s="883">
        <v>1.2519865084165241E-2</v>
      </c>
      <c r="BB3" s="883">
        <v>1.3403030465055575E-2</v>
      </c>
      <c r="BC3" s="883">
        <v>2.0145687281356454E-2</v>
      </c>
      <c r="BD3" s="883">
        <v>6.7916928918531228E-3</v>
      </c>
      <c r="BE3" s="883">
        <v>3.2859815805831839E-2</v>
      </c>
      <c r="BF3" s="883">
        <v>5.259730524536195E-2</v>
      </c>
      <c r="BG3" s="883">
        <v>9.4777871673078815E-2</v>
      </c>
      <c r="BH3" s="883">
        <v>4.0131751404773562E-2</v>
      </c>
      <c r="BI3" s="875" t="s">
        <v>497</v>
      </c>
    </row>
    <row r="4" spans="2:61" ht="12" customHeight="1">
      <c r="B4" s="73" t="s">
        <v>1297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1297</v>
      </c>
      <c r="M4" s="73" t="s">
        <v>298</v>
      </c>
      <c r="N4" s="73" t="s">
        <v>299</v>
      </c>
      <c r="O4" s="73" t="s">
        <v>306</v>
      </c>
      <c r="P4" s="73" t="s">
        <v>307</v>
      </c>
      <c r="Q4" s="73" t="s">
        <v>308</v>
      </c>
      <c r="R4" s="73" t="s">
        <v>309</v>
      </c>
      <c r="S4" s="131"/>
      <c r="T4" s="884" t="str">
        <f>"*H_"&amp;"*"&amp;RIGHT(W4,LEN(W4)-3)&amp;"_"&amp;SETUP!B64</f>
        <v>*H_*COAHAR_X0</v>
      </c>
      <c r="U4" s="884" t="e">
        <f>COMM!#REF!&amp;"_"&amp;SETUP!C64</f>
        <v>#REF!</v>
      </c>
      <c r="V4" s="884" t="e">
        <f>RSD_Balance!#REF!</f>
        <v>#REF!</v>
      </c>
      <c r="W4" s="884" t="s">
        <v>677</v>
      </c>
      <c r="X4" s="884">
        <v>1</v>
      </c>
      <c r="Y4" s="884"/>
      <c r="Z4" s="884"/>
      <c r="AA4" s="884"/>
      <c r="AB4" s="884">
        <v>5.2909653443917494E-2</v>
      </c>
      <c r="AC4" s="884">
        <v>0.1130595111768057</v>
      </c>
      <c r="AD4" s="884">
        <v>0.18480169736713609</v>
      </c>
      <c r="AE4" s="884">
        <v>9.1980608893918028E-2</v>
      </c>
      <c r="AF4" s="884">
        <v>4.0248445684114405E-2</v>
      </c>
      <c r="AG4" s="884">
        <v>6.6194646918417144E-2</v>
      </c>
      <c r="AH4" s="884">
        <v>0.12021532312122017</v>
      </c>
      <c r="AI4" s="884">
        <v>5.2154967135292975E-2</v>
      </c>
      <c r="AJ4" s="884">
        <v>1.3178805351752886E-2</v>
      </c>
      <c r="AK4" s="884">
        <v>1.4108453121111133E-2</v>
      </c>
      <c r="AL4" s="884">
        <v>2.1205986611954164E-2</v>
      </c>
      <c r="AM4" s="884">
        <v>7.1491504124769718E-3</v>
      </c>
      <c r="AN4" s="884">
        <v>3.4589279795612465E-2</v>
      </c>
      <c r="AO4" s="884">
        <v>5.5365584468802055E-2</v>
      </c>
      <c r="AP4" s="884">
        <v>9.9766180708504015E-2</v>
      </c>
      <c r="AQ4" s="884">
        <v>4.2243948847130071E-2</v>
      </c>
      <c r="AR4" s="881"/>
      <c r="AS4" s="884">
        <v>5.0264170771721614E-2</v>
      </c>
      <c r="AT4" s="884">
        <v>0.10740653561796541</v>
      </c>
      <c r="AU4" s="884">
        <v>0.17556161249877927</v>
      </c>
      <c r="AV4" s="884">
        <v>8.7381578449222119E-2</v>
      </c>
      <c r="AW4" s="884">
        <v>3.8236023399908683E-2</v>
      </c>
      <c r="AX4" s="884">
        <v>6.2884914572496287E-2</v>
      </c>
      <c r="AY4" s="884">
        <v>0.11420455696515916</v>
      </c>
      <c r="AZ4" s="884">
        <v>4.9547218778528322E-2</v>
      </c>
      <c r="BA4" s="884">
        <v>1.2519865084165241E-2</v>
      </c>
      <c r="BB4" s="884">
        <v>1.3403030465055575E-2</v>
      </c>
      <c r="BC4" s="884">
        <v>2.0145687281356454E-2</v>
      </c>
      <c r="BD4" s="884">
        <v>6.7916928918531228E-3</v>
      </c>
      <c r="BE4" s="884">
        <v>3.2859815805831839E-2</v>
      </c>
      <c r="BF4" s="884">
        <v>5.259730524536195E-2</v>
      </c>
      <c r="BG4" s="884">
        <v>9.4777871673078815E-2</v>
      </c>
      <c r="BH4" s="884">
        <v>4.0131751404773562E-2</v>
      </c>
      <c r="BI4" s="875" t="s">
        <v>497</v>
      </c>
    </row>
    <row r="5" spans="2:61" ht="26.25" thickBot="1">
      <c r="B5" s="74" t="s">
        <v>1298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4" t="s">
        <v>1298</v>
      </c>
      <c r="M5" s="75"/>
      <c r="N5" s="74"/>
      <c r="O5" s="75"/>
      <c r="P5" s="75"/>
      <c r="Q5" s="75"/>
      <c r="R5" s="75"/>
      <c r="S5" s="131"/>
      <c r="T5" s="883" t="str">
        <f>"*H_"&amp;"*"&amp;RIGHT(W5,LEN(W5)-3)&amp;"_"&amp;SETUP!B65</f>
        <v>*H_*COAHAR_X1</v>
      </c>
      <c r="U5" s="883" t="e">
        <f>COMM!#REF!&amp;"_"&amp;SETUP!C65</f>
        <v>#REF!</v>
      </c>
      <c r="V5" s="883" t="e">
        <f>RSD_Balance!#REF!</f>
        <v>#REF!</v>
      </c>
      <c r="W5" s="883" t="s">
        <v>677</v>
      </c>
      <c r="X5" s="883">
        <v>1</v>
      </c>
      <c r="Y5" s="883"/>
      <c r="Z5" s="883"/>
      <c r="AA5" s="883"/>
      <c r="AB5" s="883">
        <v>5.2909653443917494E-2</v>
      </c>
      <c r="AC5" s="883">
        <v>0.1130595111768057</v>
      </c>
      <c r="AD5" s="883">
        <v>0.18480169736713609</v>
      </c>
      <c r="AE5" s="883">
        <v>9.1980608893918028E-2</v>
      </c>
      <c r="AF5" s="883">
        <v>4.0248445684114405E-2</v>
      </c>
      <c r="AG5" s="883">
        <v>6.6194646918417144E-2</v>
      </c>
      <c r="AH5" s="883">
        <v>0.12021532312122017</v>
      </c>
      <c r="AI5" s="883">
        <v>5.2154967135292975E-2</v>
      </c>
      <c r="AJ5" s="883">
        <v>1.3178805351752886E-2</v>
      </c>
      <c r="AK5" s="883">
        <v>1.4108453121111133E-2</v>
      </c>
      <c r="AL5" s="883">
        <v>2.1205986611954164E-2</v>
      </c>
      <c r="AM5" s="883">
        <v>7.1491504124769718E-3</v>
      </c>
      <c r="AN5" s="883">
        <v>3.4589279795612465E-2</v>
      </c>
      <c r="AO5" s="883">
        <v>5.5365584468802055E-2</v>
      </c>
      <c r="AP5" s="883">
        <v>9.9766180708504015E-2</v>
      </c>
      <c r="AQ5" s="883">
        <v>4.2243948847130071E-2</v>
      </c>
      <c r="AR5" s="881"/>
      <c r="AS5" s="883">
        <v>5.0264170771721614E-2</v>
      </c>
      <c r="AT5" s="883">
        <v>0.10740653561796541</v>
      </c>
      <c r="AU5" s="883">
        <v>0.17556161249877927</v>
      </c>
      <c r="AV5" s="883">
        <v>8.7381578449222119E-2</v>
      </c>
      <c r="AW5" s="883">
        <v>3.8236023399908683E-2</v>
      </c>
      <c r="AX5" s="883">
        <v>6.2884914572496287E-2</v>
      </c>
      <c r="AY5" s="883">
        <v>0.11420455696515916</v>
      </c>
      <c r="AZ5" s="883">
        <v>4.9547218778528322E-2</v>
      </c>
      <c r="BA5" s="883">
        <v>1.2519865084165241E-2</v>
      </c>
      <c r="BB5" s="883">
        <v>1.3403030465055575E-2</v>
      </c>
      <c r="BC5" s="883">
        <v>2.0145687281356454E-2</v>
      </c>
      <c r="BD5" s="883">
        <v>6.7916928918531228E-3</v>
      </c>
      <c r="BE5" s="883">
        <v>3.2859815805831839E-2</v>
      </c>
      <c r="BF5" s="883">
        <v>5.259730524536195E-2</v>
      </c>
      <c r="BG5" s="883">
        <v>9.4777871673078815E-2</v>
      </c>
      <c r="BH5" s="883">
        <v>4.0131751404773562E-2</v>
      </c>
      <c r="BI5" s="875" t="s">
        <v>497</v>
      </c>
    </row>
    <row r="6" spans="2:61" ht="12" customHeight="1">
      <c r="B6" s="76" t="str">
        <f>"*"&amp;DwellingStocks!H28</f>
        <v xml:space="preserve">*Adjusted </v>
      </c>
      <c r="C6" s="76"/>
      <c r="D6" s="76"/>
      <c r="E6" s="76"/>
      <c r="F6" s="76"/>
      <c r="G6" s="76"/>
      <c r="H6" s="76"/>
      <c r="I6" s="76"/>
      <c r="J6" s="66"/>
      <c r="K6" s="71" t="str">
        <f>B6</f>
        <v xml:space="preserve">*Adjusted </v>
      </c>
      <c r="L6" s="76"/>
      <c r="M6" s="70"/>
      <c r="N6" s="70"/>
      <c r="O6" s="70"/>
      <c r="P6" s="70"/>
      <c r="Q6" s="70"/>
      <c r="R6" s="70"/>
      <c r="S6" s="131"/>
      <c r="T6" s="884" t="str">
        <f>"*H_"&amp;"*"&amp;RIGHT(W6,LEN(W6)-3)&amp;"_"&amp;SETUP!B64</f>
        <v>*H_*COACOK_X0</v>
      </c>
      <c r="U6" s="884" t="e">
        <f>COMM!#REF!&amp;"_"&amp;SETUP!C64</f>
        <v>#REF!</v>
      </c>
      <c r="V6" s="884" t="e">
        <f>RSD_Balance!#REF!</f>
        <v>#REF!</v>
      </c>
      <c r="W6" s="884" t="s">
        <v>678</v>
      </c>
      <c r="X6" s="884">
        <v>1</v>
      </c>
      <c r="Y6" s="884"/>
      <c r="Z6" s="884"/>
      <c r="AA6" s="884"/>
      <c r="AB6" s="884">
        <v>5.2909653443917494E-2</v>
      </c>
      <c r="AC6" s="884">
        <v>0.1130595111768057</v>
      </c>
      <c r="AD6" s="884">
        <v>0.18480169736713609</v>
      </c>
      <c r="AE6" s="884">
        <v>9.1980608893918028E-2</v>
      </c>
      <c r="AF6" s="884">
        <v>4.0248445684114405E-2</v>
      </c>
      <c r="AG6" s="884">
        <v>6.6194646918417144E-2</v>
      </c>
      <c r="AH6" s="884">
        <v>0.12021532312122017</v>
      </c>
      <c r="AI6" s="884">
        <v>5.2154967135292975E-2</v>
      </c>
      <c r="AJ6" s="884">
        <v>1.3178805351752886E-2</v>
      </c>
      <c r="AK6" s="884">
        <v>1.4108453121111133E-2</v>
      </c>
      <c r="AL6" s="884">
        <v>2.1205986611954164E-2</v>
      </c>
      <c r="AM6" s="884">
        <v>7.1491504124769718E-3</v>
      </c>
      <c r="AN6" s="884">
        <v>3.4589279795612465E-2</v>
      </c>
      <c r="AO6" s="884">
        <v>5.5365584468802055E-2</v>
      </c>
      <c r="AP6" s="884">
        <v>9.9766180708504015E-2</v>
      </c>
      <c r="AQ6" s="884">
        <v>4.2243948847130071E-2</v>
      </c>
      <c r="AR6" s="881"/>
      <c r="AS6" s="884">
        <v>5.0264170771721614E-2</v>
      </c>
      <c r="AT6" s="884">
        <v>0.10740653561796541</v>
      </c>
      <c r="AU6" s="884">
        <v>0.17556161249877927</v>
      </c>
      <c r="AV6" s="884">
        <v>8.7381578449222119E-2</v>
      </c>
      <c r="AW6" s="884">
        <v>3.8236023399908683E-2</v>
      </c>
      <c r="AX6" s="884">
        <v>6.2884914572496287E-2</v>
      </c>
      <c r="AY6" s="884">
        <v>0.11420455696515916</v>
      </c>
      <c r="AZ6" s="884">
        <v>4.9547218778528322E-2</v>
      </c>
      <c r="BA6" s="884">
        <v>1.2519865084165241E-2</v>
      </c>
      <c r="BB6" s="884">
        <v>1.3403030465055575E-2</v>
      </c>
      <c r="BC6" s="884">
        <v>2.0145687281356454E-2</v>
      </c>
      <c r="BD6" s="884">
        <v>6.7916928918531228E-3</v>
      </c>
      <c r="BE6" s="884">
        <v>3.2859815805831839E-2</v>
      </c>
      <c r="BF6" s="884">
        <v>5.259730524536195E-2</v>
      </c>
      <c r="BG6" s="884">
        <v>9.4777871673078815E-2</v>
      </c>
      <c r="BH6" s="884">
        <v>4.0131751404773562E-2</v>
      </c>
      <c r="BI6" s="875" t="s">
        <v>497</v>
      </c>
    </row>
    <row r="7" spans="2:61" ht="12" customHeight="1">
      <c r="B7" s="746" t="str">
        <f>COMM!O6</f>
        <v>IE,National</v>
      </c>
      <c r="C7" s="746" t="str">
        <f>COMM!P6</f>
        <v>RSD_Apt</v>
      </c>
      <c r="D7" s="746" t="str">
        <f>COMM!Q6</f>
        <v>Residential Apartment demand</v>
      </c>
      <c r="E7" s="747" t="str">
        <f>COMM!P9&amp;","&amp;COMM!P12&amp;","&amp;COMM!P15&amp;","&amp;COMM!P18&amp;","&amp;COMM!P21</f>
        <v>RSH_Apt,RSC_Apt,RWH_Apt,RLT_Apt,RPF_Apt</v>
      </c>
      <c r="F7" s="746" t="str">
        <f>COMM!P6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>_xlfn.TEXTJOIN(",",TRUE,IF(LEFT(Regions!$C$3,1)&lt;&gt;"*",Regions!$C$3,""),IF(LEFT(Regions!$D$3,1)&lt;&gt;"*",Regions!$D$3,""))</f>
        <v>IE,National</v>
      </c>
      <c r="M7" s="746" t="str">
        <f t="shared" ref="M7:N9" si="0">C7</f>
        <v>RSD_Apt</v>
      </c>
      <c r="N7" s="747" t="str">
        <f t="shared" si="0"/>
        <v>Residential Apartment demand</v>
      </c>
      <c r="O7" s="746" t="s">
        <v>321</v>
      </c>
      <c r="P7" s="748" t="s">
        <v>321</v>
      </c>
      <c r="Q7" s="746"/>
      <c r="R7" s="746"/>
      <c r="S7" s="131"/>
      <c r="T7" s="883" t="str">
        <f>"*H_"&amp;"*"&amp;RIGHT(W7,LEN(W7)-3)&amp;"_"&amp;SETUP!B64</f>
        <v>*H_*COALIG_X0</v>
      </c>
      <c r="U7" s="883" t="e">
        <f>COMM!#REF!&amp;"_"&amp;SETUP!C64</f>
        <v>#REF!</v>
      </c>
      <c r="V7" s="883" t="e">
        <f>RSD_Balance!#REF!</f>
        <v>#REF!</v>
      </c>
      <c r="W7" s="883" t="s">
        <v>679</v>
      </c>
      <c r="X7" s="883">
        <v>1</v>
      </c>
      <c r="Y7" s="883"/>
      <c r="Z7" s="883"/>
      <c r="AA7" s="883"/>
      <c r="AB7" s="883">
        <v>5.2909653443917494E-2</v>
      </c>
      <c r="AC7" s="883">
        <v>0.1130595111768057</v>
      </c>
      <c r="AD7" s="883">
        <v>0.18480169736713609</v>
      </c>
      <c r="AE7" s="883">
        <v>9.1980608893918028E-2</v>
      </c>
      <c r="AF7" s="883">
        <v>4.0248445684114405E-2</v>
      </c>
      <c r="AG7" s="883">
        <v>6.6194646918417144E-2</v>
      </c>
      <c r="AH7" s="883">
        <v>0.12021532312122017</v>
      </c>
      <c r="AI7" s="883">
        <v>5.2154967135292975E-2</v>
      </c>
      <c r="AJ7" s="883">
        <v>1.3178805351752886E-2</v>
      </c>
      <c r="AK7" s="883">
        <v>1.4108453121111133E-2</v>
      </c>
      <c r="AL7" s="883">
        <v>2.1205986611954164E-2</v>
      </c>
      <c r="AM7" s="883">
        <v>7.1491504124769718E-3</v>
      </c>
      <c r="AN7" s="883">
        <v>3.4589279795612465E-2</v>
      </c>
      <c r="AO7" s="883">
        <v>5.5365584468802055E-2</v>
      </c>
      <c r="AP7" s="883">
        <v>9.9766180708504015E-2</v>
      </c>
      <c r="AQ7" s="883">
        <v>4.2243948847130071E-2</v>
      </c>
      <c r="AR7" s="881"/>
      <c r="AS7" s="883">
        <v>5.0264170771721614E-2</v>
      </c>
      <c r="AT7" s="883">
        <v>0.10740653561796541</v>
      </c>
      <c r="AU7" s="883">
        <v>0.17556161249877927</v>
      </c>
      <c r="AV7" s="883">
        <v>8.7381578449222119E-2</v>
      </c>
      <c r="AW7" s="883">
        <v>3.8236023399908683E-2</v>
      </c>
      <c r="AX7" s="883">
        <v>6.2884914572496287E-2</v>
      </c>
      <c r="AY7" s="883">
        <v>0.11420455696515916</v>
      </c>
      <c r="AZ7" s="883">
        <v>4.9547218778528322E-2</v>
      </c>
      <c r="BA7" s="883">
        <v>1.2519865084165241E-2</v>
      </c>
      <c r="BB7" s="883">
        <v>1.3403030465055575E-2</v>
      </c>
      <c r="BC7" s="883">
        <v>2.0145687281356454E-2</v>
      </c>
      <c r="BD7" s="883">
        <v>6.7916928918531228E-3</v>
      </c>
      <c r="BE7" s="883">
        <v>3.2859815805831839E-2</v>
      </c>
      <c r="BF7" s="883">
        <v>5.259730524536195E-2</v>
      </c>
      <c r="BG7" s="883">
        <v>9.4777871673078815E-2</v>
      </c>
      <c r="BH7" s="883">
        <v>4.0131751404773562E-2</v>
      </c>
      <c r="BI7" s="875" t="s">
        <v>497</v>
      </c>
    </row>
    <row r="8" spans="2:61" ht="12" customHeight="1">
      <c r="B8" s="652" t="str">
        <f>COMM!O7</f>
        <v>IE,National</v>
      </c>
      <c r="C8" s="652" t="str">
        <f>COMM!P7</f>
        <v>RSD_Att</v>
      </c>
      <c r="D8" s="652" t="str">
        <f>COMM!Q7</f>
        <v>Residential Attached demand</v>
      </c>
      <c r="E8" s="83" t="str">
        <f>COMM!P10&amp;","&amp;COMM!P13&amp;","&amp;COMM!P16&amp;","&amp;COMM!P19&amp;","&amp;COMM!P22</f>
        <v>RSH_Att,RSC_Att,RWH_Att,RLT_Att,RPF_Att</v>
      </c>
      <c r="F8" s="652" t="str">
        <f>COMM!P7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52" t="str">
        <f>_xlfn.TEXTJOIN(",",TRUE,IF(LEFT(Regions!$C$3,1)&lt;&gt;"*",Regions!$C$3,""),IF(LEFT(Regions!$D$3,1)&lt;&gt;"*",Regions!$D$3,""))</f>
        <v>IE,National</v>
      </c>
      <c r="M8" s="66" t="str">
        <f t="shared" si="0"/>
        <v>RSD_Att</v>
      </c>
      <c r="N8" s="83" t="str">
        <f t="shared" si="0"/>
        <v>Residential Attached demand</v>
      </c>
      <c r="O8" s="66" t="s">
        <v>321</v>
      </c>
      <c r="P8" s="88" t="s">
        <v>321</v>
      </c>
      <c r="Q8" s="66"/>
      <c r="R8" s="66"/>
      <c r="S8" s="131"/>
      <c r="T8" s="884" t="str">
        <f>"*H_"&amp;"*"&amp;RIGHT(W8,LEN(W8)-3)&amp;"_"&amp;SETUP!B64</f>
        <v>*H_*PEA_X0</v>
      </c>
      <c r="U8" s="884" t="str">
        <f>COMM!F7&amp;"_"&amp;SETUP!C64</f>
        <v>Peat to Residential_Existing 00</v>
      </c>
      <c r="V8" s="884" t="str">
        <f>RSD_Balance!A10</f>
        <v>PEA</v>
      </c>
      <c r="W8" s="884" t="s">
        <v>499</v>
      </c>
      <c r="X8" s="884">
        <v>1</v>
      </c>
      <c r="Y8" s="884"/>
      <c r="Z8" s="884"/>
      <c r="AA8" s="884"/>
      <c r="AB8" s="884">
        <v>5.2909653443917494E-2</v>
      </c>
      <c r="AC8" s="884">
        <v>0.1130595111768057</v>
      </c>
      <c r="AD8" s="884">
        <v>0.18480169736713609</v>
      </c>
      <c r="AE8" s="884">
        <v>9.1980608893918028E-2</v>
      </c>
      <c r="AF8" s="884">
        <v>4.0248445684114405E-2</v>
      </c>
      <c r="AG8" s="884">
        <v>6.6194646918417144E-2</v>
      </c>
      <c r="AH8" s="884">
        <v>0.12021532312122017</v>
      </c>
      <c r="AI8" s="884">
        <v>5.2154967135292975E-2</v>
      </c>
      <c r="AJ8" s="884">
        <v>1.3178805351752886E-2</v>
      </c>
      <c r="AK8" s="884">
        <v>1.4108453121111133E-2</v>
      </c>
      <c r="AL8" s="884">
        <v>2.1205986611954164E-2</v>
      </c>
      <c r="AM8" s="884">
        <v>7.1491504124769718E-3</v>
      </c>
      <c r="AN8" s="884">
        <v>3.4589279795612465E-2</v>
      </c>
      <c r="AO8" s="884">
        <v>5.5365584468802055E-2</v>
      </c>
      <c r="AP8" s="884">
        <v>9.9766180708504015E-2</v>
      </c>
      <c r="AQ8" s="884">
        <v>4.2243948847130071E-2</v>
      </c>
      <c r="AR8" s="881"/>
      <c r="AS8" s="884">
        <v>5.0264170771721614E-2</v>
      </c>
      <c r="AT8" s="884">
        <v>0.10740653561796541</v>
      </c>
      <c r="AU8" s="884">
        <v>0.17556161249877927</v>
      </c>
      <c r="AV8" s="884">
        <v>8.7381578449222119E-2</v>
      </c>
      <c r="AW8" s="884">
        <v>3.8236023399908683E-2</v>
      </c>
      <c r="AX8" s="884">
        <v>6.2884914572496287E-2</v>
      </c>
      <c r="AY8" s="884">
        <v>0.11420455696515916</v>
      </c>
      <c r="AZ8" s="884">
        <v>4.9547218778528322E-2</v>
      </c>
      <c r="BA8" s="884">
        <v>1.2519865084165241E-2</v>
      </c>
      <c r="BB8" s="884">
        <v>1.3403030465055575E-2</v>
      </c>
      <c r="BC8" s="884">
        <v>2.0145687281356454E-2</v>
      </c>
      <c r="BD8" s="884">
        <v>6.7916928918531228E-3</v>
      </c>
      <c r="BE8" s="884">
        <v>3.2859815805831839E-2</v>
      </c>
      <c r="BF8" s="884">
        <v>5.259730524536195E-2</v>
      </c>
      <c r="BG8" s="884">
        <v>9.4777871673078815E-2</v>
      </c>
      <c r="BH8" s="884">
        <v>4.0131751404773562E-2</v>
      </c>
      <c r="BI8" s="875" t="s">
        <v>497</v>
      </c>
    </row>
    <row r="9" spans="2:61" ht="12" customHeight="1">
      <c r="B9" s="746" t="str">
        <f>COMM!O8</f>
        <v>IE,National</v>
      </c>
      <c r="C9" s="746" t="str">
        <f>COMM!P8</f>
        <v>RSD_Det</v>
      </c>
      <c r="D9" s="746" t="str">
        <f>COMM!Q8</f>
        <v>Residential Detached demand</v>
      </c>
      <c r="E9" s="747" t="str">
        <f>COMM!P11&amp;","&amp;COMM!P14&amp;","&amp;COMM!P17&amp;","&amp;COMM!P20&amp;","&amp;COMM!P23</f>
        <v>RSH_Det,RSC_Det,RWH_Det,RLT_Det,RPF_Det</v>
      </c>
      <c r="F9" s="746" t="str">
        <f>COMM!P8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>_xlfn.TEXTJOIN(",",TRUE,IF(LEFT(Regions!$C$3,1)&lt;&gt;"*",Regions!$C$3,""),IF(LEFT(Regions!$D$3,1)&lt;&gt;"*",Regions!$D$3,""))</f>
        <v>IE,National</v>
      </c>
      <c r="M9" s="746" t="str">
        <f t="shared" si="0"/>
        <v>RSD_Det</v>
      </c>
      <c r="N9" s="747" t="str">
        <f t="shared" si="0"/>
        <v>Residential Detached demand</v>
      </c>
      <c r="O9" s="746" t="s">
        <v>321</v>
      </c>
      <c r="P9" s="748" t="s">
        <v>321</v>
      </c>
      <c r="Q9" s="746"/>
      <c r="R9" s="746"/>
      <c r="S9" s="131"/>
      <c r="T9" s="883" t="str">
        <f>"*H_"&amp;"*"&amp;RIGHT(W9,LEN(W9)-3)&amp;"_"&amp;SETUP!B65</f>
        <v>*H_*PEA_X1</v>
      </c>
      <c r="U9" s="883" t="str">
        <f>COMM!F7&amp;"_"&amp;SETUP!C65</f>
        <v>Peat to Residential_Existing 01</v>
      </c>
      <c r="V9" s="883" t="str">
        <f>RSD_Balance!A10</f>
        <v>PEA</v>
      </c>
      <c r="W9" s="883" t="s">
        <v>499</v>
      </c>
      <c r="X9" s="883">
        <v>1</v>
      </c>
      <c r="Y9" s="883"/>
      <c r="Z9" s="883"/>
      <c r="AA9" s="883"/>
      <c r="AB9" s="883">
        <v>5.2909653443917494E-2</v>
      </c>
      <c r="AC9" s="883">
        <v>0.1130595111768057</v>
      </c>
      <c r="AD9" s="883">
        <v>0.18480169736713609</v>
      </c>
      <c r="AE9" s="883">
        <v>9.1980608893918028E-2</v>
      </c>
      <c r="AF9" s="883">
        <v>4.0248445684114405E-2</v>
      </c>
      <c r="AG9" s="883">
        <v>6.6194646918417144E-2</v>
      </c>
      <c r="AH9" s="883">
        <v>0.12021532312122017</v>
      </c>
      <c r="AI9" s="883">
        <v>5.2154967135292975E-2</v>
      </c>
      <c r="AJ9" s="883">
        <v>1.3178805351752886E-2</v>
      </c>
      <c r="AK9" s="883">
        <v>1.4108453121111133E-2</v>
      </c>
      <c r="AL9" s="883">
        <v>2.1205986611954164E-2</v>
      </c>
      <c r="AM9" s="883">
        <v>7.1491504124769718E-3</v>
      </c>
      <c r="AN9" s="883">
        <v>3.4589279795612465E-2</v>
      </c>
      <c r="AO9" s="883">
        <v>5.5365584468802055E-2</v>
      </c>
      <c r="AP9" s="883">
        <v>9.9766180708504015E-2</v>
      </c>
      <c r="AQ9" s="883">
        <v>4.2243948847130071E-2</v>
      </c>
      <c r="AR9" s="881"/>
      <c r="AS9" s="883">
        <v>5.0264170771721614E-2</v>
      </c>
      <c r="AT9" s="883">
        <v>0.10740653561796541</v>
      </c>
      <c r="AU9" s="883">
        <v>0.17556161249877927</v>
      </c>
      <c r="AV9" s="883">
        <v>8.7381578449222119E-2</v>
      </c>
      <c r="AW9" s="883">
        <v>3.8236023399908683E-2</v>
      </c>
      <c r="AX9" s="883">
        <v>6.2884914572496287E-2</v>
      </c>
      <c r="AY9" s="883">
        <v>0.11420455696515916</v>
      </c>
      <c r="AZ9" s="883">
        <v>4.9547218778528322E-2</v>
      </c>
      <c r="BA9" s="883">
        <v>1.2519865084165241E-2</v>
      </c>
      <c r="BB9" s="883">
        <v>1.3403030465055575E-2</v>
      </c>
      <c r="BC9" s="883">
        <v>2.0145687281356454E-2</v>
      </c>
      <c r="BD9" s="883">
        <v>6.7916928918531228E-3</v>
      </c>
      <c r="BE9" s="883">
        <v>3.2859815805831839E-2</v>
      </c>
      <c r="BF9" s="883">
        <v>5.259730524536195E-2</v>
      </c>
      <c r="BG9" s="883">
        <v>9.4777871673078815E-2</v>
      </c>
      <c r="BH9" s="883">
        <v>4.0131751404773562E-2</v>
      </c>
      <c r="BI9" s="875" t="s">
        <v>497</v>
      </c>
    </row>
    <row r="10" spans="2:61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131"/>
      <c r="T10" s="884" t="str">
        <f>"*H_"&amp;"*"&amp;RIGHT(W10,LEN(W10)-3)&amp;"_"&amp;SETUP!B64</f>
        <v>*H_*OILLPG_X0</v>
      </c>
      <c r="U10" s="884" t="str">
        <f>COMM!F8&amp;"_"&amp;SETUP!C64</f>
        <v>LPG to Residential_Existing 00</v>
      </c>
      <c r="V10" s="884" t="str">
        <f>RSD_Balance!A11</f>
        <v>OILLPG</v>
      </c>
      <c r="W10" s="884" t="s">
        <v>680</v>
      </c>
      <c r="X10" s="884">
        <v>1</v>
      </c>
      <c r="Y10" s="884"/>
      <c r="Z10" s="884"/>
      <c r="AA10" s="884"/>
      <c r="AB10" s="884">
        <v>5.2909653443917494E-2</v>
      </c>
      <c r="AC10" s="884">
        <v>0.1130595111768057</v>
      </c>
      <c r="AD10" s="884">
        <v>0.18480169736713609</v>
      </c>
      <c r="AE10" s="884">
        <v>9.1980608893918028E-2</v>
      </c>
      <c r="AF10" s="884">
        <v>4.0248445684114405E-2</v>
      </c>
      <c r="AG10" s="884">
        <v>6.6194646918417144E-2</v>
      </c>
      <c r="AH10" s="884">
        <v>0.12021532312122017</v>
      </c>
      <c r="AI10" s="884">
        <v>5.2154967135292975E-2</v>
      </c>
      <c r="AJ10" s="884">
        <v>1.3178805351752886E-2</v>
      </c>
      <c r="AK10" s="884">
        <v>1.4108453121111133E-2</v>
      </c>
      <c r="AL10" s="884">
        <v>2.1205986611954164E-2</v>
      </c>
      <c r="AM10" s="884">
        <v>7.1491504124769718E-3</v>
      </c>
      <c r="AN10" s="884">
        <v>3.4589279795612465E-2</v>
      </c>
      <c r="AO10" s="884">
        <v>5.5365584468802055E-2</v>
      </c>
      <c r="AP10" s="884">
        <v>9.9766180708504015E-2</v>
      </c>
      <c r="AQ10" s="884">
        <v>4.2243948847130071E-2</v>
      </c>
      <c r="AR10" s="881"/>
      <c r="AS10" s="884">
        <v>5.0264170771721614E-2</v>
      </c>
      <c r="AT10" s="884">
        <v>0.10740653561796541</v>
      </c>
      <c r="AU10" s="884">
        <v>0.17556161249877927</v>
      </c>
      <c r="AV10" s="884">
        <v>8.7381578449222119E-2</v>
      </c>
      <c r="AW10" s="884">
        <v>3.8236023399908683E-2</v>
      </c>
      <c r="AX10" s="884">
        <v>6.2884914572496287E-2</v>
      </c>
      <c r="AY10" s="884">
        <v>0.11420455696515916</v>
      </c>
      <c r="AZ10" s="884">
        <v>4.9547218778528322E-2</v>
      </c>
      <c r="BA10" s="884">
        <v>1.2519865084165241E-2</v>
      </c>
      <c r="BB10" s="884">
        <v>1.3403030465055575E-2</v>
      </c>
      <c r="BC10" s="884">
        <v>2.0145687281356454E-2</v>
      </c>
      <c r="BD10" s="884">
        <v>6.7916928918531228E-3</v>
      </c>
      <c r="BE10" s="884">
        <v>3.2859815805831839E-2</v>
      </c>
      <c r="BF10" s="884">
        <v>5.259730524536195E-2</v>
      </c>
      <c r="BG10" s="884">
        <v>9.4777871673078815E-2</v>
      </c>
      <c r="BH10" s="884">
        <v>4.0131751404773562E-2</v>
      </c>
      <c r="BI10" s="875" t="s">
        <v>497</v>
      </c>
    </row>
    <row r="11" spans="2:61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131"/>
      <c r="T11" s="883" t="str">
        <f>"*H_"&amp;"*"&amp;RIGHT(W11,LEN(W11)-3)&amp;"_"&amp;SETUP!B65</f>
        <v>*H_*OILLPG_X1</v>
      </c>
      <c r="U11" s="883" t="str">
        <f>COMM!F8&amp;"_"&amp;SETUP!C65</f>
        <v>LPG to Residential_Existing 01</v>
      </c>
      <c r="V11" s="883" t="str">
        <f>RSD_Balance!A11</f>
        <v>OILLPG</v>
      </c>
      <c r="W11" s="883" t="s">
        <v>680</v>
      </c>
      <c r="X11" s="883">
        <v>1</v>
      </c>
      <c r="Y11" s="883"/>
      <c r="Z11" s="883"/>
      <c r="AA11" s="883"/>
      <c r="AB11" s="883">
        <v>5.2909653443917494E-2</v>
      </c>
      <c r="AC11" s="883">
        <v>0.1130595111768057</v>
      </c>
      <c r="AD11" s="883">
        <v>0.18480169736713609</v>
      </c>
      <c r="AE11" s="883">
        <v>9.1980608893918028E-2</v>
      </c>
      <c r="AF11" s="883">
        <v>4.0248445684114405E-2</v>
      </c>
      <c r="AG11" s="883">
        <v>6.6194646918417144E-2</v>
      </c>
      <c r="AH11" s="883">
        <v>0.12021532312122017</v>
      </c>
      <c r="AI11" s="883">
        <v>5.2154967135292975E-2</v>
      </c>
      <c r="AJ11" s="883">
        <v>1.3178805351752886E-2</v>
      </c>
      <c r="AK11" s="883">
        <v>1.4108453121111133E-2</v>
      </c>
      <c r="AL11" s="883">
        <v>2.1205986611954164E-2</v>
      </c>
      <c r="AM11" s="883">
        <v>7.1491504124769718E-3</v>
      </c>
      <c r="AN11" s="883">
        <v>3.4589279795612465E-2</v>
      </c>
      <c r="AO11" s="883">
        <v>5.5365584468802055E-2</v>
      </c>
      <c r="AP11" s="883">
        <v>9.9766180708504015E-2</v>
      </c>
      <c r="AQ11" s="883">
        <v>4.2243948847130071E-2</v>
      </c>
      <c r="AR11" s="881"/>
      <c r="AS11" s="883">
        <v>5.0264170771721614E-2</v>
      </c>
      <c r="AT11" s="883">
        <v>0.10740653561796541</v>
      </c>
      <c r="AU11" s="883">
        <v>0.17556161249877927</v>
      </c>
      <c r="AV11" s="883">
        <v>8.7381578449222119E-2</v>
      </c>
      <c r="AW11" s="883">
        <v>3.8236023399908683E-2</v>
      </c>
      <c r="AX11" s="883">
        <v>6.2884914572496287E-2</v>
      </c>
      <c r="AY11" s="883">
        <v>0.11420455696515916</v>
      </c>
      <c r="AZ11" s="883">
        <v>4.9547218778528322E-2</v>
      </c>
      <c r="BA11" s="883">
        <v>1.2519865084165241E-2</v>
      </c>
      <c r="BB11" s="883">
        <v>1.3403030465055575E-2</v>
      </c>
      <c r="BC11" s="883">
        <v>2.0145687281356454E-2</v>
      </c>
      <c r="BD11" s="883">
        <v>6.7916928918531228E-3</v>
      </c>
      <c r="BE11" s="883">
        <v>3.2859815805831839E-2</v>
      </c>
      <c r="BF11" s="883">
        <v>5.259730524536195E-2</v>
      </c>
      <c r="BG11" s="883">
        <v>9.4777871673078815E-2</v>
      </c>
      <c r="BH11" s="883">
        <v>4.0131751404773562E-2</v>
      </c>
      <c r="BI11" s="875" t="s">
        <v>497</v>
      </c>
    </row>
    <row r="12" spans="2:61" ht="12" customHeight="1">
      <c r="C12" s="1053" t="s">
        <v>839</v>
      </c>
      <c r="D12" s="1053"/>
      <c r="E12" s="1053"/>
      <c r="F12" s="1053"/>
      <c r="G12" s="1053"/>
      <c r="H12" s="1053"/>
      <c r="I12" s="1053"/>
      <c r="R12" s="131"/>
      <c r="S12" s="131"/>
      <c r="T12" s="884" t="str">
        <f>"*H_"&amp;"*"&amp;RIGHT(W12,LEN(W12)-3)&amp;"_"&amp;SETUP!B64</f>
        <v>*H_*OILGSL_X0</v>
      </c>
      <c r="U12" s="884" t="str">
        <f>COMM!F9&amp;"_"&amp;SETUP!C64</f>
        <v>Gasoline to Residential_Existing 00</v>
      </c>
      <c r="V12" s="884" t="str">
        <f>RSD_Balance!A12</f>
        <v>OILGSL</v>
      </c>
      <c r="W12" s="884" t="s">
        <v>681</v>
      </c>
      <c r="X12" s="884">
        <v>1</v>
      </c>
      <c r="Y12" s="884"/>
      <c r="Z12" s="884"/>
      <c r="AA12" s="884"/>
      <c r="AB12" s="884">
        <v>5.2909653443917494E-2</v>
      </c>
      <c r="AC12" s="884">
        <v>0.1130595111768057</v>
      </c>
      <c r="AD12" s="884">
        <v>0.18480169736713609</v>
      </c>
      <c r="AE12" s="884">
        <v>9.1980608893918028E-2</v>
      </c>
      <c r="AF12" s="884">
        <v>4.0248445684114405E-2</v>
      </c>
      <c r="AG12" s="884">
        <v>6.6194646918417144E-2</v>
      </c>
      <c r="AH12" s="884">
        <v>0.12021532312122017</v>
      </c>
      <c r="AI12" s="884">
        <v>5.2154967135292975E-2</v>
      </c>
      <c r="AJ12" s="884">
        <v>1.3178805351752886E-2</v>
      </c>
      <c r="AK12" s="884">
        <v>1.4108453121111133E-2</v>
      </c>
      <c r="AL12" s="884">
        <v>2.1205986611954164E-2</v>
      </c>
      <c r="AM12" s="884">
        <v>7.1491504124769718E-3</v>
      </c>
      <c r="AN12" s="884">
        <v>3.4589279795612465E-2</v>
      </c>
      <c r="AO12" s="884">
        <v>5.5365584468802055E-2</v>
      </c>
      <c r="AP12" s="884">
        <v>9.9766180708504015E-2</v>
      </c>
      <c r="AQ12" s="884">
        <v>4.2243948847130071E-2</v>
      </c>
      <c r="AR12" s="881"/>
      <c r="AS12" s="884">
        <v>5.0264170771721614E-2</v>
      </c>
      <c r="AT12" s="884">
        <v>0.10740653561796541</v>
      </c>
      <c r="AU12" s="884">
        <v>0.17556161249877927</v>
      </c>
      <c r="AV12" s="884">
        <v>8.7381578449222119E-2</v>
      </c>
      <c r="AW12" s="884">
        <v>3.8236023399908683E-2</v>
      </c>
      <c r="AX12" s="884">
        <v>6.2884914572496287E-2</v>
      </c>
      <c r="AY12" s="884">
        <v>0.11420455696515916</v>
      </c>
      <c r="AZ12" s="884">
        <v>4.9547218778528322E-2</v>
      </c>
      <c r="BA12" s="884">
        <v>1.2519865084165241E-2</v>
      </c>
      <c r="BB12" s="884">
        <v>1.3403030465055575E-2</v>
      </c>
      <c r="BC12" s="884">
        <v>2.0145687281356454E-2</v>
      </c>
      <c r="BD12" s="884">
        <v>6.7916928918531228E-3</v>
      </c>
      <c r="BE12" s="884">
        <v>3.2859815805831839E-2</v>
      </c>
      <c r="BF12" s="884">
        <v>5.259730524536195E-2</v>
      </c>
      <c r="BG12" s="884">
        <v>9.4777871673078815E-2</v>
      </c>
      <c r="BH12" s="884">
        <v>4.0131751404773562E-2</v>
      </c>
      <c r="BI12" s="875" t="s">
        <v>497</v>
      </c>
    </row>
    <row r="13" spans="2:61" ht="12" customHeight="1">
      <c r="R13" s="131"/>
      <c r="S13" s="131"/>
      <c r="T13" s="883" t="str">
        <f>"*H_"&amp;"*"&amp;RIGHT(W13,LEN(W13)-3)&amp;"_"&amp;SETUP!B64</f>
        <v>*H_*OILKER_X0</v>
      </c>
      <c r="U13" s="883" t="str">
        <f>COMM!F10&amp;"_"&amp;SETUP!C64</f>
        <v>Kerosene to Residential_Existing 00</v>
      </c>
      <c r="V13" s="883" t="str">
        <f>RSD_Balance!A13</f>
        <v>OILKER</v>
      </c>
      <c r="W13" s="883" t="s">
        <v>682</v>
      </c>
      <c r="X13" s="883">
        <v>0.84</v>
      </c>
      <c r="Y13" s="883"/>
      <c r="Z13" s="883"/>
      <c r="AA13" s="883"/>
      <c r="AB13" s="883">
        <v>5.2909653443917494E-2</v>
      </c>
      <c r="AC13" s="883">
        <v>0.1130595111768057</v>
      </c>
      <c r="AD13" s="883">
        <v>0.18480169736713609</v>
      </c>
      <c r="AE13" s="883">
        <v>9.1980608893918028E-2</v>
      </c>
      <c r="AF13" s="883">
        <v>4.0248445684114405E-2</v>
      </c>
      <c r="AG13" s="883">
        <v>6.6194646918417144E-2</v>
      </c>
      <c r="AH13" s="883">
        <v>0.12021532312122017</v>
      </c>
      <c r="AI13" s="883">
        <v>5.2154967135292975E-2</v>
      </c>
      <c r="AJ13" s="883">
        <v>1.3178805351752886E-2</v>
      </c>
      <c r="AK13" s="883">
        <v>1.4108453121111133E-2</v>
      </c>
      <c r="AL13" s="883">
        <v>2.1205986611954164E-2</v>
      </c>
      <c r="AM13" s="883">
        <v>7.1491504124769718E-3</v>
      </c>
      <c r="AN13" s="883">
        <v>3.4589279795612465E-2</v>
      </c>
      <c r="AO13" s="883">
        <v>5.5365584468802055E-2</v>
      </c>
      <c r="AP13" s="883">
        <v>9.9766180708504015E-2</v>
      </c>
      <c r="AQ13" s="883">
        <v>4.2243948847130071E-2</v>
      </c>
      <c r="AR13" s="881"/>
      <c r="AS13" s="883">
        <v>5.0264170771721614E-2</v>
      </c>
      <c r="AT13" s="883">
        <v>0.10740653561796541</v>
      </c>
      <c r="AU13" s="883">
        <v>0.17556161249877927</v>
      </c>
      <c r="AV13" s="883">
        <v>8.7381578449222119E-2</v>
      </c>
      <c r="AW13" s="883">
        <v>3.8236023399908683E-2</v>
      </c>
      <c r="AX13" s="883">
        <v>6.2884914572496287E-2</v>
      </c>
      <c r="AY13" s="883">
        <v>0.11420455696515916</v>
      </c>
      <c r="AZ13" s="883">
        <v>4.9547218778528322E-2</v>
      </c>
      <c r="BA13" s="883">
        <v>1.2519865084165241E-2</v>
      </c>
      <c r="BB13" s="883">
        <v>1.3403030465055575E-2</v>
      </c>
      <c r="BC13" s="883">
        <v>2.0145687281356454E-2</v>
      </c>
      <c r="BD13" s="883">
        <v>6.7916928918531228E-3</v>
      </c>
      <c r="BE13" s="883">
        <v>3.2859815805831839E-2</v>
      </c>
      <c r="BF13" s="883">
        <v>5.259730524536195E-2</v>
      </c>
      <c r="BG13" s="883">
        <v>9.4777871673078815E-2</v>
      </c>
      <c r="BH13" s="883">
        <v>4.0131751404773562E-2</v>
      </c>
      <c r="BI13" s="875" t="s">
        <v>497</v>
      </c>
    </row>
    <row r="14" spans="2:61" ht="12" customHeight="1">
      <c r="G14" s="891"/>
      <c r="T14" s="884" t="str">
        <f>"*H_"&amp;"*"&amp;RIGHT(W13,LEN(W13)-3)&amp;"_"&amp;SETUP!B64</f>
        <v>*H_*OILKER_X0</v>
      </c>
      <c r="U14" s="884" t="str">
        <f>COMM!F10&amp;"_"&amp;SETUP!C64</f>
        <v>Kerosene to Residential_Existing 00</v>
      </c>
      <c r="V14" s="884"/>
      <c r="W14" s="884" t="s">
        <v>683</v>
      </c>
      <c r="X14" s="884">
        <v>0.16</v>
      </c>
      <c r="Y14" s="884"/>
      <c r="Z14" s="884"/>
      <c r="AA14" s="884"/>
      <c r="AB14" s="884">
        <v>5.2909653443917494E-2</v>
      </c>
      <c r="AC14" s="884">
        <v>0.1130595111768057</v>
      </c>
      <c r="AD14" s="884">
        <v>0.18480169736713609</v>
      </c>
      <c r="AE14" s="884">
        <v>9.1980608893918028E-2</v>
      </c>
      <c r="AF14" s="884">
        <v>4.0248445684114405E-2</v>
      </c>
      <c r="AG14" s="884">
        <v>6.6194646918417144E-2</v>
      </c>
      <c r="AH14" s="884">
        <v>0.12021532312122017</v>
      </c>
      <c r="AI14" s="884">
        <v>5.2154967135292975E-2</v>
      </c>
      <c r="AJ14" s="884">
        <v>1.3178805351752886E-2</v>
      </c>
      <c r="AK14" s="884">
        <v>1.4108453121111133E-2</v>
      </c>
      <c r="AL14" s="884">
        <v>2.1205986611954164E-2</v>
      </c>
      <c r="AM14" s="884">
        <v>7.1491504124769718E-3</v>
      </c>
      <c r="AN14" s="884">
        <v>3.4589279795612465E-2</v>
      </c>
      <c r="AO14" s="884">
        <v>5.5365584468802055E-2</v>
      </c>
      <c r="AP14" s="884">
        <v>9.9766180708504015E-2</v>
      </c>
      <c r="AQ14" s="884">
        <v>4.2243948847130071E-2</v>
      </c>
      <c r="AR14" s="881"/>
      <c r="AS14" s="884">
        <v>5.0264170771721614E-2</v>
      </c>
      <c r="AT14" s="884">
        <v>0.10740653561796541</v>
      </c>
      <c r="AU14" s="884">
        <v>0.17556161249877927</v>
      </c>
      <c r="AV14" s="884">
        <v>8.7381578449222119E-2</v>
      </c>
      <c r="AW14" s="884">
        <v>3.8236023399908683E-2</v>
      </c>
      <c r="AX14" s="884">
        <v>6.2884914572496287E-2</v>
      </c>
      <c r="AY14" s="884">
        <v>0.11420455696515916</v>
      </c>
      <c r="AZ14" s="884">
        <v>4.9547218778528322E-2</v>
      </c>
      <c r="BA14" s="884">
        <v>1.2519865084165241E-2</v>
      </c>
      <c r="BB14" s="884">
        <v>1.3403030465055575E-2</v>
      </c>
      <c r="BC14" s="884">
        <v>2.0145687281356454E-2</v>
      </c>
      <c r="BD14" s="884">
        <v>6.7916928918531228E-3</v>
      </c>
      <c r="BE14" s="884">
        <v>3.2859815805831839E-2</v>
      </c>
      <c r="BF14" s="884">
        <v>5.259730524536195E-2</v>
      </c>
      <c r="BG14" s="884">
        <v>9.4777871673078815E-2</v>
      </c>
      <c r="BH14" s="884">
        <v>4.0131751404773562E-2</v>
      </c>
      <c r="BI14" s="875" t="s">
        <v>497</v>
      </c>
    </row>
    <row r="15" spans="2:61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T15" s="883" t="str">
        <f>"*H_"&amp;"*"&amp;RIGHT(W15,LEN(W15)-3)&amp;"_"&amp;SETUP!B64</f>
        <v>*H_*OILHFO_X0</v>
      </c>
      <c r="U15" s="883" t="str">
        <f>COMM!F12&amp;"_"&amp;SETUP!C64</f>
        <v>Fueloil to Residential_Existing 00</v>
      </c>
      <c r="V15" s="883" t="str">
        <f>RSD_Balance!A15</f>
        <v>OILHFO</v>
      </c>
      <c r="W15" s="883" t="s">
        <v>684</v>
      </c>
      <c r="X15" s="883">
        <v>1</v>
      </c>
      <c r="Y15" s="883"/>
      <c r="Z15" s="883"/>
      <c r="AA15" s="883"/>
      <c r="AB15" s="883">
        <v>5.2909653443917494E-2</v>
      </c>
      <c r="AC15" s="883">
        <v>0.1130595111768057</v>
      </c>
      <c r="AD15" s="883">
        <v>0.18480169736713609</v>
      </c>
      <c r="AE15" s="883">
        <v>9.1980608893918028E-2</v>
      </c>
      <c r="AF15" s="883">
        <v>4.0248445684114405E-2</v>
      </c>
      <c r="AG15" s="883">
        <v>6.6194646918417144E-2</v>
      </c>
      <c r="AH15" s="883">
        <v>0.12021532312122017</v>
      </c>
      <c r="AI15" s="883">
        <v>5.2154967135292975E-2</v>
      </c>
      <c r="AJ15" s="883">
        <v>1.3178805351752886E-2</v>
      </c>
      <c r="AK15" s="883">
        <v>1.4108453121111133E-2</v>
      </c>
      <c r="AL15" s="883">
        <v>2.1205986611954164E-2</v>
      </c>
      <c r="AM15" s="883">
        <v>7.1491504124769718E-3</v>
      </c>
      <c r="AN15" s="883">
        <v>3.4589279795612465E-2</v>
      </c>
      <c r="AO15" s="883">
        <v>5.5365584468802055E-2</v>
      </c>
      <c r="AP15" s="883">
        <v>9.9766180708504015E-2</v>
      </c>
      <c r="AQ15" s="883">
        <v>4.2243948847130071E-2</v>
      </c>
      <c r="AR15" s="881"/>
      <c r="AS15" s="883">
        <v>5.0264170771721614E-2</v>
      </c>
      <c r="AT15" s="883">
        <v>0.10740653561796541</v>
      </c>
      <c r="AU15" s="883">
        <v>0.17556161249877927</v>
      </c>
      <c r="AV15" s="883">
        <v>8.7381578449222119E-2</v>
      </c>
      <c r="AW15" s="883">
        <v>3.8236023399908683E-2</v>
      </c>
      <c r="AX15" s="883">
        <v>6.2884914572496287E-2</v>
      </c>
      <c r="AY15" s="883">
        <v>0.11420455696515916</v>
      </c>
      <c r="AZ15" s="883">
        <v>4.9547218778528322E-2</v>
      </c>
      <c r="BA15" s="883">
        <v>1.2519865084165241E-2</v>
      </c>
      <c r="BB15" s="883">
        <v>1.3403030465055575E-2</v>
      </c>
      <c r="BC15" s="883">
        <v>2.0145687281356454E-2</v>
      </c>
      <c r="BD15" s="883">
        <v>6.7916928918531228E-3</v>
      </c>
      <c r="BE15" s="883">
        <v>3.2859815805831839E-2</v>
      </c>
      <c r="BF15" s="883">
        <v>5.259730524536195E-2</v>
      </c>
      <c r="BG15" s="883">
        <v>9.4777871673078815E-2</v>
      </c>
      <c r="BH15" s="883">
        <v>4.0131751404773562E-2</v>
      </c>
      <c r="BI15" s="875" t="s">
        <v>497</v>
      </c>
    </row>
    <row r="16" spans="2:61" ht="12" customHeight="1">
      <c r="B16" s="696" t="s">
        <v>1297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T16" s="884" t="str">
        <f>"*H_"&amp;"*"&amp;RIGHT(W16,LEN(W16)-3)&amp;"_"&amp;SETUP!B64</f>
        <v>*H_*OILCOK_X0</v>
      </c>
      <c r="U16" s="884" t="str">
        <f>COMM!F13&amp;"_"&amp;SETUP!C64</f>
        <v>Petroleum Coke to Residential_Existing 00</v>
      </c>
      <c r="V16" s="884" t="str">
        <f>RSD_Balance!A16</f>
        <v>OILCOK</v>
      </c>
      <c r="W16" s="884" t="s">
        <v>685</v>
      </c>
      <c r="X16" s="884">
        <v>1</v>
      </c>
      <c r="Y16" s="884"/>
      <c r="Z16" s="884"/>
      <c r="AA16" s="884"/>
      <c r="AB16" s="884">
        <v>5.2909653443917494E-2</v>
      </c>
      <c r="AC16" s="884">
        <v>0.1130595111768057</v>
      </c>
      <c r="AD16" s="884">
        <v>0.18480169736713609</v>
      </c>
      <c r="AE16" s="884">
        <v>9.1980608893918028E-2</v>
      </c>
      <c r="AF16" s="884">
        <v>4.0248445684114405E-2</v>
      </c>
      <c r="AG16" s="884">
        <v>6.6194646918417144E-2</v>
      </c>
      <c r="AH16" s="884">
        <v>0.12021532312122017</v>
      </c>
      <c r="AI16" s="884">
        <v>5.2154967135292975E-2</v>
      </c>
      <c r="AJ16" s="884">
        <v>1.3178805351752886E-2</v>
      </c>
      <c r="AK16" s="884">
        <v>1.4108453121111133E-2</v>
      </c>
      <c r="AL16" s="884">
        <v>2.1205986611954164E-2</v>
      </c>
      <c r="AM16" s="884">
        <v>7.1491504124769718E-3</v>
      </c>
      <c r="AN16" s="884">
        <v>3.4589279795612465E-2</v>
      </c>
      <c r="AO16" s="884">
        <v>5.5365584468802055E-2</v>
      </c>
      <c r="AP16" s="884">
        <v>9.9766180708504015E-2</v>
      </c>
      <c r="AQ16" s="884">
        <v>4.2243948847130071E-2</v>
      </c>
      <c r="AR16" s="881"/>
      <c r="AS16" s="884">
        <v>5.0264170771721614E-2</v>
      </c>
      <c r="AT16" s="884">
        <v>0.10740653561796541</v>
      </c>
      <c r="AU16" s="884">
        <v>0.17556161249877927</v>
      </c>
      <c r="AV16" s="884">
        <v>8.7381578449222119E-2</v>
      </c>
      <c r="AW16" s="884">
        <v>3.8236023399908683E-2</v>
      </c>
      <c r="AX16" s="884">
        <v>6.2884914572496287E-2</v>
      </c>
      <c r="AY16" s="884">
        <v>0.11420455696515916</v>
      </c>
      <c r="AZ16" s="884">
        <v>4.9547218778528322E-2</v>
      </c>
      <c r="BA16" s="884">
        <v>1.2519865084165241E-2</v>
      </c>
      <c r="BB16" s="884">
        <v>1.3403030465055575E-2</v>
      </c>
      <c r="BC16" s="884">
        <v>2.0145687281356454E-2</v>
      </c>
      <c r="BD16" s="884">
        <v>6.7916928918531228E-3</v>
      </c>
      <c r="BE16" s="884">
        <v>3.2859815805831839E-2</v>
      </c>
      <c r="BF16" s="884">
        <v>5.259730524536195E-2</v>
      </c>
      <c r="BG16" s="884">
        <v>9.4777871673078815E-2</v>
      </c>
      <c r="BH16" s="884">
        <v>4.0131751404773562E-2</v>
      </c>
      <c r="BI16" s="875" t="s">
        <v>497</v>
      </c>
    </row>
    <row r="17" spans="2:61" ht="12" customHeight="1">
      <c r="B17" s="886" t="str">
        <f>COMM!O6</f>
        <v>IE,National</v>
      </c>
      <c r="C17" s="886" t="str">
        <f>COMM!P6</f>
        <v>RSD_Apt</v>
      </c>
      <c r="D17" s="886" t="str">
        <f>COMM!Q6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T17" s="883" t="str">
        <f>"*H_"&amp;"*"&amp;RIGHT(W17,LEN(W17)-3)&amp;"_"&amp;SETUP!B64</f>
        <v>*H_*GASNAT_X0</v>
      </c>
      <c r="U17" s="883" t="str">
        <f>COMM!F14&amp;"_"&amp;SETUP!C64</f>
        <v>Natural Gas to Residential_Existing 00</v>
      </c>
      <c r="V17" s="883" t="str">
        <f>RSD_Balance!A17</f>
        <v>GASNAT</v>
      </c>
      <c r="W17" s="883" t="s">
        <v>686</v>
      </c>
      <c r="X17" s="883">
        <v>1</v>
      </c>
      <c r="Y17" s="883"/>
      <c r="Z17" s="883"/>
      <c r="AA17" s="883"/>
      <c r="AB17" s="883">
        <v>5.2909653443917494E-2</v>
      </c>
      <c r="AC17" s="883">
        <v>0.1130595111768057</v>
      </c>
      <c r="AD17" s="883">
        <v>0.18480169736713609</v>
      </c>
      <c r="AE17" s="883">
        <v>9.1980608893918028E-2</v>
      </c>
      <c r="AF17" s="883">
        <v>4.0248445684114405E-2</v>
      </c>
      <c r="AG17" s="883">
        <v>6.6194646918417144E-2</v>
      </c>
      <c r="AH17" s="883">
        <v>0.12021532312122017</v>
      </c>
      <c r="AI17" s="883">
        <v>5.2154967135292975E-2</v>
      </c>
      <c r="AJ17" s="883">
        <v>1.3178805351752886E-2</v>
      </c>
      <c r="AK17" s="883">
        <v>1.4108453121111133E-2</v>
      </c>
      <c r="AL17" s="883">
        <v>2.1205986611954164E-2</v>
      </c>
      <c r="AM17" s="883">
        <v>7.1491504124769718E-3</v>
      </c>
      <c r="AN17" s="883">
        <v>3.4589279795612465E-2</v>
      </c>
      <c r="AO17" s="883">
        <v>5.5365584468802055E-2</v>
      </c>
      <c r="AP17" s="883">
        <v>9.9766180708504015E-2</v>
      </c>
      <c r="AQ17" s="883">
        <v>4.2243948847130071E-2</v>
      </c>
      <c r="AR17" s="881"/>
      <c r="AS17" s="883">
        <v>5.0264170771721614E-2</v>
      </c>
      <c r="AT17" s="883">
        <v>0.10740653561796541</v>
      </c>
      <c r="AU17" s="883">
        <v>0.17556161249877927</v>
      </c>
      <c r="AV17" s="883">
        <v>8.7381578449222119E-2</v>
      </c>
      <c r="AW17" s="883">
        <v>3.8236023399908683E-2</v>
      </c>
      <c r="AX17" s="883">
        <v>6.2884914572496287E-2</v>
      </c>
      <c r="AY17" s="883">
        <v>0.11420455696515916</v>
      </c>
      <c r="AZ17" s="883">
        <v>4.9547218778528322E-2</v>
      </c>
      <c r="BA17" s="883">
        <v>1.2519865084165241E-2</v>
      </c>
      <c r="BB17" s="883">
        <v>1.3403030465055575E-2</v>
      </c>
      <c r="BC17" s="883">
        <v>2.0145687281356454E-2</v>
      </c>
      <c r="BD17" s="883">
        <v>6.7916928918531228E-3</v>
      </c>
      <c r="BE17" s="883">
        <v>3.2859815805831839E-2</v>
      </c>
      <c r="BF17" s="883">
        <v>5.259730524536195E-2</v>
      </c>
      <c r="BG17" s="883">
        <v>9.4777871673078815E-2</v>
      </c>
      <c r="BH17" s="883">
        <v>4.0131751404773562E-2</v>
      </c>
      <c r="BI17" s="875" t="s">
        <v>497</v>
      </c>
    </row>
    <row r="18" spans="2:61" ht="12" customHeight="1">
      <c r="B18" s="876" t="str">
        <f>COMM!O7</f>
        <v>IE,National</v>
      </c>
      <c r="C18" s="876" t="str">
        <f>COMM!P7</f>
        <v>RSD_Att</v>
      </c>
      <c r="D18" s="876" t="str">
        <f>COMM!Q7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T18" s="884" t="str">
        <f>"*H_"&amp;"*"&amp;RIGHT(W18,LEN(W18)-3)&amp;"_"&amp;SETUP!B64</f>
        <v>*H_*RENSOL_X0</v>
      </c>
      <c r="U18" s="884" t="str">
        <f>COMM!F15&amp;"_"&amp;SETUP!C64</f>
        <v>Solar to Residential_Existing 00</v>
      </c>
      <c r="V18" s="884" t="str">
        <f>RSD_Balance!A18</f>
        <v>RENSOL</v>
      </c>
      <c r="W18" s="884" t="s">
        <v>687</v>
      </c>
      <c r="X18" s="884">
        <v>1</v>
      </c>
      <c r="Y18" s="884"/>
      <c r="Z18" s="884"/>
      <c r="AA18" s="884"/>
      <c r="AB18" s="884">
        <v>0.34623779937084581</v>
      </c>
      <c r="AC18" s="884">
        <v>0.36219925443872714</v>
      </c>
      <c r="AD18" s="884">
        <v>0.57741154264418526</v>
      </c>
      <c r="AE18" s="884">
        <v>0.18318787048379334</v>
      </c>
      <c r="AF18" s="884">
        <v>0.344526432974474</v>
      </c>
      <c r="AG18" s="884">
        <v>0.36219925443872714</v>
      </c>
      <c r="AH18" s="884">
        <v>0.57741154264418526</v>
      </c>
      <c r="AI18" s="884">
        <v>0.18130815007141382</v>
      </c>
      <c r="AJ18" s="884">
        <v>0.30478910007079352</v>
      </c>
      <c r="AK18" s="884">
        <v>0.31505748679387902</v>
      </c>
      <c r="AL18" s="884">
        <v>0.52902041831780355</v>
      </c>
      <c r="AM18" s="884">
        <v>0.1451125372768769</v>
      </c>
      <c r="AN18" s="884">
        <v>0.34060248205914861</v>
      </c>
      <c r="AO18" s="884">
        <v>0.35978640094448372</v>
      </c>
      <c r="AP18" s="884">
        <v>0.57741154264418526</v>
      </c>
      <c r="AQ18" s="884">
        <v>0.17777162205246544</v>
      </c>
      <c r="AR18" s="881"/>
      <c r="AS18" s="884">
        <v>0.32892590940230348</v>
      </c>
      <c r="AT18" s="884">
        <v>0.34408929171679076</v>
      </c>
      <c r="AU18" s="884">
        <v>0.54854096551197595</v>
      </c>
      <c r="AV18" s="884">
        <v>0.17402847695960366</v>
      </c>
      <c r="AW18" s="884">
        <v>0.32730011132575026</v>
      </c>
      <c r="AX18" s="884">
        <v>0.34408929171679076</v>
      </c>
      <c r="AY18" s="884">
        <v>0.54854096551197595</v>
      </c>
      <c r="AZ18" s="884">
        <v>0.17224274256784311</v>
      </c>
      <c r="BA18" s="884">
        <v>0.28954964506725384</v>
      </c>
      <c r="BB18" s="884">
        <v>0.29930461245418505</v>
      </c>
      <c r="BC18" s="884">
        <v>0.50256939740191331</v>
      </c>
      <c r="BD18" s="884">
        <v>0.13785691041303305</v>
      </c>
      <c r="BE18" s="884">
        <v>0.32357235795619116</v>
      </c>
      <c r="BF18" s="884">
        <v>0.34179708089725952</v>
      </c>
      <c r="BG18" s="884">
        <v>0.54854096551197595</v>
      </c>
      <c r="BH18" s="884">
        <v>0.16888304094984216</v>
      </c>
      <c r="BI18" s="875" t="s">
        <v>497</v>
      </c>
    </row>
    <row r="19" spans="2:61" ht="12" customHeight="1">
      <c r="B19" s="886" t="str">
        <f>COMM!O8</f>
        <v>IE,National</v>
      </c>
      <c r="C19" s="886" t="str">
        <f>COMM!P8</f>
        <v>RSD_Det</v>
      </c>
      <c r="D19" s="886" t="str">
        <f>COMM!Q8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131"/>
      <c r="T19" s="883" t="str">
        <f>"*H_"&amp;"*"&amp;RIGHT(W19,LEN(W19)-3)&amp;"_"&amp;SETUP!B64</f>
        <v>*H_*BIOWOO_X0</v>
      </c>
      <c r="U19" s="883" t="str">
        <f>COMM!F16&amp;"_"&amp;SETUP!C64</f>
        <v>Biomass and Renewable Waste to Residential_Existing 00</v>
      </c>
      <c r="V19" s="883" t="str">
        <f>RSD_Balance!A19</f>
        <v>BIOWOO</v>
      </c>
      <c r="W19" s="883" t="s">
        <v>688</v>
      </c>
      <c r="X19" s="883">
        <v>1</v>
      </c>
      <c r="Y19" s="883"/>
      <c r="Z19" s="883"/>
      <c r="AA19" s="883"/>
      <c r="AB19" s="883">
        <v>5.2909653443917494E-2</v>
      </c>
      <c r="AC19" s="883">
        <v>0.1130595111768057</v>
      </c>
      <c r="AD19" s="883">
        <v>0.18480169736713609</v>
      </c>
      <c r="AE19" s="883">
        <v>9.1980608893918028E-2</v>
      </c>
      <c r="AF19" s="883">
        <v>4.0248445684114405E-2</v>
      </c>
      <c r="AG19" s="883">
        <v>6.6194646918417144E-2</v>
      </c>
      <c r="AH19" s="883">
        <v>0.12021532312122017</v>
      </c>
      <c r="AI19" s="883">
        <v>5.2154967135292975E-2</v>
      </c>
      <c r="AJ19" s="883">
        <v>1.3178805351752886E-2</v>
      </c>
      <c r="AK19" s="883">
        <v>1.4108453121111133E-2</v>
      </c>
      <c r="AL19" s="883">
        <v>2.1205986611954164E-2</v>
      </c>
      <c r="AM19" s="883">
        <v>7.1491504124769718E-3</v>
      </c>
      <c r="AN19" s="883">
        <v>3.4589279795612465E-2</v>
      </c>
      <c r="AO19" s="883">
        <v>5.5365584468802055E-2</v>
      </c>
      <c r="AP19" s="883">
        <v>9.9766180708504015E-2</v>
      </c>
      <c r="AQ19" s="883">
        <v>4.2243948847130071E-2</v>
      </c>
      <c r="AR19" s="881"/>
      <c r="AS19" s="883">
        <v>5.0264170771721614E-2</v>
      </c>
      <c r="AT19" s="883">
        <v>0.10740653561796541</v>
      </c>
      <c r="AU19" s="883">
        <v>0.17556161249877927</v>
      </c>
      <c r="AV19" s="883">
        <v>8.7381578449222119E-2</v>
      </c>
      <c r="AW19" s="883">
        <v>3.8236023399908683E-2</v>
      </c>
      <c r="AX19" s="883">
        <v>6.2884914572496287E-2</v>
      </c>
      <c r="AY19" s="883">
        <v>0.11420455696515916</v>
      </c>
      <c r="AZ19" s="883">
        <v>4.9547218778528322E-2</v>
      </c>
      <c r="BA19" s="883">
        <v>1.2519865084165241E-2</v>
      </c>
      <c r="BB19" s="883">
        <v>1.3403030465055575E-2</v>
      </c>
      <c r="BC19" s="883">
        <v>2.0145687281356454E-2</v>
      </c>
      <c r="BD19" s="883">
        <v>6.7916928918531228E-3</v>
      </c>
      <c r="BE19" s="883">
        <v>3.2859815805831839E-2</v>
      </c>
      <c r="BF19" s="883">
        <v>5.259730524536195E-2</v>
      </c>
      <c r="BG19" s="883">
        <v>9.4777871673078815E-2</v>
      </c>
      <c r="BH19" s="883">
        <v>4.0131751404773562E-2</v>
      </c>
      <c r="BI19" s="875" t="s">
        <v>497</v>
      </c>
    </row>
    <row r="20" spans="2:61" ht="12" customHeight="1">
      <c r="C20" s="73" t="s">
        <v>327</v>
      </c>
      <c r="D20" s="73" t="s">
        <v>800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131"/>
      <c r="T20" s="884" t="str">
        <f>"*H_"&amp;"*"&amp;RIGHT(W20,LEN(W20)-3)&amp;"_"&amp;SETUP!B65</f>
        <v>*H_*BIOWOO_X1</v>
      </c>
      <c r="U20" s="884" t="str">
        <f>COMM!F16&amp;"_"&amp;SETUP!C65</f>
        <v>Biomass and Renewable Waste to Residential_Existing 01</v>
      </c>
      <c r="V20" s="884" t="str">
        <f>RSD_Balance!A19</f>
        <v>BIOWOO</v>
      </c>
      <c r="W20" s="884" t="s">
        <v>688</v>
      </c>
      <c r="X20" s="884">
        <v>1</v>
      </c>
      <c r="Y20" s="884"/>
      <c r="Z20" s="884"/>
      <c r="AA20" s="884"/>
      <c r="AB20" s="884">
        <v>5.2909653443917494E-2</v>
      </c>
      <c r="AC20" s="884">
        <v>0.1130595111768057</v>
      </c>
      <c r="AD20" s="884">
        <v>0.18480169736713609</v>
      </c>
      <c r="AE20" s="884">
        <v>9.1980608893918028E-2</v>
      </c>
      <c r="AF20" s="884">
        <v>4.0248445684114405E-2</v>
      </c>
      <c r="AG20" s="884">
        <v>6.6194646918417144E-2</v>
      </c>
      <c r="AH20" s="884">
        <v>0.12021532312122017</v>
      </c>
      <c r="AI20" s="884">
        <v>5.2154967135292975E-2</v>
      </c>
      <c r="AJ20" s="884">
        <v>1.3178805351752886E-2</v>
      </c>
      <c r="AK20" s="884">
        <v>1.4108453121111133E-2</v>
      </c>
      <c r="AL20" s="884">
        <v>2.1205986611954164E-2</v>
      </c>
      <c r="AM20" s="884">
        <v>7.1491504124769718E-3</v>
      </c>
      <c r="AN20" s="884">
        <v>3.4589279795612465E-2</v>
      </c>
      <c r="AO20" s="884">
        <v>5.5365584468802055E-2</v>
      </c>
      <c r="AP20" s="884">
        <v>9.9766180708504015E-2</v>
      </c>
      <c r="AQ20" s="884">
        <v>4.2243948847130071E-2</v>
      </c>
      <c r="AR20" s="881"/>
      <c r="AS20" s="884">
        <v>5.0264170771721614E-2</v>
      </c>
      <c r="AT20" s="884">
        <v>0.10740653561796541</v>
      </c>
      <c r="AU20" s="884">
        <v>0.17556161249877927</v>
      </c>
      <c r="AV20" s="884">
        <v>8.7381578449222119E-2</v>
      </c>
      <c r="AW20" s="884">
        <v>3.8236023399908683E-2</v>
      </c>
      <c r="AX20" s="884">
        <v>6.2884914572496287E-2</v>
      </c>
      <c r="AY20" s="884">
        <v>0.11420455696515916</v>
      </c>
      <c r="AZ20" s="884">
        <v>4.9547218778528322E-2</v>
      </c>
      <c r="BA20" s="884">
        <v>1.2519865084165241E-2</v>
      </c>
      <c r="BB20" s="884">
        <v>1.3403030465055575E-2</v>
      </c>
      <c r="BC20" s="884">
        <v>2.0145687281356454E-2</v>
      </c>
      <c r="BD20" s="884">
        <v>6.7916928918531228E-3</v>
      </c>
      <c r="BE20" s="884">
        <v>3.2859815805831839E-2</v>
      </c>
      <c r="BF20" s="884">
        <v>5.259730524536195E-2</v>
      </c>
      <c r="BG20" s="884">
        <v>9.4777871673078815E-2</v>
      </c>
      <c r="BH20" s="884">
        <v>4.0131751404773562E-2</v>
      </c>
      <c r="BI20" s="875" t="s">
        <v>497</v>
      </c>
    </row>
    <row r="21" spans="2:61">
      <c r="C21" s="895" t="s">
        <v>799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131"/>
      <c r="T21" s="883" t="str">
        <f>"*H_"&amp;"*"&amp;RIGHT(W21,LEN(W21)-3)&amp;"_"&amp;SETUP!B66</f>
        <v>*H_*BIOWOO_X2</v>
      </c>
      <c r="U21" s="883" t="str">
        <f>COMM!F16&amp;"_"&amp;SETUP!C66</f>
        <v>Biomass and Renewable Waste to Residential_Existing 02</v>
      </c>
      <c r="V21" s="883" t="str">
        <f>RSD_Balance!A19</f>
        <v>BIOWOO</v>
      </c>
      <c r="W21" s="883" t="s">
        <v>688</v>
      </c>
      <c r="X21" s="883">
        <v>1</v>
      </c>
      <c r="Y21" s="883"/>
      <c r="Z21" s="883"/>
      <c r="AA21" s="883"/>
      <c r="AB21" s="883">
        <v>5.2909653443917494E-2</v>
      </c>
      <c r="AC21" s="883">
        <v>0.1130595111768057</v>
      </c>
      <c r="AD21" s="883">
        <v>0.18480169736713609</v>
      </c>
      <c r="AE21" s="883">
        <v>9.1980608893918028E-2</v>
      </c>
      <c r="AF21" s="883">
        <v>4.0248445684114405E-2</v>
      </c>
      <c r="AG21" s="883">
        <v>6.6194646918417144E-2</v>
      </c>
      <c r="AH21" s="883">
        <v>0.12021532312122017</v>
      </c>
      <c r="AI21" s="883">
        <v>5.2154967135292975E-2</v>
      </c>
      <c r="AJ21" s="883">
        <v>1.3178805351752886E-2</v>
      </c>
      <c r="AK21" s="883">
        <v>1.4108453121111133E-2</v>
      </c>
      <c r="AL21" s="883">
        <v>2.1205986611954164E-2</v>
      </c>
      <c r="AM21" s="883">
        <v>7.1491504124769718E-3</v>
      </c>
      <c r="AN21" s="883">
        <v>3.4589279795612465E-2</v>
      </c>
      <c r="AO21" s="883">
        <v>5.5365584468802055E-2</v>
      </c>
      <c r="AP21" s="883">
        <v>9.9766180708504015E-2</v>
      </c>
      <c r="AQ21" s="883">
        <v>4.2243948847130071E-2</v>
      </c>
      <c r="AR21" s="881"/>
      <c r="AS21" s="883">
        <v>5.0264170771721614E-2</v>
      </c>
      <c r="AT21" s="883">
        <v>0.10740653561796541</v>
      </c>
      <c r="AU21" s="883">
        <v>0.17556161249877927</v>
      </c>
      <c r="AV21" s="883">
        <v>8.7381578449222119E-2</v>
      </c>
      <c r="AW21" s="883">
        <v>3.8236023399908683E-2</v>
      </c>
      <c r="AX21" s="883">
        <v>6.2884914572496287E-2</v>
      </c>
      <c r="AY21" s="883">
        <v>0.11420455696515916</v>
      </c>
      <c r="AZ21" s="883">
        <v>4.9547218778528322E-2</v>
      </c>
      <c r="BA21" s="883">
        <v>1.2519865084165241E-2</v>
      </c>
      <c r="BB21" s="883">
        <v>1.3403030465055575E-2</v>
      </c>
      <c r="BC21" s="883">
        <v>2.0145687281356454E-2</v>
      </c>
      <c r="BD21" s="883">
        <v>6.7916928918531228E-3</v>
      </c>
      <c r="BE21" s="883">
        <v>3.2859815805831839E-2</v>
      </c>
      <c r="BF21" s="883">
        <v>5.259730524536195E-2</v>
      </c>
      <c r="BG21" s="883">
        <v>9.4777871673078815E-2</v>
      </c>
      <c r="BH21" s="883">
        <v>4.0131751404773562E-2</v>
      </c>
      <c r="BI21" s="875" t="s">
        <v>497</v>
      </c>
    </row>
    <row r="22" spans="2:61">
      <c r="R22" s="131"/>
      <c r="S22" s="131"/>
      <c r="T22" s="884" t="str">
        <f>"*H_"&amp;"*"&amp;RIGHT(W22,LEN(W22)-3)&amp;"_"&amp;SETUP!B64</f>
        <v>*H_*BIOGAS_X0</v>
      </c>
      <c r="U22" s="884" t="str">
        <f>COMM!F17&amp;"_"&amp;SETUP!C64</f>
        <v>Biogas to Residential_Existing 00</v>
      </c>
      <c r="V22" s="884" t="str">
        <f>RSD_Balance!A20</f>
        <v>BIOGAS</v>
      </c>
      <c r="W22" s="884" t="s">
        <v>689</v>
      </c>
      <c r="X22" s="884">
        <v>1</v>
      </c>
      <c r="Y22" s="884"/>
      <c r="Z22" s="884"/>
      <c r="AA22" s="884"/>
      <c r="AB22" s="884">
        <v>5.2909653443917494E-2</v>
      </c>
      <c r="AC22" s="884">
        <v>0.1130595111768057</v>
      </c>
      <c r="AD22" s="884">
        <v>0.18480169736713609</v>
      </c>
      <c r="AE22" s="884">
        <v>9.1980608893918028E-2</v>
      </c>
      <c r="AF22" s="884">
        <v>4.0248445684114405E-2</v>
      </c>
      <c r="AG22" s="884">
        <v>6.6194646918417144E-2</v>
      </c>
      <c r="AH22" s="884">
        <v>0.12021532312122017</v>
      </c>
      <c r="AI22" s="884">
        <v>5.2154967135292975E-2</v>
      </c>
      <c r="AJ22" s="884">
        <v>1.3178805351752886E-2</v>
      </c>
      <c r="AK22" s="884">
        <v>1.4108453121111133E-2</v>
      </c>
      <c r="AL22" s="884">
        <v>2.1205986611954164E-2</v>
      </c>
      <c r="AM22" s="884">
        <v>7.1491504124769718E-3</v>
      </c>
      <c r="AN22" s="884">
        <v>3.4589279795612465E-2</v>
      </c>
      <c r="AO22" s="884">
        <v>5.5365584468802055E-2</v>
      </c>
      <c r="AP22" s="884">
        <v>9.9766180708504015E-2</v>
      </c>
      <c r="AQ22" s="884">
        <v>4.2243948847130071E-2</v>
      </c>
      <c r="AR22" s="881"/>
      <c r="AS22" s="884">
        <v>5.0264170771721614E-2</v>
      </c>
      <c r="AT22" s="884">
        <v>0.10740653561796541</v>
      </c>
      <c r="AU22" s="884">
        <v>0.17556161249877927</v>
      </c>
      <c r="AV22" s="884">
        <v>8.7381578449222119E-2</v>
      </c>
      <c r="AW22" s="884">
        <v>3.8236023399908683E-2</v>
      </c>
      <c r="AX22" s="884">
        <v>6.2884914572496287E-2</v>
      </c>
      <c r="AY22" s="884">
        <v>0.11420455696515916</v>
      </c>
      <c r="AZ22" s="884">
        <v>4.9547218778528322E-2</v>
      </c>
      <c r="BA22" s="884">
        <v>1.2519865084165241E-2</v>
      </c>
      <c r="BB22" s="884">
        <v>1.3403030465055575E-2</v>
      </c>
      <c r="BC22" s="884">
        <v>2.0145687281356454E-2</v>
      </c>
      <c r="BD22" s="884">
        <v>6.7916928918531228E-3</v>
      </c>
      <c r="BE22" s="884">
        <v>3.2859815805831839E-2</v>
      </c>
      <c r="BF22" s="884">
        <v>5.259730524536195E-2</v>
      </c>
      <c r="BG22" s="884">
        <v>9.4777871673078815E-2</v>
      </c>
      <c r="BH22" s="884">
        <v>4.0131751404773562E-2</v>
      </c>
      <c r="BI22" s="875" t="s">
        <v>497</v>
      </c>
    </row>
    <row r="23" spans="2:61" ht="21">
      <c r="C23" s="120" t="s">
        <v>824</v>
      </c>
      <c r="D23" s="120"/>
      <c r="E23" s="111" t="s">
        <v>837</v>
      </c>
      <c r="F23" s="111"/>
      <c r="R23" s="131"/>
      <c r="S23" s="131"/>
      <c r="T23" s="883" t="str">
        <f>"*H_"&amp;"*"&amp;RIGHT(W23,LEN(W23)-3)&amp;"_"&amp;SETUP!B64</f>
        <v>*H_*BIOMUN_X0</v>
      </c>
      <c r="U23" s="883" t="str">
        <f>COMM!F18&amp;"_"&amp;SETUP!C64</f>
        <v>Landfill Gas to Residential_Existing 00</v>
      </c>
      <c r="V23" s="883" t="str">
        <f>RSD_Balance!A21</f>
        <v>BIOMUN</v>
      </c>
      <c r="W23" s="883" t="s">
        <v>690</v>
      </c>
      <c r="X23" s="883">
        <v>1</v>
      </c>
      <c r="Y23" s="883"/>
      <c r="Z23" s="883"/>
      <c r="AA23" s="883"/>
      <c r="AB23" s="883">
        <v>5.2909653443917494E-2</v>
      </c>
      <c r="AC23" s="883">
        <v>0.1130595111768057</v>
      </c>
      <c r="AD23" s="883">
        <v>0.18480169736713609</v>
      </c>
      <c r="AE23" s="883">
        <v>9.1980608893918028E-2</v>
      </c>
      <c r="AF23" s="883">
        <v>4.0248445684114405E-2</v>
      </c>
      <c r="AG23" s="883">
        <v>6.6194646918417144E-2</v>
      </c>
      <c r="AH23" s="883">
        <v>0.12021532312122017</v>
      </c>
      <c r="AI23" s="883">
        <v>5.2154967135292975E-2</v>
      </c>
      <c r="AJ23" s="883">
        <v>1.3178805351752886E-2</v>
      </c>
      <c r="AK23" s="883">
        <v>1.4108453121111133E-2</v>
      </c>
      <c r="AL23" s="883">
        <v>2.1205986611954164E-2</v>
      </c>
      <c r="AM23" s="883">
        <v>7.1491504124769718E-3</v>
      </c>
      <c r="AN23" s="883">
        <v>3.4589279795612465E-2</v>
      </c>
      <c r="AO23" s="883">
        <v>5.5365584468802055E-2</v>
      </c>
      <c r="AP23" s="883">
        <v>9.9766180708504015E-2</v>
      </c>
      <c r="AQ23" s="883">
        <v>4.2243948847130071E-2</v>
      </c>
      <c r="AR23" s="881"/>
      <c r="AS23" s="883">
        <v>5.0264170771721614E-2</v>
      </c>
      <c r="AT23" s="883">
        <v>0.10740653561796541</v>
      </c>
      <c r="AU23" s="883">
        <v>0.17556161249877927</v>
      </c>
      <c r="AV23" s="883">
        <v>8.7381578449222119E-2</v>
      </c>
      <c r="AW23" s="883">
        <v>3.8236023399908683E-2</v>
      </c>
      <c r="AX23" s="883">
        <v>6.2884914572496287E-2</v>
      </c>
      <c r="AY23" s="883">
        <v>0.11420455696515916</v>
      </c>
      <c r="AZ23" s="883">
        <v>4.9547218778528322E-2</v>
      </c>
      <c r="BA23" s="883">
        <v>1.2519865084165241E-2</v>
      </c>
      <c r="BB23" s="883">
        <v>1.3403030465055575E-2</v>
      </c>
      <c r="BC23" s="883">
        <v>2.0145687281356454E-2</v>
      </c>
      <c r="BD23" s="883">
        <v>6.7916928918531228E-3</v>
      </c>
      <c r="BE23" s="883">
        <v>3.2859815805831839E-2</v>
      </c>
      <c r="BF23" s="883">
        <v>5.259730524536195E-2</v>
      </c>
      <c r="BG23" s="883">
        <v>9.4777871673078815E-2</v>
      </c>
      <c r="BH23" s="883">
        <v>4.0131751404773562E-2</v>
      </c>
      <c r="BI23" s="875" t="s">
        <v>497</v>
      </c>
    </row>
    <row r="24" spans="2:61">
      <c r="D24" s="148" t="s">
        <v>801</v>
      </c>
      <c r="R24" s="131"/>
      <c r="S24" s="131"/>
      <c r="T24" s="884" t="str">
        <f>"*H_"&amp;"*"&amp;RIGHT(W24,LEN(W24)-3)&amp;"_"&amp;SETUP!B64</f>
        <v>*H_*RENGEO_X0</v>
      </c>
      <c r="U24" s="884" t="str">
        <f>COMM!F19&amp;"_"&amp;SETUP!C64</f>
        <v>Geothermal to Residential_Existing 00</v>
      </c>
      <c r="V24" s="884" t="str">
        <f>RSD_Balance!A22</f>
        <v>RENGEO</v>
      </c>
      <c r="W24" s="884" t="s">
        <v>691</v>
      </c>
      <c r="X24" s="884">
        <v>1</v>
      </c>
      <c r="Y24" s="884"/>
      <c r="Z24" s="884"/>
      <c r="AA24" s="884"/>
      <c r="AB24" s="884">
        <v>5.2909653443917494E-2</v>
      </c>
      <c r="AC24" s="884">
        <v>0.1130595111768057</v>
      </c>
      <c r="AD24" s="884">
        <v>0.18480169736713609</v>
      </c>
      <c r="AE24" s="884">
        <v>9.1980608893918028E-2</v>
      </c>
      <c r="AF24" s="884">
        <v>4.0248445684114405E-2</v>
      </c>
      <c r="AG24" s="884">
        <v>6.6194646918417144E-2</v>
      </c>
      <c r="AH24" s="884">
        <v>0.12021532312122017</v>
      </c>
      <c r="AI24" s="884">
        <v>5.2154967135292975E-2</v>
      </c>
      <c r="AJ24" s="884">
        <v>1.3178805351752886E-2</v>
      </c>
      <c r="AK24" s="884">
        <v>1.4108453121111133E-2</v>
      </c>
      <c r="AL24" s="884">
        <v>2.1205986611954164E-2</v>
      </c>
      <c r="AM24" s="884">
        <v>7.1491504124769718E-3</v>
      </c>
      <c r="AN24" s="884">
        <v>3.4589279795612465E-2</v>
      </c>
      <c r="AO24" s="884">
        <v>5.5365584468802055E-2</v>
      </c>
      <c r="AP24" s="884">
        <v>9.9766180708504015E-2</v>
      </c>
      <c r="AQ24" s="884">
        <v>4.2243948847130071E-2</v>
      </c>
      <c r="AR24" s="881"/>
      <c r="AS24" s="884">
        <v>5.0264170771721614E-2</v>
      </c>
      <c r="AT24" s="884">
        <v>0.10740653561796541</v>
      </c>
      <c r="AU24" s="884">
        <v>0.17556161249877927</v>
      </c>
      <c r="AV24" s="884">
        <v>8.7381578449222119E-2</v>
      </c>
      <c r="AW24" s="884">
        <v>3.8236023399908683E-2</v>
      </c>
      <c r="AX24" s="884">
        <v>6.2884914572496287E-2</v>
      </c>
      <c r="AY24" s="884">
        <v>0.11420455696515916</v>
      </c>
      <c r="AZ24" s="884">
        <v>4.9547218778528322E-2</v>
      </c>
      <c r="BA24" s="884">
        <v>1.2519865084165241E-2</v>
      </c>
      <c r="BB24" s="884">
        <v>1.3403030465055575E-2</v>
      </c>
      <c r="BC24" s="884">
        <v>2.0145687281356454E-2</v>
      </c>
      <c r="BD24" s="884">
        <v>6.7916928918531228E-3</v>
      </c>
      <c r="BE24" s="884">
        <v>3.2859815805831839E-2</v>
      </c>
      <c r="BF24" s="884">
        <v>5.259730524536195E-2</v>
      </c>
      <c r="BG24" s="884">
        <v>9.4777871673078815E-2</v>
      </c>
      <c r="BH24" s="884">
        <v>4.0131751404773562E-2</v>
      </c>
      <c r="BI24" s="875" t="s">
        <v>497</v>
      </c>
    </row>
    <row r="25" spans="2:61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131"/>
      <c r="T25" s="883" t="str">
        <f>"*H_"&amp;"*"&amp;RIGHT(W25,LEN(W25)-3)&amp;"_"&amp;SETUP!B64</f>
        <v>*H_*BIOETH_X0</v>
      </c>
      <c r="U25" s="883" t="str">
        <f>COMM!F20&amp;"_"&amp;SETUP!C64</f>
        <v>Ethanol to Residential_Existing 00</v>
      </c>
      <c r="V25" s="883" t="str">
        <f>RSD_Balance!A23</f>
        <v>BIOETH</v>
      </c>
      <c r="W25" s="883" t="s">
        <v>692</v>
      </c>
      <c r="X25" s="883">
        <v>1</v>
      </c>
      <c r="Y25" s="883"/>
      <c r="Z25" s="883"/>
      <c r="AA25" s="883"/>
      <c r="AB25" s="883">
        <v>5.2909653443917494E-2</v>
      </c>
      <c r="AC25" s="883">
        <v>0.1130595111768057</v>
      </c>
      <c r="AD25" s="883">
        <v>0.18480169736713609</v>
      </c>
      <c r="AE25" s="883">
        <v>9.1980608893918028E-2</v>
      </c>
      <c r="AF25" s="883">
        <v>4.0248445684114405E-2</v>
      </c>
      <c r="AG25" s="883">
        <v>6.6194646918417144E-2</v>
      </c>
      <c r="AH25" s="883">
        <v>0.12021532312122017</v>
      </c>
      <c r="AI25" s="883">
        <v>5.2154967135292975E-2</v>
      </c>
      <c r="AJ25" s="883">
        <v>1.3178805351752886E-2</v>
      </c>
      <c r="AK25" s="883">
        <v>1.4108453121111133E-2</v>
      </c>
      <c r="AL25" s="883">
        <v>2.1205986611954164E-2</v>
      </c>
      <c r="AM25" s="883">
        <v>7.1491504124769718E-3</v>
      </c>
      <c r="AN25" s="883">
        <v>3.4589279795612465E-2</v>
      </c>
      <c r="AO25" s="883">
        <v>5.5365584468802055E-2</v>
      </c>
      <c r="AP25" s="883">
        <v>9.9766180708504015E-2</v>
      </c>
      <c r="AQ25" s="883">
        <v>4.2243948847130071E-2</v>
      </c>
      <c r="AR25" s="881"/>
      <c r="AS25" s="883">
        <v>5.0264170771721614E-2</v>
      </c>
      <c r="AT25" s="883">
        <v>0.10740653561796541</v>
      </c>
      <c r="AU25" s="883">
        <v>0.17556161249877927</v>
      </c>
      <c r="AV25" s="883">
        <v>8.7381578449222119E-2</v>
      </c>
      <c r="AW25" s="883">
        <v>3.8236023399908683E-2</v>
      </c>
      <c r="AX25" s="883">
        <v>6.2884914572496287E-2</v>
      </c>
      <c r="AY25" s="883">
        <v>0.11420455696515916</v>
      </c>
      <c r="AZ25" s="883">
        <v>4.9547218778528322E-2</v>
      </c>
      <c r="BA25" s="883">
        <v>1.2519865084165241E-2</v>
      </c>
      <c r="BB25" s="883">
        <v>1.3403030465055575E-2</v>
      </c>
      <c r="BC25" s="883">
        <v>2.0145687281356454E-2</v>
      </c>
      <c r="BD25" s="883">
        <v>6.7916928918531228E-3</v>
      </c>
      <c r="BE25" s="883">
        <v>3.2859815805831839E-2</v>
      </c>
      <c r="BF25" s="883">
        <v>5.259730524536195E-2</v>
      </c>
      <c r="BG25" s="883">
        <v>9.4777871673078815E-2</v>
      </c>
      <c r="BH25" s="883">
        <v>4.0131751404773562E-2</v>
      </c>
      <c r="BI25" s="875" t="s">
        <v>497</v>
      </c>
    </row>
    <row r="26" spans="2:61">
      <c r="E26" s="148" t="s">
        <v>802</v>
      </c>
      <c r="F26" s="891">
        <f>I77</f>
        <v>875.12249999999995</v>
      </c>
      <c r="H26">
        <v>1122.25</v>
      </c>
      <c r="R26" s="131"/>
      <c r="S26" s="131"/>
      <c r="T26" s="884" t="str">
        <f>"*H_"&amp;"*"&amp;RIGHT(W26,LEN(W26)-3)&amp;"_"&amp;SETUP!B64</f>
        <v>*H_*BIODST_X0</v>
      </c>
      <c r="U26" s="884" t="str">
        <f>COMM!F21&amp;"_"&amp;SETUP!C64</f>
        <v>Biodiesel to Residential_Existing 00</v>
      </c>
      <c r="V26" s="884" t="str">
        <f>RSD_Balance!A24</f>
        <v>BIODST</v>
      </c>
      <c r="W26" s="884" t="s">
        <v>693</v>
      </c>
      <c r="X26" s="884">
        <v>1</v>
      </c>
      <c r="Y26" s="884"/>
      <c r="Z26" s="884"/>
      <c r="AA26" s="884"/>
      <c r="AB26" s="884">
        <v>5.2909653443917494E-2</v>
      </c>
      <c r="AC26" s="884">
        <v>0.1130595111768057</v>
      </c>
      <c r="AD26" s="884">
        <v>0.18480169736713609</v>
      </c>
      <c r="AE26" s="884">
        <v>9.1980608893918028E-2</v>
      </c>
      <c r="AF26" s="884">
        <v>4.0248445684114405E-2</v>
      </c>
      <c r="AG26" s="884">
        <v>6.6194646918417144E-2</v>
      </c>
      <c r="AH26" s="884">
        <v>0.12021532312122017</v>
      </c>
      <c r="AI26" s="884">
        <v>5.2154967135292975E-2</v>
      </c>
      <c r="AJ26" s="884">
        <v>1.3178805351752886E-2</v>
      </c>
      <c r="AK26" s="884">
        <v>1.4108453121111133E-2</v>
      </c>
      <c r="AL26" s="884">
        <v>2.1205986611954164E-2</v>
      </c>
      <c r="AM26" s="884">
        <v>7.1491504124769718E-3</v>
      </c>
      <c r="AN26" s="884">
        <v>3.4589279795612465E-2</v>
      </c>
      <c r="AO26" s="884">
        <v>5.5365584468802055E-2</v>
      </c>
      <c r="AP26" s="884">
        <v>9.9766180708504015E-2</v>
      </c>
      <c r="AQ26" s="884">
        <v>4.2243948847130071E-2</v>
      </c>
      <c r="AR26" s="881"/>
      <c r="AS26" s="884">
        <v>5.0264170771721614E-2</v>
      </c>
      <c r="AT26" s="884">
        <v>0.10740653561796541</v>
      </c>
      <c r="AU26" s="884">
        <v>0.17556161249877927</v>
      </c>
      <c r="AV26" s="884">
        <v>8.7381578449222119E-2</v>
      </c>
      <c r="AW26" s="884">
        <v>3.8236023399908683E-2</v>
      </c>
      <c r="AX26" s="884">
        <v>6.2884914572496287E-2</v>
      </c>
      <c r="AY26" s="884">
        <v>0.11420455696515916</v>
      </c>
      <c r="AZ26" s="884">
        <v>4.9547218778528322E-2</v>
      </c>
      <c r="BA26" s="884">
        <v>1.2519865084165241E-2</v>
      </c>
      <c r="BB26" s="884">
        <v>1.3403030465055575E-2</v>
      </c>
      <c r="BC26" s="884">
        <v>2.0145687281356454E-2</v>
      </c>
      <c r="BD26" s="884">
        <v>6.7916928918531228E-3</v>
      </c>
      <c r="BE26" s="884">
        <v>3.2859815805831839E-2</v>
      </c>
      <c r="BF26" s="884">
        <v>5.259730524536195E-2</v>
      </c>
      <c r="BG26" s="884">
        <v>9.4777871673078815E-2</v>
      </c>
      <c r="BH26" s="884">
        <v>4.0131751404773562E-2</v>
      </c>
      <c r="BI26" s="875" t="s">
        <v>497</v>
      </c>
    </row>
    <row r="27" spans="2:61">
      <c r="E27" s="148" t="s">
        <v>803</v>
      </c>
      <c r="F27" s="891">
        <f>I78</f>
        <v>486.83249999999998</v>
      </c>
      <c r="H27">
        <v>817.05</v>
      </c>
      <c r="R27" s="131"/>
      <c r="S27" s="131"/>
      <c r="T27" s="883" t="str">
        <f>"*H_"&amp;"*"&amp;RIGHT(W27,LEN(W27)-3)&amp;"_"&amp;SETUP!B64</f>
        <v>*H_*BIOSLU_X0</v>
      </c>
      <c r="U27" s="883" t="str">
        <f>COMM!F22&amp;"_"&amp;SETUP!C64</f>
        <v>Non-Renewable Waste to Residential_Existing 00</v>
      </c>
      <c r="V27" s="883" t="str">
        <f>RSD_Balance!A25</f>
        <v>BIOSLU</v>
      </c>
      <c r="W27" s="883" t="s">
        <v>694</v>
      </c>
      <c r="X27" s="883">
        <v>1</v>
      </c>
      <c r="Y27" s="883"/>
      <c r="Z27" s="883"/>
      <c r="AA27" s="883"/>
      <c r="AB27" s="883">
        <v>5.2909653443917494E-2</v>
      </c>
      <c r="AC27" s="883">
        <v>0.1130595111768057</v>
      </c>
      <c r="AD27" s="883">
        <v>0.18480169736713609</v>
      </c>
      <c r="AE27" s="883">
        <v>9.1980608893918028E-2</v>
      </c>
      <c r="AF27" s="883">
        <v>4.0248445684114405E-2</v>
      </c>
      <c r="AG27" s="883">
        <v>6.6194646918417144E-2</v>
      </c>
      <c r="AH27" s="883">
        <v>0.12021532312122017</v>
      </c>
      <c r="AI27" s="883">
        <v>5.2154967135292975E-2</v>
      </c>
      <c r="AJ27" s="883">
        <v>1.3178805351752886E-2</v>
      </c>
      <c r="AK27" s="883">
        <v>1.4108453121111133E-2</v>
      </c>
      <c r="AL27" s="883">
        <v>2.1205986611954164E-2</v>
      </c>
      <c r="AM27" s="883">
        <v>7.1491504124769718E-3</v>
      </c>
      <c r="AN27" s="883">
        <v>3.4589279795612465E-2</v>
      </c>
      <c r="AO27" s="883">
        <v>5.5365584468802055E-2</v>
      </c>
      <c r="AP27" s="883">
        <v>9.9766180708504015E-2</v>
      </c>
      <c r="AQ27" s="883">
        <v>4.2243948847130071E-2</v>
      </c>
      <c r="AR27" s="881"/>
      <c r="AS27" s="883">
        <v>5.0264170771721614E-2</v>
      </c>
      <c r="AT27" s="883">
        <v>0.10740653561796541</v>
      </c>
      <c r="AU27" s="883">
        <v>0.17556161249877927</v>
      </c>
      <c r="AV27" s="883">
        <v>8.7381578449222119E-2</v>
      </c>
      <c r="AW27" s="883">
        <v>3.8236023399908683E-2</v>
      </c>
      <c r="AX27" s="883">
        <v>6.2884914572496287E-2</v>
      </c>
      <c r="AY27" s="883">
        <v>0.11420455696515916</v>
      </c>
      <c r="AZ27" s="883">
        <v>4.9547218778528322E-2</v>
      </c>
      <c r="BA27" s="883">
        <v>1.2519865084165241E-2</v>
      </c>
      <c r="BB27" s="883">
        <v>1.3403030465055575E-2</v>
      </c>
      <c r="BC27" s="883">
        <v>2.0145687281356454E-2</v>
      </c>
      <c r="BD27" s="883">
        <v>6.7916928918531228E-3</v>
      </c>
      <c r="BE27" s="883">
        <v>3.2859815805831839E-2</v>
      </c>
      <c r="BF27" s="883">
        <v>5.259730524536195E-2</v>
      </c>
      <c r="BG27" s="883">
        <v>9.4777871673078815E-2</v>
      </c>
      <c r="BH27" s="883">
        <v>4.0131751404773562E-2</v>
      </c>
      <c r="BI27" s="875" t="s">
        <v>497</v>
      </c>
    </row>
    <row r="28" spans="2:61">
      <c r="E28" s="148" t="s">
        <v>804</v>
      </c>
      <c r="F28" s="891">
        <f>I79</f>
        <v>655.88249999999994</v>
      </c>
      <c r="H28">
        <v>345.07500000000005</v>
      </c>
      <c r="R28" s="131"/>
      <c r="S28" s="131"/>
      <c r="T28" s="884" t="str">
        <f>"*H_"&amp;"*"&amp;"SMF"&amp;"_"&amp;SETUP!B64</f>
        <v>*H_*SMF_X0</v>
      </c>
      <c r="U28" s="884" t="str">
        <f>COMM!F23&amp;"_"&amp;SETUP!C64</f>
        <v>Solid Multi-Fuel_Existing 00</v>
      </c>
      <c r="V28" s="884" t="s">
        <v>591</v>
      </c>
      <c r="W28" s="884" t="s">
        <v>676</v>
      </c>
      <c r="X28" s="884">
        <v>0.09</v>
      </c>
      <c r="Y28" s="884"/>
      <c r="Z28" s="884"/>
      <c r="AA28" s="884"/>
      <c r="AB28" s="884">
        <v>5.2909653443917494E-2</v>
      </c>
      <c r="AC28" s="884">
        <v>0.1130595111768057</v>
      </c>
      <c r="AD28" s="884">
        <v>0.18480169736713609</v>
      </c>
      <c r="AE28" s="884">
        <v>9.1980608893918028E-2</v>
      </c>
      <c r="AF28" s="884">
        <v>4.0248445684114405E-2</v>
      </c>
      <c r="AG28" s="884">
        <v>6.6194646918417144E-2</v>
      </c>
      <c r="AH28" s="884">
        <v>0.12021532312122017</v>
      </c>
      <c r="AI28" s="884">
        <v>5.2154967135292975E-2</v>
      </c>
      <c r="AJ28" s="884">
        <v>1.3178805351752886E-2</v>
      </c>
      <c r="AK28" s="884">
        <v>1.4108453121111133E-2</v>
      </c>
      <c r="AL28" s="884">
        <v>2.1205986611954164E-2</v>
      </c>
      <c r="AM28" s="884">
        <v>7.1491504124769718E-3</v>
      </c>
      <c r="AN28" s="884">
        <v>3.4589279795612465E-2</v>
      </c>
      <c r="AO28" s="884">
        <v>5.5365584468802055E-2</v>
      </c>
      <c r="AP28" s="884">
        <v>9.9766180708504015E-2</v>
      </c>
      <c r="AQ28" s="884">
        <v>4.2243948847130071E-2</v>
      </c>
      <c r="AR28" s="881"/>
      <c r="AS28" s="884">
        <v>5.0264170771721614E-2</v>
      </c>
      <c r="AT28" s="884">
        <v>0.10740653561796541</v>
      </c>
      <c r="AU28" s="884">
        <v>0.17556161249877927</v>
      </c>
      <c r="AV28" s="884">
        <v>8.7381578449222119E-2</v>
      </c>
      <c r="AW28" s="884">
        <v>3.8236023399908683E-2</v>
      </c>
      <c r="AX28" s="884">
        <v>6.2884914572496287E-2</v>
      </c>
      <c r="AY28" s="884">
        <v>0.11420455696515916</v>
      </c>
      <c r="AZ28" s="884">
        <v>4.9547218778528322E-2</v>
      </c>
      <c r="BA28" s="884">
        <v>1.2519865084165241E-2</v>
      </c>
      <c r="BB28" s="884">
        <v>1.3403030465055575E-2</v>
      </c>
      <c r="BC28" s="884">
        <v>2.0145687281356454E-2</v>
      </c>
      <c r="BD28" s="884">
        <v>6.7916928918531228E-3</v>
      </c>
      <c r="BE28" s="884">
        <v>3.2859815805831839E-2</v>
      </c>
      <c r="BF28" s="884">
        <v>5.259730524536195E-2</v>
      </c>
      <c r="BG28" s="884">
        <v>9.4777871673078815E-2</v>
      </c>
      <c r="BH28" s="884">
        <v>4.0131751404773562E-2</v>
      </c>
      <c r="BI28" s="875" t="s">
        <v>497</v>
      </c>
    </row>
    <row r="29" spans="2:61">
      <c r="E29" s="148" t="s">
        <v>805</v>
      </c>
      <c r="F29" s="891">
        <f>I80</f>
        <v>456.48</v>
      </c>
      <c r="H29">
        <v>723.67499999999995</v>
      </c>
      <c r="R29" s="131"/>
      <c r="S29" s="131"/>
      <c r="T29" s="883" t="str">
        <f>"*H_"&amp;"*"&amp;"SMF"&amp;"_"&amp;SETUP!B64</f>
        <v>*H_*SMF_X0</v>
      </c>
      <c r="U29" s="883" t="str">
        <f>COMM!F23&amp;"_"&amp;SETUP!C64</f>
        <v>Solid Multi-Fuel_Existing 00</v>
      </c>
      <c r="V29" s="883"/>
      <c r="W29" s="883" t="s">
        <v>677</v>
      </c>
      <c r="X29" s="883">
        <v>0.04</v>
      </c>
      <c r="Y29" s="883"/>
      <c r="Z29" s="883"/>
      <c r="AA29" s="883"/>
      <c r="AB29" s="883">
        <v>5.2909653443917494E-2</v>
      </c>
      <c r="AC29" s="883">
        <v>0.1130595111768057</v>
      </c>
      <c r="AD29" s="883">
        <v>0.18480169736713609</v>
      </c>
      <c r="AE29" s="883">
        <v>9.1980608893918028E-2</v>
      </c>
      <c r="AF29" s="883">
        <v>4.0248445684114405E-2</v>
      </c>
      <c r="AG29" s="883">
        <v>6.6194646918417144E-2</v>
      </c>
      <c r="AH29" s="883">
        <v>0.12021532312122017</v>
      </c>
      <c r="AI29" s="883">
        <v>5.2154967135292975E-2</v>
      </c>
      <c r="AJ29" s="883">
        <v>1.3178805351752886E-2</v>
      </c>
      <c r="AK29" s="883">
        <v>1.4108453121111133E-2</v>
      </c>
      <c r="AL29" s="883">
        <v>2.1205986611954164E-2</v>
      </c>
      <c r="AM29" s="883">
        <v>7.1491504124769718E-3</v>
      </c>
      <c r="AN29" s="883">
        <v>3.4589279795612465E-2</v>
      </c>
      <c r="AO29" s="883">
        <v>5.5365584468802055E-2</v>
      </c>
      <c r="AP29" s="883">
        <v>9.9766180708504015E-2</v>
      </c>
      <c r="AQ29" s="883">
        <v>4.2243948847130071E-2</v>
      </c>
      <c r="AR29" s="881"/>
      <c r="AS29" s="883">
        <v>5.0264170771721614E-2</v>
      </c>
      <c r="AT29" s="883">
        <v>0.10740653561796541</v>
      </c>
      <c r="AU29" s="883">
        <v>0.17556161249877927</v>
      </c>
      <c r="AV29" s="883">
        <v>8.7381578449222119E-2</v>
      </c>
      <c r="AW29" s="883">
        <v>3.8236023399908683E-2</v>
      </c>
      <c r="AX29" s="883">
        <v>6.2884914572496287E-2</v>
      </c>
      <c r="AY29" s="883">
        <v>0.11420455696515916</v>
      </c>
      <c r="AZ29" s="883">
        <v>4.9547218778528322E-2</v>
      </c>
      <c r="BA29" s="883">
        <v>1.2519865084165241E-2</v>
      </c>
      <c r="BB29" s="883">
        <v>1.3403030465055575E-2</v>
      </c>
      <c r="BC29" s="883">
        <v>2.0145687281356454E-2</v>
      </c>
      <c r="BD29" s="883">
        <v>6.7916928918531228E-3</v>
      </c>
      <c r="BE29" s="883">
        <v>3.2859815805831839E-2</v>
      </c>
      <c r="BF29" s="883">
        <v>5.259730524536195E-2</v>
      </c>
      <c r="BG29" s="883">
        <v>9.4777871673078815E-2</v>
      </c>
      <c r="BH29" s="883">
        <v>4.0131751404773562E-2</v>
      </c>
      <c r="BI29" s="875" t="s">
        <v>497</v>
      </c>
    </row>
    <row r="30" spans="2:61">
      <c r="E30" s="148" t="s">
        <v>820</v>
      </c>
      <c r="F30" s="891">
        <f>SUM(F26:F29)</f>
        <v>2474.3175000000001</v>
      </c>
      <c r="R30" s="131"/>
      <c r="S30" s="131"/>
      <c r="T30" s="884" t="str">
        <f>"*H_"&amp;"*"&amp;"SMF"&amp;"_"&amp;SETUP!B64</f>
        <v>*H_*SMF_X0</v>
      </c>
      <c r="U30" s="884" t="str">
        <f>COMM!F23&amp;"_"&amp;SETUP!C64</f>
        <v>Solid Multi-Fuel_Existing 00</v>
      </c>
      <c r="V30" s="884"/>
      <c r="W30" s="884" t="s">
        <v>679</v>
      </c>
      <c r="X30" s="884">
        <v>0.02</v>
      </c>
      <c r="Y30" s="884"/>
      <c r="Z30" s="884"/>
      <c r="AA30" s="884"/>
      <c r="AB30" s="884">
        <v>5.2909653443917494E-2</v>
      </c>
      <c r="AC30" s="884">
        <v>0.1130595111768057</v>
      </c>
      <c r="AD30" s="884">
        <v>0.18480169736713609</v>
      </c>
      <c r="AE30" s="884">
        <v>9.1980608893918028E-2</v>
      </c>
      <c r="AF30" s="884">
        <v>4.0248445684114405E-2</v>
      </c>
      <c r="AG30" s="884">
        <v>6.6194646918417144E-2</v>
      </c>
      <c r="AH30" s="884">
        <v>0.12021532312122017</v>
      </c>
      <c r="AI30" s="884">
        <v>5.2154967135292975E-2</v>
      </c>
      <c r="AJ30" s="884">
        <v>1.3178805351752886E-2</v>
      </c>
      <c r="AK30" s="884">
        <v>1.4108453121111133E-2</v>
      </c>
      <c r="AL30" s="884">
        <v>2.1205986611954164E-2</v>
      </c>
      <c r="AM30" s="884">
        <v>7.1491504124769718E-3</v>
      </c>
      <c r="AN30" s="884">
        <v>3.4589279795612465E-2</v>
      </c>
      <c r="AO30" s="884">
        <v>5.5365584468802055E-2</v>
      </c>
      <c r="AP30" s="884">
        <v>9.9766180708504015E-2</v>
      </c>
      <c r="AQ30" s="884">
        <v>4.2243948847130071E-2</v>
      </c>
      <c r="AR30" s="881"/>
      <c r="AS30" s="884">
        <v>5.0264170771721614E-2</v>
      </c>
      <c r="AT30" s="884">
        <v>0.10740653561796541</v>
      </c>
      <c r="AU30" s="884">
        <v>0.17556161249877927</v>
      </c>
      <c r="AV30" s="884">
        <v>8.7381578449222119E-2</v>
      </c>
      <c r="AW30" s="884">
        <v>3.8236023399908683E-2</v>
      </c>
      <c r="AX30" s="884">
        <v>6.2884914572496287E-2</v>
      </c>
      <c r="AY30" s="884">
        <v>0.11420455696515916</v>
      </c>
      <c r="AZ30" s="884">
        <v>4.9547218778528322E-2</v>
      </c>
      <c r="BA30" s="884">
        <v>1.2519865084165241E-2</v>
      </c>
      <c r="BB30" s="884">
        <v>1.3403030465055575E-2</v>
      </c>
      <c r="BC30" s="884">
        <v>2.0145687281356454E-2</v>
      </c>
      <c r="BD30" s="884">
        <v>6.7916928918531228E-3</v>
      </c>
      <c r="BE30" s="884">
        <v>3.2859815805831839E-2</v>
      </c>
      <c r="BF30" s="884">
        <v>5.259730524536195E-2</v>
      </c>
      <c r="BG30" s="884">
        <v>9.4777871673078815E-2</v>
      </c>
      <c r="BH30" s="884">
        <v>4.0131751404773562E-2</v>
      </c>
      <c r="BI30" s="875" t="s">
        <v>497</v>
      </c>
    </row>
    <row r="31" spans="2:61" ht="15">
      <c r="C31" s="73" t="s">
        <v>819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131"/>
      <c r="T31" s="883" t="str">
        <f>"*H_"&amp;"*"&amp;"SMF"&amp;"_"&amp;SETUP!B64</f>
        <v>*H_*SMF_X0</v>
      </c>
      <c r="U31" s="883" t="str">
        <f>COMM!F23&amp;"_"&amp;SETUP!C64</f>
        <v>Solid Multi-Fuel_Existing 00</v>
      </c>
      <c r="V31" s="883"/>
      <c r="W31" s="883" t="s">
        <v>499</v>
      </c>
      <c r="X31" s="883">
        <v>0.75</v>
      </c>
      <c r="Y31" s="883"/>
      <c r="Z31" s="883"/>
      <c r="AA31" s="883"/>
      <c r="AB31" s="883">
        <v>5.2909653443917494E-2</v>
      </c>
      <c r="AC31" s="883">
        <v>0.1130595111768057</v>
      </c>
      <c r="AD31" s="883">
        <v>0.18480169736713609</v>
      </c>
      <c r="AE31" s="883">
        <v>9.1980608893918028E-2</v>
      </c>
      <c r="AF31" s="883">
        <v>4.0248445684114405E-2</v>
      </c>
      <c r="AG31" s="883">
        <v>6.6194646918417144E-2</v>
      </c>
      <c r="AH31" s="883">
        <v>0.12021532312122017</v>
      </c>
      <c r="AI31" s="883">
        <v>5.2154967135292975E-2</v>
      </c>
      <c r="AJ31" s="883">
        <v>1.3178805351752886E-2</v>
      </c>
      <c r="AK31" s="883">
        <v>1.4108453121111133E-2</v>
      </c>
      <c r="AL31" s="883">
        <v>2.1205986611954164E-2</v>
      </c>
      <c r="AM31" s="883">
        <v>7.1491504124769718E-3</v>
      </c>
      <c r="AN31" s="883">
        <v>3.4589279795612465E-2</v>
      </c>
      <c r="AO31" s="883">
        <v>5.5365584468802055E-2</v>
      </c>
      <c r="AP31" s="883">
        <v>9.9766180708504015E-2</v>
      </c>
      <c r="AQ31" s="883">
        <v>4.2243948847130071E-2</v>
      </c>
      <c r="AR31" s="881"/>
      <c r="AS31" s="883">
        <v>5.0264170771721614E-2</v>
      </c>
      <c r="AT31" s="883">
        <v>0.10740653561796541</v>
      </c>
      <c r="AU31" s="883">
        <v>0.17556161249877927</v>
      </c>
      <c r="AV31" s="883">
        <v>8.7381578449222119E-2</v>
      </c>
      <c r="AW31" s="883">
        <v>3.8236023399908683E-2</v>
      </c>
      <c r="AX31" s="883">
        <v>6.2884914572496287E-2</v>
      </c>
      <c r="AY31" s="883">
        <v>0.11420455696515916</v>
      </c>
      <c r="AZ31" s="883">
        <v>4.9547218778528322E-2</v>
      </c>
      <c r="BA31" s="883">
        <v>1.2519865084165241E-2</v>
      </c>
      <c r="BB31" s="883">
        <v>1.3403030465055575E-2</v>
      </c>
      <c r="BC31" s="883">
        <v>2.0145687281356454E-2</v>
      </c>
      <c r="BD31" s="883">
        <v>6.7916928918531228E-3</v>
      </c>
      <c r="BE31" s="883">
        <v>3.2859815805831839E-2</v>
      </c>
      <c r="BF31" s="883">
        <v>5.259730524536195E-2</v>
      </c>
      <c r="BG31" s="883">
        <v>9.4777871673078815E-2</v>
      </c>
      <c r="BH31" s="883">
        <v>4.0131751404773562E-2</v>
      </c>
      <c r="BI31" s="875" t="s">
        <v>497</v>
      </c>
    </row>
    <row r="32" spans="2:61">
      <c r="D32" s="323" t="s">
        <v>806</v>
      </c>
      <c r="H32" t="s">
        <v>821</v>
      </c>
      <c r="R32" s="131"/>
      <c r="S32" s="131"/>
      <c r="T32" s="884" t="str">
        <f>"*H_"&amp;"*"&amp;"SMF"&amp;"_"&amp;SETUP!B64</f>
        <v>*H_*SMF_X0</v>
      </c>
      <c r="U32" s="884" t="str">
        <f>COMM!F23&amp;"_"&amp;SETUP!C64</f>
        <v>Solid Multi-Fuel_Existing 00</v>
      </c>
      <c r="V32" s="884"/>
      <c r="W32" s="884" t="s">
        <v>688</v>
      </c>
      <c r="X32" s="884">
        <v>0.1</v>
      </c>
      <c r="Y32" s="884"/>
      <c r="Z32" s="884"/>
      <c r="AA32" s="884"/>
      <c r="AB32" s="884">
        <v>5.2909653443917494E-2</v>
      </c>
      <c r="AC32" s="884">
        <v>0.1130595111768057</v>
      </c>
      <c r="AD32" s="884">
        <v>0.18480169736713609</v>
      </c>
      <c r="AE32" s="884">
        <v>9.1980608893918028E-2</v>
      </c>
      <c r="AF32" s="884">
        <v>4.0248445684114405E-2</v>
      </c>
      <c r="AG32" s="884">
        <v>6.6194646918417144E-2</v>
      </c>
      <c r="AH32" s="884">
        <v>0.12021532312122017</v>
      </c>
      <c r="AI32" s="884">
        <v>5.2154967135292975E-2</v>
      </c>
      <c r="AJ32" s="884">
        <v>1.3178805351752886E-2</v>
      </c>
      <c r="AK32" s="884">
        <v>1.4108453121111133E-2</v>
      </c>
      <c r="AL32" s="884">
        <v>2.1205986611954164E-2</v>
      </c>
      <c r="AM32" s="884">
        <v>7.1491504124769718E-3</v>
      </c>
      <c r="AN32" s="884">
        <v>3.4589279795612465E-2</v>
      </c>
      <c r="AO32" s="884">
        <v>5.5365584468802055E-2</v>
      </c>
      <c r="AP32" s="884">
        <v>9.9766180708504015E-2</v>
      </c>
      <c r="AQ32" s="884">
        <v>4.2243948847130071E-2</v>
      </c>
      <c r="AR32" s="881"/>
      <c r="AS32" s="884">
        <v>5.0264170771721614E-2</v>
      </c>
      <c r="AT32" s="884">
        <v>0.10740653561796541</v>
      </c>
      <c r="AU32" s="884">
        <v>0.17556161249877927</v>
      </c>
      <c r="AV32" s="884">
        <v>8.7381578449222119E-2</v>
      </c>
      <c r="AW32" s="884">
        <v>3.8236023399908683E-2</v>
      </c>
      <c r="AX32" s="884">
        <v>6.2884914572496287E-2</v>
      </c>
      <c r="AY32" s="884">
        <v>0.11420455696515916</v>
      </c>
      <c r="AZ32" s="884">
        <v>4.9547218778528322E-2</v>
      </c>
      <c r="BA32" s="884">
        <v>1.2519865084165241E-2</v>
      </c>
      <c r="BB32" s="884">
        <v>1.3403030465055575E-2</v>
      </c>
      <c r="BC32" s="884">
        <v>2.0145687281356454E-2</v>
      </c>
      <c r="BD32" s="884">
        <v>6.7916928918531228E-3</v>
      </c>
      <c r="BE32" s="884">
        <v>3.2859815805831839E-2</v>
      </c>
      <c r="BF32" s="884">
        <v>5.259730524536195E-2</v>
      </c>
      <c r="BG32" s="884">
        <v>9.4777871673078815E-2</v>
      </c>
      <c r="BH32" s="884">
        <v>4.0131751404773562E-2</v>
      </c>
      <c r="BI32" s="875" t="s">
        <v>497</v>
      </c>
    </row>
    <row r="33" spans="2:61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131"/>
      <c r="T33" s="883" t="str">
        <f>"*H_"&amp;"*"&amp;RIGHT(W33,LEN(W33)-3)&amp;"_"&amp;SETUP!B64</f>
        <v>*H_*ELC_X0</v>
      </c>
      <c r="U33" s="883" t="str">
        <f>COMM!F24&amp;"_"&amp;SETUP!C64</f>
        <v>Electricity to Residential_Existing 00</v>
      </c>
      <c r="V33" s="883" t="str">
        <f>RSD_Balance!A26</f>
        <v>ELC</v>
      </c>
      <c r="W33" s="883" t="s">
        <v>498</v>
      </c>
      <c r="X33" s="883">
        <v>1</v>
      </c>
      <c r="Y33" s="883"/>
      <c r="Z33" s="883"/>
      <c r="AA33" s="883"/>
      <c r="AB33" s="883">
        <v>5.2909653443917494E-2</v>
      </c>
      <c r="AC33" s="883">
        <v>0.1130595111768057</v>
      </c>
      <c r="AD33" s="883">
        <v>0.18480169736713609</v>
      </c>
      <c r="AE33" s="883">
        <v>9.1980608893918028E-2</v>
      </c>
      <c r="AF33" s="883">
        <v>4.0248445684114405E-2</v>
      </c>
      <c r="AG33" s="883">
        <v>6.6194646918417144E-2</v>
      </c>
      <c r="AH33" s="883">
        <v>0.12021532312122017</v>
      </c>
      <c r="AI33" s="883">
        <v>5.2154967135292975E-2</v>
      </c>
      <c r="AJ33" s="883">
        <v>1.3178805351752886E-2</v>
      </c>
      <c r="AK33" s="883">
        <v>1.4108453121111133E-2</v>
      </c>
      <c r="AL33" s="883">
        <v>2.1205986611954164E-2</v>
      </c>
      <c r="AM33" s="883">
        <v>7.1491504124769718E-3</v>
      </c>
      <c r="AN33" s="883">
        <v>3.4589279795612465E-2</v>
      </c>
      <c r="AO33" s="883">
        <v>5.5365584468802055E-2</v>
      </c>
      <c r="AP33" s="883">
        <v>9.9766180708504015E-2</v>
      </c>
      <c r="AQ33" s="883">
        <v>4.2243948847130071E-2</v>
      </c>
      <c r="AR33" s="881"/>
      <c r="AS33" s="883">
        <v>5.0264170771721614E-2</v>
      </c>
      <c r="AT33" s="883">
        <v>0.10740653561796541</v>
      </c>
      <c r="AU33" s="883">
        <v>0.17556161249877927</v>
      </c>
      <c r="AV33" s="883">
        <v>8.7381578449222119E-2</v>
      </c>
      <c r="AW33" s="883">
        <v>3.8236023399908683E-2</v>
      </c>
      <c r="AX33" s="883">
        <v>6.2884914572496287E-2</v>
      </c>
      <c r="AY33" s="883">
        <v>0.11420455696515916</v>
      </c>
      <c r="AZ33" s="883">
        <v>4.9547218778528322E-2</v>
      </c>
      <c r="BA33" s="883">
        <v>1.2519865084165241E-2</v>
      </c>
      <c r="BB33" s="883">
        <v>1.3403030465055575E-2</v>
      </c>
      <c r="BC33" s="883">
        <v>2.0145687281356454E-2</v>
      </c>
      <c r="BD33" s="883">
        <v>6.7916928918531228E-3</v>
      </c>
      <c r="BE33" s="883">
        <v>3.2859815805831839E-2</v>
      </c>
      <c r="BF33" s="883">
        <v>5.259730524536195E-2</v>
      </c>
      <c r="BG33" s="883">
        <v>9.4777871673078815E-2</v>
      </c>
      <c r="BH33" s="883">
        <v>4.0131751404773562E-2</v>
      </c>
      <c r="BI33" s="875" t="s">
        <v>497</v>
      </c>
    </row>
    <row r="34" spans="2:61" ht="13.5" thickBot="1">
      <c r="C34" s="889" t="s">
        <v>807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131"/>
      <c r="T34" s="884" t="str">
        <f>"*H_"&amp;"*"&amp;RIGHT(W34,LEN(W34)-3)&amp;"_"&amp;SETUP!B64</f>
        <v>*H_*HET_X0</v>
      </c>
      <c r="U34" s="884" t="str">
        <f>COMM!F25&amp;"_"&amp;SETUP!C64</f>
        <v>Heat to Residential_Existing 00</v>
      </c>
      <c r="V34" s="884" t="str">
        <f>RSD_Balance!A27</f>
        <v>HET</v>
      </c>
      <c r="W34" s="884" t="s">
        <v>495</v>
      </c>
      <c r="X34" s="884">
        <v>1</v>
      </c>
      <c r="Y34" s="884"/>
      <c r="Z34" s="884"/>
      <c r="AA34" s="884"/>
      <c r="AB34" s="884">
        <v>5.2909653443917494E-2</v>
      </c>
      <c r="AC34" s="884">
        <v>0.1130595111768057</v>
      </c>
      <c r="AD34" s="884">
        <v>0.18480169736713609</v>
      </c>
      <c r="AE34" s="884">
        <v>9.1980608893918028E-2</v>
      </c>
      <c r="AF34" s="884">
        <v>4.0248445684114405E-2</v>
      </c>
      <c r="AG34" s="884">
        <v>6.6194646918417144E-2</v>
      </c>
      <c r="AH34" s="884">
        <v>0.12021532312122017</v>
      </c>
      <c r="AI34" s="884">
        <v>5.2154967135292975E-2</v>
      </c>
      <c r="AJ34" s="884">
        <v>1.3178805351752886E-2</v>
      </c>
      <c r="AK34" s="884">
        <v>1.4108453121111133E-2</v>
      </c>
      <c r="AL34" s="884">
        <v>2.1205986611954164E-2</v>
      </c>
      <c r="AM34" s="884">
        <v>7.1491504124769718E-3</v>
      </c>
      <c r="AN34" s="884">
        <v>3.4589279795612465E-2</v>
      </c>
      <c r="AO34" s="884">
        <v>5.5365584468802055E-2</v>
      </c>
      <c r="AP34" s="884">
        <v>9.9766180708504015E-2</v>
      </c>
      <c r="AQ34" s="884">
        <v>4.2243948847130071E-2</v>
      </c>
      <c r="AR34" s="882"/>
      <c r="AS34" s="884">
        <v>5.0264170771721614E-2</v>
      </c>
      <c r="AT34" s="884">
        <v>0.10740653561796541</v>
      </c>
      <c r="AU34" s="884">
        <v>0.17556161249877927</v>
      </c>
      <c r="AV34" s="884">
        <v>8.7381578449222119E-2</v>
      </c>
      <c r="AW34" s="884">
        <v>3.8236023399908683E-2</v>
      </c>
      <c r="AX34" s="884">
        <v>6.2884914572496287E-2</v>
      </c>
      <c r="AY34" s="884">
        <v>0.11420455696515916</v>
      </c>
      <c r="AZ34" s="884">
        <v>4.9547218778528322E-2</v>
      </c>
      <c r="BA34" s="884">
        <v>1.2519865084165241E-2</v>
      </c>
      <c r="BB34" s="884">
        <v>1.3403030465055575E-2</v>
      </c>
      <c r="BC34" s="884">
        <v>2.0145687281356454E-2</v>
      </c>
      <c r="BD34" s="884">
        <v>6.7916928918531228E-3</v>
      </c>
      <c r="BE34" s="884">
        <v>3.2859815805831839E-2</v>
      </c>
      <c r="BF34" s="884">
        <v>5.259730524536195E-2</v>
      </c>
      <c r="BG34" s="884">
        <v>9.4777871673078815E-2</v>
      </c>
      <c r="BH34" s="884">
        <v>4.0131751404773562E-2</v>
      </c>
      <c r="BI34" s="875" t="s">
        <v>497</v>
      </c>
    </row>
    <row r="35" spans="2:61">
      <c r="C35" s="889" t="s">
        <v>808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  <c r="S35" s="131"/>
    </row>
    <row r="36" spans="2:61">
      <c r="C36" s="889" t="s">
        <v>809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  <c r="S36" s="131"/>
    </row>
    <row r="37" spans="2:61">
      <c r="C37" s="889" t="s">
        <v>810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131"/>
      <c r="T37" s="866" t="s">
        <v>755</v>
      </c>
      <c r="U37" s="867" t="s">
        <v>756</v>
      </c>
      <c r="V37" s="867" t="s">
        <v>757</v>
      </c>
      <c r="W37" s="867" t="s">
        <v>758</v>
      </c>
      <c r="X37" s="868" t="s">
        <v>759</v>
      </c>
    </row>
    <row r="38" spans="2:61">
      <c r="C38" s="889" t="s">
        <v>811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131"/>
      <c r="T38" s="869" t="s">
        <v>760</v>
      </c>
      <c r="U38" s="870" t="s">
        <v>67</v>
      </c>
      <c r="V38" s="870">
        <v>700</v>
      </c>
      <c r="W38" s="870">
        <v>1700</v>
      </c>
      <c r="X38" s="871">
        <v>10</v>
      </c>
    </row>
    <row r="39" spans="2:61">
      <c r="C39" s="889" t="s">
        <v>812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131"/>
      <c r="T39" s="869" t="s">
        <v>761</v>
      </c>
      <c r="U39" s="870" t="s">
        <v>762</v>
      </c>
      <c r="V39" s="870">
        <v>1700</v>
      </c>
      <c r="W39" s="870">
        <v>2000</v>
      </c>
      <c r="X39" s="871">
        <v>3</v>
      </c>
    </row>
    <row r="40" spans="2:61">
      <c r="C40" s="889" t="s">
        <v>813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131"/>
      <c r="T40" s="869" t="s">
        <v>763</v>
      </c>
      <c r="U40" s="870" t="s">
        <v>69</v>
      </c>
      <c r="V40" s="870">
        <v>2000</v>
      </c>
      <c r="W40" s="870">
        <v>0</v>
      </c>
      <c r="X40" s="871">
        <v>4</v>
      </c>
    </row>
    <row r="41" spans="2:61">
      <c r="C41" s="889" t="s">
        <v>814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131"/>
      <c r="T41" s="872" t="s">
        <v>764</v>
      </c>
      <c r="U41" s="873" t="s">
        <v>765</v>
      </c>
      <c r="V41" s="873">
        <v>0</v>
      </c>
      <c r="W41" s="873">
        <v>700</v>
      </c>
      <c r="X41" s="874">
        <v>7</v>
      </c>
    </row>
    <row r="42" spans="2:61">
      <c r="C42" s="889" t="s">
        <v>815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  <c r="S42" s="131"/>
    </row>
    <row r="43" spans="2:61">
      <c r="C43" s="889" t="s">
        <v>816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  <c r="S43" s="131"/>
    </row>
    <row r="44" spans="2:61">
      <c r="C44" s="889" t="s">
        <v>817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1">
      <c r="C45" s="889" t="s">
        <v>818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1">
      <c r="B46">
        <v>2012</v>
      </c>
      <c r="C46" s="148" t="s">
        <v>802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1">
      <c r="B47" s="890">
        <v>335.17</v>
      </c>
      <c r="C47" s="148" t="s">
        <v>803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1">
      <c r="B48" s="890">
        <v>303.10000000000002</v>
      </c>
      <c r="C48" s="148" t="s">
        <v>804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805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822</v>
      </c>
      <c r="E57" s="148" t="s">
        <v>823</v>
      </c>
    </row>
    <row r="58" spans="2:17">
      <c r="B58" s="890">
        <v>371.05</v>
      </c>
      <c r="C58" s="148" t="s">
        <v>802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803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804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805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9" ht="15">
      <c r="R134" s="893"/>
      <c r="S134" s="893"/>
    </row>
    <row r="135" spans="18:19" ht="15">
      <c r="R135" s="893"/>
      <c r="S135" s="893"/>
    </row>
    <row r="136" spans="18:19" ht="15">
      <c r="R136" s="893"/>
      <c r="S136" s="893"/>
    </row>
    <row r="137" spans="18:19" ht="15">
      <c r="R137" s="893"/>
      <c r="S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topLeftCell="A3" zoomScale="110" zoomScaleNormal="110" workbookViewId="0">
      <selection activeCell="O25" sqref="O25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6" s="652" customFormat="1"/>
    <row r="2" spans="2:26" ht="21">
      <c r="C2" s="120" t="s">
        <v>1256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297</v>
      </c>
      <c r="T2" s="68"/>
      <c r="U2" s="652"/>
      <c r="V2" s="701"/>
      <c r="W2" s="701"/>
      <c r="X2" s="701"/>
      <c r="Y2" s="701"/>
    </row>
    <row r="3" spans="2:26" ht="15">
      <c r="B3" s="73" t="s">
        <v>1297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1323</v>
      </c>
      <c r="J3" s="73" t="s">
        <v>1239</v>
      </c>
      <c r="K3" s="86" t="s">
        <v>304</v>
      </c>
      <c r="L3" s="86" t="s">
        <v>316</v>
      </c>
      <c r="M3" s="91" t="s">
        <v>1324</v>
      </c>
      <c r="N3" s="91" t="s">
        <v>1325</v>
      </c>
      <c r="O3" s="86" t="s">
        <v>1238</v>
      </c>
      <c r="P3" s="91" t="s">
        <v>1237</v>
      </c>
      <c r="R3" s="893"/>
      <c r="S3" s="73" t="s">
        <v>305</v>
      </c>
      <c r="T3" s="73" t="s">
        <v>1297</v>
      </c>
      <c r="U3" s="73" t="s">
        <v>298</v>
      </c>
      <c r="V3" s="73" t="s">
        <v>299</v>
      </c>
      <c r="W3" s="73" t="s">
        <v>306</v>
      </c>
      <c r="X3" s="73" t="s">
        <v>307</v>
      </c>
      <c r="Y3" s="73" t="s">
        <v>308</v>
      </c>
      <c r="Z3" s="73" t="s">
        <v>309</v>
      </c>
    </row>
    <row r="4" spans="2:26" ht="26.25" thickBot="1">
      <c r="B4" s="74" t="s">
        <v>1298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74"/>
      <c r="K4" s="87"/>
      <c r="L4" s="87"/>
      <c r="M4" s="630" t="s">
        <v>477</v>
      </c>
      <c r="N4" s="87" t="s">
        <v>1326</v>
      </c>
      <c r="O4" s="87" t="s">
        <v>19</v>
      </c>
      <c r="P4" s="630" t="s">
        <v>19</v>
      </c>
      <c r="R4" s="893"/>
      <c r="S4" s="75" t="s">
        <v>295</v>
      </c>
      <c r="T4" s="74" t="s">
        <v>1298</v>
      </c>
      <c r="U4" s="75"/>
      <c r="V4" s="74"/>
      <c r="W4" s="75"/>
      <c r="X4" s="75"/>
      <c r="Y4" s="75"/>
      <c r="Z4" s="75"/>
    </row>
    <row r="5" spans="2:26" ht="15.75">
      <c r="B5" s="920" t="str">
        <f>_xlfn.TEXTJOIN(",",TRUE,IF(LEFT(Regions!$C$3,1)&lt;&gt;"*",Regions!$C$3,""),IF(LEFT(Regions!$D$3,1)&lt;&gt;"*",Regions!$D$3,""))</f>
        <v>IE,National</v>
      </c>
      <c r="C5" s="920" t="str">
        <f>COMM!E32&amp;"_"&amp;SETUP!$B$64</f>
        <v>RSDRRF_X0</v>
      </c>
      <c r="D5" s="920" t="str">
        <f>COMM!F32</f>
        <v>Residential Refrigeration</v>
      </c>
      <c r="E5" s="920" t="str">
        <f>COMM!$E$24</f>
        <v>RSDELC</v>
      </c>
      <c r="F5" s="920" t="str">
        <f>COMM!E32</f>
        <v>RSDRRF</v>
      </c>
      <c r="G5" s="1028">
        <f>DwellingStocks!$L$38/1000*RSD_Balance!U38</f>
        <v>1697.5803349999996</v>
      </c>
      <c r="H5" s="920">
        <v>0.8</v>
      </c>
      <c r="I5" s="920"/>
      <c r="J5" s="1030">
        <f>O5/G5/L5</f>
        <v>1.0395000000000001E-3</v>
      </c>
      <c r="K5" s="1024">
        <v>10</v>
      </c>
      <c r="L5" s="747">
        <v>1</v>
      </c>
      <c r="M5" s="747"/>
      <c r="N5" s="747"/>
      <c r="O5" s="946">
        <f>P5/H5</f>
        <v>1.7646347582324997</v>
      </c>
      <c r="P5" s="1023">
        <f>(RSD_Balance!T38*0.0000000036)*(DwellingStocks!$L$38*RSD_Balance!U38)</f>
        <v>1.4117078065859998</v>
      </c>
      <c r="R5" s="893"/>
      <c r="S5" s="746" t="s">
        <v>322</v>
      </c>
      <c r="T5" s="746" t="str">
        <f>_xlfn.TEXTJOIN(",",TRUE,IF(LEFT(Regions!$C$3,1)&lt;&gt;"*",Regions!$C$3,""),IF(LEFT(Regions!$D$3,1)&lt;&gt;"*",Regions!$D$3,""))</f>
        <v>IE,National</v>
      </c>
      <c r="U5" s="746" t="str">
        <f>C5</f>
        <v>RSDRRF_X0</v>
      </c>
      <c r="V5" s="746" t="str">
        <f>D5</f>
        <v>Residential Refrigeration</v>
      </c>
      <c r="W5" s="746" t="s">
        <v>19</v>
      </c>
      <c r="X5" s="746" t="s">
        <v>1299</v>
      </c>
      <c r="Y5" s="746"/>
      <c r="Z5" s="746"/>
    </row>
    <row r="6" spans="2:26" ht="15">
      <c r="B6" s="148" t="str">
        <f>_xlfn.TEXTJOIN(",",TRUE,IF(LEFT(Regions!$C$3,1)&lt;&gt;"*",Regions!$C$3,""),IF(LEFT(Regions!$D$3,1)&lt;&gt;"*",Regions!$D$3,""))</f>
        <v>IE,National</v>
      </c>
      <c r="C6" s="148" t="str">
        <f>COMM!E33&amp;"_"&amp;SETUP!$B$64</f>
        <v>RSDRCK_X0</v>
      </c>
      <c r="D6" s="148" t="str">
        <f>COMM!F33</f>
        <v>Residential Cooking</v>
      </c>
      <c r="E6" s="148" t="str">
        <f>COMM!E24</f>
        <v>RSDELC</v>
      </c>
      <c r="F6" s="148" t="str">
        <f>COMM!$E$33</f>
        <v>RSDRCK</v>
      </c>
      <c r="G6" s="1028">
        <f>DwellingStocks!$L$38/1000</f>
        <v>1697.5803349999996</v>
      </c>
      <c r="H6" s="652"/>
      <c r="I6" s="1027">
        <v>0.74</v>
      </c>
      <c r="J6" s="1031">
        <f>(SUM(O6:O8))/G6/L6</f>
        <v>2.2478349106259702E-3</v>
      </c>
      <c r="K6" s="604">
        <v>15</v>
      </c>
      <c r="L6" s="652">
        <v>1</v>
      </c>
      <c r="M6" s="1026">
        <v>0.76</v>
      </c>
      <c r="N6" s="646">
        <v>5</v>
      </c>
      <c r="O6" s="1027">
        <f>P6/I6</f>
        <v>2.7726136626079474</v>
      </c>
      <c r="P6" s="1025">
        <f>'[3]1d_Cooking'!L6*0.0036</f>
        <v>2.051734110329881</v>
      </c>
      <c r="R6" s="893"/>
      <c r="S6" s="652" t="s">
        <v>322</v>
      </c>
      <c r="T6" s="652" t="str">
        <f>_xlfn.TEXTJOIN(",",TRUE,IF(LEFT(Regions!$C$3,1)&lt;&gt;"*",Regions!$C$3,""),IF(LEFT(Regions!$D$3,1)&lt;&gt;"*",Regions!$D$3,""))</f>
        <v>IE,National</v>
      </c>
      <c r="U6" s="652" t="str">
        <f>C6</f>
        <v>RSDRCK_X0</v>
      </c>
      <c r="V6" s="652" t="str">
        <f>D6</f>
        <v>Residential Cooking</v>
      </c>
      <c r="W6" s="652" t="s">
        <v>19</v>
      </c>
      <c r="X6" s="652" t="s">
        <v>1299</v>
      </c>
      <c r="Y6" s="652"/>
      <c r="Z6" s="652"/>
    </row>
    <row r="7" spans="2:26" ht="15.75">
      <c r="B7" s="920" t="str">
        <f>_xlfn.TEXTJOIN(",",TRUE,IF(LEFT(Regions!$C$3,1)&lt;&gt;"*",Regions!$C$3,""),IF(LEFT(Regions!$D$3,1)&lt;&gt;"*",Regions!$D$3,""))</f>
        <v>IE,National</v>
      </c>
      <c r="C7" s="920"/>
      <c r="D7" s="920"/>
      <c r="E7" s="920" t="str">
        <f>COMM!E14</f>
        <v>RSDGASNAT</v>
      </c>
      <c r="F7" s="920"/>
      <c r="G7" s="1028"/>
      <c r="H7" s="747"/>
      <c r="I7" s="946">
        <v>0.68</v>
      </c>
      <c r="J7" s="1030"/>
      <c r="K7" s="1024"/>
      <c r="L7" s="747"/>
      <c r="M7" s="948">
        <f>(1-M6)*(P7/(P7+P8))</f>
        <v>0.22663956527004486</v>
      </c>
      <c r="N7" s="949">
        <v>5</v>
      </c>
      <c r="O7" s="946">
        <f>P7/I7</f>
        <v>0.98518960984168769</v>
      </c>
      <c r="P7" s="1023">
        <f>'[3]1d_Cooking'!L8/1000</f>
        <v>0.66992893469234771</v>
      </c>
      <c r="R7" s="893"/>
      <c r="S7" s="746" t="s">
        <v>322</v>
      </c>
      <c r="T7" s="746" t="str">
        <f>_xlfn.TEXTJOIN(",",TRUE,IF(LEFT(Regions!$C$3,1)&lt;&gt;"*",Regions!$C$3,""),IF(LEFT(Regions!$D$3,1)&lt;&gt;"*",Regions!$D$3,""))</f>
        <v>IE,National</v>
      </c>
      <c r="U7" s="746" t="str">
        <f t="shared" ref="U7:V11" si="0">C9</f>
        <v>RSDRCW_X0</v>
      </c>
      <c r="V7" s="746" t="str">
        <f t="shared" si="0"/>
        <v>Residential Cloth Washing demand</v>
      </c>
      <c r="W7" s="746" t="s">
        <v>19</v>
      </c>
      <c r="X7" s="746" t="s">
        <v>1299</v>
      </c>
      <c r="Y7" s="746"/>
      <c r="Z7" s="746"/>
    </row>
    <row r="8" spans="2:26" s="652" customFormat="1" ht="15">
      <c r="B8" s="148" t="str">
        <f>_xlfn.TEXTJOIN(",",TRUE,IF(LEFT(Regions!$C$3,1)&lt;&gt;"*",Regions!$C$3,""),IF(LEFT(Regions!$D$3,1)&lt;&gt;"*",Regions!$D$3,""))</f>
        <v>IE,National</v>
      </c>
      <c r="C8" s="148"/>
      <c r="D8" s="148"/>
      <c r="E8" s="148" t="str">
        <f>COMM!E8</f>
        <v>RSDOILLPG</v>
      </c>
      <c r="F8" s="148"/>
      <c r="G8" s="1029"/>
      <c r="I8" s="1027">
        <v>0.68</v>
      </c>
      <c r="J8" s="1031"/>
      <c r="K8" s="604"/>
      <c r="M8" s="1026">
        <f>(1-M6)*(P8/(P7+P8))</f>
        <v>1.3360434729955101E-2</v>
      </c>
      <c r="N8" s="646">
        <v>5</v>
      </c>
      <c r="O8" s="1027">
        <f>P8/I8</f>
        <v>5.8077068155493447E-2</v>
      </c>
      <c r="P8" s="1025">
        <f>'[3]1d_Cooking'!L11*0.041868</f>
        <v>3.9492406345735545E-2</v>
      </c>
      <c r="R8" s="893"/>
      <c r="S8" s="652" t="s">
        <v>322</v>
      </c>
      <c r="T8" s="652" t="str">
        <f>_xlfn.TEXTJOIN(",",TRUE,IF(LEFT(Regions!$C$3,1)&lt;&gt;"*",Regions!$C$3,""),IF(LEFT(Regions!$D$3,1)&lt;&gt;"*",Regions!$D$3,""))</f>
        <v>IE,National</v>
      </c>
      <c r="U8" s="652" t="str">
        <f t="shared" si="0"/>
        <v>RSDRCD_X0</v>
      </c>
      <c r="V8" s="652" t="str">
        <f t="shared" si="0"/>
        <v>Residential Cloth Drying demand</v>
      </c>
      <c r="W8" s="652" t="s">
        <v>19</v>
      </c>
      <c r="X8" s="652" t="s">
        <v>1299</v>
      </c>
    </row>
    <row r="9" spans="2:26" s="652" customFormat="1" ht="15.75">
      <c r="B9" s="920" t="str">
        <f>_xlfn.TEXTJOIN(",",TRUE,IF(LEFT(Regions!$C$3,1)&lt;&gt;"*",Regions!$C$3,""),IF(LEFT(Regions!$D$3,1)&lt;&gt;"*",Regions!$D$3,""))</f>
        <v>IE,National</v>
      </c>
      <c r="C9" s="920" t="str">
        <f>COMM!E34&amp;"_"&amp;SETUP!$B$64</f>
        <v>RSDRCW_X0</v>
      </c>
      <c r="D9" s="920" t="str">
        <f>COMM!F34</f>
        <v>Residential Cloth Washing demand</v>
      </c>
      <c r="E9" s="920" t="str">
        <f>COMM!$E$24</f>
        <v>RSDELC</v>
      </c>
      <c r="F9" s="920" t="str">
        <f>COMM!E34</f>
        <v>RSDRCW</v>
      </c>
      <c r="G9" s="1028">
        <f>DwellingStocks!$L$38/1000*RSD_Balance!U36</f>
        <v>1655.1408266249996</v>
      </c>
      <c r="H9" s="920">
        <v>0.7</v>
      </c>
      <c r="I9" s="920"/>
      <c r="J9" s="1030">
        <f>O9/G9/L9</f>
        <v>9.5142857142857149E-4</v>
      </c>
      <c r="K9" s="1024">
        <v>10</v>
      </c>
      <c r="L9" s="747">
        <v>1</v>
      </c>
      <c r="M9" s="747"/>
      <c r="N9" s="747"/>
      <c r="O9" s="946">
        <f>P9/H9</f>
        <v>1.5747482721889283</v>
      </c>
      <c r="P9" s="1023">
        <f>(RSD_Balance!T36*0.0000000036)*(DwellingStocks!$L$38*RSD_Balance!U36)</f>
        <v>1.1023237905322498</v>
      </c>
      <c r="R9" s="893"/>
      <c r="S9" s="746" t="s">
        <v>322</v>
      </c>
      <c r="T9" s="746" t="str">
        <f>_xlfn.TEXTJOIN(",",TRUE,IF(LEFT(Regions!$C$3,1)&lt;&gt;"*",Regions!$C$3,""),IF(LEFT(Regions!$D$3,1)&lt;&gt;"*",Regions!$D$3,""))</f>
        <v>IE,National</v>
      </c>
      <c r="U9" s="746" t="str">
        <f t="shared" si="0"/>
        <v>RSDRDW_X0</v>
      </c>
      <c r="V9" s="746" t="str">
        <f t="shared" si="0"/>
        <v>Residential Dish Washing demand</v>
      </c>
      <c r="W9" s="746" t="s">
        <v>19</v>
      </c>
      <c r="X9" s="746" t="s">
        <v>1299</v>
      </c>
      <c r="Y9" s="746"/>
      <c r="Z9" s="746"/>
    </row>
    <row r="10" spans="2:26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COMM!E35&amp;"_"&amp;SETUP!$B$64</f>
        <v>RSDRCD_X0</v>
      </c>
      <c r="D10" s="148" t="str">
        <f>COMM!F35</f>
        <v>Residential Cloth Drying demand</v>
      </c>
      <c r="E10" s="148" t="str">
        <f>COMM!$E$24</f>
        <v>RSDELC</v>
      </c>
      <c r="F10" s="148" t="str">
        <f>COMM!E35</f>
        <v>RSDRCD</v>
      </c>
      <c r="G10" s="1029">
        <f>DwellingStocks!$L$38/1000*RSD_Balance!U37</f>
        <v>1100.0320570799997</v>
      </c>
      <c r="H10" s="148">
        <v>0.6</v>
      </c>
      <c r="I10" s="148"/>
      <c r="J10" s="1031">
        <f t="shared" ref="J10:J13" si="1">O10/G10/L10</f>
        <v>2.5980000000000009E-3</v>
      </c>
      <c r="K10" s="604">
        <v>10</v>
      </c>
      <c r="L10" s="652">
        <v>1</v>
      </c>
      <c r="M10" s="1026"/>
      <c r="N10" s="1026"/>
      <c r="O10" s="1027">
        <f>P10/H10</f>
        <v>2.8578832842938402</v>
      </c>
      <c r="P10" s="1025">
        <f>(RSD_Balance!T37*0.0000000036)*(DwellingStocks!$L$38*RSD_Balance!U37)</f>
        <v>1.7147299705763039</v>
      </c>
      <c r="R10" s="893"/>
      <c r="S10" s="652" t="s">
        <v>322</v>
      </c>
      <c r="T10" s="652" t="str">
        <f>_xlfn.TEXTJOIN(",",TRUE,IF(LEFT(Regions!$C$3,1)&lt;&gt;"*",Regions!$C$3,""),IF(LEFT(Regions!$D$3,1)&lt;&gt;"*",Regions!$D$3,""))</f>
        <v>IE,National</v>
      </c>
      <c r="U10" s="652" t="str">
        <f t="shared" si="0"/>
        <v>RSDROE_X0</v>
      </c>
      <c r="V10" s="652" t="str">
        <f t="shared" si="0"/>
        <v>Residential ELC Appliances</v>
      </c>
      <c r="W10" s="652" t="s">
        <v>19</v>
      </c>
      <c r="X10" s="652" t="s">
        <v>1299</v>
      </c>
    </row>
    <row r="11" spans="2:26" ht="15.75">
      <c r="B11" s="920" t="str">
        <f>_xlfn.TEXTJOIN(",",TRUE,IF(LEFT(Regions!$C$3,1)&lt;&gt;"*",Regions!$C$3,""),IF(LEFT(Regions!$D$3,1)&lt;&gt;"*",Regions!$D$3,""))</f>
        <v>IE,National</v>
      </c>
      <c r="C11" s="920" t="str">
        <f>COMM!E36&amp;"_"&amp;SETUP!$B$64</f>
        <v>RSDRDW_X0</v>
      </c>
      <c r="D11" s="920" t="str">
        <f>COMM!F36</f>
        <v>Residential Dish Washing demand</v>
      </c>
      <c r="E11" s="920" t="str">
        <f>COMM!$E$24</f>
        <v>RSDELC</v>
      </c>
      <c r="F11" s="920" t="str">
        <f>COMM!E36</f>
        <v>RSDRDW</v>
      </c>
      <c r="G11" s="1028">
        <f>DwellingStocks!$L$38/1000*RSD_Balance!U40</f>
        <v>1098.3344767449998</v>
      </c>
      <c r="H11" s="920">
        <v>0.7</v>
      </c>
      <c r="I11" s="920"/>
      <c r="J11" s="1030">
        <f t="shared" si="1"/>
        <v>1.5428571428571429E-3</v>
      </c>
      <c r="K11" s="1024">
        <v>10</v>
      </c>
      <c r="L11" s="747">
        <v>1</v>
      </c>
      <c r="M11" s="948"/>
      <c r="N11" s="948"/>
      <c r="O11" s="946">
        <f>P11/H11</f>
        <v>1.6945731926922856</v>
      </c>
      <c r="P11" s="1023">
        <f>(RSD_Balance!T40*0.0000000036)*(DwellingStocks!$L$38*RSD_Balance!U40)</f>
        <v>1.1862012348845998</v>
      </c>
      <c r="R11" s="893"/>
      <c r="S11" s="746" t="s">
        <v>322</v>
      </c>
      <c r="T11" s="746" t="str">
        <f>_xlfn.TEXTJOIN(",",TRUE,IF(LEFT(Regions!$C$3,1)&lt;&gt;"*",Regions!$C$3,""),IF(LEFT(Regions!$D$3,1)&lt;&gt;"*",Regions!$D$3,""))</f>
        <v>IE,National</v>
      </c>
      <c r="U11" s="746" t="str">
        <f t="shared" si="0"/>
        <v>RSDROA_X0</v>
      </c>
      <c r="V11" s="746" t="str">
        <f t="shared" si="0"/>
        <v>Residential Other Applications</v>
      </c>
      <c r="W11" s="746" t="s">
        <v>19</v>
      </c>
      <c r="X11" s="746" t="s">
        <v>1299</v>
      </c>
      <c r="Y11" s="746"/>
      <c r="Z11" s="746"/>
    </row>
    <row r="12" spans="2:26" ht="15">
      <c r="B12" s="148" t="str">
        <f>_xlfn.TEXTJOIN(",",TRUE,IF(LEFT(Regions!$C$3,1)&lt;&gt;"*",Regions!$C$3,""),IF(LEFT(Regions!$D$3,1)&lt;&gt;"*",Regions!$D$3,""))</f>
        <v>IE,National</v>
      </c>
      <c r="C12" s="148" t="str">
        <f>COMM!E37&amp;"_"&amp;SETUP!$B$64</f>
        <v>RSDROE_X0</v>
      </c>
      <c r="D12" s="148" t="str">
        <f>COMM!F37</f>
        <v>Residential ELC Appliances</v>
      </c>
      <c r="E12" s="148" t="str">
        <f>COMM!$E$24</f>
        <v>RSDELC</v>
      </c>
      <c r="F12" s="148" t="str">
        <f>COMM!E37</f>
        <v>RSDROE</v>
      </c>
      <c r="G12" s="1029">
        <f>DwellingStocks!$L$38/1000*1</f>
        <v>1697.5803349999996</v>
      </c>
      <c r="H12" s="148">
        <v>0.85</v>
      </c>
      <c r="I12" s="148"/>
      <c r="J12" s="1031">
        <f t="shared" si="1"/>
        <v>7.1747756393867965E-3</v>
      </c>
      <c r="K12" s="604">
        <v>10</v>
      </c>
      <c r="L12" s="652">
        <v>1</v>
      </c>
      <c r="M12" s="1026"/>
      <c r="N12" s="1026"/>
      <c r="O12" s="1027">
        <f>P12/H12</f>
        <v>12.179758033460075</v>
      </c>
      <c r="P12" s="1025">
        <f>SUM([3]Table2_Energy_Totals!$I$6+[3]Table2_Energy_Totals!$J$6)/1000-SUM(RSD_Balance!S26:V26,RSD_Balance!L26:N26)</f>
        <v>10.352794328441064</v>
      </c>
      <c r="R12" s="893"/>
    </row>
    <row r="13" spans="2:26" ht="15.75">
      <c r="B13" s="920" t="str">
        <f>_xlfn.TEXTJOIN(",",TRUE,IF(LEFT(Regions!$C$3,1)&lt;&gt;"*",Regions!$C$3,""),IF(LEFT(Regions!$D$3,1)&lt;&gt;"*",Regions!$D$3,""))</f>
        <v>IE,National</v>
      </c>
      <c r="C13" s="920" t="str">
        <f>COMM!E38&amp;"_"&amp;SETUP!$B$64</f>
        <v>RSDROA_X0</v>
      </c>
      <c r="D13" s="920" t="str">
        <f>COMM!F38</f>
        <v>Residential Other Applications</v>
      </c>
      <c r="E13" s="920" t="str">
        <f>COMM!$E$24</f>
        <v>RSDELC</v>
      </c>
      <c r="F13" s="920" t="str">
        <f>COMM!E38</f>
        <v>RSDROA</v>
      </c>
      <c r="G13" s="1028">
        <f>DwellingStocks!$L$38/1000*1</f>
        <v>1697.5803349999996</v>
      </c>
      <c r="H13" s="920">
        <v>0.85</v>
      </c>
      <c r="I13" s="920"/>
      <c r="J13" s="1030">
        <f t="shared" si="1"/>
        <v>0</v>
      </c>
      <c r="K13" s="1024">
        <v>10</v>
      </c>
      <c r="L13" s="747">
        <v>1</v>
      </c>
      <c r="M13" s="948"/>
      <c r="N13" s="948"/>
      <c r="O13" s="946">
        <f>P13/H13</f>
        <v>0</v>
      </c>
      <c r="P13" s="1023">
        <v>0</v>
      </c>
      <c r="R13" s="893"/>
      <c r="S13" s="893"/>
      <c r="T13" s="893"/>
    </row>
    <row r="14" spans="2:26" ht="15">
      <c r="C14" s="893"/>
      <c r="D14" s="893"/>
      <c r="E14" s="893"/>
      <c r="F14" s="893"/>
      <c r="G14" s="893"/>
      <c r="H14" s="893"/>
      <c r="I14" s="893"/>
      <c r="J14" s="893"/>
      <c r="K14" s="893"/>
      <c r="L14" s="893"/>
      <c r="M14" s="893"/>
      <c r="N14" s="893"/>
      <c r="O14" s="893"/>
      <c r="P14" s="893"/>
      <c r="Q14" s="893"/>
    </row>
    <row r="15" spans="2:26" ht="15">
      <c r="N15" s="893"/>
      <c r="O15" s="893"/>
      <c r="P15" s="893"/>
      <c r="Q15" s="893"/>
    </row>
    <row r="16" spans="2:26" ht="15">
      <c r="M16" s="148"/>
      <c r="N16" s="893"/>
      <c r="O16" s="893"/>
      <c r="P16" s="893"/>
      <c r="Q16" s="893"/>
    </row>
    <row r="17" spans="3:17" ht="18.75">
      <c r="D17" s="1053" t="s">
        <v>838</v>
      </c>
      <c r="E17" s="1053"/>
      <c r="F17" s="1053"/>
      <c r="G17" s="1053"/>
      <c r="H17" s="1053"/>
      <c r="I17" s="1053"/>
      <c r="J17" s="1053"/>
      <c r="M17" s="652"/>
      <c r="N17" s="893"/>
      <c r="O17" s="893"/>
      <c r="P17" s="893"/>
      <c r="Q17" s="893"/>
    </row>
    <row r="18" spans="3:17" ht="15">
      <c r="N18" s="893"/>
      <c r="O18" s="893"/>
      <c r="P18" s="893"/>
      <c r="Q18" s="893"/>
    </row>
    <row r="19" spans="3:17" ht="21">
      <c r="D19" s="120" t="s">
        <v>323</v>
      </c>
      <c r="E19" s="120"/>
      <c r="F19" s="111" t="s">
        <v>296</v>
      </c>
      <c r="G19" s="111"/>
      <c r="H19" s="72"/>
      <c r="I19" s="72"/>
      <c r="J19" s="66"/>
      <c r="K19" s="66"/>
      <c r="L19" s="66"/>
      <c r="M19" s="66"/>
      <c r="N19" s="893"/>
      <c r="O19" s="893"/>
      <c r="P19" s="893"/>
      <c r="Q19" s="893"/>
    </row>
    <row r="20" spans="3:17" ht="15">
      <c r="C20" s="696" t="s">
        <v>1297</v>
      </c>
      <c r="D20" s="696" t="s">
        <v>271</v>
      </c>
      <c r="E20" s="696" t="s">
        <v>324</v>
      </c>
      <c r="F20" s="696" t="s">
        <v>325</v>
      </c>
      <c r="G20" s="885">
        <v>2018</v>
      </c>
      <c r="H20" s="885">
        <v>2030</v>
      </c>
      <c r="I20" s="885">
        <v>2040</v>
      </c>
      <c r="J20" s="885">
        <v>2050</v>
      </c>
      <c r="K20" s="885">
        <v>2060</v>
      </c>
      <c r="L20" s="885">
        <v>2070</v>
      </c>
      <c r="M20" s="696" t="s">
        <v>326</v>
      </c>
      <c r="N20" s="893"/>
      <c r="O20" s="893"/>
      <c r="P20" s="893"/>
      <c r="Q20" s="893"/>
    </row>
    <row r="21" spans="3:17" ht="15">
      <c r="C21" s="886" t="str">
        <f>COMM!D32</f>
        <v>IE,National</v>
      </c>
      <c r="D21" s="886" t="str">
        <f>COMM!E32</f>
        <v>RSDRRF</v>
      </c>
      <c r="E21" s="886" t="str">
        <f>COMM!F32</f>
        <v>Residential Refrigeration</v>
      </c>
      <c r="F21" s="886" t="s">
        <v>328</v>
      </c>
      <c r="G21" s="902">
        <f>RSD_Balance!S26</f>
        <v>1.4117078065859998</v>
      </c>
      <c r="H21" s="902">
        <f>G21*(H28/G28)</f>
        <v>1.7367467040000002</v>
      </c>
      <c r="I21" s="902">
        <f>H21*(I28/H28)</f>
        <v>1.9499855760000002</v>
      </c>
      <c r="J21" s="902">
        <f t="shared" ref="J21:L21" si="2">I21*(J28/I28)</f>
        <v>2.1375196920000001</v>
      </c>
      <c r="K21" s="902">
        <f t="shared" si="2"/>
        <v>2.3184758520000002</v>
      </c>
      <c r="L21" s="902">
        <f t="shared" si="2"/>
        <v>2.4931118520000002</v>
      </c>
      <c r="M21" s="886" t="s">
        <v>19</v>
      </c>
      <c r="N21" s="893"/>
      <c r="O21" s="893"/>
      <c r="P21" s="893"/>
      <c r="Q21" s="893"/>
    </row>
    <row r="22" spans="3:17" ht="15">
      <c r="C22" s="876" t="str">
        <f>COMM!D33</f>
        <v>IE,National</v>
      </c>
      <c r="D22" s="876" t="str">
        <f>COMM!E33</f>
        <v>RSDRCK</v>
      </c>
      <c r="E22" s="876" t="str">
        <f>COMM!F33</f>
        <v>Residential Cooking</v>
      </c>
      <c r="F22" s="876" t="s">
        <v>328</v>
      </c>
      <c r="G22" s="903">
        <f>RSD_Balance!R26</f>
        <v>2.051734110329881</v>
      </c>
      <c r="H22" s="903">
        <f>G22*(H28/G28)</f>
        <v>2.5241359699052697</v>
      </c>
      <c r="I22" s="903">
        <f t="shared" ref="I22:L22" si="3">H22*(I28/H28)</f>
        <v>2.83405099997705</v>
      </c>
      <c r="J22" s="903">
        <f t="shared" si="3"/>
        <v>3.106607502712746</v>
      </c>
      <c r="K22" s="903">
        <f t="shared" si="3"/>
        <v>3.3696037999735657</v>
      </c>
      <c r="L22" s="903">
        <f t="shared" si="3"/>
        <v>3.6234145647932907</v>
      </c>
      <c r="M22" s="876" t="s">
        <v>19</v>
      </c>
      <c r="N22" s="893"/>
      <c r="O22" s="893"/>
      <c r="P22" s="893"/>
      <c r="Q22" s="893"/>
    </row>
    <row r="23" spans="3:17" ht="15">
      <c r="C23" s="886" t="str">
        <f>COMM!D34</f>
        <v>IE,National</v>
      </c>
      <c r="D23" s="886" t="str">
        <f>COMM!E34</f>
        <v>RSDRCW</v>
      </c>
      <c r="E23" s="886" t="str">
        <f>COMM!F34</f>
        <v>Residential Cloth Washing demand</v>
      </c>
      <c r="F23" s="886" t="s">
        <v>328</v>
      </c>
      <c r="G23" s="902">
        <f>RSD_Balance!T26</f>
        <v>1.1023237905322498</v>
      </c>
      <c r="H23" s="902">
        <f>G23*(H28/G28)</f>
        <v>1.3561285140000001</v>
      </c>
      <c r="I23" s="902">
        <f t="shared" ref="I23:L23" si="4">H23*(I28/H28)</f>
        <v>1.5226348410000001</v>
      </c>
      <c r="J23" s="902">
        <f t="shared" si="4"/>
        <v>1.6690697595000001</v>
      </c>
      <c r="K23" s="902">
        <f t="shared" si="4"/>
        <v>1.8103683195</v>
      </c>
      <c r="L23" s="902">
        <f t="shared" si="4"/>
        <v>1.9467318195000001</v>
      </c>
      <c r="M23" s="886" t="s">
        <v>19</v>
      </c>
      <c r="N23" s="893"/>
      <c r="O23" s="893"/>
      <c r="P23" s="893"/>
      <c r="Q23" s="893"/>
    </row>
    <row r="24" spans="3:17" ht="15">
      <c r="C24" s="876" t="str">
        <f>COMM!D35</f>
        <v>IE,National</v>
      </c>
      <c r="D24" s="876" t="str">
        <f>COMM!E35</f>
        <v>RSDRCD</v>
      </c>
      <c r="E24" s="876" t="str">
        <f>COMM!F35</f>
        <v>Residential Cloth Drying demand</v>
      </c>
      <c r="F24" s="876" t="s">
        <v>328</v>
      </c>
      <c r="G24" s="903">
        <f>RSD_Balance!U26</f>
        <v>1.7147299705763039</v>
      </c>
      <c r="H24" s="903">
        <f>G24*(H28/G28)</f>
        <v>2.1095382562560006</v>
      </c>
      <c r="I24" s="903">
        <f t="shared" ref="I24:L24" si="5">H24*(I28/H28)</f>
        <v>2.3685487136640004</v>
      </c>
      <c r="J24" s="903">
        <f t="shared" si="5"/>
        <v>2.5963369058880001</v>
      </c>
      <c r="K24" s="903">
        <f t="shared" si="5"/>
        <v>2.8161351881279999</v>
      </c>
      <c r="L24" s="903">
        <f t="shared" si="5"/>
        <v>3.0282566921280001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COMM!D36</f>
        <v>IE,National</v>
      </c>
      <c r="D25" s="886" t="str">
        <f>COMM!E36</f>
        <v>RSDRDW</v>
      </c>
      <c r="E25" s="886" t="str">
        <f>COMM!F36</f>
        <v>Residential Dish Washing demand</v>
      </c>
      <c r="F25" s="886" t="s">
        <v>328</v>
      </c>
      <c r="G25" s="902">
        <f>RSD_Balance!V26</f>
        <v>1.1862012348845998</v>
      </c>
      <c r="H25" s="902">
        <f>G25*(H28/G28)</f>
        <v>1.4593183344</v>
      </c>
      <c r="I25" s="902">
        <f t="shared" ref="I25:L25" si="6">H25*(I28/H28)</f>
        <v>1.6384943735999999</v>
      </c>
      <c r="J25" s="902">
        <f t="shared" si="6"/>
        <v>1.7960717411999998</v>
      </c>
      <c r="K25" s="902">
        <f t="shared" si="6"/>
        <v>1.9481219171999997</v>
      </c>
      <c r="L25" s="902">
        <f t="shared" si="6"/>
        <v>2.0948615171999996</v>
      </c>
      <c r="M25" s="886" t="s">
        <v>19</v>
      </c>
      <c r="N25" s="893"/>
      <c r="O25" s="893"/>
      <c r="P25" s="893"/>
      <c r="Q25" s="893"/>
    </row>
    <row r="26" spans="3:17" ht="15">
      <c r="C26" s="876" t="str">
        <f>COMM!D37</f>
        <v>IE,National</v>
      </c>
      <c r="D26" s="876" t="str">
        <f>COMM!E37</f>
        <v>RSDROE</v>
      </c>
      <c r="E26" s="876" t="str">
        <f>COMM!F37</f>
        <v>Residential ELC Appliances</v>
      </c>
      <c r="F26" s="876" t="s">
        <v>328</v>
      </c>
      <c r="G26" s="903">
        <f>RSD_Balance!W26</f>
        <v>10.352794328441064</v>
      </c>
      <c r="H26" s="903">
        <f>G26*(H28/G28)</f>
        <v>12.736475170872819</v>
      </c>
      <c r="I26" s="903">
        <f t="shared" ref="I26:L26" si="7">H26*(I28/H28)</f>
        <v>14.300267744906646</v>
      </c>
      <c r="J26" s="903">
        <f t="shared" si="7"/>
        <v>15.675553851179044</v>
      </c>
      <c r="K26" s="903">
        <f t="shared" si="7"/>
        <v>17.002600353440027</v>
      </c>
      <c r="L26" s="903">
        <f t="shared" si="7"/>
        <v>18.283297805070571</v>
      </c>
      <c r="M26" s="876" t="s">
        <v>19</v>
      </c>
      <c r="N26" s="893"/>
      <c r="O26" s="893"/>
      <c r="P26" s="893"/>
      <c r="Q26" s="893"/>
    </row>
    <row r="27" spans="3:17" ht="15">
      <c r="C27" s="886" t="str">
        <f>COMM!D38</f>
        <v>IE,National</v>
      </c>
      <c r="D27" s="886" t="str">
        <f>COMM!E38</f>
        <v>RSDROA</v>
      </c>
      <c r="E27" s="886" t="str">
        <f>COMM!F38</f>
        <v>Residential Other Applications</v>
      </c>
      <c r="F27" s="886" t="s">
        <v>328</v>
      </c>
      <c r="G27" s="902">
        <f>RSD_Balance!X26</f>
        <v>0</v>
      </c>
      <c r="H27" s="902">
        <f>G27*(H28/G28)</f>
        <v>0</v>
      </c>
      <c r="I27" s="902">
        <f t="shared" ref="I27:L27" si="8">H27*(I28/H28)</f>
        <v>0</v>
      </c>
      <c r="J27" s="902">
        <f t="shared" si="8"/>
        <v>0</v>
      </c>
      <c r="K27" s="902">
        <f t="shared" si="8"/>
        <v>0</v>
      </c>
      <c r="L27" s="902">
        <f t="shared" si="8"/>
        <v>0</v>
      </c>
      <c r="M27" s="886" t="s">
        <v>19</v>
      </c>
      <c r="N27" s="893"/>
      <c r="O27" s="893"/>
      <c r="P27" s="893"/>
      <c r="Q27" s="893"/>
    </row>
    <row r="28" spans="3:17" ht="15">
      <c r="D28" s="895" t="s">
        <v>799</v>
      </c>
      <c r="E28" s="895"/>
      <c r="F28" s="895"/>
      <c r="G28" s="896">
        <f>'Heating Drivers'!F21</f>
        <v>1697.5803349999996</v>
      </c>
      <c r="H28" s="896">
        <f>'Heating Drivers'!G21</f>
        <v>2088.44</v>
      </c>
      <c r="I28" s="896">
        <f>'Heating Drivers'!H21</f>
        <v>2344.86</v>
      </c>
      <c r="J28" s="896">
        <f>'Heating Drivers'!I21</f>
        <v>2570.37</v>
      </c>
      <c r="K28" s="896">
        <f>'Heating Drivers'!J21</f>
        <v>2787.97</v>
      </c>
      <c r="L28" s="896">
        <f>'Heating Drivers'!K21</f>
        <v>2997.97</v>
      </c>
      <c r="M28" s="895"/>
      <c r="N28" s="893"/>
      <c r="O28" s="893"/>
      <c r="P28" s="893"/>
      <c r="Q28" s="893"/>
    </row>
    <row r="29" spans="3:17" ht="15"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  <row r="112" spans="3:17" ht="15"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</row>
    <row r="113" spans="3:13" ht="15"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62" t="s">
        <v>1242</v>
      </c>
      <c r="R26" s="1062"/>
      <c r="S26" s="1062"/>
      <c r="T26" s="1062" t="s">
        <v>1243</v>
      </c>
      <c r="U26" s="1062"/>
      <c r="V26" s="1062"/>
    </row>
    <row r="27" spans="1:22" ht="21.75" thickBot="1">
      <c r="A27" s="67"/>
      <c r="B27" s="67"/>
      <c r="C27" s="67"/>
      <c r="D27" s="67"/>
      <c r="E27" s="67"/>
      <c r="F27" s="67"/>
      <c r="H27" s="1062" t="s">
        <v>666</v>
      </c>
      <c r="I27" s="1062"/>
      <c r="J27" s="1062"/>
      <c r="K27" s="1062"/>
      <c r="L27" s="1062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[4]Second_SH_Demand!$A$5</f>
        <v>1.4285714285714286</v>
      </c>
      <c r="R28" s="909">
        <f>[4]Second_SH_Demand!$K$5</f>
        <v>1.375</v>
      </c>
      <c r="S28" s="909">
        <f>[4]Second_SH_Demand!$F$5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[4]Second_SH_Demand!$A$12</f>
        <v>1</v>
      </c>
      <c r="R29" s="910">
        <f>[4]Second_SH_Demand!$K$12</f>
        <v>1</v>
      </c>
      <c r="S29" s="910">
        <f>[4]Second_SH_Demand!$F$12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[4]Second_SH_Demand!$A$19</f>
        <v>1</v>
      </c>
      <c r="R30" s="911">
        <f>[4]Second_SH_Demand!$K$19</f>
        <v>1</v>
      </c>
      <c r="S30" s="911">
        <f>[4]Second_SH_Demand!$F$19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[4]Second_SH_Demand!$A$26</f>
        <v>1</v>
      </c>
      <c r="R31" s="910">
        <f>[4]Second_SH_Demand!$K$26</f>
        <v>1</v>
      </c>
      <c r="S31" s="910">
        <f>[4]Second_SH_Demand!$F$26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[4]Second_SH_Demand!$A$33</f>
        <v>0.62350597609561753</v>
      </c>
      <c r="R32" s="911">
        <f>[4]Second_SH_Demand!$K$33</f>
        <v>0.63854266538830295</v>
      </c>
      <c r="S32" s="911">
        <f>[4]Second_SH_Demand!$F$33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[4]Second_SH_Demand!$A$40</f>
        <v>0.64275466284074612</v>
      </c>
      <c r="R33" s="910">
        <f>[4]Second_SH_Demand!$K$40</f>
        <v>0.6669136717302705</v>
      </c>
      <c r="S33" s="910">
        <f>[4]Second_SH_Demand!$F$40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[4]Second_SH_Demand!$A$47</f>
        <v>0.65947786606129399</v>
      </c>
      <c r="R34" s="911">
        <f>[4]Second_SH_Demand!$K$47</f>
        <v>0.68235651381718798</v>
      </c>
      <c r="S34" s="911">
        <f>[4]Second_SH_Demand!$F$47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[4]Second_SH_Demand!$A$54</f>
        <v>0.67760942760942755</v>
      </c>
      <c r="R35" s="910">
        <f>[4]Second_SH_Demand!$K$54</f>
        <v>0.69366197183098599</v>
      </c>
      <c r="S35" s="910">
        <f>[4]Second_SH_Demand!$F$54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[4]Second_SH_Demand!$A$61</f>
        <v>0.56219445953286251</v>
      </c>
      <c r="R36" s="916">
        <f>[4]Second_SH_Demand!$K$61</f>
        <v>0.54586660910856888</v>
      </c>
      <c r="S36" s="916">
        <f>[4]Second_SH_Demand!$F$61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9" t="s">
        <v>334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1"/>
      <c r="M58" s="1056" t="s">
        <v>335</v>
      </c>
      <c r="N58" s="1057"/>
      <c r="O58" s="1058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63" t="s">
        <v>400</v>
      </c>
      <c r="T92" s="1064"/>
      <c r="U92" s="1064"/>
      <c r="V92" s="1064"/>
      <c r="W92" s="1064"/>
      <c r="X92" s="1064"/>
      <c r="Y92" s="1064"/>
      <c r="Z92" s="1065"/>
      <c r="AB92" s="1054" t="s">
        <v>401</v>
      </c>
      <c r="AC92" s="1054"/>
      <c r="AD92" s="1054"/>
      <c r="AE92" s="1054"/>
      <c r="AF92" s="1055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54"/>
      <c r="AC93" s="1054"/>
      <c r="AD93" s="1054"/>
      <c r="AE93" s="1054"/>
      <c r="AF93" s="1055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S65"/>
  <sheetViews>
    <sheetView topLeftCell="J29" zoomScaleNormal="100" workbookViewId="0">
      <selection activeCell="N54" sqref="N54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1.85546875" style="119" bestFit="1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40" ht="21.95" customHeight="1">
      <c r="A1" s="121" t="s">
        <v>1247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1246</v>
      </c>
      <c r="M1" s="120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40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40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587</v>
      </c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40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1297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1297</v>
      </c>
      <c r="AC4" s="73" t="s">
        <v>298</v>
      </c>
      <c r="AD4" s="73" t="s">
        <v>299</v>
      </c>
      <c r="AE4" s="73" t="s">
        <v>306</v>
      </c>
      <c r="AF4" s="73" t="s">
        <v>307</v>
      </c>
      <c r="AG4" s="73" t="s">
        <v>308</v>
      </c>
      <c r="AH4" s="73" t="s">
        <v>309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1298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4" t="s">
        <v>1298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7" t="str">
        <f t="shared" ref="L7:L13" si="0">AB7</f>
        <v>IE,National</v>
      </c>
      <c r="M7" s="747" t="str">
        <f>COMM!$P$9&amp;"_"&amp;RIGHT(O7,LEN(O7)-3)&amp;"_"&amp;SETUP!$B$64</f>
        <v>RSH_Apt_COA_X0</v>
      </c>
      <c r="N7" s="747" t="str">
        <f>COMM!$Q$9&amp;"_"&amp;COMM!F6&amp;"_"&amp;SETUP!$C$64</f>
        <v>Residential Space Heating Apartment_Coal to Residential_Existing 00</v>
      </c>
      <c r="O7" s="747" t="str">
        <f>COMM!$E$6</f>
        <v>RSDCOA</v>
      </c>
      <c r="P7" s="747" t="str">
        <f>COMM!P9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6" t="str">
        <f>_xlfn.TEXTJOIN(",",TRUE,IF(LEFT(Regions!$C$3,1)&lt;&gt;"*",Regions!$C$3,""),IF(LEFT(Regions!$D$3,1)&lt;&gt;"*",Regions!$D$3,""))</f>
        <v>IE,National</v>
      </c>
      <c r="AC7" s="747" t="str">
        <f>M7</f>
        <v>RSH_Apt_COA_X0</v>
      </c>
      <c r="AD7" s="747" t="str">
        <f>N7</f>
        <v>Residential Space Heating Apartment_Coal to Residential_Existing 00</v>
      </c>
      <c r="AE7" s="747" t="s">
        <v>19</v>
      </c>
      <c r="AF7" s="747" t="s">
        <v>321</v>
      </c>
      <c r="AG7" s="747"/>
      <c r="AH7" s="747"/>
      <c r="AI7" s="702"/>
      <c r="AJ7" s="702"/>
      <c r="AK7" s="702"/>
      <c r="AL7" s="702"/>
      <c r="AM7" s="702"/>
      <c r="AN7" s="702"/>
    </row>
    <row r="8" spans="1:40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83" t="str">
        <f t="shared" si="0"/>
        <v>IE,National</v>
      </c>
      <c r="M8" s="83" t="str">
        <f>COMM!$P$9&amp;"_"&amp;RIGHT(O8,LEN(O8)-3)&amp;"_"&amp;SETUP!$B$64</f>
        <v>RSH_Apt_BIODST_X0</v>
      </c>
      <c r="N8" s="83" t="str">
        <f>COMM!$Q$9&amp;"_"&amp;COMM!F21&amp;"_"&amp;SETUP!$C$64</f>
        <v>Residential Space Heating Apartment_Biodiesel to Residential_Existing 00</v>
      </c>
      <c r="O8" s="83" t="str">
        <f>COMM!$E$21</f>
        <v>RSDBIODST</v>
      </c>
      <c r="P8" s="83" t="str">
        <f>COMM!P9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10" si="1">M8</f>
        <v>RSH_Apt_BIODST_X0</v>
      </c>
      <c r="AD8" s="83" t="str">
        <f t="shared" ref="AD8:AD10" si="2">N8</f>
        <v>Residential Space Heating Apartment_Biodiesel to Residential_Existing 00</v>
      </c>
      <c r="AE8" s="83" t="s">
        <v>19</v>
      </c>
      <c r="AF8" s="83" t="s">
        <v>321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7" t="str">
        <f t="shared" si="0"/>
        <v>IE,National</v>
      </c>
      <c r="M9" s="747" t="str">
        <f>COMM!P9&amp;"_"&amp;RIGHT(O9,LEN(O9)-3)&amp;"_"&amp;SETUP!B64</f>
        <v>RSH_Apt_BIOETH_X0</v>
      </c>
      <c r="N9" s="747" t="str">
        <f>COMM!Q9&amp;"_"&amp;COMM!F20&amp;"_"&amp;SETUP!C64</f>
        <v>Residential Space Heating Apartment_Ethanol to Residential_Existing 00</v>
      </c>
      <c r="O9" s="747" t="str">
        <f>COMM!$E$20</f>
        <v>RSDBIOETH</v>
      </c>
      <c r="P9" s="747" t="str">
        <f>COMM!P9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3">X9/R9/W9</f>
        <v>1.1885793435364027E-5</v>
      </c>
      <c r="V9" s="949">
        <v>20</v>
      </c>
      <c r="W9" s="949">
        <v>1</v>
      </c>
      <c r="X9" s="950">
        <f t="shared" ref="X9:X20" si="4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6" t="str">
        <f>_xlfn.TEXTJOIN(",",TRUE,IF(LEFT(Regions!$C$3,1)&lt;&gt;"*",Regions!$C$3,""),IF(LEFT(Regions!$D$3,1)&lt;&gt;"*",Regions!$D$3,""))</f>
        <v>IE,National</v>
      </c>
      <c r="AC9" s="747" t="str">
        <f t="shared" si="1"/>
        <v>RSH_Apt_BIOETH_X0</v>
      </c>
      <c r="AD9" s="747" t="str">
        <f t="shared" si="2"/>
        <v>Residential Space Heating Apartment_Ethanol to Residential_Existing 00</v>
      </c>
      <c r="AE9" s="747" t="s">
        <v>19</v>
      </c>
      <c r="AF9" s="747" t="s">
        <v>321</v>
      </c>
      <c r="AG9" s="747"/>
      <c r="AH9" s="747"/>
      <c r="AI9" s="702"/>
      <c r="AJ9" s="702"/>
      <c r="AK9" s="702"/>
      <c r="AL9" s="702"/>
      <c r="AM9" s="702"/>
      <c r="AN9" s="702"/>
    </row>
    <row r="10" spans="1:40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83" t="str">
        <f t="shared" si="0"/>
        <v>IE,National</v>
      </c>
      <c r="M10" s="83" t="str">
        <f>COMM!P9&amp;"_"&amp;RIGHT(O10,LEN(O10)-3)&amp;"_"&amp;SETUP!B64</f>
        <v>RSH_Apt_OILLPG_X0</v>
      </c>
      <c r="N10" s="83" t="str">
        <f>COMM!Q9&amp;"_"&amp;COMM!F8&amp;"_"&amp;SETUP!C64</f>
        <v>Residential Space Heating Apartment_LPG to Residential_Existing 00</v>
      </c>
      <c r="O10" s="83" t="str">
        <f>COMM!$E$8</f>
        <v>RSDOILLPG</v>
      </c>
      <c r="P10" s="83" t="str">
        <f>COMM!P9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3"/>
        <v>2.3440929472308469E-2</v>
      </c>
      <c r="V10" s="956">
        <v>20</v>
      </c>
      <c r="W10" s="956">
        <v>1</v>
      </c>
      <c r="X10" s="957">
        <f t="shared" si="4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RSH_Apt_OILLPG_X0</v>
      </c>
      <c r="AD10" s="83" t="str">
        <f t="shared" si="2"/>
        <v>Residential Space Heating Apartment_LPG to Residential_Existing 00</v>
      </c>
      <c r="AE10" s="83" t="s">
        <v>19</v>
      </c>
      <c r="AF10" s="83" t="s">
        <v>321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7" t="str">
        <f t="shared" si="0"/>
        <v>IE,National</v>
      </c>
      <c r="M11" s="747" t="str">
        <f>COMM!P9&amp;"_"&amp;RIGHT(O12,LEN(O12)-3)&amp;"_"&amp;SETUP!B64</f>
        <v>RSH_Apt_ELC_X0</v>
      </c>
      <c r="N11" s="747" t="str">
        <f>COMM!Q9&amp;"_"&amp;COMM!F24&amp;"_"&amp;SETUP!C64</f>
        <v>Residential Space Heating Apartment_Electricity to Residential_Existing 00</v>
      </c>
      <c r="O11" s="747" t="str">
        <f>COMM!$E$24</f>
        <v>RSDELC</v>
      </c>
      <c r="P11" s="747" t="str">
        <f>COMM!P9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3"/>
        <v>1.2627552741070682E-2</v>
      </c>
      <c r="V11" s="949">
        <v>20</v>
      </c>
      <c r="W11" s="949">
        <v>1</v>
      </c>
      <c r="X11" s="950">
        <f t="shared" si="4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6" t="str">
        <f>_xlfn.TEXTJOIN(",",TRUE,IF(LEFT(Regions!$C$3,1)&lt;&gt;"*",Regions!$C$3,""),IF(LEFT(Regions!$D$3,1)&lt;&gt;"*",Regions!$D$3,""))</f>
        <v>IE,National</v>
      </c>
      <c r="AC11" s="747" t="str">
        <f t="shared" ref="AC11:AC21" si="5">M11</f>
        <v>RSH_Apt_ELC_X0</v>
      </c>
      <c r="AD11" s="747" t="str">
        <f t="shared" ref="AD11:AD21" si="6">N11</f>
        <v>Residential Space Heating Apartment_Electricity to Residential_Existing 00</v>
      </c>
      <c r="AE11" s="747" t="s">
        <v>19</v>
      </c>
      <c r="AF11" s="747" t="s">
        <v>321</v>
      </c>
      <c r="AG11" s="747"/>
      <c r="AH11" s="747"/>
      <c r="AI11" s="702"/>
      <c r="AJ11" s="702"/>
      <c r="AK11" s="702"/>
      <c r="AL11" s="702"/>
      <c r="AM11" s="702"/>
      <c r="AN11" s="702"/>
    </row>
    <row r="12" spans="1:40">
      <c r="A12" s="943" t="s">
        <v>1254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83" t="str">
        <f t="shared" si="0"/>
        <v>IE,National</v>
      </c>
      <c r="M12" s="83" t="str">
        <f>COMM!P9&amp;"_"&amp;RIGHT(O12,LEN(O12)-3)&amp;"_"&amp;SETUP!B65</f>
        <v>RSH_Apt_ELC_X1</v>
      </c>
      <c r="N12" s="83" t="str">
        <f>COMM!Q9&amp;"_"&amp;COMM!F24&amp;"_"&amp;SETUP!C65</f>
        <v>Residential Space Heating Apartment_Electricity to Residential_Existing 01</v>
      </c>
      <c r="O12" s="83" t="str">
        <f>COMM!$E$24</f>
        <v>RSDELC</v>
      </c>
      <c r="P12" s="83" t="str">
        <f>COMM!P9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3"/>
        <v>2.0839738504670083E-3</v>
      </c>
      <c r="V12" s="956">
        <v>20</v>
      </c>
      <c r="W12" s="956">
        <v>1</v>
      </c>
      <c r="X12" s="957">
        <f t="shared" si="4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5"/>
        <v>RSH_Apt_ELC_X1</v>
      </c>
      <c r="AD12" s="83" t="str">
        <f t="shared" si="6"/>
        <v>Residential Space Heating Apartment_Electricity to Residential_Existing 01</v>
      </c>
      <c r="AE12" s="83" t="s">
        <v>19</v>
      </c>
      <c r="AF12" s="83" t="s">
        <v>321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7" t="str">
        <f t="shared" si="0"/>
        <v>IE,National</v>
      </c>
      <c r="M13" s="747" t="str">
        <f>COMM!P9&amp;"_"&amp;RIGHT(O13,LEN(O13)-3)&amp;"_"&amp;SETUP!B64</f>
        <v>RSH_Apt_OILKER_X0</v>
      </c>
      <c r="N13" s="747" t="str">
        <f>COMM!Q9&amp;"_"&amp;COMM!F10&amp;"_"&amp;SETUP!C64</f>
        <v>Residential Space Heating Apartment_Kerosene to Residential_Existing 00</v>
      </c>
      <c r="O13" s="747" t="str">
        <f>COMM!$E$10</f>
        <v>RSDOILKER</v>
      </c>
      <c r="P13" s="747" t="str">
        <f>COMM!P9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3"/>
        <v>4.6973817311931489E-2</v>
      </c>
      <c r="V13" s="949">
        <v>20</v>
      </c>
      <c r="W13" s="949">
        <v>1</v>
      </c>
      <c r="X13" s="950">
        <f t="shared" si="4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6" t="str">
        <f>_xlfn.TEXTJOIN(",",TRUE,IF(LEFT(Regions!$C$3,1)&lt;&gt;"*",Regions!$C$3,""),IF(LEFT(Regions!$D$3,1)&lt;&gt;"*",Regions!$D$3,""))</f>
        <v>IE,National</v>
      </c>
      <c r="AC13" s="747" t="str">
        <f t="shared" si="5"/>
        <v>RSH_Apt_OILKER_X0</v>
      </c>
      <c r="AD13" s="747" t="str">
        <f t="shared" si="6"/>
        <v>Residential Space Heating Apartment_Kerosene to Residential_Existing 00</v>
      </c>
      <c r="AE13" s="747" t="s">
        <v>19</v>
      </c>
      <c r="AF13" s="747" t="s">
        <v>321</v>
      </c>
      <c r="AG13" s="747"/>
      <c r="AH13" s="747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62"/>
      <c r="AC14" s="959"/>
      <c r="AD14" s="959"/>
      <c r="AE14" s="959"/>
      <c r="AF14" s="959"/>
      <c r="AG14" s="959"/>
      <c r="AH14" s="959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7" t="str">
        <f>AB15</f>
        <v>IE,National</v>
      </c>
      <c r="M15" s="747" t="str">
        <f>COMM!P9&amp;"_"&amp;RIGHT(O15,LEN(O15)-3)&amp;"_"&amp;SETUP!B64</f>
        <v>RSH_Apt_GASNAT_X0</v>
      </c>
      <c r="N15" s="747" t="str">
        <f>COMM!Q9&amp;"_"&amp;COMM!F14&amp;"_"&amp;SETUP!C64</f>
        <v>Residential Space Heating Apartment_Natural Gas to Residential_Existing 00</v>
      </c>
      <c r="O15" s="747" t="str">
        <f>COMM!$E$14</f>
        <v>RSDGASNAT</v>
      </c>
      <c r="P15" s="747" t="str">
        <f>COMM!P9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3"/>
        <v>1.806312959890221E-2</v>
      </c>
      <c r="V15" s="949">
        <v>20</v>
      </c>
      <c r="W15" s="949">
        <v>1</v>
      </c>
      <c r="X15" s="950">
        <f t="shared" si="4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6" t="str">
        <f>_xlfn.TEXTJOIN(",",TRUE,IF(LEFT(Regions!$C$3,1)&lt;&gt;"*",Regions!$C$3,""),IF(LEFT(Regions!$D$3,1)&lt;&gt;"*",Regions!$D$3,""))</f>
        <v>IE,National</v>
      </c>
      <c r="AC15" s="747" t="str">
        <f t="shared" si="5"/>
        <v>RSH_Apt_GASNAT_X0</v>
      </c>
      <c r="AD15" s="747" t="str">
        <f t="shared" si="6"/>
        <v>Residential Space Heating Apartment_Natural Gas to Residential_Existing 00</v>
      </c>
      <c r="AE15" s="747" t="s">
        <v>19</v>
      </c>
      <c r="AF15" s="747" t="s">
        <v>321</v>
      </c>
      <c r="AG15" s="747"/>
      <c r="AH15" s="747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62"/>
      <c r="AC16" s="959"/>
      <c r="AD16" s="959"/>
      <c r="AE16" s="959"/>
      <c r="AF16" s="959"/>
      <c r="AG16" s="959"/>
      <c r="AH16" s="959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7" t="str">
        <f>AB17</f>
        <v>IE,National</v>
      </c>
      <c r="M17" s="747" t="str">
        <f>COMM!P9&amp;"_"&amp;RIGHT(O17,LEN(O17)-3)&amp;"_"&amp;SETUP!B64</f>
        <v>RSH_Apt_PEA_X0</v>
      </c>
      <c r="N17" s="747" t="str">
        <f>COMM!Q9&amp;"_"&amp;COMM!F7&amp;"_"&amp;SETUP!C64</f>
        <v>Residential Space Heating Apartment_Peat to Residential_Existing 00</v>
      </c>
      <c r="O17" s="747" t="str">
        <f>COMM!E7</f>
        <v>RSDPEA</v>
      </c>
      <c r="P17" s="747" t="str">
        <f>COMM!$P$9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3"/>
        <v>0.271648110994754</v>
      </c>
      <c r="V17" s="949">
        <v>20</v>
      </c>
      <c r="W17" s="949">
        <v>1</v>
      </c>
      <c r="X17" s="950">
        <f t="shared" si="4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6" t="str">
        <f>_xlfn.TEXTJOIN(",",TRUE,IF(LEFT(Regions!$C$3,1)&lt;&gt;"*",Regions!$C$3,""),IF(LEFT(Regions!$D$3,1)&lt;&gt;"*",Regions!$D$3,""))</f>
        <v>IE,National</v>
      </c>
      <c r="AC17" s="747" t="str">
        <f t="shared" si="5"/>
        <v>RSH_Apt_PEA_X0</v>
      </c>
      <c r="AD17" s="747" t="str">
        <f t="shared" si="6"/>
        <v>Residential Space Heating Apartment_Peat to Residential_Existing 00</v>
      </c>
      <c r="AE17" s="747" t="s">
        <v>19</v>
      </c>
      <c r="AF17" s="747" t="s">
        <v>321</v>
      </c>
      <c r="AG17" s="747"/>
      <c r="AH17" s="747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62"/>
      <c r="AC18" s="959"/>
      <c r="AD18" s="959"/>
      <c r="AE18" s="959"/>
      <c r="AF18" s="959"/>
      <c r="AG18" s="959"/>
      <c r="AH18" s="959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83" t="str">
        <f>AB19</f>
        <v>IE,National</v>
      </c>
      <c r="M19" s="83" t="str">
        <f>COMM!P9&amp;"_"&amp;RIGHT(COMM!E23,LEN(COMM!E23)-3)&amp;"_"&amp;SETUP!B64</f>
        <v>RSH_Apt_SMF_X0</v>
      </c>
      <c r="N19" s="951" t="str">
        <f>COMM!Q9&amp;"_"&amp;COMM!F23&amp;"_"&amp;SETUP!C64</f>
        <v>Residential Space Heating Apartment_Solid Multi-Fuel_Existing 00</v>
      </c>
      <c r="O19" s="83" t="str">
        <f>COMM!E6&amp;","&amp;COMM!E7&amp;","&amp;COMM!E16</f>
        <v>RSDCOA,RSDPEA,RSDBIOWOO</v>
      </c>
      <c r="P19" s="83" t="str">
        <f>COMM!$P$9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3"/>
        <v>0.23365498075784066</v>
      </c>
      <c r="V19" s="956">
        <v>20</v>
      </c>
      <c r="W19" s="956">
        <v>1</v>
      </c>
      <c r="X19" s="957">
        <f t="shared" si="4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6" t="str">
        <f>_xlfn.TEXTJOIN(",",TRUE,IF(LEFT(Regions!$C$3,1)&lt;&gt;"*",Regions!$C$3,""),IF(LEFT(Regions!$D$3,1)&lt;&gt;"*",Regions!$D$3,""))</f>
        <v>IE,National</v>
      </c>
      <c r="AC19" s="747" t="str">
        <f t="shared" si="5"/>
        <v>RSH_Apt_SMF_X0</v>
      </c>
      <c r="AD19" s="747" t="str">
        <f t="shared" si="6"/>
        <v>Residential Space Heating Apartment_Solid Multi-Fuel_Existing 00</v>
      </c>
      <c r="AE19" s="747" t="s">
        <v>19</v>
      </c>
      <c r="AF19" s="747" t="s">
        <v>321</v>
      </c>
      <c r="AG19" s="747"/>
      <c r="AH19" s="747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7" t="str">
        <f>AB20</f>
        <v>IE,National</v>
      </c>
      <c r="M20" s="747" t="str">
        <f>COMM!P9&amp;"_"&amp;RIGHT(O20,LEN(O20)-3)&amp;"_"&amp;SETUP!B64</f>
        <v>RSH_Apt_BIOWOO_X0</v>
      </c>
      <c r="N20" s="747" t="str">
        <f>COMM!Q9&amp;"_"&amp;COMM!F16&amp;"_"&amp;SETUP!C64</f>
        <v>Residential Space Heating Apartment_Biomass and Renewable Waste to Residential_Existing 00</v>
      </c>
      <c r="O20" s="747" t="str">
        <f>COMM!E16</f>
        <v>RSDBIOWOO</v>
      </c>
      <c r="P20" s="747" t="str">
        <f>COMM!$P$9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3"/>
        <v>3.0627306157788154E-2</v>
      </c>
      <c r="V20" s="949">
        <v>20</v>
      </c>
      <c r="W20" s="949">
        <v>1</v>
      </c>
      <c r="X20" s="950">
        <f t="shared" si="4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5"/>
        <v>RSH_Apt_BIOWOO_X0</v>
      </c>
      <c r="AD20" s="83" t="str">
        <f t="shared" si="6"/>
        <v>Residential Space Heating Apartment_Biomass and Renewable Waste to Residential_Existing 00</v>
      </c>
      <c r="AE20" s="83" t="s">
        <v>19</v>
      </c>
      <c r="AF20" s="83" t="s">
        <v>321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83" t="str">
        <f>AB21</f>
        <v>IE,National</v>
      </c>
      <c r="M21" s="83" t="str">
        <f>COMM!P9&amp;"_"&amp;RIGHT(O21,LEN(O21)-3)&amp;"_"&amp;SETUP!B64</f>
        <v>RSH_Apt_HET_X0</v>
      </c>
      <c r="N21" s="951" t="str">
        <f>COMM!Q9&amp;"_"&amp;COMM!F25&amp;"_"&amp;SETUP!C64</f>
        <v>Residential Space Heating Apartment_Heat to Residential_Existing 00</v>
      </c>
      <c r="O21" s="83" t="str">
        <f>COMM!E25</f>
        <v>RSDHET</v>
      </c>
      <c r="P21" s="83" t="str">
        <f>COMM!$P$9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3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6" t="str">
        <f>_xlfn.TEXTJOIN(",",TRUE,IF(LEFT(Regions!$C$3,1)&lt;&gt;"*",Regions!$C$3,""),IF(LEFT(Regions!$D$3,1)&lt;&gt;"*",Regions!$D$3,""))</f>
        <v>IE,National</v>
      </c>
      <c r="AC21" s="747" t="str">
        <f t="shared" si="5"/>
        <v>RSH_Apt_HET_X0</v>
      </c>
      <c r="AD21" s="747" t="str">
        <f t="shared" si="6"/>
        <v>Residential Space Heating Apartment_Heat to Residential_Existing 00</v>
      </c>
      <c r="AE21" s="747" t="s">
        <v>19</v>
      </c>
      <c r="AF21" s="747" t="s">
        <v>321</v>
      </c>
      <c r="AG21" s="747"/>
      <c r="AH21" s="747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/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5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/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5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/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5">
      <c r="A25" s="943" t="s">
        <v>1255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5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588</v>
      </c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5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1297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1297</v>
      </c>
      <c r="AC28" s="73" t="s">
        <v>298</v>
      </c>
      <c r="AD28" s="73" t="s">
        <v>299</v>
      </c>
      <c r="AE28" s="73" t="s">
        <v>306</v>
      </c>
      <c r="AF28" s="73" t="s">
        <v>307</v>
      </c>
      <c r="AG28" s="73" t="s">
        <v>308</v>
      </c>
      <c r="AH28" s="73" t="s">
        <v>309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1298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74" t="s">
        <v>1298</v>
      </c>
      <c r="AC29" s="968"/>
      <c r="AD29" s="969"/>
      <c r="AE29" s="968"/>
      <c r="AF29" s="968"/>
      <c r="AG29" s="968"/>
      <c r="AH29" s="968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76"/>
      <c r="AC30" s="971"/>
      <c r="AD30" s="971"/>
      <c r="AE30" s="971"/>
      <c r="AF30" s="971"/>
      <c r="AG30" s="971"/>
      <c r="AH30" s="971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7" t="str">
        <f t="shared" ref="L31:L37" si="7">AB31</f>
        <v>IE,National</v>
      </c>
      <c r="M31" s="747" t="str">
        <f>COMM!$P$15&amp;"_"&amp;RIGHT(O31,LEN(O31)-3)&amp;"_"&amp;SETUP!$B$64</f>
        <v>RWH_Apt_COA_X0</v>
      </c>
      <c r="N31" s="747" t="str">
        <f>COMM!$Q$15&amp;"_"&amp;COMM!F6&amp;"_"&amp;SETUP!$C$64</f>
        <v>Residential Water Heating Apartment_Coal to Residential_Existing 00</v>
      </c>
      <c r="O31" s="747" t="str">
        <f>COMM!$E$6</f>
        <v>RSDCOA</v>
      </c>
      <c r="P31" s="747" t="str">
        <f>COMM!$P$15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6" t="str">
        <f>_xlfn.TEXTJOIN(",",TRUE,IF(LEFT(Regions!$C$3,1)&lt;&gt;"*",Regions!$C$3,""),IF(LEFT(Regions!$D$3,1)&lt;&gt;"*",Regions!$D$3,""))</f>
        <v>IE,National</v>
      </c>
      <c r="AC31" s="747" t="str">
        <f>M31</f>
        <v>RWH_Apt_COA_X0</v>
      </c>
      <c r="AD31" s="747" t="str">
        <f>N31</f>
        <v>Residential Water Heating Apartment_Coal to Residential_Existing 00</v>
      </c>
      <c r="AE31" s="747" t="s">
        <v>19</v>
      </c>
      <c r="AF31" s="747" t="s">
        <v>321</v>
      </c>
      <c r="AG31" s="747"/>
      <c r="AH31" s="747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83" t="str">
        <f t="shared" si="7"/>
        <v>IE,National</v>
      </c>
      <c r="M32" s="83" t="str">
        <f>COMM!$P$15&amp;"_"&amp;RIGHT(O32,LEN(O32)-3)&amp;"_"&amp;SETUP!$B$64</f>
        <v>RWH_Apt_BIODST_X0</v>
      </c>
      <c r="N32" s="951" t="str">
        <f>COMM!$Q$15&amp;"_"&amp;COMM!F21&amp;"_"&amp;SETUP!$C$64</f>
        <v>Residential Water Heating Apartment_Biodiesel to Residential_Existing 00</v>
      </c>
      <c r="O32" s="83" t="str">
        <f>COMM!$E$21</f>
        <v>RSDBIODST</v>
      </c>
      <c r="P32" s="83" t="str">
        <f>COMM!$P$15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8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34" si="9">M32</f>
        <v>RWH_Apt_BIODST_X0</v>
      </c>
      <c r="AD32" s="83" t="str">
        <f t="shared" ref="AD32:AD34" si="10">N32</f>
        <v>Residential Water Heating Apartment_Biodiesel to Residential_Existing 00</v>
      </c>
      <c r="AE32" s="83" t="s">
        <v>19</v>
      </c>
      <c r="AF32" s="83" t="s">
        <v>321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7" t="str">
        <f t="shared" si="7"/>
        <v>IE,National</v>
      </c>
      <c r="M33" s="747" t="str">
        <f>COMM!$P$15&amp;"_"&amp;RIGHT(O33,LEN(O33)-3)&amp;"_"&amp;SETUP!$B$64</f>
        <v>RWH_Apt_BIOETH_X0</v>
      </c>
      <c r="N33" s="747" t="str">
        <f>COMM!$Q$15&amp;"_"&amp;COMM!F20&amp;"_"&amp;SETUP!$C$64</f>
        <v>Residential Water Heating Apartment_Ethanol to Residential_Existing 00</v>
      </c>
      <c r="O33" s="747" t="str">
        <f>COMM!$E$20</f>
        <v>RSDBIOETH</v>
      </c>
      <c r="P33" s="747" t="str">
        <f>COMM!$P$15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8"/>
        <v>0.9</v>
      </c>
      <c r="U33" s="948">
        <f t="shared" ref="U33:U35" si="11">X33/R33/W33</f>
        <v>1.0561333333333336E-2</v>
      </c>
      <c r="V33" s="949">
        <v>20</v>
      </c>
      <c r="W33" s="949">
        <v>1</v>
      </c>
      <c r="X33" s="950">
        <f t="shared" ref="X33:X35" si="12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6" t="str">
        <f>_xlfn.TEXTJOIN(",",TRUE,IF(LEFT(Regions!$C$3,1)&lt;&gt;"*",Regions!$C$3,""),IF(LEFT(Regions!$D$3,1)&lt;&gt;"*",Regions!$D$3,""))</f>
        <v>IE,National</v>
      </c>
      <c r="AC33" s="747" t="str">
        <f t="shared" si="9"/>
        <v>RWH_Apt_BIOETH_X0</v>
      </c>
      <c r="AD33" s="747" t="str">
        <f t="shared" si="10"/>
        <v>Residential Water Heating Apartment_Ethanol to Residential_Existing 00</v>
      </c>
      <c r="AE33" s="747" t="s">
        <v>19</v>
      </c>
      <c r="AF33" s="747" t="s">
        <v>321</v>
      </c>
      <c r="AG33" s="747"/>
      <c r="AH33" s="747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83" t="str">
        <f t="shared" si="7"/>
        <v>IE,National</v>
      </c>
      <c r="M34" s="83" t="str">
        <f>COMM!$P$15&amp;"_"&amp;RIGHT(O34,LEN(O34)-3)&amp;"_"&amp;SETUP!$B$64</f>
        <v>RWH_Apt_OILLPG_X0</v>
      </c>
      <c r="N34" s="951" t="str">
        <f>COMM!$Q$15&amp;"_"&amp;COMM!F8&amp;"_"&amp;SETUP!$C$64</f>
        <v>Residential Water Heating Apartment_LPG to Residential_Existing 00</v>
      </c>
      <c r="O34" s="83" t="str">
        <f>COMM!$E$8</f>
        <v>RSDOILLPG</v>
      </c>
      <c r="P34" s="83" t="str">
        <f>COMM!$P$15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8"/>
        <v>0.80677902621722841</v>
      </c>
      <c r="U34" s="955">
        <f t="shared" si="11"/>
        <v>1.3555947507893434E-2</v>
      </c>
      <c r="V34" s="956">
        <v>20</v>
      </c>
      <c r="W34" s="956">
        <v>1</v>
      </c>
      <c r="X34" s="957">
        <f t="shared" si="12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9"/>
        <v>RWH_Apt_OILLPG_X0</v>
      </c>
      <c r="AD34" s="83" t="str">
        <f t="shared" si="10"/>
        <v>Residential Water Heating Apartment_LPG to Residential_Existing 00</v>
      </c>
      <c r="AE34" s="83" t="s">
        <v>19</v>
      </c>
      <c r="AF34" s="83" t="s">
        <v>321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7" t="str">
        <f t="shared" si="7"/>
        <v>IE,National</v>
      </c>
      <c r="M35" s="747" t="str">
        <f>COMM!$P$15&amp;"_"&amp;RIGHT(O36,LEN(O36)-3)&amp;"_"&amp;SETUP!$B$64</f>
        <v>RWH_Apt_ELC_X0</v>
      </c>
      <c r="N35" s="747" t="str">
        <f>COMM!$Q$15&amp;"_"&amp;COMM!F24&amp;"_"&amp;SETUP!$C$64</f>
        <v>Residential Water Heating Apartment_Electricity to Residential_Existing 00</v>
      </c>
      <c r="O35" s="747" t="str">
        <f>COMM!$E$24</f>
        <v>RSDELC</v>
      </c>
      <c r="P35" s="747" t="str">
        <f>COMM!$P$15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11"/>
        <v>8.0335910939320129E-3</v>
      </c>
      <c r="V35" s="949">
        <v>20</v>
      </c>
      <c r="W35" s="949">
        <v>1</v>
      </c>
      <c r="X35" s="950">
        <f t="shared" si="12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6" t="str">
        <f>_xlfn.TEXTJOIN(",",TRUE,IF(LEFT(Regions!$C$3,1)&lt;&gt;"*",Regions!$C$3,""),IF(LEFT(Regions!$D$3,1)&lt;&gt;"*",Regions!$D$3,""))</f>
        <v>IE,National</v>
      </c>
      <c r="AC35" s="747" t="str">
        <f t="shared" ref="AC35" si="13">M35</f>
        <v>RWH_Apt_ELC_X0</v>
      </c>
      <c r="AD35" s="747" t="str">
        <f t="shared" ref="AD35" si="14">N35</f>
        <v>Residential Water Heating Apartment_Electricity to Residential_Existing 00</v>
      </c>
      <c r="AE35" s="747" t="s">
        <v>19</v>
      </c>
      <c r="AF35" s="747" t="s">
        <v>321</v>
      </c>
      <c r="AG35" s="747"/>
      <c r="AH35" s="747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44" t="s">
        <v>1254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83" t="str">
        <f t="shared" si="7"/>
        <v>IE,National</v>
      </c>
      <c r="M36" s="83" t="str">
        <f>COMM!$P$15&amp;"_"&amp;RIGHT(O36,LEN(O36)-3)&amp;"_"&amp;SETUP!$B$65</f>
        <v>RWH_Apt_ELC_X1</v>
      </c>
      <c r="N36" s="951" t="str">
        <f>COMM!$Q$15&amp;"_"&amp;COMM!F24&amp;"_"&amp;SETUP!$C$65</f>
        <v>Residential Water Heating Apartment_Electricity to Residential_Existing 01</v>
      </c>
      <c r="O36" s="83" t="str">
        <f>COMM!$E$24</f>
        <v>RSDELC</v>
      </c>
      <c r="P36" s="83" t="str">
        <f>COMM!$P$15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5">X36/R36/W36</f>
        <v>3.7208012181010591E-3</v>
      </c>
      <c r="V36" s="956">
        <v>20</v>
      </c>
      <c r="W36" s="956">
        <v>1</v>
      </c>
      <c r="X36" s="957">
        <f t="shared" ref="X36:X41" si="16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ref="AC36:AC41" si="17">M36</f>
        <v>RWH_Apt_ELC_X1</v>
      </c>
      <c r="AD36" s="83" t="str">
        <f t="shared" ref="AD36:AD41" si="18">N36</f>
        <v>Residential Water Heating Apartment_Electricity to Residential_Existing 01</v>
      </c>
      <c r="AE36" s="83" t="s">
        <v>19</v>
      </c>
      <c r="AF36" s="83" t="s">
        <v>321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7" t="str">
        <f t="shared" si="7"/>
        <v>IE,National</v>
      </c>
      <c r="M37" s="747" t="str">
        <f>COMM!$P$15&amp;"_"&amp;RIGHT(O37,LEN(O37)-3)&amp;"_"&amp;SETUP!$B$64</f>
        <v>RWH_Apt_OILKER_X0</v>
      </c>
      <c r="N37" s="747" t="str">
        <f>COMM!$Q$15&amp;"_"&amp;COMM!F10&amp;"_"&amp;SETUP!$C$64</f>
        <v>Residential Water Heating Apartment_Kerosene to Residential_Existing 00</v>
      </c>
      <c r="O37" s="747" t="str">
        <f>COMM!$E$10</f>
        <v>RSDOILKER</v>
      </c>
      <c r="P37" s="747" t="str">
        <f>COMM!$P$15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>IFERROR((R37*1000)/E37,0)</f>
        <v>1.5414577214925684</v>
      </c>
      <c r="T37" s="948">
        <f t="shared" ref="T37:T41" si="19">T13</f>
        <v>0.81016216216216219</v>
      </c>
      <c r="U37" s="948">
        <f t="shared" si="15"/>
        <v>1.8330791548635653E-2</v>
      </c>
      <c r="V37" s="949">
        <v>20</v>
      </c>
      <c r="W37" s="949">
        <v>1</v>
      </c>
      <c r="X37" s="950">
        <f t="shared" si="16"/>
        <v>0.10754286950115982</v>
      </c>
      <c r="Y37" s="950">
        <f>IF(((D37+I37)*$B$2)&lt;=0,0,((D37+I37)*S37*$B$2))</f>
        <v>8.712716368018289E-2</v>
      </c>
      <c r="Z37" s="702"/>
      <c r="AA37" s="747" t="s">
        <v>311</v>
      </c>
      <c r="AB37" s="746" t="str">
        <f>_xlfn.TEXTJOIN(",",TRUE,IF(LEFT(Regions!$C$3,1)&lt;&gt;"*",Regions!$C$3,""),IF(LEFT(Regions!$D$3,1)&lt;&gt;"*",Regions!$D$3,""))</f>
        <v>IE,National</v>
      </c>
      <c r="AC37" s="747" t="str">
        <f t="shared" si="17"/>
        <v>RWH_Apt_OILKER_X0</v>
      </c>
      <c r="AD37" s="747" t="str">
        <f t="shared" si="18"/>
        <v>Residential Water Heating Apartment_Kerosene to Residential_Existing 00</v>
      </c>
      <c r="AE37" s="747" t="s">
        <v>19</v>
      </c>
      <c r="AF37" s="747" t="s">
        <v>321</v>
      </c>
      <c r="AG37" s="747"/>
      <c r="AH37" s="747"/>
      <c r="AI37" s="702"/>
      <c r="AJ37" s="702"/>
      <c r="AK37" s="702"/>
      <c r="AL37" s="702"/>
      <c r="AM37" s="702"/>
    </row>
    <row r="38" spans="1:44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62"/>
      <c r="AC38" s="959"/>
      <c r="AD38" s="959"/>
      <c r="AE38" s="959"/>
      <c r="AF38" s="959"/>
      <c r="AG38" s="959"/>
      <c r="AH38" s="959"/>
      <c r="AI38" s="702"/>
      <c r="AJ38" s="702"/>
      <c r="AK38" s="702"/>
      <c r="AL38" s="702"/>
      <c r="AM38" s="702"/>
    </row>
    <row r="39" spans="1:44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7" t="str">
        <f>AB39</f>
        <v>IE,National</v>
      </c>
      <c r="M39" s="747" t="str">
        <f>COMM!$P$15&amp;"_"&amp;RIGHT(O39,LEN(O39)-3)&amp;"_"&amp;SETUP!$B$64</f>
        <v>RWH_Apt_GASNAT_X0</v>
      </c>
      <c r="N39" s="747" t="str">
        <f>COMM!$Q$15&amp;"_"&amp;COMM!F14&amp;"_"&amp;SETUP!$C$64</f>
        <v>Residential Water Heating Apartment_Natural Gas to Residential_Existing 00</v>
      </c>
      <c r="O39" s="747" t="str">
        <f>COMM!$E$14</f>
        <v>RSDGASNAT</v>
      </c>
      <c r="P39" s="747" t="str">
        <f>COMM!$P$15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>IFERROR((R39*1000)/E39,0)</f>
        <v>1.5414577214925684</v>
      </c>
      <c r="T39" s="948">
        <f t="shared" si="19"/>
        <v>0.81026881720430111</v>
      </c>
      <c r="U39" s="948">
        <f t="shared" si="15"/>
        <v>1.5169379737380098E-2</v>
      </c>
      <c r="V39" s="949">
        <v>20</v>
      </c>
      <c r="W39" s="949">
        <v>1</v>
      </c>
      <c r="X39" s="950">
        <f t="shared" si="16"/>
        <v>1.2743478022333152</v>
      </c>
      <c r="Y39" s="950">
        <f>IF(((D39+I39)*$B$2)&lt;=0,0,((D39+I39)*S39*$B$2))</f>
        <v>1.0325642864224889</v>
      </c>
      <c r="Z39" s="702"/>
      <c r="AA39" s="747" t="s">
        <v>311</v>
      </c>
      <c r="AB39" s="746" t="str">
        <f>_xlfn.TEXTJOIN(",",TRUE,IF(LEFT(Regions!$C$3,1)&lt;&gt;"*",Regions!$C$3,""),IF(LEFT(Regions!$D$3,1)&lt;&gt;"*",Regions!$D$3,""))</f>
        <v>IE,National</v>
      </c>
      <c r="AC39" s="747" t="str">
        <f t="shared" si="17"/>
        <v>RWH_Apt_GASNAT_X0</v>
      </c>
      <c r="AD39" s="747" t="str">
        <f t="shared" si="18"/>
        <v>Residential Water Heating Apartment_Natural Gas to Residential_Existing 00</v>
      </c>
      <c r="AE39" s="747" t="s">
        <v>19</v>
      </c>
      <c r="AF39" s="967" t="s">
        <v>321</v>
      </c>
      <c r="AG39" s="967"/>
      <c r="AH39" s="967"/>
      <c r="AI39" s="702"/>
      <c r="AJ39" s="702"/>
      <c r="AK39" s="702"/>
      <c r="AL39" s="702"/>
      <c r="AM39" s="702"/>
    </row>
    <row r="40" spans="1:44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62"/>
      <c r="AC40" s="959"/>
      <c r="AD40" s="959"/>
      <c r="AE40" s="959"/>
      <c r="AF40" s="959"/>
      <c r="AG40" s="959"/>
      <c r="AH40" s="959"/>
      <c r="AI40" s="702"/>
      <c r="AJ40" s="702"/>
      <c r="AK40" s="702"/>
      <c r="AL40" s="702"/>
      <c r="AM40" s="702"/>
    </row>
    <row r="41" spans="1:44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7" t="str">
        <f>AB41</f>
        <v>IE,National</v>
      </c>
      <c r="M41" s="747" t="str">
        <f>COMM!$P$15&amp;"_"&amp;RIGHT(O41,LEN(O41)-3)&amp;"_"&amp;SETUP!$B$64</f>
        <v>RWH_Apt_PEA_X0</v>
      </c>
      <c r="N41" s="747" t="str">
        <f>COMM!$Q$15&amp;"_"&amp;COMM!F7&amp;"_"&amp;SETUP!$C$64</f>
        <v>Residential Water Heating Apartment_Peat to Residential_Existing 00</v>
      </c>
      <c r="O41" s="747" t="str">
        <f>COMM!$E$7</f>
        <v>RSDPEA</v>
      </c>
      <c r="P41" s="747" t="str">
        <f>COMM!$P$15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9"/>
        <v>0.52500000000000002</v>
      </c>
      <c r="U41" s="948">
        <f t="shared" si="15"/>
        <v>3.1107692307692305E-2</v>
      </c>
      <c r="V41" s="949">
        <v>20</v>
      </c>
      <c r="W41" s="949">
        <v>1</v>
      </c>
      <c r="X41" s="950">
        <f t="shared" si="16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6" t="str">
        <f>_xlfn.TEXTJOIN(",",TRUE,IF(LEFT(Regions!$C$3,1)&lt;&gt;"*",Regions!$C$3,""),IF(LEFT(Regions!$D$3,1)&lt;&gt;"*",Regions!$D$3,""))</f>
        <v>IE,National</v>
      </c>
      <c r="AC41" s="747" t="str">
        <f t="shared" si="17"/>
        <v>RWH_Apt_PEA_X0</v>
      </c>
      <c r="AD41" s="747" t="str">
        <f t="shared" si="18"/>
        <v>Residential Water Heating Apartment_Peat to Residential_Existing 00</v>
      </c>
      <c r="AE41" s="747" t="s">
        <v>19</v>
      </c>
      <c r="AF41" s="967" t="s">
        <v>321</v>
      </c>
      <c r="AG41" s="967"/>
      <c r="AH41" s="967"/>
      <c r="AI41" s="702"/>
      <c r="AJ41" s="702"/>
      <c r="AK41" s="702"/>
      <c r="AL41" s="702"/>
      <c r="AM41" s="702"/>
    </row>
    <row r="42" spans="1:44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62"/>
      <c r="AC42" s="959"/>
      <c r="AD42" s="959"/>
      <c r="AE42" s="959"/>
      <c r="AF42" s="959"/>
      <c r="AG42" s="959"/>
      <c r="AH42" s="959"/>
      <c r="AI42" s="702"/>
      <c r="AJ42" s="702"/>
      <c r="AK42" s="702"/>
      <c r="AL42" s="702"/>
      <c r="AM42" s="702"/>
    </row>
    <row r="43" spans="1:44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83" t="str">
        <f>AB43</f>
        <v>IE,National</v>
      </c>
      <c r="M43" s="83" t="str">
        <f>COMM!P15&amp;"_"&amp;RIGHT(COMM!E23,LEN(COMM!E23)-3)&amp;"_"&amp;SETUP!B64</f>
        <v>RWH_Apt_SMF_X0</v>
      </c>
      <c r="N43" s="951" t="str">
        <f>COMM!Q15&amp;"_"&amp;COMM!F23&amp;"_"&amp;SETUP!C64</f>
        <v>Residential Water Heating Apartment_Solid Multi-Fuel_Existing 00</v>
      </c>
      <c r="O43" s="83" t="str">
        <f>COMM!E6&amp;","&amp;COMM!E7&amp;","&amp;COMM!E16</f>
        <v>RSDCOA,RSDPEA,RSDBIOWOO</v>
      </c>
      <c r="P43" s="83" t="str">
        <f>COMM!$P$15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6" t="str">
        <f>_xlfn.TEXTJOIN(",",TRUE,IF(LEFT(Regions!$C$3,1)&lt;&gt;"*",Regions!$C$3,""),IF(LEFT(Regions!$D$3,1)&lt;&gt;"*",Regions!$D$3,""))</f>
        <v>IE,National</v>
      </c>
      <c r="AC43" s="747" t="str">
        <f t="shared" ref="AC43:AC45" si="22">M43</f>
        <v>RWH_Apt_SMF_X0</v>
      </c>
      <c r="AD43" s="747" t="str">
        <f t="shared" ref="AD43:AD45" si="23">N43</f>
        <v>Residential Water Heating Apartment_Solid Multi-Fuel_Existing 00</v>
      </c>
      <c r="AE43" s="747" t="s">
        <v>19</v>
      </c>
      <c r="AF43" s="967" t="s">
        <v>321</v>
      </c>
      <c r="AG43" s="967"/>
      <c r="AH43" s="967"/>
      <c r="AI43" s="702"/>
      <c r="AJ43" s="702"/>
      <c r="AK43" s="702"/>
      <c r="AL43" s="702"/>
      <c r="AM43" s="702"/>
    </row>
    <row r="44" spans="1:44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7" t="str">
        <f>AB44</f>
        <v>IE,National</v>
      </c>
      <c r="M44" s="747" t="str">
        <f>COMM!P15&amp;"_"&amp;RIGHT(O44,LEN(O44)-3)&amp;"_"&amp;SETUP!B64</f>
        <v>RWH_Apt_BIOWOO_X0</v>
      </c>
      <c r="N44" s="747" t="str">
        <f>COMM!Q15&amp;"_"&amp;COMM!F16&amp;"_"&amp;SETUP!C64</f>
        <v>Residential Water Heating Apartment_Biomass and Renewable Waste to Residential_Existing 00</v>
      </c>
      <c r="O44" s="747" t="str">
        <f>COMM!E16</f>
        <v>RSDBIOWOO</v>
      </c>
      <c r="P44" s="747" t="str">
        <f>COMM!$P$15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22"/>
        <v>RWH_Apt_BIOWOO_X0</v>
      </c>
      <c r="AD44" s="83" t="str">
        <f t="shared" si="23"/>
        <v>Residential Water Heating Apartment_Biomass and Renewable Waste to Residential_Existing 00</v>
      </c>
      <c r="AE44" s="83" t="s">
        <v>19</v>
      </c>
      <c r="AF44" s="83" t="s">
        <v>321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83" t="str">
        <f>AB45</f>
        <v>IE,National</v>
      </c>
      <c r="M45" s="83" t="str">
        <f>COMM!P15&amp;"_"&amp;RIGHT(O45,LEN(O45)-3)&amp;"_"&amp;SETUP!B64</f>
        <v>RWH_Apt_HET_X0</v>
      </c>
      <c r="N45" s="951" t="str">
        <f>COMM!Q15&amp;"_"&amp;COMM!F25&amp;"_"&amp;SETUP!C64</f>
        <v>Residential Water Heating Apartment_Heat to Residential_Existing 00</v>
      </c>
      <c r="O45" s="83" t="str">
        <f>COMM!E25</f>
        <v>RSDHET</v>
      </c>
      <c r="P45" s="83" t="str">
        <f>COMM!$P$15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6" t="str">
        <f>_xlfn.TEXTJOIN(",",TRUE,IF(LEFT(Regions!$C$3,1)&lt;&gt;"*",Regions!$C$3,""),IF(LEFT(Regions!$D$3,1)&lt;&gt;"*",Regions!$D$3,""))</f>
        <v>IE,National</v>
      </c>
      <c r="AC45" s="747" t="str">
        <f t="shared" si="22"/>
        <v>RWH_Apt_HET_X0</v>
      </c>
      <c r="AD45" s="747" t="str">
        <f t="shared" si="23"/>
        <v>Residential Water Heating Apartment_Heat to Residential_Existing 00</v>
      </c>
      <c r="AE45" s="747" t="s">
        <v>19</v>
      </c>
      <c r="AF45" s="967" t="s">
        <v>321</v>
      </c>
      <c r="AG45" s="967"/>
      <c r="AH45" s="967"/>
      <c r="AI45" s="702"/>
      <c r="AJ45" s="702"/>
      <c r="AK45" s="702"/>
      <c r="AL45" s="702"/>
      <c r="AM45" s="702"/>
    </row>
    <row r="46" spans="1:44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/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4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/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4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/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1255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1249</v>
      </c>
      <c r="C51" s="121"/>
      <c r="D51" s="121"/>
      <c r="E51" s="121"/>
      <c r="F51" s="121"/>
      <c r="G51" s="121"/>
      <c r="H51" s="121"/>
      <c r="J51" s="702"/>
      <c r="K51" s="702"/>
      <c r="L51" s="120" t="s">
        <v>1249</v>
      </c>
      <c r="M51" s="120"/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1297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1297</v>
      </c>
      <c r="AC52" s="73" t="s">
        <v>298</v>
      </c>
      <c r="AD52" s="73" t="s">
        <v>299</v>
      </c>
      <c r="AE52" s="73" t="s">
        <v>306</v>
      </c>
      <c r="AF52" s="73" t="s">
        <v>307</v>
      </c>
      <c r="AG52" s="73" t="s">
        <v>308</v>
      </c>
      <c r="AH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1298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4" t="s">
        <v>1298</v>
      </c>
      <c r="AC53" s="75"/>
      <c r="AD53" s="74"/>
      <c r="AE53" s="75"/>
      <c r="AF53" s="75"/>
      <c r="AG53" s="75"/>
      <c r="AH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920" t="str">
        <f>AB54</f>
        <v>IE,National</v>
      </c>
      <c r="M54" s="920" t="str">
        <f>COMM!P18&amp;"_"&amp;SETUP!B64</f>
        <v>RLT_Apt_X0</v>
      </c>
      <c r="N54" s="920" t="str">
        <f>COMM!$Q$18&amp;"_"&amp;SETUP!$B$64</f>
        <v>Residential Lighting Apartment_X0</v>
      </c>
      <c r="O54" s="747" t="str">
        <f>COMM!E24</f>
        <v>RSDELC</v>
      </c>
      <c r="P54" s="920" t="str">
        <f>COMM!$P$18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>_xlfn.TEXTJOIN(",",TRUE,IF(LEFT(Regions!$C$3,1)&lt;&gt;"*",Regions!$C$3,""),IF(LEFT(Regions!$D$3,1)&lt;&gt;"*",Regions!$D$3,""))</f>
        <v>IE,National</v>
      </c>
      <c r="AC54" s="746" t="str">
        <f t="shared" ref="AC54" si="25">M54</f>
        <v>RLT_Apt_X0</v>
      </c>
      <c r="AD54" s="747" t="str">
        <f t="shared" ref="AD54" si="26">N54</f>
        <v>Residential Lighting Apartment_X0</v>
      </c>
      <c r="AE54" s="746" t="s">
        <v>19</v>
      </c>
      <c r="AF54" s="748" t="s">
        <v>321</v>
      </c>
      <c r="AG54" s="746"/>
      <c r="AH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AB55</f>
        <v>IE,National</v>
      </c>
      <c r="M55" s="652" t="str">
        <f>COMM!$P$21&amp;"_"&amp;SETUP!$B$64</f>
        <v>RPF_Apt_X0</v>
      </c>
      <c r="N55" s="925" t="str">
        <f>COMM!$Q$21&amp;"_"&amp;SETUP!$B$64</f>
        <v>Residential Pumps &amp; Fans Apartment_X0</v>
      </c>
      <c r="O55" s="83" t="str">
        <f>COMM!E24</f>
        <v>RSDELC</v>
      </c>
      <c r="P55" s="148" t="str">
        <f>COMM!$P$21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ref="U55" si="27">X55/R55/W55</f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ref="AC55" si="28">M55</f>
        <v>RPF_Apt_X0</v>
      </c>
      <c r="AD55" s="83" t="str">
        <f t="shared" ref="AD55" si="29">N55</f>
        <v>Residential Pumps &amp; Fans Apartment_X0</v>
      </c>
      <c r="AE55" s="652" t="s">
        <v>19</v>
      </c>
      <c r="AF55" s="652" t="s">
        <v>321</v>
      </c>
      <c r="AG55" s="652"/>
      <c r="AH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S65"/>
  <sheetViews>
    <sheetView topLeftCell="H1" zoomScaleNormal="100" workbookViewId="0">
      <selection activeCell="Z57" sqref="Z57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86.5703125" style="119" bestFit="1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1250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1246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590</v>
      </c>
      <c r="M3" s="120"/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1297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1297</v>
      </c>
      <c r="AC4" s="73" t="s">
        <v>298</v>
      </c>
      <c r="AD4" s="73" t="s">
        <v>299</v>
      </c>
      <c r="AE4" s="73" t="s">
        <v>306</v>
      </c>
      <c r="AF4" s="73" t="s">
        <v>307</v>
      </c>
      <c r="AG4" s="73" t="s">
        <v>308</v>
      </c>
      <c r="AH4" s="73" t="s">
        <v>309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1298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4" t="s">
        <v>1298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7" t="str">
        <f t="shared" ref="L7:L13" si="0">AB7</f>
        <v>IE,National</v>
      </c>
      <c r="M7" s="747" t="str">
        <f>COMM!$P$10&amp;"_"&amp;RIGHT(O7,LEN(O7)-3)&amp;"_"&amp;SETUP!$B$64</f>
        <v>RSH_Att_COA_X0</v>
      </c>
      <c r="N7" s="747" t="str">
        <f>COMM!$Q$10&amp;"_"&amp;COMM!F6&amp;"_"&amp;SETUP!$C$64</f>
        <v>Residential Space Heating Attached_Coal to Residential_Existing 00</v>
      </c>
      <c r="O7" s="747" t="str">
        <f>COMM!$E$6</f>
        <v>RSDCOA</v>
      </c>
      <c r="P7" s="747" t="str">
        <f>COMM!$P$10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6" t="str">
        <f>_xlfn.TEXTJOIN(",",TRUE,IF(LEFT(Regions!$C$3,1)&lt;&gt;"*",Regions!$C$3,""),IF(LEFT(Regions!$D$3,1)&lt;&gt;"*",Regions!$D$3,""))</f>
        <v>IE,National</v>
      </c>
      <c r="AC7" s="747" t="str">
        <f>M7</f>
        <v>RSH_Att_COA_X0</v>
      </c>
      <c r="AD7" s="747" t="str">
        <f>N7</f>
        <v>Residential Space Heating Attached_Coal to Residential_Existing 00</v>
      </c>
      <c r="AE7" s="747" t="s">
        <v>19</v>
      </c>
      <c r="AF7" s="747" t="s">
        <v>321</v>
      </c>
      <c r="AG7" s="747"/>
      <c r="AH7" s="747"/>
      <c r="AI7" s="702"/>
      <c r="AJ7" s="702"/>
      <c r="AK7" s="702"/>
      <c r="AL7" s="702"/>
      <c r="AM7" s="702"/>
      <c r="AN7" s="702"/>
    </row>
    <row r="8" spans="1:40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83" t="str">
        <f t="shared" si="0"/>
        <v>IE,National</v>
      </c>
      <c r="M8" s="83" t="str">
        <f>COMM!$P$10&amp;"_"&amp;RIGHT(O8,LEN(O8)-3)&amp;"_"&amp;SETUP!$B$64</f>
        <v>RSH_Att_BIODST_X0</v>
      </c>
      <c r="N8" s="83" t="str">
        <f>COMM!$Q$10&amp;"_"&amp;COMM!F21&amp;"_"&amp;SETUP!$C$64</f>
        <v>Residential Space Heating Attached_Biodiesel to Residential_Existing 00</v>
      </c>
      <c r="O8" s="83" t="str">
        <f>COMM!$E$21</f>
        <v>RSDBIODST</v>
      </c>
      <c r="P8" s="83" t="str">
        <f>COMM!$P$10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RSH_Att_BIODST_X0</v>
      </c>
      <c r="AD8" s="83" t="str">
        <f t="shared" ref="AD8:AD13" si="2">N8</f>
        <v>Residential Space Heating Attached_Biodiesel to Residential_Existing 00</v>
      </c>
      <c r="AE8" s="83" t="s">
        <v>19</v>
      </c>
      <c r="AF8" s="83" t="s">
        <v>321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7" t="str">
        <f t="shared" si="0"/>
        <v>IE,National</v>
      </c>
      <c r="M9" s="747" t="str">
        <f>COMM!P10&amp;"_"&amp;RIGHT(O9,LEN(O9)-3)&amp;"_"&amp;SETUP!B64</f>
        <v>RSH_Att_BIOETH_X0</v>
      </c>
      <c r="N9" s="747" t="str">
        <f>COMM!Q10&amp;"_"&amp;COMM!F20&amp;"_"&amp;SETUP!C64</f>
        <v>Residential Space Heating Attached_Ethanol to Residential_Existing 00</v>
      </c>
      <c r="O9" s="747" t="str">
        <f>COMM!$E$20</f>
        <v>RSDBIOETH</v>
      </c>
      <c r="P9" s="747" t="str">
        <f>COMM!$P$10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6" t="str">
        <f>_xlfn.TEXTJOIN(",",TRUE,IF(LEFT(Regions!$C$3,1)&lt;&gt;"*",Regions!$C$3,""),IF(LEFT(Regions!$D$3,1)&lt;&gt;"*",Regions!$D$3,""))</f>
        <v>IE,National</v>
      </c>
      <c r="AC9" s="747" t="str">
        <f t="shared" si="1"/>
        <v>RSH_Att_BIOETH_X0</v>
      </c>
      <c r="AD9" s="747" t="str">
        <f t="shared" si="2"/>
        <v>Residential Space Heating Attached_Ethanol to Residential_Existing 00</v>
      </c>
      <c r="AE9" s="747" t="s">
        <v>19</v>
      </c>
      <c r="AF9" s="747" t="s">
        <v>321</v>
      </c>
      <c r="AG9" s="747"/>
      <c r="AH9" s="747"/>
      <c r="AI9" s="702"/>
      <c r="AJ9" s="702"/>
      <c r="AK9" s="702"/>
      <c r="AL9" s="702"/>
      <c r="AM9" s="702"/>
      <c r="AN9" s="702"/>
    </row>
    <row r="10" spans="1:40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83" t="str">
        <f t="shared" si="0"/>
        <v>IE,National</v>
      </c>
      <c r="M10" s="83" t="str">
        <f>COMM!P10&amp;"_"&amp;RIGHT(O10,LEN(O10)-3)&amp;"_"&amp;SETUP!B64</f>
        <v>RSH_Att_OILLPG_X0</v>
      </c>
      <c r="N10" s="83" t="str">
        <f>COMM!Q10&amp;"_"&amp;COMM!F8&amp;"_"&amp;SETUP!C64</f>
        <v>Residential Space Heating Attached_LPG to Residential_Existing 00</v>
      </c>
      <c r="O10" s="83" t="str">
        <f>COMM!$E$8</f>
        <v>RSDOILLPG</v>
      </c>
      <c r="P10" s="83" t="str">
        <f>COMM!$P$10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3">X10/R10/W10</f>
        <v>3.2707125228181297E-2</v>
      </c>
      <c r="V10" s="956">
        <v>20</v>
      </c>
      <c r="W10" s="956">
        <v>1</v>
      </c>
      <c r="X10" s="957">
        <f t="shared" ref="X10:X20" si="4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RSH_Att_OILLPG_X0</v>
      </c>
      <c r="AD10" s="83" t="str">
        <f t="shared" si="2"/>
        <v>Residential Space Heating Attached_LPG to Residential_Existing 00</v>
      </c>
      <c r="AE10" s="83" t="s">
        <v>19</v>
      </c>
      <c r="AF10" s="83" t="s">
        <v>321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7" t="str">
        <f t="shared" si="0"/>
        <v>IE,National</v>
      </c>
      <c r="M11" s="747" t="str">
        <f>COMM!P10&amp;"_"&amp;RIGHT(O12,LEN(O12)-3)&amp;"_"&amp;SETUP!B64</f>
        <v>RSH_Att_ELC_X0</v>
      </c>
      <c r="N11" s="747" t="str">
        <f>COMM!Q10&amp;"_"&amp;COMM!F24&amp;"_"&amp;SETUP!C64</f>
        <v>Residential Space Heating Attached_Electricity to Residential_Existing 00</v>
      </c>
      <c r="O11" s="747" t="str">
        <f>COMM!$E$24</f>
        <v>RSDELC</v>
      </c>
      <c r="P11" s="747" t="str">
        <f>COMM!$P$10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3"/>
        <v>2.9988398348673333E-2</v>
      </c>
      <c r="V11" s="949">
        <v>20</v>
      </c>
      <c r="W11" s="949">
        <v>1</v>
      </c>
      <c r="X11" s="950">
        <f t="shared" si="4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6" t="str">
        <f>_xlfn.TEXTJOIN(",",TRUE,IF(LEFT(Regions!$C$3,1)&lt;&gt;"*",Regions!$C$3,""),IF(LEFT(Regions!$D$3,1)&lt;&gt;"*",Regions!$D$3,""))</f>
        <v>IE,National</v>
      </c>
      <c r="AC11" s="747" t="str">
        <f t="shared" si="1"/>
        <v>RSH_Att_ELC_X0</v>
      </c>
      <c r="AD11" s="747" t="str">
        <f t="shared" si="2"/>
        <v>Residential Space Heating Attached_Electricity to Residential_Existing 00</v>
      </c>
      <c r="AE11" s="747" t="s">
        <v>19</v>
      </c>
      <c r="AF11" s="747" t="s">
        <v>321</v>
      </c>
      <c r="AG11" s="747"/>
      <c r="AH11" s="747"/>
      <c r="AI11" s="702"/>
      <c r="AJ11" s="702"/>
      <c r="AK11" s="702"/>
      <c r="AL11" s="702"/>
      <c r="AM11" s="702"/>
      <c r="AN11" s="702"/>
    </row>
    <row r="12" spans="1:40">
      <c r="A12" s="943" t="s">
        <v>1254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83" t="str">
        <f t="shared" si="0"/>
        <v>IE,National</v>
      </c>
      <c r="M12" s="83" t="str">
        <f>COMM!P10&amp;"_"&amp;RIGHT(O12,LEN(O12)-3)&amp;"_"&amp;SETUP!B65</f>
        <v>RSH_Att_ELC_X1</v>
      </c>
      <c r="N12" s="83" t="str">
        <f>COMM!Q10&amp;"_"&amp;COMM!F24&amp;"_"&amp;SETUP!C65</f>
        <v>Residential Space Heating Attached_Electricity to Residential_Existing 01</v>
      </c>
      <c r="O12" s="83" t="str">
        <f>COMM!$E$24</f>
        <v>RSDELC</v>
      </c>
      <c r="P12" s="83" t="str">
        <f>COMM!$P$10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3"/>
        <v>1.6619905799124676E-3</v>
      </c>
      <c r="V12" s="956">
        <v>20</v>
      </c>
      <c r="W12" s="956">
        <v>1</v>
      </c>
      <c r="X12" s="957">
        <f t="shared" si="4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RSH_Att_ELC_X1</v>
      </c>
      <c r="AD12" s="83" t="str">
        <f t="shared" si="2"/>
        <v>Residential Space Heating Attached_Electricity to Residential_Existing 01</v>
      </c>
      <c r="AE12" s="83" t="s">
        <v>19</v>
      </c>
      <c r="AF12" s="83" t="s">
        <v>321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7" t="str">
        <f t="shared" si="0"/>
        <v>IE,National</v>
      </c>
      <c r="M13" s="747" t="str">
        <f>COMM!P10&amp;"_"&amp;RIGHT(O13,LEN(O13)-3)&amp;"_"&amp;SETUP!B64</f>
        <v>RSH_Att_OILKER_X0</v>
      </c>
      <c r="N13" s="747" t="str">
        <f>COMM!Q10&amp;"_"&amp;COMM!F10&amp;"_"&amp;SETUP!C64</f>
        <v>Residential Space Heating Attached_Kerosene to Residential_Existing 00</v>
      </c>
      <c r="O13" s="747" t="str">
        <f>COMM!$E$10</f>
        <v>RSDOILKER</v>
      </c>
      <c r="P13" s="747" t="str">
        <f>COMM!$P$10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3"/>
        <v>3.5601883556879516E-2</v>
      </c>
      <c r="V13" s="949">
        <v>20</v>
      </c>
      <c r="W13" s="949">
        <v>1</v>
      </c>
      <c r="X13" s="950">
        <f t="shared" si="4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6" t="str">
        <f>_xlfn.TEXTJOIN(",",TRUE,IF(LEFT(Regions!$C$3,1)&lt;&gt;"*",Regions!$C$3,""),IF(LEFT(Regions!$D$3,1)&lt;&gt;"*",Regions!$D$3,""))</f>
        <v>IE,National</v>
      </c>
      <c r="AC13" s="747" t="str">
        <f t="shared" si="1"/>
        <v>RSH_Att_OILKER_X0</v>
      </c>
      <c r="AD13" s="747" t="str">
        <f t="shared" si="2"/>
        <v>Residential Space Heating Attached_Kerosene to Residential_Existing 00</v>
      </c>
      <c r="AE13" s="747" t="s">
        <v>19</v>
      </c>
      <c r="AF13" s="747" t="s">
        <v>321</v>
      </c>
      <c r="AG13" s="747"/>
      <c r="AH13" s="747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62"/>
      <c r="AC14" s="959"/>
      <c r="AD14" s="959"/>
      <c r="AE14" s="959"/>
      <c r="AF14" s="959"/>
      <c r="AG14" s="959"/>
      <c r="AH14" s="959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7" t="str">
        <f>AB15</f>
        <v>IE,National</v>
      </c>
      <c r="M15" s="747" t="str">
        <f>COMM!P10&amp;"_"&amp;RIGHT(O15,LEN(O15)-3)&amp;"_"&amp;SETUP!B64</f>
        <v>RSH_Att_GASNAT_X0</v>
      </c>
      <c r="N15" s="747" t="str">
        <f>COMM!Q10&amp;"_"&amp;COMM!F14&amp;"_"&amp;SETUP!C64</f>
        <v>Residential Space Heating Attached_Natural Gas to Residential_Existing 00</v>
      </c>
      <c r="O15" s="747" t="str">
        <f>COMM!$E$14</f>
        <v>RSDGASNAT</v>
      </c>
      <c r="P15" s="747" t="str">
        <f>COMM!$P$10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3"/>
        <v>3.3079183321616135E-2</v>
      </c>
      <c r="V15" s="949">
        <v>20</v>
      </c>
      <c r="W15" s="949">
        <v>1</v>
      </c>
      <c r="X15" s="950">
        <f t="shared" si="4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6" t="str">
        <f>_xlfn.TEXTJOIN(",",TRUE,IF(LEFT(Regions!$C$3,1)&lt;&gt;"*",Regions!$C$3,""),IF(LEFT(Regions!$D$3,1)&lt;&gt;"*",Regions!$D$3,""))</f>
        <v>IE,National</v>
      </c>
      <c r="AC15" s="747" t="str">
        <f t="shared" si="1"/>
        <v>RSH_Att_GASNAT_X0</v>
      </c>
      <c r="AD15" s="747" t="str">
        <f>N15</f>
        <v>Residential Space Heating Attached_Natural Gas to Residential_Existing 00</v>
      </c>
      <c r="AE15" s="747" t="s">
        <v>19</v>
      </c>
      <c r="AF15" s="747" t="s">
        <v>321</v>
      </c>
      <c r="AG15" s="747"/>
      <c r="AH15" s="747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62"/>
      <c r="AC16" s="959"/>
      <c r="AD16" s="959"/>
      <c r="AE16" s="959"/>
      <c r="AF16" s="959"/>
      <c r="AG16" s="959"/>
      <c r="AH16" s="959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7" t="str">
        <f>AB17</f>
        <v>IE,National</v>
      </c>
      <c r="M17" s="747" t="str">
        <f>COMM!P10&amp;"_"&amp;RIGHT(O17,LEN(O17)-3)&amp;"_"&amp;SETUP!B64</f>
        <v>RSH_Att_PEA_X0</v>
      </c>
      <c r="N17" s="747" t="str">
        <f>COMM!Q10&amp;"_"&amp;COMM!F7&amp;"_"&amp;SETUP!C64</f>
        <v>Residential Space Heating Attached_Peat to Residential_Existing 00</v>
      </c>
      <c r="O17" s="747" t="str">
        <f>COMM!E7</f>
        <v>RSDPEA</v>
      </c>
      <c r="P17" s="747" t="str">
        <f>COMM!$P$10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3"/>
        <v>0.14731647589278563</v>
      </c>
      <c r="V17" s="949">
        <v>20</v>
      </c>
      <c r="W17" s="949">
        <v>1</v>
      </c>
      <c r="X17" s="950">
        <f t="shared" si="4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6" t="str">
        <f>_xlfn.TEXTJOIN(",",TRUE,IF(LEFT(Regions!$C$3,1)&lt;&gt;"*",Regions!$C$3,""),IF(LEFT(Regions!$D$3,1)&lt;&gt;"*",Regions!$D$3,""))</f>
        <v>IE,National</v>
      </c>
      <c r="AC17" s="747" t="str">
        <f t="shared" si="1"/>
        <v>RSH_Att_PEA_X0</v>
      </c>
      <c r="AD17" s="747" t="str">
        <f>N17</f>
        <v>Residential Space Heating Attached_Peat to Residential_Existing 00</v>
      </c>
      <c r="AE17" s="747" t="s">
        <v>19</v>
      </c>
      <c r="AF17" s="747" t="s">
        <v>321</v>
      </c>
      <c r="AG17" s="747"/>
      <c r="AH17" s="747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62"/>
      <c r="AC18" s="959"/>
      <c r="AD18" s="959"/>
      <c r="AE18" s="959"/>
      <c r="AF18" s="959"/>
      <c r="AG18" s="959"/>
      <c r="AH18" s="959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83" t="str">
        <f>AB19</f>
        <v>IE,National</v>
      </c>
      <c r="M19" s="83" t="str">
        <f>COMM!P10&amp;"_"&amp;RIGHT(COMM!E23,LEN(COMM!E23)-3)&amp;"_"&amp;SETUP!B64</f>
        <v>RSH_Att_SMF_X0</v>
      </c>
      <c r="N19" s="951" t="str">
        <f>COMM!Q10&amp;"_"&amp;COMM!F23&amp;"_"&amp;SETUP!C64</f>
        <v>Residential Space Heating Attached_Solid Multi-Fuel_Existing 00</v>
      </c>
      <c r="O19" s="83" t="str">
        <f>COMM!E6&amp;","&amp;COMM!E7&amp;","&amp;COMM!E16</f>
        <v>RSDCOA,RSDPEA,RSDBIOWOO</v>
      </c>
      <c r="P19" s="83" t="str">
        <f>COMM!$P$10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3"/>
        <v>0.1593520576629803</v>
      </c>
      <c r="V19" s="956">
        <v>20</v>
      </c>
      <c r="W19" s="956">
        <v>1</v>
      </c>
      <c r="X19" s="957">
        <f t="shared" si="4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6" t="str">
        <f>_xlfn.TEXTJOIN(",",TRUE,IF(LEFT(Regions!$C$3,1)&lt;&gt;"*",Regions!$C$3,""),IF(LEFT(Regions!$D$3,1)&lt;&gt;"*",Regions!$D$3,""))</f>
        <v>IE,National</v>
      </c>
      <c r="AC19" s="747" t="str">
        <f t="shared" si="1"/>
        <v>RSH_Att_SMF_X0</v>
      </c>
      <c r="AD19" s="747" t="str">
        <f>N19</f>
        <v>Residential Space Heating Attached_Solid Multi-Fuel_Existing 00</v>
      </c>
      <c r="AE19" s="747" t="s">
        <v>19</v>
      </c>
      <c r="AF19" s="747" t="s">
        <v>321</v>
      </c>
      <c r="AG19" s="747"/>
      <c r="AH19" s="747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7" t="str">
        <f>AB20</f>
        <v>IE,National</v>
      </c>
      <c r="M20" s="747" t="str">
        <f>COMM!P10&amp;"_"&amp;RIGHT(O20,LEN(O20)-3)&amp;"_"&amp;SETUP!B64</f>
        <v>RSH_Att_BIOWOO_X0</v>
      </c>
      <c r="N20" s="747" t="str">
        <f>COMM!Q10&amp;"_"&amp;COMM!F16&amp;"_"&amp;SETUP!C64</f>
        <v>Residential Space Heating Attached_Biomass and Renewable Waste to Residential_Existing 00</v>
      </c>
      <c r="O20" s="747" t="str">
        <f>COMM!E16</f>
        <v>RSDBIOWOO</v>
      </c>
      <c r="P20" s="747" t="str">
        <f>COMM!$P$10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3"/>
        <v>0.12711109770661033</v>
      </c>
      <c r="V20" s="949">
        <v>20</v>
      </c>
      <c r="W20" s="949">
        <v>1</v>
      </c>
      <c r="X20" s="950">
        <f t="shared" si="4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RSH_Att_BIOWOO_X0</v>
      </c>
      <c r="AD20" s="83" t="str">
        <f>N20</f>
        <v>Residential Space Heating Attached_Biomass and Renewable Waste to Residential_Existing 00</v>
      </c>
      <c r="AE20" s="83" t="s">
        <v>19</v>
      </c>
      <c r="AF20" s="83" t="s">
        <v>321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83" t="str">
        <f>AB21</f>
        <v>IE,National</v>
      </c>
      <c r="M21" s="83" t="str">
        <f>COMM!P10&amp;"_"&amp;RIGHT(O21,LEN(O21)-3)&amp;"_"&amp;SETUP!B64</f>
        <v>RSH_Att_HET_X0</v>
      </c>
      <c r="N21" s="951" t="str">
        <f>COMM!Q10&amp;"_"&amp;COMM!F25&amp;"_"&amp;SETUP!C64</f>
        <v>Residential Space Heating Attached_Heat to Residential_Existing 00</v>
      </c>
      <c r="O21" s="83" t="str">
        <f>COMM!E25</f>
        <v>RSDHET</v>
      </c>
      <c r="P21" s="83" t="str">
        <f>COMM!$P$10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3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6" t="str">
        <f>_xlfn.TEXTJOIN(",",TRUE,IF(LEFT(Regions!$C$3,1)&lt;&gt;"*",Regions!$C$3,""),IF(LEFT(Regions!$D$3,1)&lt;&gt;"*",Regions!$D$3,""))</f>
        <v>IE,National</v>
      </c>
      <c r="AC21" s="747" t="str">
        <f t="shared" si="1"/>
        <v>RSH_Att_HET_X0</v>
      </c>
      <c r="AD21" s="747" t="str">
        <f>N21</f>
        <v>Residential Space Heating Attached_Heat to Residential_Existing 00</v>
      </c>
      <c r="AE21" s="747" t="s">
        <v>19</v>
      </c>
      <c r="AF21" s="747" t="s">
        <v>321</v>
      </c>
      <c r="AG21" s="747"/>
      <c r="AH21" s="747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/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965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/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965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/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944"/>
      <c r="AI24" s="702"/>
      <c r="AJ24" s="702"/>
      <c r="AK24" s="702"/>
      <c r="AL24" s="702"/>
      <c r="AM24" s="702"/>
      <c r="AN24" s="702"/>
    </row>
    <row r="25" spans="1:45">
      <c r="A25" s="943" t="s">
        <v>1255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944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944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589</v>
      </c>
      <c r="M27" s="120"/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/>
      <c r="AD27" s="966"/>
      <c r="AE27" s="966"/>
      <c r="AF27" s="966"/>
      <c r="AG27" s="966"/>
      <c r="AH27" s="966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1297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1297</v>
      </c>
      <c r="AC28" s="73" t="s">
        <v>298</v>
      </c>
      <c r="AD28" s="73" t="s">
        <v>299</v>
      </c>
      <c r="AE28" s="73" t="s">
        <v>306</v>
      </c>
      <c r="AF28" s="73" t="s">
        <v>307</v>
      </c>
      <c r="AG28" s="73" t="s">
        <v>308</v>
      </c>
      <c r="AH28" s="73" t="s">
        <v>309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1298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74" t="s">
        <v>1298</v>
      </c>
      <c r="AC29" s="968"/>
      <c r="AD29" s="969"/>
      <c r="AE29" s="968"/>
      <c r="AF29" s="968"/>
      <c r="AG29" s="968"/>
      <c r="AH29" s="968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76"/>
      <c r="AC30" s="971"/>
      <c r="AD30" s="971"/>
      <c r="AE30" s="971"/>
      <c r="AF30" s="971"/>
      <c r="AG30" s="971"/>
      <c r="AH30" s="971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7" t="str">
        <f t="shared" ref="L31:L37" si="5">AB31</f>
        <v>IE,National</v>
      </c>
      <c r="M31" s="747" t="str">
        <f>COMM!$P$16&amp;"_"&amp;RIGHT(O31,LEN(O31)-3)&amp;"_"&amp;SETUP!$B$64</f>
        <v>RWH_Att_COA_X0</v>
      </c>
      <c r="N31" s="747" t="str">
        <f>COMM!$Q$16&amp;"_"&amp;COMM!F6&amp;"_"&amp;SETUP!$C$64</f>
        <v>Residential Water Heating Attached_Coal to Residential_Existing 00</v>
      </c>
      <c r="O31" s="747" t="str">
        <f>COMM!$E$6</f>
        <v>RSDCOA</v>
      </c>
      <c r="P31" s="747" t="str">
        <f>COMM!$P$16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6" t="str">
        <f>_xlfn.TEXTJOIN(",",TRUE,IF(LEFT(Regions!$C$3,1)&lt;&gt;"*",Regions!$C$3,""),IF(LEFT(Regions!$D$3,1)&lt;&gt;"*",Regions!$D$3,""))</f>
        <v>IE,National</v>
      </c>
      <c r="AC31" s="747" t="str">
        <f>M31</f>
        <v>RWH_Att_COA_X0</v>
      </c>
      <c r="AD31" s="747" t="str">
        <f>N31</f>
        <v>Residential Water Heating Attached_Coal to Residential_Existing 00</v>
      </c>
      <c r="AE31" s="747" t="s">
        <v>19</v>
      </c>
      <c r="AF31" s="747" t="s">
        <v>321</v>
      </c>
      <c r="AG31" s="747"/>
      <c r="AH31" s="747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83" t="str">
        <f t="shared" si="5"/>
        <v>IE,National</v>
      </c>
      <c r="M32" s="83" t="str">
        <f>COMM!$P$16&amp;"_"&amp;RIGHT(O32,LEN(O32)-3)&amp;"_"&amp;SETUP!$B$64</f>
        <v>RWH_Att_BIODST_X0</v>
      </c>
      <c r="N32" s="951" t="str">
        <f>COMM!$Q$16&amp;"_"&amp;COMM!F21&amp;"_"&amp;SETUP!$C$64</f>
        <v>Residential Water Heating Attached_Biodiesel to Residential_Existing 00</v>
      </c>
      <c r="O32" s="83" t="str">
        <f>COMM!$E$21</f>
        <v>RSDBIODST</v>
      </c>
      <c r="P32" s="83" t="str">
        <f>COMM!$P$16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6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7">M32</f>
        <v>RWH_Att_BIODST_X0</v>
      </c>
      <c r="AD32" s="83" t="str">
        <f t="shared" ref="AD32:AD37" si="8">N32</f>
        <v>Residential Water Heating Attached_Biodiesel to Residential_Existing 00</v>
      </c>
      <c r="AE32" s="83" t="s">
        <v>19</v>
      </c>
      <c r="AF32" s="83" t="s">
        <v>321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7" t="str">
        <f t="shared" si="5"/>
        <v>IE,National</v>
      </c>
      <c r="M33" s="747" t="str">
        <f>COMM!$P$16&amp;"_"&amp;RIGHT(O33,LEN(O33)-3)&amp;"_"&amp;SETUP!$B$64</f>
        <v>RWH_Att_BIOETH_X0</v>
      </c>
      <c r="N33" s="747" t="str">
        <f>COMM!$Q$16&amp;"_"&amp;COMM!F20&amp;"_"&amp;SETUP!$C$64</f>
        <v>Residential Water Heating Attached_Ethanol to Residential_Existing 00</v>
      </c>
      <c r="O33" s="747" t="str">
        <f>COMM!$E$20</f>
        <v>RSDBIOETH</v>
      </c>
      <c r="P33" s="747" t="str">
        <f>COMM!$P$16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6" t="str">
        <f>_xlfn.TEXTJOIN(",",TRUE,IF(LEFT(Regions!$C$3,1)&lt;&gt;"*",Regions!$C$3,""),IF(LEFT(Regions!$D$3,1)&lt;&gt;"*",Regions!$D$3,""))</f>
        <v>IE,National</v>
      </c>
      <c r="AC33" s="747" t="str">
        <f t="shared" si="7"/>
        <v>RWH_Att_BIOETH_X0</v>
      </c>
      <c r="AD33" s="747" t="str">
        <f t="shared" si="8"/>
        <v>Residential Water Heating Attached_Ethanol to Residential_Existing 00</v>
      </c>
      <c r="AE33" s="747" t="s">
        <v>19</v>
      </c>
      <c r="AF33" s="747" t="s">
        <v>321</v>
      </c>
      <c r="AG33" s="747"/>
      <c r="AH33" s="747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83" t="str">
        <f t="shared" si="5"/>
        <v>IE,National</v>
      </c>
      <c r="M34" s="83" t="str">
        <f>COMM!$P$16&amp;"_"&amp;RIGHT(O34,LEN(O34)-3)&amp;"_"&amp;SETUP!$B$64</f>
        <v>RWH_Att_OILLPG_X0</v>
      </c>
      <c r="N34" s="951" t="str">
        <f>COMM!$Q$16&amp;"_"&amp;COMM!F8&amp;"_"&amp;SETUP!$C$64</f>
        <v>Residential Water Heating Attached_LPG to Residential_Existing 00</v>
      </c>
      <c r="O34" s="83" t="str">
        <f>COMM!$E$8</f>
        <v>RSDOILLPG</v>
      </c>
      <c r="P34" s="83" t="str">
        <f>COMM!$P$16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6"/>
        <v>0.8070757743362833</v>
      </c>
      <c r="U34" s="955">
        <f t="shared" ref="U34:U41" si="9">X34/R34/W34</f>
        <v>1.7905864460113989E-2</v>
      </c>
      <c r="V34" s="956">
        <v>20</v>
      </c>
      <c r="W34" s="956">
        <v>1</v>
      </c>
      <c r="X34" s="957">
        <f t="shared" ref="X34:X41" si="10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7"/>
        <v>RWH_Att_OILLPG_X0</v>
      </c>
      <c r="AD34" s="83" t="str">
        <f t="shared" si="8"/>
        <v>Residential Water Heating Attached_LPG to Residential_Existing 00</v>
      </c>
      <c r="AE34" s="83" t="s">
        <v>19</v>
      </c>
      <c r="AF34" s="83" t="s">
        <v>321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7" t="str">
        <f t="shared" si="5"/>
        <v>IE,National</v>
      </c>
      <c r="M35" s="747" t="str">
        <f>COMM!$P$16&amp;"_"&amp;RIGHT(O36,LEN(O36)-3)&amp;"_"&amp;SETUP!$B$64</f>
        <v>RWH_Att_ELC_X0</v>
      </c>
      <c r="N35" s="747" t="str">
        <f>COMM!$Q$16&amp;"_"&amp;COMM!F24&amp;"_"&amp;SETUP!$C$64</f>
        <v>Residential Water Heating Attached_Electricity to Residential_Existing 00</v>
      </c>
      <c r="O35" s="747" t="str">
        <f>COMM!$E$24</f>
        <v>RSDELC</v>
      </c>
      <c r="P35" s="747" t="str">
        <f>COMM!$P$16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9"/>
        <v>1.2342525570812082E-2</v>
      </c>
      <c r="V35" s="949">
        <v>20</v>
      </c>
      <c r="W35" s="949">
        <v>1</v>
      </c>
      <c r="X35" s="950">
        <f t="shared" si="10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6" t="str">
        <f>_xlfn.TEXTJOIN(",",TRUE,IF(LEFT(Regions!$C$3,1)&lt;&gt;"*",Regions!$C$3,""),IF(LEFT(Regions!$D$3,1)&lt;&gt;"*",Regions!$D$3,""))</f>
        <v>IE,National</v>
      </c>
      <c r="AC35" s="747" t="str">
        <f t="shared" si="7"/>
        <v>RWH_Att_ELC_X0</v>
      </c>
      <c r="AD35" s="747" t="str">
        <f t="shared" si="8"/>
        <v>Residential Water Heating Attached_Electricity to Residential_Existing 00</v>
      </c>
      <c r="AE35" s="747" t="s">
        <v>19</v>
      </c>
      <c r="AF35" s="747" t="s">
        <v>321</v>
      </c>
      <c r="AG35" s="747"/>
      <c r="AH35" s="747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44" t="s">
        <v>1254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83" t="str">
        <f t="shared" si="5"/>
        <v>IE,National</v>
      </c>
      <c r="M36" s="83" t="str">
        <f>COMM!$P$16&amp;"_"&amp;RIGHT(O36,LEN(O36)-3)&amp;"_"&amp;SETUP!$B$65</f>
        <v>RWH_Att_ELC_X1</v>
      </c>
      <c r="N36" s="951" t="str">
        <f>COMM!$Q$16&amp;"_"&amp;COMM!F24&amp;"_"&amp;SETUP!$C$65</f>
        <v>Residential Water Heating Attached_Electricity to Residential_Existing 01</v>
      </c>
      <c r="O36" s="83" t="str">
        <f>COMM!$E$24</f>
        <v>RSDELC</v>
      </c>
      <c r="P36" s="83" t="str">
        <f>COMM!$P$16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9"/>
        <v>2.3271257162816774E-3</v>
      </c>
      <c r="V36" s="956">
        <v>20</v>
      </c>
      <c r="W36" s="956">
        <v>1</v>
      </c>
      <c r="X36" s="957">
        <f t="shared" si="10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7"/>
        <v>RWH_Att_ELC_X1</v>
      </c>
      <c r="AD36" s="83" t="str">
        <f t="shared" si="8"/>
        <v>Residential Water Heating Attached_Electricity to Residential_Existing 01</v>
      </c>
      <c r="AE36" s="83" t="s">
        <v>19</v>
      </c>
      <c r="AF36" s="83" t="s">
        <v>321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7" t="str">
        <f t="shared" si="5"/>
        <v>IE,National</v>
      </c>
      <c r="M37" s="747" t="str">
        <f>COMM!$P$16&amp;"_"&amp;RIGHT(O37,LEN(O37)-3)&amp;"_"&amp;SETUP!$B$64</f>
        <v>RWH_Att_OILKER_X0</v>
      </c>
      <c r="N37" s="747" t="str">
        <f>COMM!$Q$16&amp;"_"&amp;COMM!F10&amp;"_"&amp;SETUP!$C$64</f>
        <v>Residential Water Heating Attached_Kerosene to Residential_Existing 00</v>
      </c>
      <c r="O37" s="747" t="str">
        <f>COMM!$E$10</f>
        <v>RSDOILKER</v>
      </c>
      <c r="P37" s="747" t="str">
        <f>COMM!$P$16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>IFERROR((R37*1000)/E37,0)</f>
        <v>1.8580295523864476</v>
      </c>
      <c r="T37" s="948">
        <f t="shared" ref="T37:T41" si="11">T13</f>
        <v>0.81941558441558437</v>
      </c>
      <c r="U37" s="948">
        <f t="shared" si="9"/>
        <v>1.8055722857376222E-2</v>
      </c>
      <c r="V37" s="949">
        <v>20</v>
      </c>
      <c r="W37" s="949">
        <v>1</v>
      </c>
      <c r="X37" s="950">
        <f t="shared" si="10"/>
        <v>4.145735885416066</v>
      </c>
      <c r="Y37" s="950">
        <f>IF(((D37+I37)*$B$2)&lt;=0,0,((D37+I37)*S37*$B$2))</f>
        <v>3.3970805933808661</v>
      </c>
      <c r="Z37" s="702"/>
      <c r="AA37" s="747" t="s">
        <v>311</v>
      </c>
      <c r="AB37" s="746" t="str">
        <f>_xlfn.TEXTJOIN(",",TRUE,IF(LEFT(Regions!$C$3,1)&lt;&gt;"*",Regions!$C$3,""),IF(LEFT(Regions!$D$3,1)&lt;&gt;"*",Regions!$D$3,""))</f>
        <v>IE,National</v>
      </c>
      <c r="AC37" s="747" t="str">
        <f t="shared" si="7"/>
        <v>RWH_Att_OILKER_X0</v>
      </c>
      <c r="AD37" s="747" t="str">
        <f t="shared" si="8"/>
        <v>Residential Water Heating Attached_Kerosene to Residential_Existing 00</v>
      </c>
      <c r="AE37" s="747" t="s">
        <v>19</v>
      </c>
      <c r="AF37" s="747" t="s">
        <v>321</v>
      </c>
      <c r="AG37" s="747"/>
      <c r="AH37" s="747"/>
      <c r="AI37" s="702"/>
      <c r="AJ37" s="702"/>
      <c r="AK37" s="702"/>
      <c r="AL37" s="702"/>
      <c r="AM37" s="702"/>
    </row>
    <row r="38" spans="1:44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62"/>
      <c r="AC38" s="959"/>
      <c r="AD38" s="959"/>
      <c r="AE38" s="959"/>
      <c r="AF38" s="959"/>
      <c r="AG38" s="959"/>
      <c r="AH38" s="959"/>
      <c r="AI38" s="702"/>
      <c r="AJ38" s="702"/>
      <c r="AK38" s="702"/>
      <c r="AL38" s="702"/>
      <c r="AM38" s="702"/>
    </row>
    <row r="39" spans="1:44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7" t="str">
        <f>AB39</f>
        <v>IE,National</v>
      </c>
      <c r="M39" s="747" t="str">
        <f>COMM!$P$16&amp;"_"&amp;RIGHT(O39,LEN(O39)-3)&amp;"_"&amp;SETUP!$B$64</f>
        <v>RWH_Att_GASNAT_X0</v>
      </c>
      <c r="N39" s="747" t="str">
        <f>COMM!$Q$16&amp;"_"&amp;COMM!F14&amp;"_"&amp;SETUP!$C$64</f>
        <v>Residential Water Heating Attached_Natural Gas to Residential_Existing 00</v>
      </c>
      <c r="O39" s="747" t="str">
        <f>COMM!$E$14</f>
        <v>RSDGASNAT</v>
      </c>
      <c r="P39" s="747" t="str">
        <f>COMM!$P$16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>IFERROR((R39*1000)/E39,0)</f>
        <v>1.8580295523864474</v>
      </c>
      <c r="T39" s="948">
        <f t="shared" si="11"/>
        <v>0.81729411764705884</v>
      </c>
      <c r="U39" s="948">
        <f t="shared" si="9"/>
        <v>1.8087440885698913E-2</v>
      </c>
      <c r="V39" s="949">
        <v>20</v>
      </c>
      <c r="W39" s="949">
        <v>1</v>
      </c>
      <c r="X39" s="950">
        <f t="shared" si="10"/>
        <v>7.5466534229875375</v>
      </c>
      <c r="Y39" s="950">
        <f>IF(((D39+I39)*$B$2)&lt;=0,0,((D39+I39)*S39*$B$2))</f>
        <v>6.1678354505287558</v>
      </c>
      <c r="Z39" s="702"/>
      <c r="AA39" s="747" t="s">
        <v>311</v>
      </c>
      <c r="AB39" s="746" t="str">
        <f>_xlfn.TEXTJOIN(",",TRUE,IF(LEFT(Regions!$C$3,1)&lt;&gt;"*",Regions!$C$3,""),IF(LEFT(Regions!$D$3,1)&lt;&gt;"*",Regions!$D$3,""))</f>
        <v>IE,National</v>
      </c>
      <c r="AC39" s="747" t="str">
        <f t="shared" si="7"/>
        <v>RWH_Att_GASNAT_X0</v>
      </c>
      <c r="AD39" s="747" t="str">
        <f>N39</f>
        <v>Residential Water Heating Attached_Natural Gas to Residential_Existing 00</v>
      </c>
      <c r="AE39" s="747" t="s">
        <v>19</v>
      </c>
      <c r="AF39" s="967" t="s">
        <v>321</v>
      </c>
      <c r="AG39" s="967"/>
      <c r="AH39" s="967"/>
      <c r="AI39" s="702"/>
      <c r="AJ39" s="702"/>
      <c r="AK39" s="702"/>
      <c r="AL39" s="702"/>
      <c r="AM39" s="702"/>
    </row>
    <row r="40" spans="1:44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62"/>
      <c r="AC40" s="959"/>
      <c r="AD40" s="959"/>
      <c r="AE40" s="959"/>
      <c r="AF40" s="959"/>
      <c r="AG40" s="959"/>
      <c r="AH40" s="959"/>
      <c r="AI40" s="702"/>
      <c r="AJ40" s="702"/>
      <c r="AK40" s="702"/>
      <c r="AL40" s="702"/>
      <c r="AM40" s="702"/>
    </row>
    <row r="41" spans="1:44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7" t="str">
        <f>AB41</f>
        <v>IE,National</v>
      </c>
      <c r="M41" s="747" t="str">
        <f>COMM!$P$16&amp;"_"&amp;RIGHT(O41,LEN(O41)-3)&amp;"_"&amp;SETUP!$B$64</f>
        <v>RWH_Att_PEA_X0</v>
      </c>
      <c r="N41" s="747" t="str">
        <f>COMM!$Q$16&amp;"_"&amp;COMM!F7&amp;"_"&amp;SETUP!$C$64</f>
        <v>Residential Water Heating Attached_Peat to Residential_Existing 00</v>
      </c>
      <c r="O41" s="747" t="str">
        <f>COMM!$E$7</f>
        <v>RSDPEA</v>
      </c>
      <c r="P41" s="747" t="str">
        <f>COMM!$P$16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11"/>
        <v>0.5509294871794872</v>
      </c>
      <c r="U41" s="948">
        <f t="shared" si="9"/>
        <v>3.5816488015591362E-2</v>
      </c>
      <c r="V41" s="949">
        <v>20</v>
      </c>
      <c r="W41" s="949">
        <v>1</v>
      </c>
      <c r="X41" s="950">
        <f t="shared" si="10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6" t="str">
        <f>_xlfn.TEXTJOIN(",",TRUE,IF(LEFT(Regions!$C$3,1)&lt;&gt;"*",Regions!$C$3,""),IF(LEFT(Regions!$D$3,1)&lt;&gt;"*",Regions!$D$3,""))</f>
        <v>IE,National</v>
      </c>
      <c r="AC41" s="747" t="str">
        <f t="shared" si="7"/>
        <v>RWH_Att_PEA_X0</v>
      </c>
      <c r="AD41" s="747" t="str">
        <f>N41</f>
        <v>Residential Water Heating Attached_Peat to Residential_Existing 00</v>
      </c>
      <c r="AE41" s="747" t="s">
        <v>19</v>
      </c>
      <c r="AF41" s="967" t="s">
        <v>321</v>
      </c>
      <c r="AG41" s="967"/>
      <c r="AH41" s="967"/>
      <c r="AI41" s="702"/>
      <c r="AJ41" s="702"/>
      <c r="AK41" s="702"/>
      <c r="AL41" s="702"/>
      <c r="AM41" s="702"/>
    </row>
    <row r="42" spans="1:44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62"/>
      <c r="AC42" s="959"/>
      <c r="AD42" s="959"/>
      <c r="AE42" s="959"/>
      <c r="AF42" s="959"/>
      <c r="AG42" s="959"/>
      <c r="AH42" s="959"/>
      <c r="AI42" s="702"/>
      <c r="AJ42" s="702"/>
      <c r="AK42" s="702"/>
      <c r="AL42" s="702"/>
      <c r="AM42" s="702"/>
    </row>
    <row r="43" spans="1:44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83" t="str">
        <f>AB43</f>
        <v>IE,National</v>
      </c>
      <c r="M43" s="83" t="str">
        <f>COMM!P16&amp;"_"&amp;RIGHT(COMM!E23,LEN(COMM!E23)-3)&amp;"_"&amp;SETUP!B64</f>
        <v>RWH_Att_SMF_X0</v>
      </c>
      <c r="N43" s="951" t="str">
        <f>COMM!Q16&amp;"_"&amp;COMM!F23&amp;"_"&amp;SETUP!C64</f>
        <v>Residential Water Heating Attached_Solid Multi-Fuel_Existing 00</v>
      </c>
      <c r="O43" s="83" t="str">
        <f>COMM!E6&amp;","&amp;COMM!E7&amp;","&amp;COMM!E16</f>
        <v>RSDCOA,RSDPEA,RSDBIOWOO</v>
      </c>
      <c r="P43" s="83" t="str">
        <f>COMM!$P$16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2">X43/R43/W43</f>
        <v>3.0914465249188772E-2</v>
      </c>
      <c r="V43" s="956">
        <v>20</v>
      </c>
      <c r="W43" s="956">
        <v>1</v>
      </c>
      <c r="X43" s="957">
        <f t="shared" ref="X43" si="13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6" t="str">
        <f>_xlfn.TEXTJOIN(",",TRUE,IF(LEFT(Regions!$C$3,1)&lt;&gt;"*",Regions!$C$3,""),IF(LEFT(Regions!$D$3,1)&lt;&gt;"*",Regions!$D$3,""))</f>
        <v>IE,National</v>
      </c>
      <c r="AC43" s="747" t="str">
        <f t="shared" ref="AC43:AC45" si="14">M43</f>
        <v>RWH_Att_SMF_X0</v>
      </c>
      <c r="AD43" s="747" t="str">
        <f>N43</f>
        <v>Residential Water Heating Attached_Solid Multi-Fuel_Existing 00</v>
      </c>
      <c r="AE43" s="747" t="s">
        <v>19</v>
      </c>
      <c r="AF43" s="967" t="s">
        <v>321</v>
      </c>
      <c r="AG43" s="967"/>
      <c r="AH43" s="967"/>
      <c r="AI43" s="702"/>
      <c r="AJ43" s="702"/>
      <c r="AK43" s="702"/>
      <c r="AL43" s="702"/>
      <c r="AM43" s="702"/>
    </row>
    <row r="44" spans="1:44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7" t="str">
        <f>AB44</f>
        <v>IE,National</v>
      </c>
      <c r="M44" s="747" t="str">
        <f>COMM!P16&amp;"_"&amp;RIGHT(O44,LEN(O44)-3)&amp;"_"&amp;SETUP!B64</f>
        <v>RWH_Att_BIOWOO_X0</v>
      </c>
      <c r="N44" s="747" t="str">
        <f>COMM!Q16&amp;"_"&amp;COMM!F16&amp;"_"&amp;SETUP!C64</f>
        <v>Residential Water Heating Attached_Biomass and Renewable Waste to Residential_Existing 00</v>
      </c>
      <c r="O44" s="747" t="str">
        <f>COMM!E16</f>
        <v>RSDBIOWOO</v>
      </c>
      <c r="P44" s="747" t="str">
        <f>COMM!$P$16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5">T20</f>
        <v>0.70400656814449913</v>
      </c>
      <c r="U44" s="948">
        <f t="shared" si="12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RWH_Att_BIOWOO_X0</v>
      </c>
      <c r="AD44" s="83" t="str">
        <f>N44</f>
        <v>Residential Water Heating Attached_Biomass and Renewable Waste to Residential_Existing 00</v>
      </c>
      <c r="AE44" s="83" t="s">
        <v>19</v>
      </c>
      <c r="AF44" s="83" t="s">
        <v>321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83" t="str">
        <f>AB45</f>
        <v>IE,National</v>
      </c>
      <c r="M45" s="83" t="str">
        <f>COMM!P16&amp;"_"&amp;RIGHT(O45,LEN(O45)-3)&amp;"_"&amp;SETUP!B64</f>
        <v>RWH_Att_HET_X0</v>
      </c>
      <c r="N45" s="951" t="str">
        <f>COMM!Q16&amp;"_"&amp;COMM!F25&amp;"_"&amp;SETUP!C64</f>
        <v>Residential Water Heating Attached_Heat to Residential_Existing 00</v>
      </c>
      <c r="O45" s="83" t="str">
        <f>COMM!E25</f>
        <v>RSDHET</v>
      </c>
      <c r="P45" s="83" t="str">
        <f>COMM!$P$16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5"/>
        <v>0.60949973059968388</v>
      </c>
      <c r="U45" s="955">
        <f t="shared" si="12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6" t="str">
        <f>_xlfn.TEXTJOIN(",",TRUE,IF(LEFT(Regions!$C$3,1)&lt;&gt;"*",Regions!$C$3,""),IF(LEFT(Regions!$D$3,1)&lt;&gt;"*",Regions!$D$3,""))</f>
        <v>IE,National</v>
      </c>
      <c r="AC45" s="747" t="str">
        <f t="shared" si="14"/>
        <v>RWH_Att_HET_X0</v>
      </c>
      <c r="AD45" s="747" t="str">
        <f>N45</f>
        <v>Residential Water Heating Attached_Heat to Residential_Existing 00</v>
      </c>
      <c r="AE45" s="747" t="s">
        <v>19</v>
      </c>
      <c r="AF45" s="967" t="s">
        <v>321</v>
      </c>
      <c r="AG45" s="967"/>
      <c r="AH45" s="967"/>
      <c r="AI45" s="702"/>
      <c r="AJ45" s="702"/>
      <c r="AK45" s="702"/>
      <c r="AL45" s="702"/>
      <c r="AM45" s="702"/>
    </row>
    <row r="46" spans="1:44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/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/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/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43" t="s">
        <v>1255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1251</v>
      </c>
      <c r="C51" s="121"/>
      <c r="D51" s="121"/>
      <c r="E51" s="121"/>
      <c r="F51" s="121"/>
      <c r="G51" s="121"/>
      <c r="H51" s="121"/>
      <c r="J51" s="702"/>
      <c r="K51" s="702"/>
      <c r="L51" s="120" t="s">
        <v>1251</v>
      </c>
      <c r="M51" s="120"/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1297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1297</v>
      </c>
      <c r="AC52" s="73" t="s">
        <v>298</v>
      </c>
      <c r="AD52" s="73" t="s">
        <v>299</v>
      </c>
      <c r="AE52" s="73" t="s">
        <v>306</v>
      </c>
      <c r="AF52" s="73" t="s">
        <v>307</v>
      </c>
      <c r="AG52" s="73" t="s">
        <v>308</v>
      </c>
      <c r="AH52" s="73" t="s">
        <v>309</v>
      </c>
    </row>
    <row r="53" spans="1:39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317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4" t="s">
        <v>1298</v>
      </c>
      <c r="AC53" s="75"/>
      <c r="AD53" s="74"/>
      <c r="AE53" s="75"/>
      <c r="AF53" s="75"/>
      <c r="AG53" s="75"/>
      <c r="AH53" s="75"/>
    </row>
    <row r="54" spans="1:39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920" t="str">
        <f>AB54</f>
        <v>IE,National</v>
      </c>
      <c r="M54" s="920" t="str">
        <f>COMM!P19&amp;"_"&amp;SETUP!B64</f>
        <v>RLT_Att_X0</v>
      </c>
      <c r="N54" s="920" t="str">
        <f>COMM!$Q$19&amp;"_"&amp;SETUP!$B$64</f>
        <v>Residential Lighting Attached_X0</v>
      </c>
      <c r="O54" s="934" t="str">
        <f>COMM!E24</f>
        <v>RSDELC</v>
      </c>
      <c r="P54" s="920" t="str">
        <f>COMM!$P$19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6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>_xlfn.TEXTJOIN(",",TRUE,IF(LEFT(Regions!$C$3,1)&lt;&gt;"*",Regions!$C$3,""),IF(LEFT(Regions!$D$3,1)&lt;&gt;"*",Regions!$D$3,""))</f>
        <v>IE,National</v>
      </c>
      <c r="AC54" s="746" t="str">
        <f t="shared" ref="AC54:AC55" si="17">M54</f>
        <v>RLT_Att_X0</v>
      </c>
      <c r="AD54" s="747" t="str">
        <f>N54</f>
        <v>Residential Lighting Attached_X0</v>
      </c>
      <c r="AE54" s="746" t="s">
        <v>19</v>
      </c>
      <c r="AF54" s="748" t="s">
        <v>321</v>
      </c>
      <c r="AG54" s="746"/>
      <c r="AH54" s="746"/>
    </row>
    <row r="55" spans="1:39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AB55</f>
        <v>IE,National</v>
      </c>
      <c r="M55" s="652" t="str">
        <f>COMM!$P$22&amp;"_"&amp;SETUP!$B$64</f>
        <v>RPF_Att_X0</v>
      </c>
      <c r="N55" s="925" t="str">
        <f>COMM!$Q$22&amp;"_"&amp;SETUP!$B$64</f>
        <v>Residential Pumps &amp; Fans Attached_X0</v>
      </c>
      <c r="O55" s="83" t="str">
        <f>COMM!E24</f>
        <v>RSDELC</v>
      </c>
      <c r="P55" s="148" t="str">
        <f>COMM!$P$22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6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RPF_Att_X0</v>
      </c>
      <c r="AD55" s="83" t="str">
        <f>N55</f>
        <v>Residential Pumps &amp; Fans Attached_X0</v>
      </c>
      <c r="AE55" s="652" t="s">
        <v>19</v>
      </c>
      <c r="AF55" s="652" t="s">
        <v>321</v>
      </c>
      <c r="AG55" s="652"/>
      <c r="AH55" s="652"/>
    </row>
    <row r="56" spans="1:39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9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9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9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S65"/>
  <sheetViews>
    <sheetView topLeftCell="N1" zoomScaleNormal="100" workbookViewId="0">
      <selection activeCell="AM53" sqref="AM53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12" style="119" bestFit="1" customWidth="1"/>
    <col min="29" max="29" width="23.7109375" style="119" customWidth="1"/>
    <col min="30" max="30" width="74.85546875" style="119" customWidth="1"/>
    <col min="31" max="31" width="10.28515625" style="119" customWidth="1"/>
    <col min="32" max="32" width="13.140625" style="119" customWidth="1"/>
    <col min="33" max="33" width="20.85546875" style="119" customWidth="1"/>
    <col min="34" max="34" width="15.7109375" style="119" customWidth="1"/>
    <col min="35" max="36" width="9.140625" style="119"/>
    <col min="37" max="37" width="12.28515625" style="119" customWidth="1"/>
    <col min="38" max="38" width="9.140625" style="119"/>
    <col min="39" max="39" width="2.28515625" style="119" bestFit="1" customWidth="1"/>
    <col min="40" max="40" width="2.85546875" style="119" bestFit="1" customWidth="1"/>
    <col min="41" max="41" width="11" style="119" bestFit="1" customWidth="1"/>
    <col min="42" max="42" width="10.5703125" style="119" bestFit="1" customWidth="1"/>
    <col min="43" max="43" width="4.140625" style="119" bestFit="1" customWidth="1"/>
    <col min="44" max="44" width="6.5703125" style="119" customWidth="1"/>
    <col min="45" max="16384" width="9.140625" style="119"/>
  </cols>
  <sheetData>
    <row r="1" spans="1:40" ht="21.95" customHeight="1">
      <c r="A1" s="121" t="s">
        <v>1257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120" t="s">
        <v>1246</v>
      </c>
      <c r="M1" s="94"/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21"/>
      <c r="AI1" s="702"/>
      <c r="AJ1" s="702"/>
      <c r="AK1" s="702"/>
      <c r="AL1" s="702"/>
      <c r="AM1" s="702"/>
      <c r="AN1" s="702"/>
    </row>
    <row r="2" spans="1:40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  <c r="AN2" s="702"/>
    </row>
    <row r="3" spans="1:40" ht="21.75" thickBot="1">
      <c r="A3" s="121" t="s">
        <v>1258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120" t="s">
        <v>1258</v>
      </c>
      <c r="M3" s="120"/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/>
      <c r="AD3" s="701"/>
      <c r="AE3" s="701"/>
      <c r="AF3" s="701"/>
      <c r="AG3" s="701"/>
      <c r="AH3" s="701"/>
      <c r="AI3" s="702"/>
      <c r="AJ3" s="702"/>
      <c r="AK3" s="702"/>
      <c r="AL3" s="702"/>
      <c r="AM3" s="702"/>
      <c r="AN3" s="702"/>
    </row>
    <row r="4" spans="1:40" ht="15" customHeight="1" thickBot="1">
      <c r="A4" s="702"/>
      <c r="B4" s="1066" t="s">
        <v>1244</v>
      </c>
      <c r="C4" s="1067"/>
      <c r="D4" s="1067"/>
      <c r="E4" s="1067"/>
      <c r="F4" s="1067"/>
      <c r="G4" s="1068"/>
      <c r="H4" s="1066" t="s">
        <v>1245</v>
      </c>
      <c r="I4" s="1067"/>
      <c r="J4" s="1068"/>
      <c r="K4" s="702"/>
      <c r="L4" s="73" t="s">
        <v>1297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1239</v>
      </c>
      <c r="V4" s="86" t="s">
        <v>304</v>
      </c>
      <c r="W4" s="86" t="s">
        <v>316</v>
      </c>
      <c r="X4" s="86" t="s">
        <v>1238</v>
      </c>
      <c r="Y4" s="91" t="s">
        <v>1237</v>
      </c>
      <c r="Z4" s="722"/>
      <c r="AA4" s="73" t="s">
        <v>305</v>
      </c>
      <c r="AB4" s="73" t="s">
        <v>1297</v>
      </c>
      <c r="AC4" s="73" t="s">
        <v>298</v>
      </c>
      <c r="AD4" s="73" t="s">
        <v>299</v>
      </c>
      <c r="AE4" s="73" t="s">
        <v>306</v>
      </c>
      <c r="AF4" s="73" t="s">
        <v>307</v>
      </c>
      <c r="AG4" s="73" t="s">
        <v>308</v>
      </c>
      <c r="AH4" s="73" t="s">
        <v>309</v>
      </c>
      <c r="AI4" s="702"/>
      <c r="AJ4" s="702"/>
      <c r="AK4" s="702"/>
      <c r="AL4" s="702"/>
      <c r="AM4" s="702"/>
      <c r="AN4" s="702"/>
    </row>
    <row r="5" spans="1:40" ht="21.75" customHeight="1" thickBot="1">
      <c r="A5" s="702"/>
      <c r="B5" s="647"/>
      <c r="C5" s="647" t="s">
        <v>475</v>
      </c>
      <c r="D5" s="647" t="s">
        <v>475</v>
      </c>
      <c r="E5" s="647" t="s">
        <v>1248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1248</v>
      </c>
      <c r="K5" s="702"/>
      <c r="L5" s="74" t="s">
        <v>1298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4" t="s">
        <v>1298</v>
      </c>
      <c r="AC5" s="75"/>
      <c r="AD5" s="74"/>
      <c r="AE5" s="75"/>
      <c r="AF5" s="75"/>
      <c r="AG5" s="75"/>
      <c r="AH5" s="75"/>
      <c r="AI5" s="702"/>
      <c r="AJ5" s="702"/>
      <c r="AK5" s="702"/>
      <c r="AL5" s="702"/>
      <c r="AM5" s="702"/>
      <c r="AN5" s="702"/>
    </row>
    <row r="6" spans="1:40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76"/>
      <c r="AC6" s="123"/>
      <c r="AD6" s="123"/>
      <c r="AE6" s="123"/>
      <c r="AF6" s="123"/>
      <c r="AG6" s="123"/>
      <c r="AH6" s="123"/>
      <c r="AI6" s="702"/>
      <c r="AJ6" s="702"/>
      <c r="AK6" s="702"/>
      <c r="AL6" s="702"/>
      <c r="AM6" s="702"/>
      <c r="AN6" s="702"/>
    </row>
    <row r="7" spans="1:40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7" t="str">
        <f t="shared" ref="L7:L13" si="0">AB7</f>
        <v>IE,National</v>
      </c>
      <c r="M7" s="747" t="str">
        <f>COMM!$P$11&amp;"_"&amp;RIGHT(O7,LEN(O7)-3)&amp;"_"&amp;SETUP!$B$64</f>
        <v>RSH_Det_COA_X0</v>
      </c>
      <c r="N7" s="747" t="str">
        <f>COMM!$Q$11&amp;"_"&amp;COMM!F6&amp;"_"&amp;SETUP!$C$64</f>
        <v>Residential Space Heating Detached_Coal to Residential_Existing 00</v>
      </c>
      <c r="O7" s="747" t="str">
        <f>COMM!$E$6</f>
        <v>RSDCOA</v>
      </c>
      <c r="P7" s="747" t="str">
        <f>COMM!$P$11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6" t="str">
        <f>_xlfn.TEXTJOIN(",",TRUE,IF(LEFT(Regions!$C$3,1)&lt;&gt;"*",Regions!$C$3,""),IF(LEFT(Regions!$D$3,1)&lt;&gt;"*",Regions!$D$3,""))</f>
        <v>IE,National</v>
      </c>
      <c r="AC7" s="747" t="str">
        <f>M7</f>
        <v>RSH_Det_COA_X0</v>
      </c>
      <c r="AD7" s="747" t="str">
        <f>N7</f>
        <v>Residential Space Heating Detached_Coal to Residential_Existing 00</v>
      </c>
      <c r="AE7" s="747" t="s">
        <v>19</v>
      </c>
      <c r="AF7" s="747" t="s">
        <v>321</v>
      </c>
      <c r="AG7" s="747"/>
      <c r="AH7" s="747"/>
      <c r="AI7" s="702"/>
      <c r="AJ7" s="702"/>
      <c r="AK7" s="702"/>
      <c r="AL7" s="702"/>
      <c r="AM7" s="702"/>
      <c r="AN7" s="702"/>
    </row>
    <row r="8" spans="1:40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83" t="str">
        <f t="shared" si="0"/>
        <v>IE,National</v>
      </c>
      <c r="M8" s="83" t="str">
        <f>COMM!$P$11&amp;"_"&amp;RIGHT(O8,LEN(O8)-3)&amp;"_"&amp;SETUP!$B$64</f>
        <v>RSH_Det_BIODST_X0</v>
      </c>
      <c r="N8" s="83" t="str">
        <f>COMM!$Q$11&amp;"_"&amp;COMM!F21&amp;"_"&amp;SETUP!$C$64</f>
        <v>Residential Space Heating Detached_Biodiesel to Residential_Existing 00</v>
      </c>
      <c r="O8" s="83" t="str">
        <f>COMM!$E$21</f>
        <v>RSDBIODST</v>
      </c>
      <c r="P8" s="83" t="str">
        <f>COMM!$P$11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652" t="str">
        <f>_xlfn.TEXTJOIN(",",TRUE,IF(LEFT(Regions!$C$3,1)&lt;&gt;"*",Regions!$C$3,""),IF(LEFT(Regions!$D$3,1)&lt;&gt;"*",Regions!$D$3,""))</f>
        <v>IE,National</v>
      </c>
      <c r="AC8" s="83" t="str">
        <f t="shared" ref="AC8:AC21" si="1">M8</f>
        <v>RSH_Det_BIODST_X0</v>
      </c>
      <c r="AD8" s="83" t="str">
        <f t="shared" ref="AD8:AD13" si="2">N8</f>
        <v>Residential Space Heating Detached_Biodiesel to Residential_Existing 00</v>
      </c>
      <c r="AE8" s="83" t="s">
        <v>19</v>
      </c>
      <c r="AF8" s="83" t="s">
        <v>321</v>
      </c>
      <c r="AG8" s="83"/>
      <c r="AH8" s="83"/>
      <c r="AI8" s="702"/>
      <c r="AJ8" s="702"/>
      <c r="AK8" s="702"/>
      <c r="AL8" s="702"/>
      <c r="AM8" s="702"/>
      <c r="AN8" s="702"/>
    </row>
    <row r="9" spans="1:40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7" t="str">
        <f t="shared" si="0"/>
        <v>IE,National</v>
      </c>
      <c r="M9" s="747" t="str">
        <f>COMM!$P$11&amp;"_"&amp;RIGHT(O9,LEN(O9)-3)&amp;"_"&amp;SETUP!B64</f>
        <v>RSH_Det_BIOETH_X0</v>
      </c>
      <c r="N9" s="747" t="str">
        <f>COMM!$Q$11&amp;"_"&amp;COMM!F20&amp;"_"&amp;SETUP!C64</f>
        <v>Residential Space Heating Detached_Ethanol to Residential_Existing 00</v>
      </c>
      <c r="O9" s="747" t="str">
        <f>COMM!$E$20</f>
        <v>RSDBIOETH</v>
      </c>
      <c r="P9" s="747" t="str">
        <f>COMM!$P$11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6" t="str">
        <f>_xlfn.TEXTJOIN(",",TRUE,IF(LEFT(Regions!$C$3,1)&lt;&gt;"*",Regions!$C$3,""),IF(LEFT(Regions!$D$3,1)&lt;&gt;"*",Regions!$D$3,""))</f>
        <v>IE,National</v>
      </c>
      <c r="AC9" s="747" t="str">
        <f t="shared" si="1"/>
        <v>RSH_Det_BIOETH_X0</v>
      </c>
      <c r="AD9" s="747" t="str">
        <f t="shared" si="2"/>
        <v>Residential Space Heating Detached_Ethanol to Residential_Existing 00</v>
      </c>
      <c r="AE9" s="747" t="s">
        <v>19</v>
      </c>
      <c r="AF9" s="747" t="s">
        <v>321</v>
      </c>
      <c r="AG9" s="747"/>
      <c r="AH9" s="747"/>
      <c r="AI9" s="702"/>
      <c r="AJ9" s="702"/>
      <c r="AK9" s="702"/>
      <c r="AL9" s="702"/>
      <c r="AM9" s="702"/>
      <c r="AN9" s="702"/>
    </row>
    <row r="10" spans="1:40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83" t="str">
        <f t="shared" si="0"/>
        <v>IE,National</v>
      </c>
      <c r="M10" s="83" t="str">
        <f>COMM!$P$11&amp;"_"&amp;RIGHT(O10,LEN(O10)-3)&amp;"_"&amp;SETUP!B64</f>
        <v>RSH_Det_OILLPG_X0</v>
      </c>
      <c r="N10" s="83" t="str">
        <f>COMM!$Q$11&amp;"_"&amp;COMM!F8&amp;"_"&amp;SETUP!C64</f>
        <v>Residential Space Heating Detached_LPG to Residential_Existing 00</v>
      </c>
      <c r="O10" s="83" t="str">
        <f>COMM!$E$8</f>
        <v>RSDOILLPG</v>
      </c>
      <c r="P10" s="83" t="str">
        <f>COMM!$P$11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3">X10/R10/W10</f>
        <v>7.5449648624003274E-2</v>
      </c>
      <c r="V10" s="956">
        <v>20</v>
      </c>
      <c r="W10" s="956">
        <v>1</v>
      </c>
      <c r="X10" s="957">
        <f t="shared" ref="X10:X20" si="4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652" t="str">
        <f>_xlfn.TEXTJOIN(",",TRUE,IF(LEFT(Regions!$C$3,1)&lt;&gt;"*",Regions!$C$3,""),IF(LEFT(Regions!$D$3,1)&lt;&gt;"*",Regions!$D$3,""))</f>
        <v>IE,National</v>
      </c>
      <c r="AC10" s="83" t="str">
        <f t="shared" si="1"/>
        <v>RSH_Det_OILLPG_X0</v>
      </c>
      <c r="AD10" s="83" t="str">
        <f t="shared" si="2"/>
        <v>Residential Space Heating Detached_LPG to Residential_Existing 00</v>
      </c>
      <c r="AE10" s="83" t="s">
        <v>19</v>
      </c>
      <c r="AF10" s="83" t="s">
        <v>321</v>
      </c>
      <c r="AG10" s="83"/>
      <c r="AH10" s="83"/>
      <c r="AI10" s="702"/>
      <c r="AJ10" s="702"/>
      <c r="AK10" s="702"/>
      <c r="AL10" s="702"/>
      <c r="AM10" s="702"/>
      <c r="AN10" s="702"/>
    </row>
    <row r="11" spans="1:40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7" t="str">
        <f t="shared" si="0"/>
        <v>IE,National</v>
      </c>
      <c r="M11" s="747" t="str">
        <f>COMM!$P$11&amp;"_"&amp;RIGHT(O12,LEN(O12)-3)&amp;"_"&amp;SETUP!B64</f>
        <v>RSH_Det_ELC_X0</v>
      </c>
      <c r="N11" s="747" t="str">
        <f>COMM!$Q$11&amp;"_"&amp;COMM!F24&amp;"_"&amp;SETUP!C64</f>
        <v>Residential Space Heating Detached_Electricity to Residential_Existing 00</v>
      </c>
      <c r="O11" s="747" t="str">
        <f>COMM!$E$24</f>
        <v>RSDELC</v>
      </c>
      <c r="P11" s="747" t="str">
        <f>COMM!$P$11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3"/>
        <v>4.9360166451170341E-2</v>
      </c>
      <c r="V11" s="949">
        <v>20</v>
      </c>
      <c r="W11" s="949">
        <v>1</v>
      </c>
      <c r="X11" s="950">
        <f t="shared" si="4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6" t="str">
        <f>_xlfn.TEXTJOIN(",",TRUE,IF(LEFT(Regions!$C$3,1)&lt;&gt;"*",Regions!$C$3,""),IF(LEFT(Regions!$D$3,1)&lt;&gt;"*",Regions!$D$3,""))</f>
        <v>IE,National</v>
      </c>
      <c r="AC11" s="747" t="str">
        <f t="shared" si="1"/>
        <v>RSH_Det_ELC_X0</v>
      </c>
      <c r="AD11" s="747" t="str">
        <f t="shared" si="2"/>
        <v>Residential Space Heating Detached_Electricity to Residential_Existing 00</v>
      </c>
      <c r="AE11" s="747" t="s">
        <v>19</v>
      </c>
      <c r="AF11" s="747" t="s">
        <v>321</v>
      </c>
      <c r="AG11" s="747"/>
      <c r="AH11" s="747"/>
      <c r="AI11" s="702"/>
      <c r="AJ11" s="702"/>
      <c r="AK11" s="702"/>
      <c r="AL11" s="702"/>
      <c r="AM11" s="702"/>
      <c r="AN11" s="702"/>
    </row>
    <row r="12" spans="1:40">
      <c r="A12" s="943" t="s">
        <v>1254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83" t="str">
        <f t="shared" si="0"/>
        <v>IE,National</v>
      </c>
      <c r="M12" s="83" t="str">
        <f>COMM!$P$11&amp;"_"&amp;RIGHT(O12,LEN(O12)-3)&amp;"_"&amp;SETUP!B65</f>
        <v>RSH_Det_ELC_X1</v>
      </c>
      <c r="N12" s="83" t="str">
        <f>COMM!$Q$11&amp;"_"&amp;COMM!F24&amp;"_"&amp;SETUP!C65</f>
        <v>Residential Space Heating Detached_Electricity to Residential_Existing 01</v>
      </c>
      <c r="O12" s="83" t="str">
        <f>COMM!$E$24</f>
        <v>RSDELC</v>
      </c>
      <c r="P12" s="83" t="str">
        <f>COMM!$P$11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3"/>
        <v>3.168673704804783E-3</v>
      </c>
      <c r="V12" s="956">
        <v>20</v>
      </c>
      <c r="W12" s="956">
        <v>1</v>
      </c>
      <c r="X12" s="957">
        <f t="shared" si="4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652" t="str">
        <f>_xlfn.TEXTJOIN(",",TRUE,IF(LEFT(Regions!$C$3,1)&lt;&gt;"*",Regions!$C$3,""),IF(LEFT(Regions!$D$3,1)&lt;&gt;"*",Regions!$D$3,""))</f>
        <v>IE,National</v>
      </c>
      <c r="AC12" s="83" t="str">
        <f t="shared" si="1"/>
        <v>RSH_Det_ELC_X1</v>
      </c>
      <c r="AD12" s="83" t="str">
        <f t="shared" si="2"/>
        <v>Residential Space Heating Detached_Electricity to Residential_Existing 01</v>
      </c>
      <c r="AE12" s="83" t="s">
        <v>19</v>
      </c>
      <c r="AF12" s="83" t="s">
        <v>321</v>
      </c>
      <c r="AG12" s="83"/>
      <c r="AH12" s="83"/>
      <c r="AI12" s="702"/>
      <c r="AJ12" s="702"/>
      <c r="AK12" s="702"/>
      <c r="AL12" s="702"/>
      <c r="AM12" s="702"/>
      <c r="AN12" s="702"/>
    </row>
    <row r="13" spans="1:40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7" t="str">
        <f t="shared" si="0"/>
        <v>IE,National</v>
      </c>
      <c r="M13" s="747" t="str">
        <f>COMM!$P$11&amp;"_"&amp;RIGHT(O13,LEN(O13)-3)&amp;"_"&amp;SETUP!B64</f>
        <v>RSH_Det_OILKER_X0</v>
      </c>
      <c r="N13" s="747" t="str">
        <f>COMM!$Q$11&amp;"_"&amp;COMM!F10&amp;"_"&amp;SETUP!C64</f>
        <v>Residential Space Heating Detached_Kerosene to Residential_Existing 00</v>
      </c>
      <c r="O13" s="747" t="str">
        <f>COMM!$E$10</f>
        <v>RSDOILKER</v>
      </c>
      <c r="P13" s="747" t="str">
        <f>COMM!$P$11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3"/>
        <v>6.1266557932511269E-2</v>
      </c>
      <c r="V13" s="949">
        <v>20</v>
      </c>
      <c r="W13" s="949">
        <v>1</v>
      </c>
      <c r="X13" s="950">
        <f t="shared" si="4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6" t="str">
        <f>_xlfn.TEXTJOIN(",",TRUE,IF(LEFT(Regions!$C$3,1)&lt;&gt;"*",Regions!$C$3,""),IF(LEFT(Regions!$D$3,1)&lt;&gt;"*",Regions!$D$3,""))</f>
        <v>IE,National</v>
      </c>
      <c r="AC13" s="747" t="str">
        <f t="shared" si="1"/>
        <v>RSH_Det_OILKER_X0</v>
      </c>
      <c r="AD13" s="747" t="str">
        <f t="shared" si="2"/>
        <v>Residential Space Heating Detached_Kerosene to Residential_Existing 00</v>
      </c>
      <c r="AE13" s="747" t="s">
        <v>19</v>
      </c>
      <c r="AF13" s="747" t="s">
        <v>321</v>
      </c>
      <c r="AG13" s="747"/>
      <c r="AH13" s="747"/>
      <c r="AI13" s="702"/>
      <c r="AJ13" s="702"/>
      <c r="AK13" s="702"/>
      <c r="AL13" s="702"/>
      <c r="AM13" s="702"/>
      <c r="AN13" s="702"/>
    </row>
    <row r="14" spans="1:40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62"/>
      <c r="AC14" s="959"/>
      <c r="AD14" s="959"/>
      <c r="AE14" s="959"/>
      <c r="AF14" s="959"/>
      <c r="AG14" s="959"/>
      <c r="AH14" s="959"/>
      <c r="AI14" s="702"/>
      <c r="AJ14" s="702"/>
      <c r="AK14" s="702"/>
      <c r="AL14" s="702"/>
      <c r="AM14" s="702"/>
      <c r="AN14" s="702"/>
    </row>
    <row r="15" spans="1:40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7" t="str">
        <f>AB15</f>
        <v>IE,National</v>
      </c>
      <c r="M15" s="747" t="str">
        <f>COMM!$P$11&amp;"_"&amp;RIGHT(O15,LEN(O15)-3)&amp;"_"&amp;SETUP!B64</f>
        <v>RSH_Det_GASNAT_X0</v>
      </c>
      <c r="N15" s="747" t="str">
        <f>COMM!$Q$11&amp;"_"&amp;COMM!F14&amp;"_"&amp;SETUP!C64</f>
        <v>Residential Space Heating Detached_Natural Gas to Residential_Existing 00</v>
      </c>
      <c r="O15" s="747" t="str">
        <f>COMM!$E$14</f>
        <v>RSDGASNAT</v>
      </c>
      <c r="P15" s="747" t="str">
        <f>COMM!$P$11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3"/>
        <v>5.4120944584218275E-2</v>
      </c>
      <c r="V15" s="949">
        <v>20</v>
      </c>
      <c r="W15" s="949">
        <v>1</v>
      </c>
      <c r="X15" s="950">
        <f t="shared" si="4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6" t="str">
        <f>_xlfn.TEXTJOIN(",",TRUE,IF(LEFT(Regions!$C$3,1)&lt;&gt;"*",Regions!$C$3,""),IF(LEFT(Regions!$D$3,1)&lt;&gt;"*",Regions!$D$3,""))</f>
        <v>IE,National</v>
      </c>
      <c r="AC15" s="747" t="str">
        <f t="shared" si="1"/>
        <v>RSH_Det_GASNAT_X0</v>
      </c>
      <c r="AD15" s="747" t="str">
        <f>N15</f>
        <v>Residential Space Heating Detached_Natural Gas to Residential_Existing 00</v>
      </c>
      <c r="AE15" s="747" t="s">
        <v>19</v>
      </c>
      <c r="AF15" s="747" t="s">
        <v>321</v>
      </c>
      <c r="AG15" s="747"/>
      <c r="AH15" s="747"/>
      <c r="AI15" s="702"/>
      <c r="AJ15" s="702"/>
      <c r="AK15" s="702"/>
      <c r="AL15" s="702"/>
      <c r="AM15" s="702"/>
      <c r="AN15" s="702"/>
    </row>
    <row r="16" spans="1:40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62"/>
      <c r="AC16" s="959"/>
      <c r="AD16" s="959"/>
      <c r="AE16" s="959"/>
      <c r="AF16" s="959"/>
      <c r="AG16" s="959"/>
      <c r="AH16" s="959"/>
      <c r="AI16" s="702"/>
      <c r="AJ16" s="702"/>
      <c r="AK16" s="702"/>
      <c r="AL16" s="702"/>
      <c r="AM16" s="702"/>
      <c r="AN16" s="702"/>
    </row>
    <row r="17" spans="1:45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7" t="str">
        <f>AB17</f>
        <v>IE,National</v>
      </c>
      <c r="M17" s="747" t="str">
        <f>COMM!$P$11&amp;"_"&amp;RIGHT(O17,LEN(O17)-3)&amp;"_"&amp;SETUP!B64</f>
        <v>RSH_Det_PEA_X0</v>
      </c>
      <c r="N17" s="747" t="str">
        <f>COMM!$Q$11&amp;"_"&amp;COMM!F7&amp;"_"&amp;SETUP!C64</f>
        <v>Residential Space Heating Detached_Peat to Residential_Existing 00</v>
      </c>
      <c r="O17" s="747" t="str">
        <f>COMM!E7</f>
        <v>RSDPEA</v>
      </c>
      <c r="P17" s="747" t="str">
        <f>COMM!$P$11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3"/>
        <v>0.29469883978286854</v>
      </c>
      <c r="V17" s="949">
        <v>20</v>
      </c>
      <c r="W17" s="949">
        <v>1</v>
      </c>
      <c r="X17" s="950">
        <f t="shared" si="4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6" t="str">
        <f>_xlfn.TEXTJOIN(",",TRUE,IF(LEFT(Regions!$C$3,1)&lt;&gt;"*",Regions!$C$3,""),IF(LEFT(Regions!$D$3,1)&lt;&gt;"*",Regions!$D$3,""))</f>
        <v>IE,National</v>
      </c>
      <c r="AC17" s="747" t="str">
        <f t="shared" si="1"/>
        <v>RSH_Det_PEA_X0</v>
      </c>
      <c r="AD17" s="747" t="str">
        <f>N17</f>
        <v>Residential Space Heating Detached_Peat to Residential_Existing 00</v>
      </c>
      <c r="AE17" s="747" t="s">
        <v>19</v>
      </c>
      <c r="AF17" s="747" t="s">
        <v>321</v>
      </c>
      <c r="AG17" s="747"/>
      <c r="AH17" s="747"/>
      <c r="AI17" s="702"/>
      <c r="AJ17" s="702"/>
      <c r="AK17" s="702"/>
      <c r="AL17" s="702"/>
      <c r="AM17" s="702"/>
      <c r="AN17" s="702"/>
    </row>
    <row r="18" spans="1:45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62"/>
      <c r="AC18" s="959"/>
      <c r="AD18" s="959"/>
      <c r="AE18" s="959"/>
      <c r="AF18" s="959"/>
      <c r="AG18" s="959"/>
      <c r="AH18" s="959"/>
      <c r="AI18" s="702"/>
      <c r="AJ18" s="702"/>
      <c r="AK18" s="702"/>
      <c r="AL18" s="702"/>
      <c r="AM18" s="702"/>
      <c r="AN18" s="702"/>
    </row>
    <row r="19" spans="1:45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83" t="str">
        <f>AB19</f>
        <v>IE,National</v>
      </c>
      <c r="M19" s="83" t="str">
        <f>COMM!$P$11&amp;"_"&amp;RIGHT(COMM!E23,LEN(COMM!E23)-3)&amp;"_"&amp;SETUP!B64</f>
        <v>RSH_Det_SMF_X0</v>
      </c>
      <c r="N19" s="951" t="str">
        <f>COMM!$Q$11&amp;"_"&amp;COMM!F23&amp;"_"&amp;SETUP!C64</f>
        <v>Residential Space Heating Detached_Solid Multi-Fuel_Existing 00</v>
      </c>
      <c r="O19" s="83" t="str">
        <f>COMM!E6&amp;","&amp;COMM!E7&amp;","&amp;COMM!E16</f>
        <v>RSDCOA,RSDPEA,RSDBIOWOO</v>
      </c>
      <c r="P19" s="83" t="str">
        <f>COMM!$P$11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3"/>
        <v>0.36965845077432147</v>
      </c>
      <c r="V19" s="956">
        <v>20</v>
      </c>
      <c r="W19" s="956">
        <v>1</v>
      </c>
      <c r="X19" s="957">
        <f t="shared" si="4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6" t="str">
        <f>_xlfn.TEXTJOIN(",",TRUE,IF(LEFT(Regions!$C$3,1)&lt;&gt;"*",Regions!$C$3,""),IF(LEFT(Regions!$D$3,1)&lt;&gt;"*",Regions!$D$3,""))</f>
        <v>IE,National</v>
      </c>
      <c r="AC19" s="747" t="str">
        <f t="shared" si="1"/>
        <v>RSH_Det_SMF_X0</v>
      </c>
      <c r="AD19" s="747" t="str">
        <f>N19</f>
        <v>Residential Space Heating Detached_Solid Multi-Fuel_Existing 00</v>
      </c>
      <c r="AE19" s="747" t="s">
        <v>19</v>
      </c>
      <c r="AF19" s="747" t="s">
        <v>321</v>
      </c>
      <c r="AG19" s="747"/>
      <c r="AH19" s="747"/>
      <c r="AI19" s="702"/>
      <c r="AJ19" s="702"/>
      <c r="AK19" s="702"/>
      <c r="AL19" s="702"/>
      <c r="AM19" s="702"/>
      <c r="AN19" s="702"/>
    </row>
    <row r="20" spans="1:45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7" t="str">
        <f>AB20</f>
        <v>IE,National</v>
      </c>
      <c r="M20" s="747" t="str">
        <f>COMM!$P$11&amp;"_"&amp;RIGHT(O20,LEN(O20)-3)&amp;"_"&amp;SETUP!B64</f>
        <v>RSH_Det_BIOWOO_X0</v>
      </c>
      <c r="N20" s="747" t="str">
        <f>COMM!$Q$11&amp;"_"&amp;COMM!F16&amp;"_"&amp;SETUP!C64</f>
        <v>Residential Space Heating Detached_Biomass and Renewable Waste to Residential_Existing 00</v>
      </c>
      <c r="O20" s="747" t="str">
        <f>COMM!E16</f>
        <v>RSDBIOWOO</v>
      </c>
      <c r="P20" s="747" t="str">
        <f>COMM!$P$11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3"/>
        <v>0.15204678487667089</v>
      </c>
      <c r="V20" s="949">
        <v>20</v>
      </c>
      <c r="W20" s="949">
        <v>1</v>
      </c>
      <c r="X20" s="950">
        <f t="shared" si="4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652" t="str">
        <f>_xlfn.TEXTJOIN(",",TRUE,IF(LEFT(Regions!$C$3,1)&lt;&gt;"*",Regions!$C$3,""),IF(LEFT(Regions!$D$3,1)&lt;&gt;"*",Regions!$D$3,""))</f>
        <v>IE,National</v>
      </c>
      <c r="AC20" s="83" t="str">
        <f t="shared" si="1"/>
        <v>RSH_Det_BIOWOO_X0</v>
      </c>
      <c r="AD20" s="83" t="str">
        <f>N20</f>
        <v>Residential Space Heating Detached_Biomass and Renewable Waste to Residential_Existing 00</v>
      </c>
      <c r="AE20" s="83" t="s">
        <v>19</v>
      </c>
      <c r="AF20" s="83" t="s">
        <v>321</v>
      </c>
      <c r="AG20" s="83"/>
      <c r="AH20" s="83"/>
      <c r="AI20" s="702"/>
      <c r="AJ20" s="702"/>
      <c r="AK20" s="702"/>
      <c r="AL20" s="702"/>
      <c r="AM20" s="702"/>
      <c r="AN20" s="702"/>
    </row>
    <row r="21" spans="1:45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83" t="str">
        <f>AB21</f>
        <v>IE,National</v>
      </c>
      <c r="M21" s="83" t="str">
        <f>COMM!$P$11&amp;"_"&amp;RIGHT(O21,LEN(O21)-3)&amp;"_"&amp;SETUP!B64</f>
        <v>RSH_Det_HET_X0</v>
      </c>
      <c r="N21" s="951" t="str">
        <f>COMM!$Q$11&amp;"_"&amp;COMM!F25&amp;"_"&amp;SETUP!C64</f>
        <v>Residential Space Heating Detached_Heat to Residential_Existing 00</v>
      </c>
      <c r="O21" s="83" t="str">
        <f>COMM!E25</f>
        <v>RSDHET</v>
      </c>
      <c r="P21" s="83" t="str">
        <f>COMM!$P$11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3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6" t="str">
        <f>_xlfn.TEXTJOIN(",",TRUE,IF(LEFT(Regions!$C$3,1)&lt;&gt;"*",Regions!$C$3,""),IF(LEFT(Regions!$D$3,1)&lt;&gt;"*",Regions!$D$3,""))</f>
        <v>IE,National</v>
      </c>
      <c r="AC21" s="747" t="str">
        <f t="shared" si="1"/>
        <v>RSH_Det_HET_X0</v>
      </c>
      <c r="AD21" s="747" t="str">
        <f>N21</f>
        <v>Residential Space Heating Detached_Heat to Residential_Existing 00</v>
      </c>
      <c r="AE21" s="747" t="s">
        <v>19</v>
      </c>
      <c r="AF21" s="747" t="s">
        <v>321</v>
      </c>
      <c r="AG21" s="747"/>
      <c r="AH21" s="747"/>
      <c r="AI21" s="702"/>
      <c r="AJ21" s="702"/>
      <c r="AK21" s="702"/>
      <c r="AL21" s="702"/>
      <c r="AM21" s="702"/>
      <c r="AN21" s="702"/>
    </row>
    <row r="22" spans="1:45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/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965"/>
      <c r="AI22" s="702"/>
      <c r="AJ22" s="702"/>
      <c r="AK22" s="702"/>
      <c r="AL22" s="702"/>
      <c r="AM22" s="702"/>
      <c r="AN22" s="702"/>
    </row>
    <row r="23" spans="1:45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/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965"/>
      <c r="AI23" s="702"/>
      <c r="AJ23" s="702"/>
      <c r="AK23" s="702"/>
      <c r="AL23" s="702"/>
      <c r="AM23" s="702"/>
      <c r="AN23" s="702"/>
    </row>
    <row r="24" spans="1:45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/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944"/>
      <c r="AI24" s="702"/>
      <c r="AJ24" s="702"/>
      <c r="AK24" s="702"/>
      <c r="AL24" s="702"/>
      <c r="AM24" s="702"/>
      <c r="AN24" s="702"/>
    </row>
    <row r="25" spans="1:45">
      <c r="A25" s="943" t="s">
        <v>1255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944"/>
      <c r="AI25" s="702"/>
      <c r="AJ25" s="702"/>
      <c r="AK25" s="702"/>
      <c r="AL25" s="702"/>
      <c r="AM25" s="702"/>
      <c r="AN25" s="702"/>
    </row>
    <row r="26" spans="1:45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944"/>
      <c r="AI26" s="702"/>
      <c r="AJ26" s="702"/>
      <c r="AK26" s="702"/>
      <c r="AL26" s="702"/>
      <c r="AM26" s="702"/>
      <c r="AN26" s="702"/>
      <c r="AO26" s="702"/>
      <c r="AP26" s="702"/>
    </row>
    <row r="27" spans="1:45" ht="21.75" thickBot="1">
      <c r="A27" s="121" t="s">
        <v>1259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120" t="s">
        <v>1259</v>
      </c>
      <c r="M27" s="120"/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/>
      <c r="AD27" s="966"/>
      <c r="AE27" s="966"/>
      <c r="AF27" s="966"/>
      <c r="AG27" s="966"/>
      <c r="AH27" s="966"/>
      <c r="AI27" s="702"/>
      <c r="AJ27" s="702"/>
      <c r="AK27" s="702"/>
      <c r="AL27" s="702"/>
      <c r="AM27" s="702"/>
      <c r="AN27" s="702"/>
      <c r="AO27" s="702"/>
      <c r="AP27" s="702"/>
    </row>
    <row r="28" spans="1:45" ht="15.75" thickBot="1">
      <c r="A28" s="702"/>
      <c r="B28" s="1066" t="s">
        <v>1244</v>
      </c>
      <c r="C28" s="1067"/>
      <c r="D28" s="1067"/>
      <c r="E28" s="1067"/>
      <c r="F28" s="1067"/>
      <c r="G28" s="1068"/>
      <c r="H28" s="1066" t="s">
        <v>1245</v>
      </c>
      <c r="I28" s="1067"/>
      <c r="J28" s="1068"/>
      <c r="K28" s="702"/>
      <c r="L28" s="73" t="s">
        <v>1297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1239</v>
      </c>
      <c r="V28" s="86" t="s">
        <v>304</v>
      </c>
      <c r="W28" s="86" t="s">
        <v>316</v>
      </c>
      <c r="X28" s="86" t="s">
        <v>1238</v>
      </c>
      <c r="Y28" s="91" t="s">
        <v>1237</v>
      </c>
      <c r="Z28" s="702"/>
      <c r="AA28" s="73" t="s">
        <v>305</v>
      </c>
      <c r="AB28" s="73" t="s">
        <v>1297</v>
      </c>
      <c r="AC28" s="73" t="s">
        <v>298</v>
      </c>
      <c r="AD28" s="73" t="s">
        <v>299</v>
      </c>
      <c r="AE28" s="73" t="s">
        <v>306</v>
      </c>
      <c r="AF28" s="73" t="s">
        <v>307</v>
      </c>
      <c r="AG28" s="73" t="s">
        <v>308</v>
      </c>
      <c r="AH28" s="73" t="s">
        <v>309</v>
      </c>
      <c r="AI28" s="702"/>
      <c r="AJ28" s="702"/>
      <c r="AK28" s="702"/>
      <c r="AL28" s="702"/>
      <c r="AM28" s="702"/>
      <c r="AN28" s="702"/>
      <c r="AO28" s="702"/>
      <c r="AP28" s="702"/>
    </row>
    <row r="29" spans="1:45" ht="26.25" thickBot="1">
      <c r="A29" s="702"/>
      <c r="B29" s="647"/>
      <c r="C29" s="647" t="s">
        <v>475</v>
      </c>
      <c r="D29" s="647" t="s">
        <v>475</v>
      </c>
      <c r="E29" s="647" t="s">
        <v>1241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1240</v>
      </c>
      <c r="K29" s="702"/>
      <c r="L29" s="74" t="s">
        <v>1298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74" t="s">
        <v>1298</v>
      </c>
      <c r="AC29" s="968"/>
      <c r="AD29" s="969"/>
      <c r="AE29" s="968"/>
      <c r="AF29" s="968"/>
      <c r="AG29" s="968"/>
      <c r="AH29" s="968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</row>
    <row r="30" spans="1:45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76"/>
      <c r="AC30" s="971"/>
      <c r="AD30" s="971"/>
      <c r="AE30" s="971"/>
      <c r="AF30" s="971"/>
      <c r="AG30" s="971"/>
      <c r="AH30" s="971"/>
      <c r="AI30" s="702"/>
      <c r="AJ30" s="702"/>
      <c r="AK30" s="702"/>
      <c r="AL30" s="702"/>
      <c r="AM30" s="702"/>
      <c r="AN30" s="701"/>
      <c r="AO30" s="701"/>
      <c r="AP30" s="701"/>
      <c r="AQ30" s="701"/>
      <c r="AR30" s="701"/>
      <c r="AS30" s="701"/>
    </row>
    <row r="31" spans="1:45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7" t="str">
        <f t="shared" ref="L31:L37" si="5">AB31</f>
        <v>IE,National</v>
      </c>
      <c r="M31" s="747" t="str">
        <f>COMM!$P$17&amp;"_"&amp;RIGHT(O31,LEN(O31)-3)&amp;"_"&amp;SETUP!$B$64</f>
        <v>RWH_Det_COA_X0</v>
      </c>
      <c r="N31" s="747" t="str">
        <f>COMM!$Q$17&amp;"_"&amp;COMM!F6&amp;"_"&amp;SETUP!$C$64</f>
        <v>Residential Water Heating Detached_Coal to Residential_Existing 00</v>
      </c>
      <c r="O31" s="747" t="str">
        <f>COMM!$E$6</f>
        <v>RSDCOA</v>
      </c>
      <c r="P31" s="747" t="str">
        <f>COMM!$P$17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6" t="str">
        <f>_xlfn.TEXTJOIN(",",TRUE,IF(LEFT(Regions!$C$3,1)&lt;&gt;"*",Regions!$C$3,""),IF(LEFT(Regions!$D$3,1)&lt;&gt;"*",Regions!$D$3,""))</f>
        <v>IE,National</v>
      </c>
      <c r="AC31" s="747" t="str">
        <f>M31</f>
        <v>RWH_Det_COA_X0</v>
      </c>
      <c r="AD31" s="747" t="str">
        <f>N31</f>
        <v>Residential Water Heating Detached_Coal to Residential_Existing 00</v>
      </c>
      <c r="AE31" s="747" t="s">
        <v>19</v>
      </c>
      <c r="AF31" s="747" t="s">
        <v>321</v>
      </c>
      <c r="AG31" s="747"/>
      <c r="AH31" s="747"/>
      <c r="AI31" s="702"/>
      <c r="AJ31" s="702"/>
      <c r="AK31" s="702"/>
      <c r="AL31" s="702"/>
      <c r="AM31" s="702"/>
      <c r="AN31" s="701"/>
      <c r="AO31" s="701"/>
      <c r="AP31" s="701"/>
      <c r="AQ31" s="701"/>
      <c r="AR31" s="701"/>
      <c r="AS31" s="701"/>
    </row>
    <row r="32" spans="1:45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83" t="str">
        <f t="shared" si="5"/>
        <v>IE,National</v>
      </c>
      <c r="M32" s="83" t="str">
        <f>COMM!$P$17&amp;"_"&amp;RIGHT(O32,LEN(O32)-3)&amp;"_"&amp;SETUP!$B$64</f>
        <v>RWH_Det_BIODST_X0</v>
      </c>
      <c r="N32" s="951" t="str">
        <f>COMM!$Q$17&amp;"_"&amp;COMM!F21&amp;"_"&amp;SETUP!$C$64</f>
        <v>Residential Water Heating Detached_Biodiesel to Residential_Existing 00</v>
      </c>
      <c r="O32" s="83" t="str">
        <f>COMM!$E$21</f>
        <v>RSDBIODST</v>
      </c>
      <c r="P32" s="83" t="str">
        <f>COMM!$P$17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652" t="str">
        <f>_xlfn.TEXTJOIN(",",TRUE,IF(LEFT(Regions!$C$3,1)&lt;&gt;"*",Regions!$C$3,""),IF(LEFT(Regions!$D$3,1)&lt;&gt;"*",Regions!$D$3,""))</f>
        <v>IE,National</v>
      </c>
      <c r="AC32" s="83" t="str">
        <f t="shared" ref="AC32:AC41" si="6">M32</f>
        <v>RWH_Det_BIODST_X0</v>
      </c>
      <c r="AD32" s="83" t="str">
        <f t="shared" ref="AD32:AD37" si="7">N32</f>
        <v>Residential Water Heating Detached_Biodiesel to Residential_Existing 00</v>
      </c>
      <c r="AE32" s="83" t="s">
        <v>19</v>
      </c>
      <c r="AF32" s="83" t="s">
        <v>321</v>
      </c>
      <c r="AG32" s="83"/>
      <c r="AH32" s="83"/>
      <c r="AI32" s="702"/>
      <c r="AJ32" s="702"/>
      <c r="AK32" s="702"/>
      <c r="AL32" s="702"/>
      <c r="AM32" s="702"/>
      <c r="AN32" s="701"/>
      <c r="AO32" s="701"/>
      <c r="AP32" s="701"/>
      <c r="AQ32" s="701"/>
      <c r="AR32" s="701"/>
    </row>
    <row r="33" spans="1:44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7" t="str">
        <f t="shared" si="5"/>
        <v>IE,National</v>
      </c>
      <c r="M33" s="747" t="str">
        <f>COMM!$P$17&amp;"_"&amp;RIGHT(O33,LEN(O33)-3)&amp;"_"&amp;SETUP!$B$64</f>
        <v>RWH_Det_BIOETH_X0</v>
      </c>
      <c r="N33" s="747" t="str">
        <f>COMM!$Q$17&amp;"_"&amp;COMM!F20&amp;"_"&amp;SETUP!$C$64</f>
        <v>Residential Water Heating Detached_Ethanol to Residential_Existing 00</v>
      </c>
      <c r="O33" s="747" t="str">
        <f>COMM!$E$20</f>
        <v>RSDBIOETH</v>
      </c>
      <c r="P33" s="747" t="str">
        <f>COMM!$P$17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6" t="str">
        <f>_xlfn.TEXTJOIN(",",TRUE,IF(LEFT(Regions!$C$3,1)&lt;&gt;"*",Regions!$C$3,""),IF(LEFT(Regions!$D$3,1)&lt;&gt;"*",Regions!$D$3,""))</f>
        <v>IE,National</v>
      </c>
      <c r="AC33" s="747" t="str">
        <f t="shared" si="6"/>
        <v>RWH_Det_BIOETH_X0</v>
      </c>
      <c r="AD33" s="747" t="str">
        <f t="shared" si="7"/>
        <v>Residential Water Heating Detached_Ethanol to Residential_Existing 00</v>
      </c>
      <c r="AE33" s="747" t="s">
        <v>19</v>
      </c>
      <c r="AF33" s="747" t="s">
        <v>321</v>
      </c>
      <c r="AG33" s="747"/>
      <c r="AH33" s="747"/>
      <c r="AI33" s="702"/>
      <c r="AJ33" s="702"/>
      <c r="AK33" s="702"/>
      <c r="AL33" s="702"/>
      <c r="AM33" s="702"/>
      <c r="AN33" s="701"/>
      <c r="AO33" s="701"/>
      <c r="AP33" s="701"/>
      <c r="AQ33" s="701"/>
      <c r="AR33" s="701"/>
    </row>
    <row r="34" spans="1:44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83" t="str">
        <f t="shared" si="5"/>
        <v>IE,National</v>
      </c>
      <c r="M34" s="83" t="str">
        <f>COMM!$P$17&amp;"_"&amp;RIGHT(O34,LEN(O34)-3)&amp;"_"&amp;SETUP!$B$64</f>
        <v>RWH_Det_OILLPG_X0</v>
      </c>
      <c r="N34" s="951" t="str">
        <f>COMM!$Q$17&amp;"_"&amp;COMM!F8&amp;"_"&amp;SETUP!$C$64</f>
        <v>Residential Water Heating Detached_LPG to Residential_Existing 00</v>
      </c>
      <c r="O34" s="83" t="str">
        <f>COMM!$E$8</f>
        <v>RSDOILLPG</v>
      </c>
      <c r="P34" s="83" t="str">
        <f>COMM!$P$17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8">T10</f>
        <v>0.82661774762699336</v>
      </c>
      <c r="U34" s="955">
        <f t="shared" ref="U34:U41" si="9">X34/R34/W34</f>
        <v>2.0707296779284987E-2</v>
      </c>
      <c r="V34" s="956">
        <v>20</v>
      </c>
      <c r="W34" s="956">
        <v>1</v>
      </c>
      <c r="X34" s="957">
        <f t="shared" ref="X34:X41" si="10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652" t="str">
        <f>_xlfn.TEXTJOIN(",",TRUE,IF(LEFT(Regions!$C$3,1)&lt;&gt;"*",Regions!$C$3,""),IF(LEFT(Regions!$D$3,1)&lt;&gt;"*",Regions!$D$3,""))</f>
        <v>IE,National</v>
      </c>
      <c r="AC34" s="83" t="str">
        <f t="shared" si="6"/>
        <v>RWH_Det_OILLPG_X0</v>
      </c>
      <c r="AD34" s="83" t="str">
        <f t="shared" si="7"/>
        <v>Residential Water Heating Detached_LPG to Residential_Existing 00</v>
      </c>
      <c r="AE34" s="83" t="s">
        <v>19</v>
      </c>
      <c r="AF34" s="83" t="s">
        <v>321</v>
      </c>
      <c r="AG34" s="83"/>
      <c r="AH34" s="83"/>
      <c r="AI34" s="702"/>
      <c r="AJ34" s="702"/>
      <c r="AK34" s="702"/>
      <c r="AL34" s="702"/>
      <c r="AM34" s="702"/>
      <c r="AN34" s="701"/>
      <c r="AO34" s="701"/>
      <c r="AP34" s="701"/>
      <c r="AQ34" s="701"/>
      <c r="AR34" s="701"/>
    </row>
    <row r="35" spans="1:44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7" t="str">
        <f t="shared" si="5"/>
        <v>IE,National</v>
      </c>
      <c r="M35" s="747" t="str">
        <f>COMM!$P$17&amp;"_"&amp;RIGHT(O36,LEN(O36)-3)&amp;"_"&amp;SETUP!$B$64</f>
        <v>RWH_Det_ELC_X0</v>
      </c>
      <c r="N35" s="747" t="str">
        <f>COMM!$Q$17&amp;"_"&amp;COMM!F24&amp;"_"&amp;SETUP!$C$64</f>
        <v>Residential Water Heating Detached_Electricity to Residential_Existing 00</v>
      </c>
      <c r="O35" s="747" t="str">
        <f>COMM!$E$24</f>
        <v>RSDELC</v>
      </c>
      <c r="P35" s="747" t="str">
        <f>COMM!$P$17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9"/>
        <v>1.2922501771018165E-2</v>
      </c>
      <c r="V35" s="949">
        <v>20</v>
      </c>
      <c r="W35" s="949">
        <v>1</v>
      </c>
      <c r="X35" s="950">
        <f t="shared" si="10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6" t="str">
        <f>_xlfn.TEXTJOIN(",",TRUE,IF(LEFT(Regions!$C$3,1)&lt;&gt;"*",Regions!$C$3,""),IF(LEFT(Regions!$D$3,1)&lt;&gt;"*",Regions!$D$3,""))</f>
        <v>IE,National</v>
      </c>
      <c r="AC35" s="747" t="str">
        <f t="shared" si="6"/>
        <v>RWH_Det_ELC_X0</v>
      </c>
      <c r="AD35" s="747" t="str">
        <f t="shared" si="7"/>
        <v>Residential Water Heating Detached_Electricity to Residential_Existing 00</v>
      </c>
      <c r="AE35" s="747" t="s">
        <v>19</v>
      </c>
      <c r="AF35" s="747" t="s">
        <v>321</v>
      </c>
      <c r="AG35" s="747"/>
      <c r="AH35" s="747"/>
      <c r="AI35" s="702"/>
      <c r="AJ35" s="702"/>
      <c r="AK35" s="702"/>
      <c r="AL35" s="702"/>
      <c r="AM35" s="702"/>
      <c r="AN35" s="701"/>
      <c r="AO35" s="701"/>
      <c r="AP35" s="701"/>
      <c r="AQ35" s="701"/>
      <c r="AR35" s="701"/>
    </row>
    <row r="36" spans="1:44">
      <c r="A36" s="944" t="s">
        <v>1254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83" t="str">
        <f t="shared" si="5"/>
        <v>IE,National</v>
      </c>
      <c r="M36" s="83" t="str">
        <f>COMM!$P$17&amp;"_"&amp;RIGHT(O36,LEN(O36)-3)&amp;"_"&amp;SETUP!$B$65</f>
        <v>RWH_Det_ELC_X1</v>
      </c>
      <c r="N36" s="951" t="str">
        <f>COMM!$Q$17&amp;"_"&amp;COMM!F24&amp;"_"&amp;SETUP!$C$65</f>
        <v>Residential Water Heating Detached_Electricity to Residential_Existing 01</v>
      </c>
      <c r="O36" s="83" t="str">
        <f>COMM!$E$24</f>
        <v>RSDELC</v>
      </c>
      <c r="P36" s="83" t="str">
        <f>COMM!$P$17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9"/>
        <v>2.2847626471653821E-3</v>
      </c>
      <c r="V36" s="956">
        <v>20</v>
      </c>
      <c r="W36" s="956">
        <v>1</v>
      </c>
      <c r="X36" s="957">
        <f t="shared" si="10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652" t="str">
        <f>_xlfn.TEXTJOIN(",",TRUE,IF(LEFT(Regions!$C$3,1)&lt;&gt;"*",Regions!$C$3,""),IF(LEFT(Regions!$D$3,1)&lt;&gt;"*",Regions!$D$3,""))</f>
        <v>IE,National</v>
      </c>
      <c r="AC36" s="83" t="str">
        <f t="shared" si="6"/>
        <v>RWH_Det_ELC_X1</v>
      </c>
      <c r="AD36" s="83" t="str">
        <f t="shared" si="7"/>
        <v>Residential Water Heating Detached_Electricity to Residential_Existing 01</v>
      </c>
      <c r="AE36" s="83" t="s">
        <v>19</v>
      </c>
      <c r="AF36" s="83" t="s">
        <v>321</v>
      </c>
      <c r="AG36" s="83"/>
      <c r="AH36" s="83"/>
      <c r="AI36" s="702"/>
      <c r="AJ36" s="702"/>
      <c r="AK36" s="702"/>
      <c r="AL36" s="702"/>
      <c r="AM36" s="702"/>
    </row>
    <row r="37" spans="1:44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7" t="str">
        <f t="shared" si="5"/>
        <v>IE,National</v>
      </c>
      <c r="M37" s="747" t="str">
        <f>COMM!$P$17&amp;"_"&amp;RIGHT(O37,LEN(O37)-3)&amp;"_"&amp;SETUP!$B$64</f>
        <v>RWH_Det_OILKER_X0</v>
      </c>
      <c r="N37" s="747" t="str">
        <f>COMM!$Q$17&amp;"_"&amp;COMM!F10&amp;"_"&amp;SETUP!$C$64</f>
        <v>Residential Water Heating Detached_Kerosene to Residential_Existing 00</v>
      </c>
      <c r="O37" s="747" t="str">
        <f>COMM!$E$10</f>
        <v>RSDOILKER</v>
      </c>
      <c r="P37" s="747" t="str">
        <f>COMM!$P$17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>IFERROR((R37*1000)/E37,0)</f>
        <v>2.7564245914426495</v>
      </c>
      <c r="T37" s="948">
        <f t="shared" ref="T37:T41" si="11">T13</f>
        <v>0.82280373831775711</v>
      </c>
      <c r="U37" s="948">
        <f t="shared" si="9"/>
        <v>2.1335197056494098E-2</v>
      </c>
      <c r="V37" s="949">
        <v>20</v>
      </c>
      <c r="W37" s="949">
        <v>1</v>
      </c>
      <c r="X37" s="950">
        <f t="shared" si="10"/>
        <v>10.771489941607113</v>
      </c>
      <c r="Y37" s="950">
        <f>IF(((D37+I37)*$B$2)&lt;=0,0,((D37+I37)*S37*$B$2))</f>
        <v>8.8628221912064511</v>
      </c>
      <c r="Z37" s="702"/>
      <c r="AA37" s="747" t="s">
        <v>311</v>
      </c>
      <c r="AB37" s="746" t="str">
        <f>_xlfn.TEXTJOIN(",",TRUE,IF(LEFT(Regions!$C$3,1)&lt;&gt;"*",Regions!$C$3,""),IF(LEFT(Regions!$D$3,1)&lt;&gt;"*",Regions!$D$3,""))</f>
        <v>IE,National</v>
      </c>
      <c r="AC37" s="747" t="str">
        <f t="shared" si="6"/>
        <v>RWH_Det_OILKER_X0</v>
      </c>
      <c r="AD37" s="747" t="str">
        <f t="shared" si="7"/>
        <v>Residential Water Heating Detached_Kerosene to Residential_Existing 00</v>
      </c>
      <c r="AE37" s="747" t="s">
        <v>19</v>
      </c>
      <c r="AF37" s="747" t="s">
        <v>321</v>
      </c>
      <c r="AG37" s="747"/>
      <c r="AH37" s="747"/>
      <c r="AI37" s="702"/>
      <c r="AJ37" s="702"/>
      <c r="AK37" s="702"/>
      <c r="AL37" s="702"/>
      <c r="AM37" s="702"/>
    </row>
    <row r="38" spans="1:44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62"/>
      <c r="AC38" s="959"/>
      <c r="AD38" s="959"/>
      <c r="AE38" s="959"/>
      <c r="AF38" s="959"/>
      <c r="AG38" s="959"/>
      <c r="AH38" s="959"/>
      <c r="AI38" s="702"/>
      <c r="AJ38" s="702"/>
      <c r="AK38" s="702"/>
      <c r="AL38" s="702"/>
      <c r="AM38" s="702"/>
    </row>
    <row r="39" spans="1:44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7" t="str">
        <f>AB39</f>
        <v>IE,National</v>
      </c>
      <c r="M39" s="747" t="str">
        <f>COMM!$P$17&amp;"_"&amp;RIGHT(O39,LEN(O39)-3)&amp;"_"&amp;SETUP!$B$64</f>
        <v>RWH_Det_GASNAT_X0</v>
      </c>
      <c r="N39" s="747" t="str">
        <f>COMM!$Q$17&amp;"_"&amp;COMM!F14&amp;"_"&amp;SETUP!$C$64</f>
        <v>Residential Water Heating Detached_Natural Gas to Residential_Existing 00</v>
      </c>
      <c r="O39" s="747" t="str">
        <f>COMM!$E$14</f>
        <v>RSDGASNAT</v>
      </c>
      <c r="P39" s="747" t="str">
        <f>COMM!$P$17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>IFERROR((R39*1000)/E39,0)</f>
        <v>2.7564245914426495</v>
      </c>
      <c r="T39" s="948">
        <f t="shared" si="11"/>
        <v>0.82728758169934635</v>
      </c>
      <c r="U39" s="948">
        <f t="shared" si="9"/>
        <v>2.0654538313485044E-2</v>
      </c>
      <c r="V39" s="949">
        <v>20</v>
      </c>
      <c r="W39" s="949">
        <v>1</v>
      </c>
      <c r="X39" s="950">
        <f t="shared" si="10"/>
        <v>2.3649834163789465</v>
      </c>
      <c r="Y39" s="950">
        <f>IF(((D39+I39)*$B$2)&lt;=0,0,((D39+I39)*S39*$B$2))</f>
        <v>1.956521411295197</v>
      </c>
      <c r="Z39" s="702"/>
      <c r="AA39" s="747" t="s">
        <v>311</v>
      </c>
      <c r="AB39" s="746" t="str">
        <f>_xlfn.TEXTJOIN(",",TRUE,IF(LEFT(Regions!$C$3,1)&lt;&gt;"*",Regions!$C$3,""),IF(LEFT(Regions!$D$3,1)&lt;&gt;"*",Regions!$D$3,""))</f>
        <v>IE,National</v>
      </c>
      <c r="AC39" s="747" t="str">
        <f t="shared" si="6"/>
        <v>RWH_Det_GASNAT_X0</v>
      </c>
      <c r="AD39" s="747" t="str">
        <f>N39</f>
        <v>Residential Water Heating Detached_Natural Gas to Residential_Existing 00</v>
      </c>
      <c r="AE39" s="747" t="s">
        <v>19</v>
      </c>
      <c r="AF39" s="967" t="s">
        <v>321</v>
      </c>
      <c r="AG39" s="967"/>
      <c r="AH39" s="967"/>
      <c r="AI39" s="702"/>
      <c r="AJ39" s="702"/>
      <c r="AK39" s="702"/>
      <c r="AL39" s="702"/>
      <c r="AM39" s="702"/>
    </row>
    <row r="40" spans="1:44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62"/>
      <c r="AC40" s="959"/>
      <c r="AD40" s="959"/>
      <c r="AE40" s="959"/>
      <c r="AF40" s="959"/>
      <c r="AG40" s="959"/>
      <c r="AH40" s="959"/>
      <c r="AI40" s="702"/>
      <c r="AJ40" s="702"/>
      <c r="AK40" s="702"/>
      <c r="AL40" s="702"/>
      <c r="AM40" s="702"/>
    </row>
    <row r="41" spans="1:44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7" t="str">
        <f>AB41</f>
        <v>IE,National</v>
      </c>
      <c r="M41" s="747" t="str">
        <f>COMM!$P$17&amp;"_"&amp;RIGHT(O41,LEN(O41)-3)&amp;"_"&amp;SETUP!$B$64</f>
        <v>RWH_Det_PEA_X0</v>
      </c>
      <c r="N41" s="747" t="str">
        <f>COMM!$Q$17&amp;"_"&amp;COMM!F7&amp;"_"&amp;SETUP!$C$64</f>
        <v>Residential Water Heating Detached_Peat to Residential_Existing 00</v>
      </c>
      <c r="O41" s="747" t="str">
        <f>COMM!$E$7</f>
        <v>RSDPEA</v>
      </c>
      <c r="P41" s="747" t="str">
        <f>COMM!$P$17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11"/>
        <v>0.5457894736842106</v>
      </c>
      <c r="U41" s="948">
        <f t="shared" si="9"/>
        <v>4.0892573858157262E-2</v>
      </c>
      <c r="V41" s="949">
        <v>20</v>
      </c>
      <c r="W41" s="949">
        <v>1</v>
      </c>
      <c r="X41" s="950">
        <f t="shared" si="10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6" t="str">
        <f>_xlfn.TEXTJOIN(",",TRUE,IF(LEFT(Regions!$C$3,1)&lt;&gt;"*",Regions!$C$3,""),IF(LEFT(Regions!$D$3,1)&lt;&gt;"*",Regions!$D$3,""))</f>
        <v>IE,National</v>
      </c>
      <c r="AC41" s="747" t="str">
        <f t="shared" si="6"/>
        <v>RWH_Det_PEA_X0</v>
      </c>
      <c r="AD41" s="747" t="str">
        <f>N41</f>
        <v>Residential Water Heating Detached_Peat to Residential_Existing 00</v>
      </c>
      <c r="AE41" s="747" t="s">
        <v>19</v>
      </c>
      <c r="AF41" s="967" t="s">
        <v>321</v>
      </c>
      <c r="AG41" s="967"/>
      <c r="AH41" s="967"/>
      <c r="AI41" s="702"/>
      <c r="AJ41" s="702"/>
      <c r="AK41" s="702"/>
      <c r="AL41" s="702"/>
      <c r="AM41" s="702"/>
    </row>
    <row r="42" spans="1:44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62"/>
      <c r="AC42" s="959"/>
      <c r="AD42" s="959"/>
      <c r="AE42" s="959"/>
      <c r="AF42" s="959"/>
      <c r="AG42" s="959"/>
      <c r="AH42" s="959"/>
      <c r="AI42" s="702"/>
      <c r="AJ42" s="702"/>
      <c r="AK42" s="702"/>
      <c r="AL42" s="702"/>
      <c r="AM42" s="702"/>
    </row>
    <row r="43" spans="1:44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83" t="str">
        <f>AB43</f>
        <v>IE,National</v>
      </c>
      <c r="M43" s="83" t="str">
        <f>COMM!$P$17&amp;"_"&amp;RIGHT(COMM!E23,LEN(COMM!E23)-3)&amp;"_"&amp;SETUP!B64</f>
        <v>RWH_Det_SMF_X0</v>
      </c>
      <c r="N43" s="951" t="str">
        <f>COMM!$Q$17&amp;"_"&amp;COMM!F23&amp;"_"&amp;SETUP!C64</f>
        <v>Residential Water Heating Detached_Solid Multi-Fuel_Existing 00</v>
      </c>
      <c r="O43" s="83" t="str">
        <f>COMM!E6&amp;","&amp;COMM!E7&amp;","&amp;COMM!E16</f>
        <v>RSDCOA,RSDPEA,RSDBIOWOO</v>
      </c>
      <c r="P43" s="83" t="str">
        <f>COMM!$P$17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2">X43/R43/W43</f>
        <v>3.1497118830262072E-2</v>
      </c>
      <c r="V43" s="956">
        <v>20</v>
      </c>
      <c r="W43" s="956">
        <v>1</v>
      </c>
      <c r="X43" s="957">
        <f t="shared" ref="X43" si="13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6" t="str">
        <f>_xlfn.TEXTJOIN(",",TRUE,IF(LEFT(Regions!$C$3,1)&lt;&gt;"*",Regions!$C$3,""),IF(LEFT(Regions!$D$3,1)&lt;&gt;"*",Regions!$D$3,""))</f>
        <v>IE,National</v>
      </c>
      <c r="AC43" s="747" t="str">
        <f t="shared" ref="AC43:AC45" si="14">M43</f>
        <v>RWH_Det_SMF_X0</v>
      </c>
      <c r="AD43" s="747" t="str">
        <f>N43</f>
        <v>Residential Water Heating Detached_Solid Multi-Fuel_Existing 00</v>
      </c>
      <c r="AE43" s="747" t="s">
        <v>19</v>
      </c>
      <c r="AF43" s="967" t="s">
        <v>321</v>
      </c>
      <c r="AG43" s="967"/>
      <c r="AH43" s="967"/>
      <c r="AI43" s="702"/>
      <c r="AJ43" s="702"/>
      <c r="AK43" s="702"/>
      <c r="AL43" s="702"/>
      <c r="AM43" s="702"/>
    </row>
    <row r="44" spans="1:44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7" t="str">
        <f>AB44</f>
        <v>IE,National</v>
      </c>
      <c r="M44" s="747" t="str">
        <f>COMM!$P$17&amp;"_"&amp;RIGHT(O44,LEN(O44)-3)&amp;"_"&amp;SETUP!B64</f>
        <v>RWH_Det_BIOWOO_X0</v>
      </c>
      <c r="N44" s="747" t="str">
        <f>COMM!$Q$17&amp;"_"&amp;COMM!F16&amp;"_"&amp;SETUP!C64</f>
        <v>Residential Water Heating Detached_Biomass and Renewable Waste to Residential_Existing 00</v>
      </c>
      <c r="O44" s="747" t="str">
        <f>COMM!E16</f>
        <v>RSDBIOWOO</v>
      </c>
      <c r="P44" s="747" t="str">
        <f>COMM!$P$17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5">T20</f>
        <v>0.72928609692169366</v>
      </c>
      <c r="U44" s="948">
        <f t="shared" si="12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652" t="str">
        <f>_xlfn.TEXTJOIN(",",TRUE,IF(LEFT(Regions!$C$3,1)&lt;&gt;"*",Regions!$C$3,""),IF(LEFT(Regions!$D$3,1)&lt;&gt;"*",Regions!$D$3,""))</f>
        <v>IE,National</v>
      </c>
      <c r="AC44" s="83" t="str">
        <f t="shared" si="14"/>
        <v>RWH_Det_BIOWOO_X0</v>
      </c>
      <c r="AD44" s="83" t="str">
        <f>N44</f>
        <v>Residential Water Heating Detached_Biomass and Renewable Waste to Residential_Existing 00</v>
      </c>
      <c r="AE44" s="83" t="s">
        <v>19</v>
      </c>
      <c r="AF44" s="83" t="s">
        <v>321</v>
      </c>
      <c r="AG44" s="83"/>
      <c r="AH44" s="83"/>
      <c r="AI44" s="702"/>
      <c r="AJ44" s="702"/>
      <c r="AK44" s="702"/>
      <c r="AL44" s="702"/>
      <c r="AM44" s="702"/>
    </row>
    <row r="45" spans="1:44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83" t="str">
        <f>AB45</f>
        <v>IE,National</v>
      </c>
      <c r="M45" s="83" t="str">
        <f>COMM!$P$17&amp;"_"&amp;RIGHT(O45,LEN(O45)-3)&amp;"_"&amp;SETUP!B64</f>
        <v>RWH_Det_HET_X0</v>
      </c>
      <c r="N45" s="951" t="str">
        <f>COMM!$Q$17&amp;"_"&amp;COMM!F25&amp;"_"&amp;SETUP!C64</f>
        <v>Residential Water Heating Detached_Heat to Residential_Existing 00</v>
      </c>
      <c r="O45" s="83" t="str">
        <f>COMM!E25</f>
        <v>RSDHET</v>
      </c>
      <c r="P45" s="83" t="str">
        <f>COMM!$P$17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5"/>
        <v>0.65865731206453049</v>
      </c>
      <c r="U45" s="955">
        <f t="shared" si="12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6" t="str">
        <f>_xlfn.TEXTJOIN(",",TRUE,IF(LEFT(Regions!$C$3,1)&lt;&gt;"*",Regions!$C$3,""),IF(LEFT(Regions!$D$3,1)&lt;&gt;"*",Regions!$D$3,""))</f>
        <v>IE,National</v>
      </c>
      <c r="AC45" s="747" t="str">
        <f t="shared" si="14"/>
        <v>RWH_Det_HET_X0</v>
      </c>
      <c r="AD45" s="747" t="str">
        <f>N45</f>
        <v>Residential Water Heating Detached_Heat to Residential_Existing 00</v>
      </c>
      <c r="AE45" s="747" t="s">
        <v>19</v>
      </c>
      <c r="AF45" s="967" t="s">
        <v>321</v>
      </c>
      <c r="AG45" s="967"/>
      <c r="AH45" s="967"/>
      <c r="AI45" s="702"/>
      <c r="AJ45" s="702"/>
      <c r="AK45" s="702"/>
      <c r="AL45" s="702"/>
      <c r="AM45" s="702"/>
    </row>
    <row r="46" spans="1:44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/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</row>
    <row r="47" spans="1:44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/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  <c r="AM47" s="702"/>
    </row>
    <row r="48" spans="1:44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/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  <c r="AM48" s="702"/>
    </row>
    <row r="49" spans="1:39">
      <c r="A49" s="943" t="s">
        <v>1255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</row>
    <row r="50" spans="1:39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D50" s="702"/>
      <c r="AE50" s="702"/>
      <c r="AF50" s="702"/>
      <c r="AG50" s="702"/>
      <c r="AH50" s="702"/>
      <c r="AI50" s="702"/>
      <c r="AJ50" s="702"/>
      <c r="AK50" s="701"/>
    </row>
    <row r="51" spans="1:39" ht="21.75" thickBot="1">
      <c r="B51" s="121" t="s">
        <v>1260</v>
      </c>
      <c r="C51" s="121"/>
      <c r="D51" s="121"/>
      <c r="E51" s="121"/>
      <c r="F51" s="121"/>
      <c r="G51" s="121"/>
      <c r="H51" s="121"/>
      <c r="J51" s="702"/>
      <c r="K51" s="702"/>
      <c r="L51" s="120" t="s">
        <v>1260</v>
      </c>
      <c r="M51" s="120"/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/>
      <c r="AD51" s="701"/>
      <c r="AE51" s="701"/>
      <c r="AF51" s="701"/>
      <c r="AG51" s="701"/>
      <c r="AH51" s="701"/>
    </row>
    <row r="52" spans="1:39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1297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1239</v>
      </c>
      <c r="V52" s="86" t="s">
        <v>304</v>
      </c>
      <c r="W52" s="86" t="s">
        <v>316</v>
      </c>
      <c r="X52" s="86" t="s">
        <v>1238</v>
      </c>
      <c r="Y52" s="91" t="s">
        <v>1237</v>
      </c>
      <c r="Z52" s="702"/>
      <c r="AA52" s="73" t="s">
        <v>305</v>
      </c>
      <c r="AB52" s="73" t="s">
        <v>1297</v>
      </c>
      <c r="AC52" s="73" t="s">
        <v>298</v>
      </c>
      <c r="AD52" s="73" t="s">
        <v>299</v>
      </c>
      <c r="AE52" s="73" t="s">
        <v>306</v>
      </c>
      <c r="AF52" s="73" t="s">
        <v>307</v>
      </c>
      <c r="AG52" s="73" t="s">
        <v>308</v>
      </c>
      <c r="AH52" s="73" t="s">
        <v>309</v>
      </c>
    </row>
    <row r="53" spans="1:39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317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4" t="s">
        <v>1298</v>
      </c>
      <c r="AC53" s="75"/>
      <c r="AD53" s="74"/>
      <c r="AE53" s="75"/>
      <c r="AF53" s="75"/>
      <c r="AG53" s="75"/>
      <c r="AH53" s="75"/>
    </row>
    <row r="54" spans="1:39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920" t="str">
        <f>AB54</f>
        <v>IE,National</v>
      </c>
      <c r="M54" s="920" t="str">
        <f>COMM!P20&amp;"_"&amp;SETUP!B64</f>
        <v>RLT_Det_X0</v>
      </c>
      <c r="N54" s="920" t="str">
        <f>COMM!$Q$20&amp;"_"&amp;SETUP!$B$64</f>
        <v>Residential Lighting Detached_X0</v>
      </c>
      <c r="O54" s="934" t="str">
        <f>COMM!E24</f>
        <v>RSDELC</v>
      </c>
      <c r="P54" s="920" t="str">
        <f>COMM!$P$20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6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>_xlfn.TEXTJOIN(",",TRUE,IF(LEFT(Regions!$C$3,1)&lt;&gt;"*",Regions!$C$3,""),IF(LEFT(Regions!$D$3,1)&lt;&gt;"*",Regions!$D$3,""))</f>
        <v>IE,National</v>
      </c>
      <c r="AC54" s="746" t="str">
        <f t="shared" ref="AC54:AC55" si="17">M54</f>
        <v>RLT_Det_X0</v>
      </c>
      <c r="AD54" s="747" t="str">
        <f>N54</f>
        <v>Residential Lighting Detached_X0</v>
      </c>
      <c r="AE54" s="746" t="s">
        <v>19</v>
      </c>
      <c r="AF54" s="748" t="s">
        <v>321</v>
      </c>
      <c r="AG54" s="746"/>
      <c r="AH54" s="746"/>
    </row>
    <row r="55" spans="1:39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AB55</f>
        <v>IE,National</v>
      </c>
      <c r="M55" s="652" t="str">
        <f>COMM!$P$23&amp;"_"&amp;SETUP!$B$64</f>
        <v>RPF_Det_X0</v>
      </c>
      <c r="N55" s="925" t="str">
        <f>COMM!$Q$23&amp;"_"&amp;SETUP!$B$64</f>
        <v>Residential Pumps &amp; Fans Detached_X0</v>
      </c>
      <c r="O55" s="83" t="str">
        <f>COMM!E24</f>
        <v>RSDELC</v>
      </c>
      <c r="P55" s="148" t="str">
        <f>COMM!$P$23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6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>_xlfn.TEXTJOIN(",",TRUE,IF(LEFT(Regions!$C$3,1)&lt;&gt;"*",Regions!$C$3,""),IF(LEFT(Regions!$D$3,1)&lt;&gt;"*",Regions!$D$3,""))</f>
        <v>IE,National</v>
      </c>
      <c r="AC55" s="652" t="str">
        <f t="shared" si="17"/>
        <v>RPF_Det_X0</v>
      </c>
      <c r="AD55" s="83" t="str">
        <f>N55</f>
        <v>Residential Pumps &amp; Fans Detached_X0</v>
      </c>
      <c r="AE55" s="652" t="s">
        <v>19</v>
      </c>
      <c r="AF55" s="652" t="s">
        <v>321</v>
      </c>
      <c r="AG55" s="652"/>
      <c r="AH55" s="652"/>
    </row>
    <row r="56" spans="1:39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9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9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9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9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9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9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1" t="s">
        <v>500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567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1" t="s">
        <v>569</v>
      </c>
      <c r="B1" s="1051"/>
      <c r="C1" s="1051"/>
      <c r="D1" s="1051"/>
      <c r="E1" s="1051"/>
      <c r="F1" s="1051"/>
      <c r="G1" s="1051"/>
      <c r="H1" s="1051"/>
      <c r="I1" s="1051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2020-12-02T00:23:00Z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717510402202606</vt:r8>
  </property>
</Properties>
</file>