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 defaultThemeVersion="124226"/>
  <xr:revisionPtr revIDLastSave="0" documentId="13_ncr:1_{BE28F982-38F0-42EE-928E-D34FA10EDCE8}" xr6:coauthVersionLast="46" xr6:coauthVersionMax="46" xr10:uidLastSave="{00000000-0000-0000-0000-000000000000}"/>
  <bookViews>
    <workbookView xWindow="-120" yWindow="-120" windowWidth="29040" windowHeight="15840" activeTab="2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55" l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W12" i="58"/>
  <c r="V12" i="58"/>
  <c r="O12" i="58" s="1"/>
  <c r="D12" i="58"/>
  <c r="C12" i="58"/>
  <c r="V11" i="58"/>
  <c r="O11" i="58" s="1"/>
  <c r="D11" i="58"/>
  <c r="C11" i="58"/>
  <c r="W10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M11" i="59"/>
  <c r="L11" i="59"/>
  <c r="K11" i="59"/>
  <c r="D11" i="59"/>
  <c r="C11" i="59"/>
  <c r="AF10" i="59"/>
  <c r="AJ10" i="59" s="1"/>
  <c r="AE10" i="59"/>
  <c r="AI10" i="59" s="1"/>
  <c r="M10" i="59"/>
  <c r="L10" i="59"/>
  <c r="K10" i="59"/>
  <c r="J10" i="59"/>
  <c r="I10" i="59"/>
  <c r="D10" i="59"/>
  <c r="C10" i="59"/>
  <c r="AJ9" i="59"/>
  <c r="AI9" i="59"/>
  <c r="AF9" i="59"/>
  <c r="AE9" i="59"/>
  <c r="M9" i="59"/>
  <c r="L9" i="59"/>
  <c r="K9" i="59"/>
  <c r="D9" i="59"/>
  <c r="C9" i="59"/>
  <c r="AJ8" i="59"/>
  <c r="AF8" i="59"/>
  <c r="AE8" i="59"/>
  <c r="AI8" i="59" s="1"/>
  <c r="M8" i="59"/>
  <c r="L8" i="59"/>
  <c r="K8" i="59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M7" i="59"/>
  <c r="L7" i="59"/>
  <c r="K7" i="59"/>
  <c r="D7" i="59"/>
  <c r="C7" i="59"/>
  <c r="M6" i="59"/>
  <c r="L6" i="59"/>
  <c r="K6" i="59"/>
  <c r="J6" i="59"/>
  <c r="I6" i="59"/>
  <c r="D6" i="59"/>
  <c r="C6" i="59"/>
  <c r="W9" i="58" l="1"/>
  <c r="W8" i="58" s="1"/>
  <c r="O8" i="58" s="1"/>
  <c r="W11" i="58"/>
  <c r="W13" i="58"/>
  <c r="N7" i="58"/>
  <c r="L15" i="58"/>
  <c r="W7" i="58"/>
  <c r="M15" i="58"/>
  <c r="L7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U102" i="55" l="1"/>
  <c r="X101" i="55"/>
  <c r="X102" i="55" s="1"/>
  <c r="W101" i="55"/>
  <c r="W102" i="55" s="1"/>
  <c r="V101" i="55"/>
  <c r="V102" i="55" s="1"/>
  <c r="V56" i="55"/>
  <c r="W56" i="55"/>
  <c r="X56" i="55"/>
  <c r="U56" i="55"/>
  <c r="U50" i="55"/>
  <c r="X55" i="55"/>
  <c r="W55" i="55"/>
  <c r="V55" i="55"/>
  <c r="X100" i="55"/>
  <c r="W100" i="55"/>
  <c r="V100" i="55"/>
  <c r="U100" i="55"/>
  <c r="X99" i="55"/>
  <c r="W99" i="55"/>
  <c r="V99" i="55"/>
  <c r="U99" i="55"/>
  <c r="X97" i="55"/>
  <c r="W97" i="55"/>
  <c r="V97" i="55"/>
  <c r="X92" i="55"/>
  <c r="W92" i="55"/>
  <c r="V92" i="55"/>
  <c r="U92" i="55"/>
  <c r="X91" i="55"/>
  <c r="W91" i="55"/>
  <c r="V91" i="55"/>
  <c r="U91" i="55"/>
  <c r="V96" i="55"/>
  <c r="W96" i="55"/>
  <c r="X96" i="55"/>
  <c r="U96" i="55"/>
  <c r="V95" i="55"/>
  <c r="W95" i="55"/>
  <c r="X95" i="55"/>
  <c r="U95" i="55"/>
  <c r="V53" i="55"/>
  <c r="W53" i="55"/>
  <c r="X53" i="55"/>
  <c r="V54" i="55"/>
  <c r="W54" i="55"/>
  <c r="X54" i="55"/>
  <c r="U54" i="55"/>
  <c r="U53" i="55"/>
  <c r="U46" i="55"/>
  <c r="U111" i="55"/>
  <c r="X110" i="55"/>
  <c r="X111" i="55" s="1"/>
  <c r="V110" i="55"/>
  <c r="W110" i="55" s="1"/>
  <c r="W111" i="55" s="1"/>
  <c r="U65" i="55"/>
  <c r="X64" i="55"/>
  <c r="X65" i="55" s="1"/>
  <c r="V64" i="55"/>
  <c r="V65" i="55" s="1"/>
  <c r="U52" i="55"/>
  <c r="X51" i="55"/>
  <c r="W51" i="55"/>
  <c r="V51" i="55"/>
  <c r="V50" i="55"/>
  <c r="V46" i="55" s="1"/>
  <c r="W50" i="55"/>
  <c r="W46" i="55" s="1"/>
  <c r="X50" i="55"/>
  <c r="U47" i="55"/>
  <c r="X46" i="55"/>
  <c r="V45" i="55"/>
  <c r="W45" i="55"/>
  <c r="X45" i="55"/>
  <c r="U45" i="55"/>
  <c r="V49" i="55"/>
  <c r="W49" i="55"/>
  <c r="X49" i="55"/>
  <c r="U49" i="55"/>
  <c r="V47" i="55"/>
  <c r="W47" i="55"/>
  <c r="X47" i="55"/>
  <c r="Y47" i="55"/>
  <c r="U48" i="55"/>
  <c r="V48" i="55"/>
  <c r="W48" i="55"/>
  <c r="X48" i="55"/>
  <c r="Y48" i="55"/>
  <c r="V21" i="55"/>
  <c r="W21" i="55"/>
  <c r="X21" i="55"/>
  <c r="U21" i="55"/>
  <c r="U10" i="55"/>
  <c r="X20" i="55"/>
  <c r="V20" i="55"/>
  <c r="W20" i="55" s="1"/>
  <c r="V111" i="55" l="1"/>
  <c r="W64" i="55"/>
  <c r="W65" i="55" s="1"/>
  <c r="X13" i="55"/>
  <c r="W13" i="55"/>
  <c r="X11" i="55" l="1"/>
  <c r="X12" i="55" s="1"/>
  <c r="W11" i="55"/>
  <c r="W12" i="55" s="1"/>
  <c r="V11" i="55"/>
  <c r="V12" i="55" s="1"/>
  <c r="U11" i="55"/>
  <c r="U12" i="55" s="1"/>
  <c r="V8" i="55"/>
  <c r="W8" i="55"/>
  <c r="X8" i="55"/>
  <c r="U8" i="55"/>
  <c r="V7" i="55"/>
  <c r="W7" i="55"/>
  <c r="X7" i="55"/>
  <c r="U7" i="55"/>
  <c r="V10" i="55" l="1"/>
  <c r="W10" i="55"/>
  <c r="X10" i="55"/>
  <c r="V9" i="55"/>
  <c r="W9" i="55"/>
  <c r="X9" i="55"/>
  <c r="U9" i="55"/>
  <c r="Y127" i="55" l="1"/>
  <c r="Y81" i="55"/>
  <c r="Y125" i="55"/>
  <c r="Y124" i="55"/>
  <c r="Y78" i="55"/>
  <c r="Y122" i="55"/>
  <c r="Y121" i="55"/>
  <c r="Y75" i="55"/>
  <c r="Y119" i="55"/>
  <c r="Y73" i="55"/>
  <c r="Y117" i="55"/>
  <c r="Y116" i="55"/>
  <c r="Y70" i="55"/>
  <c r="Y114" i="55"/>
  <c r="Y113" i="55"/>
  <c r="Y67" i="55"/>
  <c r="Y112" i="55"/>
  <c r="Y66" i="55"/>
  <c r="Y109" i="55"/>
  <c r="Y108" i="55"/>
  <c r="Y62" i="55"/>
  <c r="Y106" i="55"/>
  <c r="Y60" i="55"/>
  <c r="Y104" i="55"/>
  <c r="Y103" i="55"/>
  <c r="Y98" i="55"/>
  <c r="Y94" i="55"/>
  <c r="Y93" i="55"/>
  <c r="R117" i="55"/>
  <c r="Q116" i="55"/>
  <c r="Q111" i="55"/>
  <c r="AK91" i="55"/>
  <c r="O92" i="55"/>
  <c r="P92" i="55"/>
  <c r="Q92" i="55"/>
  <c r="R92" i="55"/>
  <c r="AK92" i="55"/>
  <c r="O93" i="55"/>
  <c r="P93" i="55"/>
  <c r="Q93" i="55"/>
  <c r="R93" i="55"/>
  <c r="AK93" i="55"/>
  <c r="O94" i="55"/>
  <c r="P94" i="55"/>
  <c r="Q94" i="55"/>
  <c r="R94" i="55"/>
  <c r="AK94" i="55"/>
  <c r="P116" i="55"/>
  <c r="R111" i="55"/>
  <c r="R116" i="55"/>
  <c r="O117" i="55"/>
  <c r="C127" i="55"/>
  <c r="C125" i="55"/>
  <c r="C124" i="55"/>
  <c r="AJ118" i="55" s="1"/>
  <c r="C122" i="55"/>
  <c r="C121" i="55"/>
  <c r="AJ116" i="55" s="1"/>
  <c r="C119" i="55"/>
  <c r="AJ115" i="55" s="1"/>
  <c r="C117" i="55"/>
  <c r="AJ114" i="55" s="1"/>
  <c r="C116" i="55"/>
  <c r="AJ113" i="55" s="1"/>
  <c r="C114" i="55"/>
  <c r="AJ112" i="55" s="1"/>
  <c r="C113" i="55"/>
  <c r="C112" i="55"/>
  <c r="AJ110" i="55" s="1"/>
  <c r="C111" i="55"/>
  <c r="C110" i="55"/>
  <c r="AJ108" i="55" s="1"/>
  <c r="C109" i="55"/>
  <c r="AJ107" i="55" s="1"/>
  <c r="C108" i="55"/>
  <c r="C106" i="55"/>
  <c r="AJ105" i="55" s="1"/>
  <c r="C102" i="55"/>
  <c r="C101" i="55"/>
  <c r="C100" i="55"/>
  <c r="C99" i="55"/>
  <c r="C98" i="55"/>
  <c r="AJ98" i="55" s="1"/>
  <c r="C97" i="55"/>
  <c r="AJ97" i="55" s="1"/>
  <c r="C96" i="55"/>
  <c r="AJ96" i="55" s="1"/>
  <c r="C95" i="55"/>
  <c r="AJ95" i="55" s="1"/>
  <c r="C94" i="55"/>
  <c r="AJ94" i="55" s="1"/>
  <c r="C93" i="55"/>
  <c r="AJ93" i="55" s="1"/>
  <c r="C92" i="55"/>
  <c r="AJ92" i="55" s="1"/>
  <c r="C91" i="55"/>
  <c r="AJ91" i="55" s="1"/>
  <c r="AJ119" i="55"/>
  <c r="AK120" i="55"/>
  <c r="AJ120" i="55"/>
  <c r="AK119" i="55"/>
  <c r="R119" i="55"/>
  <c r="Q119" i="55"/>
  <c r="P119" i="55"/>
  <c r="O119" i="55"/>
  <c r="AK118" i="55"/>
  <c r="AK117" i="55"/>
  <c r="AJ117" i="55"/>
  <c r="Q117" i="55"/>
  <c r="P117" i="55"/>
  <c r="AK116" i="55"/>
  <c r="O116" i="55"/>
  <c r="AK115" i="55"/>
  <c r="AK114" i="55"/>
  <c r="AK113" i="55"/>
  <c r="AK112" i="55"/>
  <c r="R112" i="55"/>
  <c r="Q112" i="55"/>
  <c r="P112" i="55"/>
  <c r="O112" i="55"/>
  <c r="AK111" i="55"/>
  <c r="AJ111" i="55"/>
  <c r="O111" i="55"/>
  <c r="P111" i="55"/>
  <c r="AJ109" i="55"/>
  <c r="AK110" i="55"/>
  <c r="AK109" i="55"/>
  <c r="AK108" i="55"/>
  <c r="AJ106" i="55"/>
  <c r="AK107" i="55"/>
  <c r="AK106" i="55"/>
  <c r="AK105" i="55"/>
  <c r="AK104" i="55"/>
  <c r="AJ104" i="55"/>
  <c r="R104" i="55"/>
  <c r="Q104" i="55"/>
  <c r="P104" i="55"/>
  <c r="O104" i="55"/>
  <c r="AK103" i="55"/>
  <c r="AJ103" i="55"/>
  <c r="R103" i="55"/>
  <c r="Q103" i="55"/>
  <c r="P103" i="55"/>
  <c r="O103" i="55"/>
  <c r="AK102" i="55"/>
  <c r="AJ102" i="55"/>
  <c r="R102" i="55"/>
  <c r="Q102" i="55"/>
  <c r="P102" i="55"/>
  <c r="O102" i="55"/>
  <c r="AK101" i="55"/>
  <c r="AJ101" i="55"/>
  <c r="AK100" i="55"/>
  <c r="R100" i="55"/>
  <c r="Q100" i="55"/>
  <c r="P100" i="55"/>
  <c r="O100" i="55"/>
  <c r="AJ100" i="55"/>
  <c r="AK99" i="55"/>
  <c r="AJ99" i="55"/>
  <c r="AK98" i="55"/>
  <c r="R98" i="55"/>
  <c r="Q98" i="55"/>
  <c r="P98" i="55"/>
  <c r="O98" i="55"/>
  <c r="AK97" i="55"/>
  <c r="R97" i="55"/>
  <c r="Q97" i="55"/>
  <c r="P97" i="55"/>
  <c r="O97" i="55"/>
  <c r="AK96" i="55"/>
  <c r="R96" i="55"/>
  <c r="Q96" i="55"/>
  <c r="P96" i="55"/>
  <c r="O96" i="55"/>
  <c r="AK95" i="55"/>
  <c r="Y36" i="55"/>
  <c r="M81" i="55"/>
  <c r="N81" i="55"/>
  <c r="L81" i="55"/>
  <c r="L36" i="55"/>
  <c r="Y33" i="55"/>
  <c r="Y79" i="55"/>
  <c r="Y34" i="55"/>
  <c r="Y76" i="55"/>
  <c r="Y30" i="55"/>
  <c r="Y28" i="55"/>
  <c r="Y71" i="55"/>
  <c r="Y25" i="55"/>
  <c r="H71" i="55"/>
  <c r="I71" i="55"/>
  <c r="J71" i="55"/>
  <c r="G71" i="55"/>
  <c r="G26" i="55"/>
  <c r="I70" i="55"/>
  <c r="J70" i="55"/>
  <c r="H70" i="55"/>
  <c r="H25" i="55"/>
  <c r="Y68" i="55"/>
  <c r="L68" i="55"/>
  <c r="M68" i="55"/>
  <c r="N68" i="55"/>
  <c r="K68" i="55"/>
  <c r="H68" i="55"/>
  <c r="I68" i="55"/>
  <c r="J68" i="55"/>
  <c r="G68" i="55"/>
  <c r="H67" i="55"/>
  <c r="I67" i="55"/>
  <c r="J67" i="55"/>
  <c r="G67" i="55"/>
  <c r="G23" i="55"/>
  <c r="I65" i="55"/>
  <c r="J65" i="55"/>
  <c r="H65" i="55"/>
  <c r="I64" i="55"/>
  <c r="J64" i="55"/>
  <c r="H64" i="55"/>
  <c r="H20" i="55"/>
  <c r="M63" i="55"/>
  <c r="N63" i="55"/>
  <c r="L63" i="55"/>
  <c r="I63" i="55"/>
  <c r="J63" i="55"/>
  <c r="H63" i="55"/>
  <c r="I62" i="55"/>
  <c r="J62" i="55"/>
  <c r="H62" i="55"/>
  <c r="H18" i="55"/>
  <c r="Y63" i="55"/>
  <c r="Y18" i="55"/>
  <c r="Y16" i="55"/>
  <c r="Y58" i="55"/>
  <c r="Y57" i="55"/>
  <c r="Y52" i="55" l="1"/>
  <c r="AJ57" i="55"/>
  <c r="AK57" i="55"/>
  <c r="AJ58" i="55"/>
  <c r="AK58" i="55"/>
  <c r="O58" i="55"/>
  <c r="P58" i="55"/>
  <c r="Q58" i="55"/>
  <c r="R58" i="55"/>
  <c r="AK30" i="55"/>
  <c r="C37" i="55"/>
  <c r="AJ30" i="55" s="1"/>
  <c r="Y37" i="55"/>
  <c r="V37" i="55"/>
  <c r="W37" i="55"/>
  <c r="X37" i="55"/>
  <c r="U37" i="55"/>
  <c r="M37" i="55"/>
  <c r="N37" i="55"/>
  <c r="L37" i="55"/>
  <c r="M36" i="55"/>
  <c r="N36" i="55"/>
  <c r="Y31" i="55"/>
  <c r="C31" i="55"/>
  <c r="Y26" i="55"/>
  <c r="Y23" i="55"/>
  <c r="H26" i="55"/>
  <c r="I26" i="55"/>
  <c r="J26" i="55"/>
  <c r="J25" i="55"/>
  <c r="I25" i="55"/>
  <c r="Y22" i="55"/>
  <c r="Y19" i="55"/>
  <c r="M23" i="55"/>
  <c r="N23" i="55"/>
  <c r="L23" i="55"/>
  <c r="H23" i="55"/>
  <c r="M19" i="55"/>
  <c r="N19" i="55"/>
  <c r="L19" i="55"/>
  <c r="H19" i="55"/>
  <c r="I23" i="55"/>
  <c r="J23" i="55"/>
  <c r="H22" i="55"/>
  <c r="I22" i="55"/>
  <c r="J22" i="55"/>
  <c r="G22" i="55"/>
  <c r="G20" i="55"/>
  <c r="H21" i="55"/>
  <c r="I21" i="55"/>
  <c r="J21" i="55"/>
  <c r="G21" i="55"/>
  <c r="I20" i="55"/>
  <c r="J20" i="55"/>
  <c r="I19" i="55"/>
  <c r="J19" i="55"/>
  <c r="J18" i="55"/>
  <c r="I18" i="55"/>
  <c r="O57" i="55"/>
  <c r="P57" i="55"/>
  <c r="Q57" i="55"/>
  <c r="R57" i="55"/>
  <c r="U147" i="55"/>
  <c r="T147" i="55" s="1"/>
  <c r="T146" i="55"/>
  <c r="T148" i="55"/>
  <c r="T149" i="55"/>
  <c r="T150" i="55"/>
  <c r="T145" i="55"/>
  <c r="V113" i="55" l="1"/>
  <c r="U106" i="55"/>
  <c r="W113" i="55"/>
  <c r="U108" i="55"/>
  <c r="X113" i="55"/>
  <c r="V108" i="55"/>
  <c r="V103" i="55"/>
  <c r="W108" i="55"/>
  <c r="W103" i="55"/>
  <c r="X108" i="55"/>
  <c r="X103" i="55"/>
  <c r="V106" i="55"/>
  <c r="U103" i="55"/>
  <c r="W106" i="55"/>
  <c r="U113" i="55"/>
  <c r="X106" i="55"/>
  <c r="X119" i="55"/>
  <c r="X116" i="55"/>
  <c r="U109" i="55"/>
  <c r="U104" i="55"/>
  <c r="W94" i="55"/>
  <c r="V93" i="55"/>
  <c r="U119" i="55"/>
  <c r="V117" i="55"/>
  <c r="X94" i="55"/>
  <c r="W93" i="55"/>
  <c r="W117" i="55"/>
  <c r="U94" i="55"/>
  <c r="X93" i="55"/>
  <c r="X98" i="55"/>
  <c r="X117" i="55"/>
  <c r="V114" i="55"/>
  <c r="U93" i="55"/>
  <c r="U117" i="55"/>
  <c r="W114" i="55"/>
  <c r="V112" i="55"/>
  <c r="U98" i="55"/>
  <c r="V98" i="55"/>
  <c r="X114" i="55"/>
  <c r="W112" i="55"/>
  <c r="V109" i="55"/>
  <c r="V104" i="55"/>
  <c r="W98" i="55"/>
  <c r="V119" i="55"/>
  <c r="V116" i="55"/>
  <c r="U116" i="55"/>
  <c r="U114" i="55"/>
  <c r="X112" i="55"/>
  <c r="W109" i="55"/>
  <c r="W104" i="55"/>
  <c r="W119" i="55"/>
  <c r="W116" i="55"/>
  <c r="U112" i="55"/>
  <c r="X109" i="55"/>
  <c r="X104" i="55"/>
  <c r="V94" i="55"/>
  <c r="U66" i="55"/>
  <c r="U60" i="55"/>
  <c r="U73" i="55"/>
  <c r="U71" i="55"/>
  <c r="U70" i="55"/>
  <c r="U62" i="55"/>
  <c r="U67" i="55"/>
  <c r="V52" i="55"/>
  <c r="W52" i="55"/>
  <c r="U26" i="55"/>
  <c r="U25" i="55"/>
  <c r="U19" i="55"/>
  <c r="U28" i="55"/>
  <c r="U22" i="55"/>
  <c r="U16" i="55"/>
  <c r="U18" i="55"/>
  <c r="X58" i="55"/>
  <c r="W68" i="55"/>
  <c r="W58" i="55"/>
  <c r="W66" i="55"/>
  <c r="U63" i="55"/>
  <c r="V70" i="55"/>
  <c r="V58" i="55"/>
  <c r="W70" i="55"/>
  <c r="V68" i="55"/>
  <c r="V66" i="55"/>
  <c r="X70" i="55"/>
  <c r="V73" i="55"/>
  <c r="V71" i="55"/>
  <c r="X68" i="55"/>
  <c r="X66" i="55"/>
  <c r="X60" i="55"/>
  <c r="U58" i="55"/>
  <c r="W71" i="55"/>
  <c r="U68" i="55"/>
  <c r="V63" i="55"/>
  <c r="X73" i="55"/>
  <c r="X71" i="55"/>
  <c r="W63" i="55"/>
  <c r="X63" i="55"/>
  <c r="V60" i="55"/>
  <c r="W60" i="55"/>
  <c r="W73" i="55"/>
  <c r="W67" i="55"/>
  <c r="V62" i="55"/>
  <c r="U57" i="55"/>
  <c r="W62" i="55"/>
  <c r="X67" i="55"/>
  <c r="X62" i="55"/>
  <c r="V57" i="55"/>
  <c r="W57" i="55"/>
  <c r="V67" i="55"/>
  <c r="X57" i="55"/>
  <c r="X52" i="55"/>
  <c r="U144" i="55"/>
  <c r="V25" i="55"/>
  <c r="W19" i="55"/>
  <c r="U23" i="55"/>
  <c r="V19" i="55"/>
  <c r="X23" i="55"/>
  <c r="W23" i="55"/>
  <c r="X26" i="55"/>
  <c r="X28" i="55"/>
  <c r="X19" i="55"/>
  <c r="X18" i="55"/>
  <c r="V23" i="55"/>
  <c r="W26" i="55"/>
  <c r="W28" i="55"/>
  <c r="W18" i="55"/>
  <c r="X22" i="55"/>
  <c r="X25" i="55"/>
  <c r="V26" i="55"/>
  <c r="V28" i="55"/>
  <c r="V18" i="55"/>
  <c r="W22" i="55"/>
  <c r="W25" i="55"/>
  <c r="V22" i="55"/>
  <c r="U14" i="55"/>
  <c r="X16" i="55"/>
  <c r="W16" i="55"/>
  <c r="V16" i="55"/>
  <c r="V14" i="55"/>
  <c r="X14" i="55"/>
  <c r="W14" i="55"/>
  <c r="U143" i="55" l="1"/>
  <c r="T144" i="55"/>
  <c r="V127" i="55" l="1"/>
  <c r="W127" i="55"/>
  <c r="X127" i="55"/>
  <c r="U127" i="55"/>
  <c r="X121" i="55"/>
  <c r="U75" i="55"/>
  <c r="W121" i="55"/>
  <c r="U121" i="55"/>
  <c r="V121" i="55"/>
  <c r="V75" i="55"/>
  <c r="W76" i="55"/>
  <c r="U76" i="55"/>
  <c r="U30" i="55"/>
  <c r="W75" i="55"/>
  <c r="V76" i="55"/>
  <c r="X75" i="55"/>
  <c r="X76" i="55"/>
  <c r="X30" i="55"/>
  <c r="V31" i="55"/>
  <c r="V30" i="55"/>
  <c r="U31" i="55"/>
  <c r="W30" i="55"/>
  <c r="X31" i="55"/>
  <c r="W31" i="55"/>
  <c r="T143" i="55"/>
  <c r="U142" i="55"/>
  <c r="U81" i="55" l="1"/>
  <c r="V81" i="55"/>
  <c r="X81" i="55"/>
  <c r="W81" i="55"/>
  <c r="U141" i="55"/>
  <c r="T141" i="55" s="1"/>
  <c r="T142" i="55"/>
  <c r="W125" i="55" s="1"/>
  <c r="U79" i="55" l="1"/>
  <c r="U78" i="55"/>
  <c r="V125" i="55"/>
  <c r="X124" i="55"/>
  <c r="W124" i="55"/>
  <c r="U124" i="55"/>
  <c r="V124" i="55"/>
  <c r="X125" i="55"/>
  <c r="U125" i="55"/>
  <c r="X79" i="55"/>
  <c r="W79" i="55"/>
  <c r="V78" i="55"/>
  <c r="W78" i="55"/>
  <c r="V79" i="55"/>
  <c r="U36" i="55"/>
  <c r="X78" i="55"/>
  <c r="U34" i="55"/>
  <c r="U33" i="55"/>
  <c r="W36" i="55"/>
  <c r="X36" i="55"/>
  <c r="V36" i="55"/>
  <c r="V33" i="55"/>
  <c r="W33" i="55"/>
  <c r="X33" i="55"/>
  <c r="V34" i="55"/>
  <c r="W34" i="55"/>
  <c r="X34" i="55"/>
  <c r="P147" i="55" l="1"/>
  <c r="O147" i="55"/>
  <c r="O148" i="55"/>
  <c r="P148" i="55"/>
  <c r="O149" i="55"/>
  <c r="P149" i="55"/>
  <c r="O150" i="55"/>
  <c r="P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C76" i="55"/>
  <c r="C75" i="55"/>
  <c r="C73" i="55"/>
  <c r="C71" i="55"/>
  <c r="C70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R73" i="55"/>
  <c r="Q73" i="55"/>
  <c r="P73" i="55"/>
  <c r="O73" i="55"/>
  <c r="R71" i="55"/>
  <c r="Q71" i="55"/>
  <c r="P71" i="55"/>
  <c r="O71" i="55"/>
  <c r="R70" i="55"/>
  <c r="Q70" i="55"/>
  <c r="P70" i="55"/>
  <c r="O70" i="55"/>
  <c r="R66" i="55"/>
  <c r="Q66" i="55"/>
  <c r="P66" i="55"/>
  <c r="O66" i="55"/>
  <c r="R65" i="55"/>
  <c r="Q65" i="55"/>
  <c r="P65" i="55"/>
  <c r="O65" i="55"/>
  <c r="R56" i="55"/>
  <c r="Q56" i="55"/>
  <c r="P56" i="55"/>
  <c r="O56" i="55"/>
  <c r="R54" i="55"/>
  <c r="Q54" i="55"/>
  <c r="P54" i="55"/>
  <c r="O54" i="55"/>
  <c r="R52" i="55"/>
  <c r="Q52" i="55"/>
  <c r="P52" i="55"/>
  <c r="O52" i="55"/>
  <c r="R51" i="55"/>
  <c r="Q51" i="55"/>
  <c r="P51" i="55"/>
  <c r="O51" i="55"/>
  <c r="R50" i="55"/>
  <c r="Q50" i="55"/>
  <c r="P50" i="55"/>
  <c r="O50" i="55"/>
  <c r="R48" i="55"/>
  <c r="Q48" i="55"/>
  <c r="P48" i="55"/>
  <c r="O48" i="55"/>
  <c r="R47" i="55"/>
  <c r="Q47" i="55"/>
  <c r="P47" i="55"/>
  <c r="O47" i="55"/>
  <c r="R46" i="55"/>
  <c r="Q46" i="55"/>
  <c r="P46" i="55"/>
  <c r="O46" i="55"/>
  <c r="P21" i="55"/>
  <c r="Q21" i="55"/>
  <c r="R21" i="55"/>
  <c r="O21" i="55"/>
  <c r="R10" i="55"/>
  <c r="Q10" i="55"/>
  <c r="P10" i="55"/>
  <c r="O10" i="55"/>
  <c r="BD3" i="60" l="1"/>
  <c r="AZ3" i="60"/>
  <c r="AX3" i="60"/>
  <c r="AR3" i="60"/>
  <c r="AV3" i="60"/>
  <c r="AK37" i="56"/>
  <c r="I13" i="56" s="1"/>
  <c r="I16" i="56" l="1"/>
  <c r="BE3" i="60"/>
  <c r="AW3" i="60"/>
  <c r="BC3" i="60"/>
  <c r="BI3" i="60"/>
  <c r="BA3" i="60"/>
  <c r="AK22" i="56"/>
  <c r="I9" i="56" s="1"/>
  <c r="AI37" i="56"/>
  <c r="I14" i="56" s="1"/>
  <c r="AH52" i="56"/>
  <c r="AH53" i="56"/>
  <c r="AH54" i="56"/>
  <c r="AH55" i="56"/>
  <c r="AH56" i="56"/>
  <c r="AH57" i="56"/>
  <c r="AH58" i="56"/>
  <c r="AH59" i="56"/>
  <c r="AH51" i="56"/>
  <c r="I18" i="56" s="1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I21" i="56" s="1"/>
  <c r="AI51" i="56"/>
  <c r="I20" i="56" s="1"/>
  <c r="AH38" i="56"/>
  <c r="AH39" i="56"/>
  <c r="AH40" i="56"/>
  <c r="AH41" i="56"/>
  <c r="AH42" i="56"/>
  <c r="AH43" i="56"/>
  <c r="AH44" i="56"/>
  <c r="AH45" i="56"/>
  <c r="AH37" i="56"/>
  <c r="I12" i="56" s="1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I15" i="56" s="1"/>
  <c r="AM22" i="56"/>
  <c r="AL31" i="56" s="1"/>
  <c r="AK23" i="56"/>
  <c r="AK24" i="56"/>
  <c r="AK25" i="56"/>
  <c r="AK26" i="56"/>
  <c r="AK27" i="56"/>
  <c r="AK28" i="56"/>
  <c r="AK29" i="56"/>
  <c r="AK30" i="56"/>
  <c r="AL22" i="56"/>
  <c r="AJ23" i="56"/>
  <c r="AJ24" i="56"/>
  <c r="AJ25" i="56"/>
  <c r="AJ26" i="56"/>
  <c r="AJ27" i="56"/>
  <c r="AJ28" i="56"/>
  <c r="AJ29" i="56"/>
  <c r="AJ30" i="56"/>
  <c r="AJ22" i="56"/>
  <c r="I8" i="56" s="1"/>
  <c r="AI23" i="56"/>
  <c r="AI24" i="56"/>
  <c r="AI25" i="56"/>
  <c r="AI26" i="56"/>
  <c r="AI27" i="56"/>
  <c r="AI28" i="56"/>
  <c r="AI29" i="56"/>
  <c r="AI30" i="56"/>
  <c r="AH23" i="56"/>
  <c r="I6" i="56" s="1"/>
  <c r="AH24" i="56"/>
  <c r="AH25" i="56"/>
  <c r="AH26" i="56"/>
  <c r="AH27" i="56"/>
  <c r="AH28" i="56"/>
  <c r="AH29" i="56"/>
  <c r="AH30" i="56"/>
  <c r="I19" i="56" l="1"/>
  <c r="I22" i="56"/>
  <c r="BN3" i="60"/>
  <c r="BB3" i="60"/>
  <c r="BF3" i="60"/>
  <c r="BJ3" i="60"/>
  <c r="BH3" i="60"/>
  <c r="AH31" i="56"/>
  <c r="AH60" i="56"/>
  <c r="AJ31" i="56"/>
  <c r="AI31" i="56"/>
  <c r="I10" i="56"/>
  <c r="I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6" i="55"/>
  <c r="AK55" i="55"/>
  <c r="AK54" i="55"/>
  <c r="AK53" i="55"/>
  <c r="AK52" i="55"/>
  <c r="AK51" i="55"/>
  <c r="AK50" i="55"/>
  <c r="AK49" i="55"/>
  <c r="AK48" i="55"/>
  <c r="AK47" i="55"/>
  <c r="AK46" i="55"/>
  <c r="AK45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7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6" i="55"/>
  <c r="AJ55" i="55"/>
  <c r="AJ54" i="55"/>
  <c r="AJ53" i="55"/>
  <c r="AJ52" i="55"/>
  <c r="AJ51" i="55"/>
  <c r="AJ50" i="55"/>
  <c r="AJ49" i="55"/>
  <c r="AJ48" i="55"/>
  <c r="AJ47" i="55"/>
  <c r="AJ46" i="55"/>
  <c r="AJ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O28" i="55"/>
  <c r="P28" i="55"/>
  <c r="Q28" i="55"/>
  <c r="R28" i="55"/>
  <c r="AJ24" i="55" l="1"/>
  <c r="AJ29" i="55"/>
  <c r="AJ28" i="55"/>
  <c r="AJ27" i="55"/>
  <c r="AJ26" i="55" l="1"/>
  <c r="AJ25" i="55"/>
  <c r="AJ23" i="55"/>
  <c r="R26" i="55"/>
  <c r="Q26" i="55"/>
  <c r="P26" i="55"/>
  <c r="O26" i="55"/>
  <c r="AJ22" i="55"/>
  <c r="R25" i="55"/>
  <c r="Q25" i="55"/>
  <c r="P25" i="55"/>
  <c r="O25" i="55"/>
  <c r="AJ21" i="55"/>
  <c r="AJ20" i="55"/>
  <c r="AJ18" i="55"/>
  <c r="AJ19" i="55"/>
  <c r="AJ17" i="55" l="1"/>
  <c r="AJ16" i="55"/>
  <c r="AJ15" i="55"/>
  <c r="AJ11" i="55"/>
  <c r="AJ14" i="55"/>
  <c r="AJ13" i="55"/>
  <c r="AJ12" i="55"/>
  <c r="AJ9" i="55"/>
  <c r="AJ10" i="55"/>
  <c r="AJ8" i="55"/>
  <c r="AJ7" i="55"/>
  <c r="Q8" i="55" l="1"/>
  <c r="O8" i="55"/>
  <c r="R8" i="55"/>
  <c r="P8" i="55"/>
  <c r="O14" i="55" l="1"/>
  <c r="Q14" i="55"/>
  <c r="R12" i="55"/>
  <c r="P14" i="55" l="1"/>
  <c r="Q12" i="55"/>
  <c r="R14" i="55"/>
  <c r="P12" i="55" l="1"/>
  <c r="O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U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U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F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9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R15" authorId="0" shapeId="0" xr:uid="{6AD7F003-C0BD-4A39-A684-1B5072D780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F63CDAB0-7BD7-4DCF-AD55-88ED7FE1C1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  <comment ref="P11" authorId="0" shapeId="0" xr:uid="{71006BCF-0885-4FC1-AD80-EBCF5EE9C3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<sst xmlns="http://schemas.openxmlformats.org/spreadsheetml/2006/main" count="3430" uniqueCount="1031">
  <si>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</si>
  <si>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</si>
  <si>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</si>
  <si>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</si>
  <si>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</si>
  <si>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</si>
  <si>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</si>
  <si>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</si>
  <si>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</si>
  <si>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</si>
  <si>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</si>
  <si>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</si>
  <si>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</si>
  <si>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</si>
  <si>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</si>
  <si>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</si>
  <si>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</si>
  <si>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</si>
  <si>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</si>
  <si>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</si>
  <si>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</si>
  <si>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</si>
  <si>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</si>
  <si>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</si>
  <si>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</si>
  <si>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</si>
  <si>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</si>
  <si>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</si>
  <si>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</si>
  <si>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</si>
  <si>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</si>
  <si>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</si>
  <si>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</si>
  <si>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</si>
  <si>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</si>
  <si>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</si>
  <si>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</si>
  <si>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</si>
  <si>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</si>
  <si>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</si>
  <si>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</si>
  <si>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</si>
  <si>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</si>
  <si>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</si>
  <si>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</si>
  <si>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</si>
  <si>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</si>
  <si>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</si>
  <si>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</si>
  <si>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</si>
  <si>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</si>
  <si>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</si>
  <si>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</si>
  <si>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</si>
  <si>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</si>
  <si>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</si>
  <si>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</si>
  <si>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</si>
  <si>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</si>
  <si>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</si>
  <si>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</si>
  <si>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</si>
  <si>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</si>
  <si>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</si>
  <si>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</si>
  <si>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</si>
  <si>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</si>
  <si>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</si>
  <si>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</si>
  <si>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</si>
  <si>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</si>
  <si>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</si>
  <si>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</si>
  <si>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</si>
  <si>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</si>
  <si>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</si>
  <si>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</si>
  <si>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</si>
  <si>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</si>
  <si>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</si>
  <si>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</si>
  <si>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</si>
  <si>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</si>
  <si>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</si>
  <si>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</si>
  <si>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</si>
  <si>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</si>
  <si>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</si>
  <si>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</si>
  <si>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</si>
  <si>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</si>
  <si>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</si>
  <si>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</si>
  <si>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</si>
  <si>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</si>
  <si>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</si>
  <si>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</si>
  <si>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</si>
  <si>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</si>
  <si>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</si>
  <si>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</si>
  <si>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</si>
  <si>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</si>
  <si>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</si>
  <si>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</si>
  <si>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</si>
  <si>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</si>
  <si>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</si>
  <si>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</si>
  <si>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</si>
  <si>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</si>
  <si>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</si>
  <si>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</si>
  <si>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</si>
  <si>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</si>
  <si>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</si>
  <si>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</si>
  <si>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</si>
  <si>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</si>
  <si>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</si>
  <si>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</si>
  <si>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</si>
  <si>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</si>
  <si>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</si>
  <si>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</si>
  <si>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</si>
  <si>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</si>
  <si>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</si>
  <si>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</si>
  <si>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</si>
  <si>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</si>
  <si>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</si>
  <si>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</si>
  <si>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</si>
  <si>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</si>
  <si>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</si>
  <si>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</si>
  <si>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</si>
  <si>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</si>
  <si>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</si>
  <si>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</si>
  <si>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</si>
  <si>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</si>
  <si>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</si>
  <si>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</si>
  <si>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</si>
  <si>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</si>
  <si>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</si>
  <si>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</si>
  <si>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</si>
  <si>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</si>
  <si>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</si>
  <si>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</si>
  <si>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</si>
  <si>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</si>
  <si>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</si>
  <si>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</si>
  <si>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</si>
  <si>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</si>
  <si>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</si>
  <si>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</si>
  <si>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</si>
  <si>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</si>
  <si>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</si>
  <si>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</si>
  <si>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</si>
  <si>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</si>
  <si>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</si>
  <si>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</si>
  <si>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</si>
  <si>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</si>
  <si>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</si>
  <si>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</si>
  <si>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</si>
  <si>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</si>
  <si>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</si>
  <si>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</si>
  <si>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</si>
  <si>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</si>
  <si>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</si>
  <si>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</si>
  <si>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</si>
  <si>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</si>
  <si>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</si>
  <si>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</si>
  <si>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</si>
  <si>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</si>
  <si>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</si>
  <si>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</si>
  <si>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</si>
  <si>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</si>
  <si>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</si>
  <si>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</si>
  <si>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</si>
  <si>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</si>
  <si>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</si>
  <si>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</si>
  <si>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</si>
  <si>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</si>
  <si>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</si>
  <si>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</si>
  <si>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</si>
  <si>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</si>
  <si>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</si>
  <si>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</si>
  <si>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</si>
  <si>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</si>
  <si>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</si>
  <si>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</si>
  <si>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</si>
  <si>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</si>
  <si>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</si>
  <si>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</si>
  <si>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</si>
  <si>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</si>
  <si>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</si>
  <si>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</si>
  <si>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</si>
  <si>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</si>
  <si>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</si>
  <si>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</si>
  <si>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</si>
  <si>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</si>
  <si>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</si>
  <si>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</si>
  <si>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</si>
  <si>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</si>
  <si>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</si>
  <si>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</si>
  <si>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</si>
  <si>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</si>
  <si>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</si>
  <si>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</si>
  <si>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</si>
  <si>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</si>
  <si>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</si>
  <si>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</si>
  <si>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</si>
  <si>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</si>
  <si>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</si>
  <si>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</si>
  <si>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</si>
  <si>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</si>
  <si>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</si>
  <si>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</si>
  <si>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</si>
  <si>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</si>
  <si>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</si>
  <si>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</si>
  <si>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</si>
  <si>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</si>
  <si>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</si>
  <si>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</si>
  <si>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</si>
  <si>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</si>
  <si>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</si>
  <si>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</si>
  <si>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</si>
  <si>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</si>
  <si>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</si>
  <si>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</si>
  <si>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</si>
  <si>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</si>
  <si>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</si>
  <si>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</si>
  <si>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</si>
  <si>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</si>
  <si>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</si>
  <si>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</si>
  <si>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</si>
  <si>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</si>
  <si>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</si>
  <si>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</si>
  <si>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</si>
  <si>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</si>
  <si>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</si>
  <si>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</si>
  <si>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</si>
  <si>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</si>
  <si>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</si>
  <si>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</si>
  <si>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</si>
  <si>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</si>
  <si>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</si>
  <si>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</si>
  <si>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</si>
  <si>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</si>
  <si>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</si>
  <si>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</si>
  <si>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</si>
  <si>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</si>
  <si>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</si>
  <si>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</si>
  <si>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</si>
  <si>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</si>
  <si>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</si>
  <si>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</si>
  <si>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</si>
  <si>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</si>
  <si>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</si>
  <si>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</si>
  <si>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</si>
  <si>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</si>
  <si>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</si>
  <si>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</si>
  <si>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</si>
  <si>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</si>
  <si>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</si>
  <si>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</si>
  <si>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</si>
  <si>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</si>
  <si>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</si>
  <si>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</si>
  <si>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</si>
  <si>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</si>
  <si>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</si>
  <si>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</si>
  <si>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</si>
  <si>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</si>
  <si>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</si>
  <si>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</si>
  <si>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</si>
  <si>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</si>
  <si>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</si>
  <si>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</si>
  <si>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</si>
  <si>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</si>
  <si>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</si>
  <si>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</si>
  <si>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</si>
  <si>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</si>
  <si>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</si>
  <si>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</si>
  <si>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</si>
  <si>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</si>
  <si>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</si>
  <si>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</si>
  <si>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</si>
  <si>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</si>
  <si>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</si>
  <si>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</si>
  <si>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</si>
  <si>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</si>
  <si>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</si>
  <si>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</si>
  <si>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</si>
  <si>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</si>
  <si>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</si>
  <si>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</si>
  <si>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</si>
  <si>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</si>
  <si>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</si>
  <si>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</si>
  <si>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</si>
  <si>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</si>
  <si>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</si>
  <si>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</si>
  <si>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</si>
  <si>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</si>
  <si>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</si>
  <si>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</si>
  <si>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</si>
  <si>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</si>
  <si>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</si>
  <si>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</si>
  <si>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</si>
  <si>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</si>
  <si>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</si>
  <si>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</si>
  <si>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</si>
  <si>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</si>
  <si>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</si>
  <si>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</si>
  <si>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</si>
  <si>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</si>
  <si>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</si>
  <si>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</si>
  <si>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</si>
  <si>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</si>
  <si>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</si>
  <si>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</si>
  <si>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</si>
  <si>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</si>
  <si>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</si>
  <si>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</si>
  <si>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</si>
  <si>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</si>
  <si>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</si>
  <si>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</si>
  <si>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</si>
  <si>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</si>
  <si>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</si>
  <si>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</si>
  <si>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</si>
  <si>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</si>
  <si>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</si>
  <si>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</si>
  <si>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</si>
  <si>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</si>
  <si>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</si>
  <si>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</si>
  <si>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</si>
  <si>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</si>
  <si>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</si>
  <si>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</si>
  <si>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</si>
  <si>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</si>
  <si>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</si>
  <si>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</si>
  <si>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</si>
  <si>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</si>
  <si>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</si>
  <si>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</si>
  <si>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</si>
  <si>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</si>
  <si>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</si>
  <si>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</si>
  <si>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</si>
  <si>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</si>
  <si>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</si>
  <si>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</si>
  <si>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</si>
  <si>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</si>
  <si>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</si>
  <si>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</si>
  <si>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</si>
  <si>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</si>
  <si>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</si>
  <si>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</si>
  <si>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</si>
  <si>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</si>
  <si>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</si>
  <si>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</si>
  <si>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</si>
  <si>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</si>
  <si>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</si>
  <si>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</si>
  <si>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</si>
  <si>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</si>
  <si>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</si>
  <si>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</si>
  <si>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</si>
  <si>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</si>
  <si>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</si>
  <si>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</si>
  <si>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</si>
  <si>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</si>
  <si>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</si>
  <si>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</si>
  <si>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</si>
  <si>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</si>
  <si>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</si>
  <si>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</si>
  <si>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</si>
  <si>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</si>
  <si>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</si>
  <si>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</si>
  <si>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</si>
  <si>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</si>
  <si>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</si>
  <si>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</si>
  <si>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</si>
  <si>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</si>
  <si>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</si>
  <si>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</si>
  <si>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</si>
  <si>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</si>
  <si>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</si>
  <si>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</si>
  <si>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</si>
  <si>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</si>
  <si>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</si>
  <si>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</si>
  <si>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</si>
  <si>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</si>
  <si>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</si>
  <si>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</si>
  <si>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</si>
  <si>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</si>
  <si>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</si>
  <si>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</si>
  <si>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</si>
  <si>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</si>
  <si>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</si>
  <si>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</si>
  <si>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</si>
  <si>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</si>
  <si>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</si>
  <si>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</si>
  <si>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</si>
  <si>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</si>
  <si>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</si>
  <si>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</si>
  <si>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</si>
  <si>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</si>
  <si>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</si>
  <si>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</si>
  <si>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</si>
  <si>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</si>
  <si>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</si>
  <si>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</si>
  <si>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</si>
  <si>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</si>
  <si>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</si>
  <si>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</si>
  <si>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</si>
  <si>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</si>
  <si>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</si>
  <si>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</si>
  <si>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</si>
  <si>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</si>
  <si>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</si>
  <si>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</si>
  <si>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</si>
  <si>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</si>
  <si>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</si>
  <si>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</si>
  <si>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</si>
  <si>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</si>
  <si>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</si>
  <si>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</si>
  <si>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</si>
  <si>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</si>
  <si>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</si>
  <si>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</si>
  <si>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</si>
  <si>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</si>
  <si>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</si>
  <si>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</si>
  <si>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</si>
  <si>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</si>
  <si>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</si>
  <si>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</si>
  <si>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</si>
  <si>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</si>
  <si>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</si>
  <si>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</si>
  <si>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</si>
  <si>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</si>
  <si>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</si>
  <si>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</si>
  <si>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</si>
  <si>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</si>
  <si>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</si>
  <si>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</si>
  <si>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</si>
  <si>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</si>
  <si>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</si>
  <si>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</si>
  <si>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</si>
  <si>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</si>
  <si>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</si>
  <si>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</si>
  <si>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</si>
  <si>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</si>
  <si>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</si>
  <si>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</si>
  <si>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</si>
  <si>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</si>
  <si>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</si>
  <si>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</si>
  <si>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</si>
  <si>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</si>
  <si>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</si>
  <si>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</si>
  <si>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</si>
  <si>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</si>
  <si>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</si>
  <si>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</si>
  <si>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</si>
  <si>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</si>
  <si>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</si>
  <si>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</si>
  <si>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</si>
  <si>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</si>
  <si>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</si>
  <si>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</si>
  <si>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</si>
  <si>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</si>
  <si>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</si>
  <si>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</si>
  <si>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</si>
  <si>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</si>
  <si>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</si>
  <si>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</si>
  <si>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</si>
  <si>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</si>
  <si>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</si>
  <si>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</si>
  <si>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</si>
  <si>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</si>
  <si>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</si>
  <si>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</si>
  <si>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</si>
  <si>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</si>
  <si>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</si>
  <si>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</si>
  <si>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</si>
  <si>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</si>
  <si>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</si>
  <si>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</si>
  <si>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</si>
  <si>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</si>
  <si>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</si>
  <si>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</si>
  <si>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</si>
  <si>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</si>
  <si>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</si>
  <si>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</si>
  <si>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</si>
  <si>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</si>
  <si>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</si>
  <si>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</si>
  <si>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</si>
  <si>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</si>
  <si>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</si>
  <si>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</si>
  <si>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</si>
  <si>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</si>
  <si>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</si>
  <si>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</si>
  <si>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</si>
  <si>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</si>
  <si>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</si>
  <si>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</si>
  <si>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</si>
  <si>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</si>
  <si>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</si>
  <si>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</si>
  <si>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</si>
  <si>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</si>
  <si>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</si>
  <si>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</si>
  <si>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</si>
  <si>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</si>
  <si>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</si>
  <si>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</si>
  <si>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</si>
  <si>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</si>
  <si>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</si>
  <si>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</si>
  <si>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</si>
  <si>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</si>
  <si>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</si>
  <si>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</si>
  <si>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</si>
  <si>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</si>
  <si>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</si>
  <si>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</si>
  <si>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</si>
  <si>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</si>
  <si>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</si>
  <si>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</si>
  <si>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</si>
  <si>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</si>
  <si>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</si>
  <si>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</si>
  <si>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</si>
  <si>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</si>
  <si>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</si>
  <si>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</si>
  <si>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</si>
  <si>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</si>
  <si>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</si>
  <si>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</si>
  <si>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</si>
  <si>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</si>
  <si>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</si>
  <si>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</si>
  <si>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</si>
  <si>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</si>
  <si>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</si>
  <si>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</si>
  <si>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</si>
  <si>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</si>
  <si>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</si>
  <si>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</si>
  <si>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</si>
  <si>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</si>
  <si>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</si>
  <si>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</si>
  <si>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</si>
  <si>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</si>
  <si>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</si>
  <si>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</si>
  <si>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</si>
  <si>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</si>
  <si>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</si>
  <si>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</si>
  <si>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</si>
  <si>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</si>
  <si>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</si>
  <si>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</si>
  <si>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</si>
  <si>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</si>
  <si>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</si>
  <si>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</si>
  <si>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</si>
  <si>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</si>
  <si>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</si>
  <si>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</si>
  <si>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</si>
  <si>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</si>
  <si>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</si>
  <si>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</si>
  <si>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</si>
  <si>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</si>
  <si>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</si>
  <si>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</si>
  <si>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</si>
  <si>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</si>
  <si>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</si>
  <si>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</si>
  <si>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</si>
  <si>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</si>
  <si>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</si>
  <si>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</si>
  <si>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</si>
  <si>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</si>
  <si>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</si>
  <si>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</si>
  <si>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</si>
  <si>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</si>
  <si>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</si>
  <si>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</si>
  <si>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</si>
  <si>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</si>
  <si>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</si>
  <si>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</si>
  <si>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</si>
  <si>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</si>
  <si>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</si>
  <si>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</si>
  <si>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</si>
  <si>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</si>
  <si>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</si>
  <si>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</si>
  <si>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</si>
  <si>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</si>
  <si>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</si>
  <si>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</si>
  <si>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</si>
  <si>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</si>
  <si>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</si>
  <si>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</si>
  <si>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</si>
  <si>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</si>
  <si>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</si>
  <si>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</si>
  <si>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</si>
  <si>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</si>
  <si>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</si>
  <si>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</si>
  <si>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</si>
  <si>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</si>
  <si>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</si>
  <si>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</si>
  <si>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</si>
  <si>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</si>
  <si>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</si>
  <si>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</si>
  <si>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</si>
  <si>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</si>
  <si>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</si>
  <si>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</si>
  <si>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</si>
  <si>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</si>
  <si>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</si>
  <si>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</si>
  <si>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</si>
  <si>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</si>
  <si>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</si>
  <si>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</si>
  <si>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</si>
  <si>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</si>
  <si>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</si>
  <si>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</si>
  <si>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</si>
  <si>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</si>
  <si>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</si>
  <si>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</si>
  <si>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</si>
  <si>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</si>
  <si>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</si>
  <si>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</si>
  <si>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</si>
  <si>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</si>
  <si>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</si>
  <si>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</si>
  <si>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</si>
  <si>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</si>
  <si>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</si>
  <si>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</si>
  <si>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</si>
  <si>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</si>
  <si>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</si>
  <si>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</si>
  <si>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</si>
  <si>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</si>
  <si>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</si>
  <si>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</si>
  <si>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</si>
  <si>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</si>
  <si>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</si>
  <si>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</si>
  <si>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</si>
  <si>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</si>
  <si>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</si>
  <si>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</si>
  <si>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</si>
  <si>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</si>
  <si>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</si>
  <si>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</si>
  <si>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</si>
  <si>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</si>
  <si>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</si>
  <si>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</si>
  <si>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</si>
  <si>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</si>
  <si>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</si>
  <si>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</si>
  <si>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</si>
  <si>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</si>
  <si>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</si>
  <si>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</si>
  <si>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</si>
  <si>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</si>
  <si>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</si>
  <si>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</si>
  <si>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</si>
  <si>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</si>
  <si>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</si>
  <si>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</si>
  <si>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</si>
  <si>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</si>
  <si>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</si>
  <si>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</si>
  <si>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</si>
  <si>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</si>
  <si>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</si>
  <si>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</si>
  <si>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</si>
  <si>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</si>
  <si>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</si>
  <si>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</si>
  <si>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</si>
  <si>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</si>
  <si>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</si>
  <si>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</si>
  <si>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</si>
  <si>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</si>
  <si>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</si>
  <si>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</si>
  <si>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</si>
  <si>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</si>
  <si>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</si>
  <si>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</si>
  <si>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</si>
  <si>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</si>
  <si>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</si>
  <si>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</si>
  <si>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</si>
  <si>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</si>
  <si>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</si>
  <si>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</si>
  <si>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</si>
  <si>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</si>
  <si>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</si>
  <si>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</si>
  <si>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</si>
  <si>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</si>
  <si>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</si>
  <si>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</si>
  <si>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</si>
  <si>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</si>
  <si>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</si>
  <si>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</si>
  <si>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</si>
  <si>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</si>
  <si>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</si>
  <si>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</si>
  <si>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</si>
  <si>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</si>
  <si>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</si>
  <si>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</si>
  <si>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</si>
  <si>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</si>
  <si>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</si>
  <si>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</si>
  <si>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</si>
  <si>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</si>
  <si>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</si>
  <si>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</si>
  <si>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</si>
  <si>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</si>
  <si>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</si>
  <si>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</si>
  <si>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</si>
  <si>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</si>
  <si>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</si>
  <si>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</si>
  <si>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</si>
  <si>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</si>
  <si>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</si>
  <si>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</si>
  <si>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</si>
  <si>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</si>
  <si>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</si>
  <si>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</si>
  <si>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</si>
  <si>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</si>
  <si>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</si>
  <si>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</si>
  <si>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</si>
  <si>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</si>
  <si>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</si>
  <si>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</si>
  <si>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</si>
  <si>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</si>
  <si>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</si>
  <si>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</si>
  <si>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</si>
  <si>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</si>
  <si>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</si>
  <si>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</si>
  <si>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</si>
  <si>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</si>
  <si>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</si>
  <si>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</si>
  <si>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</si>
  <si>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</si>
  <si>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</si>
  <si>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</si>
  <si>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</si>
  <si>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</si>
  <si>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</si>
  <si>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</si>
  <si>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</si>
  <si>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</si>
  <si>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</si>
  <si>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</si>
  <si>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</si>
  <si>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</si>
  <si>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</si>
  <si>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</si>
  <si>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</si>
  <si>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</si>
  <si>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</si>
  <si>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</si>
  <si>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</si>
  <si>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</si>
  <si>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</si>
  <si>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</si>
  <si>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</si>
  <si>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</si>
  <si>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</si>
  <si>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</si>
  <si>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</si>
  <si>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</si>
  <si>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</si>
  <si>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</si>
  <si>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</si>
  <si>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</si>
  <si>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</si>
  <si>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</si>
  <si>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</si>
  <si>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</si>
  <si>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</si>
  <si>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</si>
  <si>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</si>
  <si>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</si>
  <si>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</si>
  <si>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</si>
  <si>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</si>
  <si>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</si>
  <si>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</si>
  <si>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</si>
  <si>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</si>
  <si>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</si>
  <si>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</si>
  <si>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</si>
  <si>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</si>
  <si>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</si>
  <si>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</si>
  <si>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</si>
  <si>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</si>
  <si>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</si>
  <si>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</si>
  <si>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</si>
  <si>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</si>
  <si>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</si>
  <si>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</si>
  <si>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</si>
  <si>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</si>
  <si>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</si>
  <si>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</si>
  <si>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</si>
  <si>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</si>
  <si>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</si>
  <si>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</si>
  <si>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</si>
  <si>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</si>
  <si>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</si>
  <si>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</si>
  <si>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</si>
  <si>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</si>
  <si>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</si>
  <si>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</si>
  <si>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</si>
  <si>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</si>
  <si>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</si>
  <si>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</si>
  <si>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</si>
  <si>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</si>
  <si>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</si>
  <si>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</si>
  <si>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</si>
  <si>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</si>
  <si>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</si>
  <si>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</si>
  <si>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</si>
  <si>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</si>
  <si>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</si>
  <si>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</si>
  <si>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</si>
  <si>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</si>
  <si>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</si>
  <si>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</si>
  <si>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</si>
  <si>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*FI_Process</t>
  </si>
  <si>
    <t>*FI_T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</si>
</sst>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38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72" fontId="40" fillId="0" borderId="54" xfId="0" applyNumberFormat="1" applyFont="1" applyBorder="1"/>
    <xf numFmtId="172" fontId="40" fillId="0" borderId="60" xfId="0" applyNumberFormat="1" applyFont="1" applyBorder="1"/>
    <xf numFmtId="17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2" fontId="40" fillId="21" borderId="66" xfId="0" applyNumberFormat="1" applyFont="1" applyFill="1" applyBorder="1"/>
    <xf numFmtId="17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72" fontId="40" fillId="0" borderId="68" xfId="0" applyNumberFormat="1" applyFont="1" applyBorder="1"/>
    <xf numFmtId="17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2" fontId="40" fillId="21" borderId="70" xfId="0" applyNumberFormat="1" applyFont="1" applyFill="1" applyBorder="1"/>
    <xf numFmtId="172" fontId="40" fillId="21" borderId="71" xfId="0" applyNumberFormat="1" applyFont="1" applyFill="1" applyBorder="1"/>
    <xf numFmtId="172" fontId="40" fillId="21" borderId="72" xfId="0" applyNumberFormat="1" applyFont="1" applyFill="1" applyBorder="1"/>
    <xf numFmtId="173" fontId="44" fillId="36" borderId="0" xfId="0" applyNumberFormat="1" applyFont="1" applyFill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586581</xdr:colOff>
      <xdr:row>128</xdr:row>
      <xdr:rowOff>87313</xdr:rowOff>
    </xdr:from>
    <xdr:to>
      <xdr:col>33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00" t="s">
        <v>435</v>
      </c>
      <c r="B17" s="500"/>
      <c r="C17" s="500"/>
      <c r="D17" s="500"/>
      <c r="E17" s="500"/>
      <c r="F17" s="500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01" t="s">
        <v>437</v>
      </c>
      <c r="C20" s="501"/>
      <c r="D20" s="501"/>
      <c r="E20" s="501"/>
      <c r="F20" s="501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02" t="s">
        <v>1</v>
      </c>
      <c r="C21" s="502"/>
      <c r="D21" s="502"/>
      <c r="E21" s="502"/>
      <c r="F21" s="502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02" t="s">
        <v>48</v>
      </c>
      <c r="C22" s="502"/>
      <c r="D22" s="502"/>
      <c r="E22" s="502"/>
      <c r="F22" s="502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436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03"/>
      <c r="B25" s="503"/>
      <c r="C25" s="503"/>
      <c r="D25" s="503"/>
      <c r="E25" s="503"/>
      <c r="F25" s="503"/>
      <c r="G25" s="3"/>
      <c r="H25" s="3"/>
    </row>
    <row r="26" spans="1:14" ht="17.25" customHeight="1" x14ac:dyDescent="0.2">
      <c r="A26" s="499"/>
      <c r="B26" s="499"/>
      <c r="C26" s="499"/>
      <c r="D26" s="499"/>
      <c r="E26" s="499"/>
      <c r="F26" s="499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04" t="s">
        <v>4</v>
      </c>
      <c r="C2" s="505"/>
      <c r="D2" s="505"/>
      <c r="E2" s="506"/>
      <c r="G2" s="504" t="s">
        <v>5</v>
      </c>
      <c r="H2" s="506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438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439</v>
      </c>
      <c r="C4" s="230" t="s">
        <v>440</v>
      </c>
      <c r="D4" s="231">
        <v>44136</v>
      </c>
      <c r="E4" s="232" t="s">
        <v>441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442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443</v>
      </c>
      <c r="C6" s="236" t="s">
        <v>444</v>
      </c>
      <c r="D6" s="237">
        <v>44166</v>
      </c>
      <c r="E6" s="238" t="s">
        <v>442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445</v>
      </c>
      <c r="C7" s="236" t="s">
        <v>446</v>
      </c>
      <c r="D7" s="241">
        <v>43862</v>
      </c>
      <c r="E7" s="238" t="s">
        <v>442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447</v>
      </c>
      <c r="D8" s="241">
        <v>44166</v>
      </c>
      <c r="E8" s="238" t="s">
        <v>442</v>
      </c>
      <c r="G8" s="243"/>
      <c r="H8" s="234" t="s">
        <v>448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449</v>
      </c>
      <c r="C9" s="236" t="s">
        <v>450</v>
      </c>
      <c r="D9" s="241">
        <v>44044</v>
      </c>
      <c r="E9" s="238" t="s">
        <v>442</v>
      </c>
      <c r="G9" s="244"/>
      <c r="H9" s="245" t="s">
        <v>10</v>
      </c>
    </row>
    <row r="10" spans="2:20" x14ac:dyDescent="0.2">
      <c r="B10" s="235" t="s">
        <v>451</v>
      </c>
      <c r="C10" s="236" t="s">
        <v>58</v>
      </c>
      <c r="D10" s="241">
        <v>44136</v>
      </c>
      <c r="E10" s="238" t="s">
        <v>442</v>
      </c>
    </row>
    <row r="11" spans="2:20" x14ac:dyDescent="0.2">
      <c r="B11" s="235" t="s">
        <v>452</v>
      </c>
      <c r="C11" s="236" t="s">
        <v>60</v>
      </c>
      <c r="D11" s="241">
        <v>44013</v>
      </c>
      <c r="E11" s="238" t="s">
        <v>442</v>
      </c>
    </row>
    <row r="12" spans="2:20" x14ac:dyDescent="0.2">
      <c r="B12" s="235" t="s">
        <v>453</v>
      </c>
      <c r="C12" s="236" t="s">
        <v>61</v>
      </c>
      <c r="D12" s="241">
        <v>44136</v>
      </c>
      <c r="E12" s="238" t="s">
        <v>441</v>
      </c>
    </row>
    <row r="13" spans="2:20" x14ac:dyDescent="0.2">
      <c r="B13" s="235" t="s">
        <v>454</v>
      </c>
      <c r="C13" s="236" t="s">
        <v>455</v>
      </c>
      <c r="D13" s="241">
        <v>44136</v>
      </c>
      <c r="E13" s="238" t="s">
        <v>442</v>
      </c>
    </row>
    <row r="14" spans="2:20" x14ac:dyDescent="0.2">
      <c r="B14" s="235" t="s">
        <v>456</v>
      </c>
      <c r="C14" s="236" t="s">
        <v>457</v>
      </c>
      <c r="D14" s="241">
        <v>44105</v>
      </c>
      <c r="E14" s="238" t="s">
        <v>442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442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442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442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442</v>
      </c>
    </row>
    <row r="19" spans="2:8" ht="15" thickBot="1" x14ac:dyDescent="0.25"/>
    <row r="20" spans="2:8" ht="19.5" thickBot="1" x14ac:dyDescent="0.25">
      <c r="B20" s="507" t="s">
        <v>70</v>
      </c>
      <c r="C20" s="508"/>
      <c r="D20" s="508"/>
      <c r="E20" s="509"/>
      <c r="G20" s="504" t="s">
        <v>14</v>
      </c>
      <c r="H20" s="506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438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458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442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442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442</v>
      </c>
    </row>
    <row r="27" spans="2:8" ht="15" customHeight="1" x14ac:dyDescent="0.25">
      <c r="B27" s="256" t="s">
        <v>459</v>
      </c>
      <c r="C27" s="267" t="s">
        <v>77</v>
      </c>
      <c r="D27" s="266">
        <v>43952</v>
      </c>
      <c r="E27" s="238" t="s">
        <v>442</v>
      </c>
    </row>
    <row r="28" spans="2:8" ht="15" customHeight="1" x14ac:dyDescent="0.25">
      <c r="B28" s="256" t="s">
        <v>460</v>
      </c>
      <c r="C28" s="267" t="s">
        <v>461</v>
      </c>
      <c r="D28" s="266">
        <v>43983</v>
      </c>
      <c r="E28" s="238" t="s">
        <v>442</v>
      </c>
    </row>
    <row r="29" spans="2:8" ht="15" customHeight="1" x14ac:dyDescent="0.25">
      <c r="B29" s="256" t="s">
        <v>462</v>
      </c>
      <c r="C29" s="267" t="s">
        <v>463</v>
      </c>
      <c r="D29" s="266">
        <v>43983</v>
      </c>
      <c r="E29" s="238" t="s">
        <v>442</v>
      </c>
    </row>
    <row r="30" spans="2:8" ht="15" x14ac:dyDescent="0.25">
      <c r="B30" s="256" t="s">
        <v>464</v>
      </c>
      <c r="C30" s="267" t="s">
        <v>465</v>
      </c>
      <c r="D30" s="266">
        <v>43983</v>
      </c>
      <c r="E30" s="238" t="s">
        <v>442</v>
      </c>
    </row>
    <row r="31" spans="2:8" ht="15" x14ac:dyDescent="0.25">
      <c r="B31" s="256" t="s">
        <v>466</v>
      </c>
      <c r="C31" s="267" t="s">
        <v>465</v>
      </c>
      <c r="D31" s="266">
        <v>43983</v>
      </c>
      <c r="E31" s="238" t="s">
        <v>442</v>
      </c>
    </row>
    <row r="32" spans="2:8" ht="15" x14ac:dyDescent="0.25">
      <c r="B32" s="256" t="s">
        <v>467</v>
      </c>
      <c r="C32" s="267" t="s">
        <v>468</v>
      </c>
      <c r="D32" s="266">
        <v>43983</v>
      </c>
      <c r="E32" s="238" t="s">
        <v>442</v>
      </c>
    </row>
    <row r="33" spans="2:8" ht="15" x14ac:dyDescent="0.25">
      <c r="B33" s="256" t="s">
        <v>469</v>
      </c>
      <c r="C33" s="267" t="s">
        <v>470</v>
      </c>
      <c r="D33" s="266">
        <v>43983</v>
      </c>
      <c r="E33" s="238" t="s">
        <v>442</v>
      </c>
    </row>
    <row r="34" spans="2:8" ht="15" x14ac:dyDescent="0.25">
      <c r="B34" s="256" t="s">
        <v>471</v>
      </c>
      <c r="C34" s="267" t="s">
        <v>472</v>
      </c>
      <c r="D34" s="266">
        <v>44044</v>
      </c>
      <c r="E34" s="238" t="s">
        <v>442</v>
      </c>
    </row>
    <row r="35" spans="2:8" ht="15" x14ac:dyDescent="0.25">
      <c r="B35" s="256" t="s">
        <v>473</v>
      </c>
      <c r="C35" s="267" t="s">
        <v>474</v>
      </c>
      <c r="D35" s="266">
        <v>44044</v>
      </c>
      <c r="E35" s="238" t="s">
        <v>442</v>
      </c>
    </row>
    <row r="36" spans="2:8" ht="15.75" thickBot="1" x14ac:dyDescent="0.3">
      <c r="B36" s="268" t="s">
        <v>473</v>
      </c>
      <c r="C36" s="269" t="s">
        <v>474</v>
      </c>
      <c r="D36" s="270">
        <v>44044</v>
      </c>
      <c r="E36" s="249" t="s">
        <v>442</v>
      </c>
    </row>
    <row r="37" spans="2:8" ht="15" thickBot="1" x14ac:dyDescent="0.25"/>
    <row r="38" spans="2:8" ht="19.5" thickBot="1" x14ac:dyDescent="0.25">
      <c r="B38" s="504" t="s">
        <v>78</v>
      </c>
      <c r="C38" s="505"/>
      <c r="D38" s="505"/>
      <c r="E38" s="506"/>
      <c r="G38" s="510" t="s">
        <v>72</v>
      </c>
      <c r="H38" s="511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438</v>
      </c>
      <c r="G39" s="274" t="s">
        <v>20</v>
      </c>
      <c r="H39" s="274" t="s">
        <v>475</v>
      </c>
    </row>
    <row r="40" spans="2:8" ht="15" x14ac:dyDescent="0.25">
      <c r="B40" s="274" t="s">
        <v>25</v>
      </c>
      <c r="C40" s="257" t="s">
        <v>476</v>
      </c>
      <c r="D40" s="275">
        <v>44166</v>
      </c>
      <c r="E40" s="276" t="s">
        <v>442</v>
      </c>
      <c r="G40" s="261" t="s">
        <v>1009</v>
      </c>
      <c r="H40" s="261" t="s">
        <v>1010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M103"/>
  <sheetViews>
    <sheetView tabSelected="1" zoomScale="90" zoomScaleNormal="90" workbookViewId="0">
      <selection activeCell="D35" sqref="D3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57" t="s">
        <v>1011</v>
      </c>
      <c r="H3" s="64" t="s">
        <v>33</v>
      </c>
      <c r="I3" s="63" t="s">
        <v>661</v>
      </c>
      <c r="J3" s="63" t="s">
        <v>314</v>
      </c>
      <c r="M3" s="5" t="s">
        <v>390</v>
      </c>
      <c r="S3" s="512" t="s">
        <v>681</v>
      </c>
      <c r="T3" s="512"/>
      <c r="U3" s="512"/>
      <c r="V3" s="512"/>
      <c r="W3" s="512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682</v>
      </c>
      <c r="T4" s="292" t="s">
        <v>683</v>
      </c>
      <c r="U4" s="292" t="s">
        <v>684</v>
      </c>
      <c r="V4" s="292" t="s">
        <v>685</v>
      </c>
      <c r="W4" s="293" t="s">
        <v>686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660</v>
      </c>
      <c r="J5" s="107" t="s">
        <v>330</v>
      </c>
      <c r="M5" s="189" t="s">
        <v>388</v>
      </c>
      <c r="S5" s="294" t="s">
        <v>666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667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AL22/2</f>
        <v>5.3083202991120108E-4</v>
      </c>
      <c r="J7" s="103"/>
      <c r="S7" s="300" t="s">
        <v>668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AJ22</f>
        <v>3.2672173235706492E-3</v>
      </c>
      <c r="J8" s="104"/>
      <c r="S8" s="297" t="s">
        <v>669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15" x14ac:dyDescent="0.2">
      <c r="C9" s="109"/>
      <c r="D9" s="109"/>
      <c r="E9" s="70" t="s">
        <v>372</v>
      </c>
      <c r="F9" s="71"/>
      <c r="G9" s="71"/>
      <c r="H9" s="109"/>
      <c r="I9" s="314">
        <f>AK22</f>
        <v>1.4074238978033962E-3</v>
      </c>
      <c r="J9" s="103"/>
      <c r="S9" s="300" t="s">
        <v>670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" x14ac:dyDescent="0.2">
      <c r="C10" s="132"/>
      <c r="D10" s="132"/>
      <c r="E10" s="165" t="s">
        <v>373</v>
      </c>
      <c r="F10" s="166"/>
      <c r="G10" s="166"/>
      <c r="H10" s="132"/>
      <c r="I10" s="316">
        <f>AL22/2</f>
        <v>5.3083202991120108E-4</v>
      </c>
      <c r="J10" s="141"/>
      <c r="S10" s="297" t="s">
        <v>671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S11" s="300" t="s">
        <v>672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AH37</f>
        <v>9.510263559994104E-4</v>
      </c>
      <c r="J12" s="188">
        <v>2020</v>
      </c>
      <c r="S12" s="297" t="s">
        <v>673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AK37/2</f>
        <v>6.2401308018242394E-4</v>
      </c>
      <c r="J13" s="103"/>
      <c r="S13" s="303" t="s">
        <v>674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AI37</f>
        <v>9.0638384319306538E-3</v>
      </c>
      <c r="J14" s="104"/>
      <c r="S14" s="305" t="s">
        <v>687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</f>
        <v>2.0645399747711616E-3</v>
      </c>
      <c r="J15" s="103"/>
      <c r="S15" s="309" t="s">
        <v>688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AK37/2</f>
        <v>6.2401308018242394E-4</v>
      </c>
      <c r="J16" s="141"/>
    </row>
    <row r="17" spans="2:39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9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AH51</f>
        <v>4.4121765529699531E-3</v>
      </c>
      <c r="J18" s="188">
        <v>2020</v>
      </c>
    </row>
    <row r="19" spans="2:39" x14ac:dyDescent="0.2">
      <c r="C19" s="109"/>
      <c r="D19" s="109"/>
      <c r="E19" s="70" t="s">
        <v>402</v>
      </c>
      <c r="F19" s="71"/>
      <c r="G19" s="71"/>
      <c r="H19" s="109"/>
      <c r="I19" s="314">
        <f>AK51/2</f>
        <v>9.2012709050415069E-4</v>
      </c>
      <c r="J19" s="103"/>
    </row>
    <row r="20" spans="2:39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676</v>
      </c>
      <c r="Y20" s="5" t="s">
        <v>676</v>
      </c>
      <c r="Z20" s="5" t="s">
        <v>676</v>
      </c>
      <c r="AA20" s="5" t="s">
        <v>676</v>
      </c>
      <c r="AB20" s="5" t="s">
        <v>676</v>
      </c>
      <c r="AC20" s="5" t="s">
        <v>676</v>
      </c>
      <c r="AD20" s="5" t="s">
        <v>676</v>
      </c>
      <c r="AE20" s="5" t="s">
        <v>676</v>
      </c>
      <c r="AF20" s="5" t="s">
        <v>676</v>
      </c>
      <c r="AG20" s="5" t="s">
        <v>676</v>
      </c>
      <c r="AI20" s="311" t="s">
        <v>689</v>
      </c>
      <c r="AJ20" s="312" t="s">
        <v>696</v>
      </c>
      <c r="AK20" s="312" t="s">
        <v>697</v>
      </c>
      <c r="AL20" s="5" t="s">
        <v>692</v>
      </c>
      <c r="AM20" s="310" t="s">
        <v>698</v>
      </c>
    </row>
    <row r="21" spans="2:39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</f>
        <v>3.5262400890868602E-3</v>
      </c>
      <c r="J21" s="103"/>
      <c r="W21" s="5" t="s">
        <v>675</v>
      </c>
      <c r="X21" s="5" t="s">
        <v>677</v>
      </c>
      <c r="Y21" s="5" t="s">
        <v>678</v>
      </c>
      <c r="Z21" s="5" t="s">
        <v>679</v>
      </c>
      <c r="AA21" s="5" t="s">
        <v>690</v>
      </c>
      <c r="AB21" s="5" t="s">
        <v>691</v>
      </c>
      <c r="AC21" s="189" t="s">
        <v>680</v>
      </c>
      <c r="AD21" s="189" t="s">
        <v>692</v>
      </c>
      <c r="AE21" s="5" t="s">
        <v>693</v>
      </c>
      <c r="AF21" s="5" t="s">
        <v>694</v>
      </c>
      <c r="AG21" s="5" t="s">
        <v>687</v>
      </c>
      <c r="AI21" s="310" t="s">
        <v>695</v>
      </c>
    </row>
    <row r="22" spans="2:39" ht="15" x14ac:dyDescent="0.2">
      <c r="C22" s="132"/>
      <c r="D22" s="132"/>
      <c r="E22" s="165" t="s">
        <v>405</v>
      </c>
      <c r="F22" s="166"/>
      <c r="G22" s="166"/>
      <c r="H22" s="132"/>
      <c r="I22" s="316">
        <f>AK51/2</f>
        <v>9.2012709050415069E-4</v>
      </c>
      <c r="J22" s="141"/>
      <c r="W22" s="5" t="s">
        <v>666</v>
      </c>
      <c r="X22" s="180">
        <v>6419</v>
      </c>
      <c r="Y22" s="180">
        <v>535137</v>
      </c>
      <c r="Z22" s="5">
        <v>52</v>
      </c>
      <c r="AA22" s="180">
        <v>-505747</v>
      </c>
      <c r="AB22" s="180">
        <v>11249</v>
      </c>
      <c r="AC22" s="180">
        <v>2509515</v>
      </c>
      <c r="AD22" s="180">
        <v>1893006</v>
      </c>
      <c r="AE22" s="180">
        <v>5793778</v>
      </c>
      <c r="AF22" s="180">
        <v>31852</v>
      </c>
      <c r="AG22" s="180">
        <v>9733652</v>
      </c>
      <c r="AH22" s="295">
        <v>9418.8988568067343</v>
      </c>
      <c r="AI22" s="5">
        <v>0</v>
      </c>
      <c r="AJ22" s="5">
        <f>((AH22/X22)*(AE22+AF22)*0.0000000036)/(AH22/1000)</f>
        <v>3.2672173235706492E-3</v>
      </c>
      <c r="AK22" s="5">
        <f>((AH22/X22)*(AC22)*0.0000000036)/(AH22/1000)</f>
        <v>1.4074238978033962E-3</v>
      </c>
      <c r="AL22" s="5">
        <f>((AH22/X22)*(AD22)*0.0000000036)/(AH22/1000)</f>
        <v>1.0616640598224022E-3</v>
      </c>
      <c r="AM22" s="5">
        <f>ABS(((AH22/X22)*$T$15*(AA22+AB22)*0.0000000036)/1000)</f>
        <v>1.9404747391189423E-6</v>
      </c>
    </row>
    <row r="23" spans="2:39" ht="15" x14ac:dyDescent="0.2">
      <c r="V23" s="5" t="s">
        <v>667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9" ht="15" x14ac:dyDescent="0.2">
      <c r="V24" s="5" t="s">
        <v>668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 t="shared" ref="AH24:AH30" si="3"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9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669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9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670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9" ht="23.25" thickBot="1" x14ac:dyDescent="0.25">
      <c r="B27" s="59" t="s">
        <v>477</v>
      </c>
      <c r="C27" s="59" t="s">
        <v>478</v>
      </c>
      <c r="D27" s="59" t="s">
        <v>42</v>
      </c>
      <c r="E27" s="59" t="s">
        <v>305</v>
      </c>
      <c r="F27" s="59" t="s">
        <v>306</v>
      </c>
      <c r="G27" s="59" t="s">
        <v>479</v>
      </c>
      <c r="H27" s="59" t="s">
        <v>308</v>
      </c>
      <c r="V27" s="5" t="s">
        <v>671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9" ht="15" x14ac:dyDescent="0.2">
      <c r="B28" s="168" t="s">
        <v>734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672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9" ht="15" x14ac:dyDescent="0.2">
      <c r="B29" s="168" t="s">
        <v>734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673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9" ht="15.75" thickBot="1" x14ac:dyDescent="0.25">
      <c r="B30" s="168" t="s">
        <v>734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674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9" ht="15.75" thickBot="1" x14ac:dyDescent="0.25">
      <c r="AG31" s="306">
        <v>206798.88499999998</v>
      </c>
      <c r="AH31" s="5">
        <f>AVERAGE(AH22:AH30)</f>
        <v>1046.5578079142385</v>
      </c>
      <c r="AI31" s="5">
        <f t="shared" ref="AI31:AL31" si="4">AVERAGE(AI22:AI30)</f>
        <v>8.4541530766784768E-3</v>
      </c>
      <c r="AJ31" s="5">
        <f>AVERAGE(AJ22:AJ30)</f>
        <v>1.9731438707527318E-3</v>
      </c>
      <c r="AK31" s="5">
        <f t="shared" si="4"/>
        <v>4.9074656453725594E-4</v>
      </c>
      <c r="AL31" s="5">
        <f t="shared" si="4"/>
        <v>1.0616640598224022E-3</v>
      </c>
    </row>
    <row r="32" spans="2:39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684</v>
      </c>
      <c r="X35" s="5" t="s">
        <v>684</v>
      </c>
      <c r="Y35" s="5" t="s">
        <v>684</v>
      </c>
      <c r="Z35" s="5" t="s">
        <v>684</v>
      </c>
      <c r="AA35" s="5" t="s">
        <v>684</v>
      </c>
      <c r="AB35" s="5" t="s">
        <v>684</v>
      </c>
      <c r="AC35" s="5" t="s">
        <v>684</v>
      </c>
      <c r="AD35" s="5" t="s">
        <v>684</v>
      </c>
      <c r="AE35" s="5" t="s">
        <v>684</v>
      </c>
      <c r="AF35" s="5" t="s">
        <v>684</v>
      </c>
      <c r="AH35" s="311" t="s">
        <v>689</v>
      </c>
      <c r="AI35" s="312" t="s">
        <v>696</v>
      </c>
      <c r="AJ35" s="312" t="s">
        <v>697</v>
      </c>
      <c r="AK35" s="5" t="s">
        <v>692</v>
      </c>
      <c r="AL35" s="310" t="s">
        <v>698</v>
      </c>
    </row>
    <row r="36" spans="1:38" ht="13.5" thickBot="1" x14ac:dyDescent="0.25">
      <c r="B36" s="8"/>
      <c r="C36" s="8"/>
      <c r="I36" s="8"/>
      <c r="V36" s="5" t="s">
        <v>675</v>
      </c>
      <c r="W36" s="5" t="s">
        <v>677</v>
      </c>
      <c r="X36" s="5" t="s">
        <v>678</v>
      </c>
      <c r="Y36" s="5" t="s">
        <v>679</v>
      </c>
      <c r="Z36" s="5" t="s">
        <v>690</v>
      </c>
      <c r="AA36" s="5" t="s">
        <v>691</v>
      </c>
      <c r="AB36" s="189" t="s">
        <v>680</v>
      </c>
      <c r="AC36" s="189" t="s">
        <v>692</v>
      </c>
      <c r="AD36" s="5" t="s">
        <v>693</v>
      </c>
      <c r="AE36" s="5" t="s">
        <v>694</v>
      </c>
      <c r="AF36" s="5" t="s">
        <v>687</v>
      </c>
      <c r="AH36" s="310" t="s">
        <v>695</v>
      </c>
    </row>
    <row r="37" spans="1:38" ht="15" x14ac:dyDescent="0.2">
      <c r="B37" s="8"/>
      <c r="C37" s="8"/>
      <c r="I37" s="8"/>
      <c r="V37" s="5" t="s">
        <v>666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667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668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669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670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671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672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673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674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685</v>
      </c>
      <c r="X49" s="5" t="s">
        <v>685</v>
      </c>
      <c r="Y49" s="5" t="s">
        <v>685</v>
      </c>
      <c r="Z49" s="5" t="s">
        <v>685</v>
      </c>
      <c r="AA49" s="5" t="s">
        <v>685</v>
      </c>
      <c r="AB49" s="5" t="s">
        <v>685</v>
      </c>
      <c r="AC49" s="5" t="s">
        <v>685</v>
      </c>
      <c r="AD49" s="5" t="s">
        <v>685</v>
      </c>
      <c r="AE49" s="5" t="s">
        <v>685</v>
      </c>
      <c r="AF49" s="5" t="s">
        <v>685</v>
      </c>
      <c r="AH49" s="311" t="s">
        <v>689</v>
      </c>
      <c r="AI49" s="312" t="s">
        <v>696</v>
      </c>
      <c r="AJ49" s="312" t="s">
        <v>697</v>
      </c>
      <c r="AK49" s="5" t="s">
        <v>692</v>
      </c>
      <c r="AL49" s="310" t="s">
        <v>698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675</v>
      </c>
      <c r="W50" s="5" t="s">
        <v>677</v>
      </c>
      <c r="X50" s="5" t="s">
        <v>678</v>
      </c>
      <c r="Y50" s="5" t="s">
        <v>679</v>
      </c>
      <c r="Z50" s="5" t="s">
        <v>690</v>
      </c>
      <c r="AA50" s="5" t="s">
        <v>691</v>
      </c>
      <c r="AB50" s="189" t="s">
        <v>680</v>
      </c>
      <c r="AC50" s="189" t="s">
        <v>692</v>
      </c>
      <c r="AD50" s="5" t="s">
        <v>693</v>
      </c>
      <c r="AE50" s="5" t="s">
        <v>694</v>
      </c>
      <c r="AF50" s="5" t="s">
        <v>687</v>
      </c>
      <c r="AH50" s="310" t="s">
        <v>695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666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667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668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669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670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671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672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673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674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1">
    <mergeCell ref="S3:W3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topLeftCell="A87" workbookViewId="0">
      <selection activeCell="C20" sqref="C20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481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659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482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483</v>
      </c>
      <c r="O6" s="176">
        <v>2020</v>
      </c>
      <c r="Q6" s="185" t="s">
        <v>382</v>
      </c>
    </row>
    <row r="7" spans="1:17" ht="15" x14ac:dyDescent="0.2">
      <c r="B7" s="176" t="s">
        <v>484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485</v>
      </c>
      <c r="O7" s="176">
        <v>2020</v>
      </c>
      <c r="Q7" s="185" t="s">
        <v>382</v>
      </c>
    </row>
    <row r="8" spans="1:17" ht="15" x14ac:dyDescent="0.2">
      <c r="B8" s="176" t="s">
        <v>486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487</v>
      </c>
      <c r="O8" s="176">
        <v>2020</v>
      </c>
      <c r="Q8" s="185" t="s">
        <v>382</v>
      </c>
    </row>
    <row r="9" spans="1:17" ht="15" x14ac:dyDescent="0.2">
      <c r="B9" s="176" t="s">
        <v>488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489</v>
      </c>
      <c r="O9" s="176">
        <v>2020</v>
      </c>
      <c r="Q9" s="185" t="s">
        <v>382</v>
      </c>
    </row>
    <row r="10" spans="1:17" ht="15" x14ac:dyDescent="0.2">
      <c r="B10" s="176" t="s">
        <v>490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491</v>
      </c>
      <c r="O10" s="176">
        <v>2020</v>
      </c>
      <c r="Q10" s="185" t="s">
        <v>382</v>
      </c>
    </row>
    <row r="11" spans="1:17" ht="15" x14ac:dyDescent="0.2">
      <c r="B11" s="176" t="s">
        <v>492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482</v>
      </c>
      <c r="O11" s="176">
        <v>2020</v>
      </c>
      <c r="Q11" s="185" t="s">
        <v>382</v>
      </c>
    </row>
    <row r="12" spans="1:17" ht="15" x14ac:dyDescent="0.2">
      <c r="B12" s="176" t="s">
        <v>493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494</v>
      </c>
      <c r="O12" s="176">
        <v>2020</v>
      </c>
      <c r="Q12" s="185" t="s">
        <v>382</v>
      </c>
    </row>
    <row r="13" spans="1:17" ht="15" x14ac:dyDescent="0.2">
      <c r="B13" s="176" t="s">
        <v>483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495</v>
      </c>
      <c r="O13" s="176">
        <v>2020</v>
      </c>
      <c r="Q13" s="185" t="s">
        <v>382</v>
      </c>
    </row>
    <row r="14" spans="1:17" ht="15" x14ac:dyDescent="0.2">
      <c r="B14" s="176" t="s">
        <v>494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496</v>
      </c>
      <c r="O14" s="176">
        <v>2020</v>
      </c>
      <c r="Q14" s="185" t="s">
        <v>382</v>
      </c>
    </row>
    <row r="15" spans="1:17" ht="15" x14ac:dyDescent="0.2">
      <c r="B15" s="176" t="s">
        <v>497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498</v>
      </c>
      <c r="O15" s="176">
        <v>2020</v>
      </c>
      <c r="Q15" s="185" t="s">
        <v>382</v>
      </c>
    </row>
    <row r="16" spans="1:17" ht="15" x14ac:dyDescent="0.2">
      <c r="B16" s="176" t="s">
        <v>499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500</v>
      </c>
      <c r="O16" s="176">
        <v>2020</v>
      </c>
      <c r="Q16" s="185" t="s">
        <v>382</v>
      </c>
    </row>
    <row r="17" spans="2:17" ht="15" x14ac:dyDescent="0.2">
      <c r="B17" s="176" t="s">
        <v>501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484</v>
      </c>
      <c r="O17" s="176">
        <v>2020</v>
      </c>
      <c r="Q17" s="185" t="s">
        <v>382</v>
      </c>
    </row>
    <row r="18" spans="2:17" ht="15" x14ac:dyDescent="0.2">
      <c r="B18" s="176" t="s">
        <v>502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497</v>
      </c>
      <c r="O18" s="176">
        <v>2020</v>
      </c>
      <c r="Q18" s="185" t="s">
        <v>382</v>
      </c>
    </row>
    <row r="19" spans="2:17" ht="15" x14ac:dyDescent="0.2">
      <c r="B19" s="176" t="s">
        <v>503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504</v>
      </c>
      <c r="O19" s="176">
        <v>2020</v>
      </c>
      <c r="Q19" s="185" t="s">
        <v>382</v>
      </c>
    </row>
    <row r="20" spans="2:17" ht="15" x14ac:dyDescent="0.2">
      <c r="B20" s="176" t="s">
        <v>485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505</v>
      </c>
      <c r="O20" s="176">
        <v>2020</v>
      </c>
      <c r="Q20" s="185" t="s">
        <v>382</v>
      </c>
    </row>
    <row r="21" spans="2:17" ht="15" x14ac:dyDescent="0.2">
      <c r="B21" s="176" t="s">
        <v>495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506</v>
      </c>
      <c r="O21" s="176">
        <v>2020</v>
      </c>
      <c r="Q21" s="185" t="s">
        <v>382</v>
      </c>
    </row>
    <row r="22" spans="2:17" ht="15" x14ac:dyDescent="0.2">
      <c r="B22" s="176" t="s">
        <v>504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507</v>
      </c>
      <c r="O22" s="176">
        <v>2020</v>
      </c>
      <c r="Q22" s="185" t="s">
        <v>382</v>
      </c>
    </row>
    <row r="23" spans="2:17" ht="15" x14ac:dyDescent="0.2">
      <c r="B23" s="176" t="s">
        <v>508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486</v>
      </c>
      <c r="O23" s="176">
        <v>2020</v>
      </c>
      <c r="Q23" s="185" t="s">
        <v>382</v>
      </c>
    </row>
    <row r="24" spans="2:17" ht="15" x14ac:dyDescent="0.2">
      <c r="B24" s="176" t="s">
        <v>509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501</v>
      </c>
      <c r="O24" s="176">
        <v>2020</v>
      </c>
      <c r="Q24" s="185" t="s">
        <v>384</v>
      </c>
    </row>
    <row r="25" spans="2:17" ht="15" x14ac:dyDescent="0.2">
      <c r="B25" s="176" t="s">
        <v>510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509</v>
      </c>
      <c r="O25" s="176">
        <v>2020</v>
      </c>
      <c r="Q25" s="185" t="s">
        <v>384</v>
      </c>
    </row>
    <row r="26" spans="2:17" ht="15" x14ac:dyDescent="0.2">
      <c r="B26" s="176" t="s">
        <v>511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512</v>
      </c>
      <c r="O26" s="176">
        <v>2020</v>
      </c>
      <c r="Q26" s="185" t="s">
        <v>384</v>
      </c>
    </row>
    <row r="27" spans="2:17" ht="15" x14ac:dyDescent="0.2">
      <c r="B27" s="176" t="s">
        <v>487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513</v>
      </c>
      <c r="O27" s="176">
        <v>2020</v>
      </c>
      <c r="Q27" s="185" t="s">
        <v>384</v>
      </c>
    </row>
    <row r="28" spans="2:17" ht="15" x14ac:dyDescent="0.2">
      <c r="B28" s="176" t="s">
        <v>496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514</v>
      </c>
      <c r="O28" s="176">
        <v>2020</v>
      </c>
      <c r="Q28" s="185" t="s">
        <v>384</v>
      </c>
    </row>
    <row r="29" spans="2:17" ht="15" x14ac:dyDescent="0.2">
      <c r="B29" s="176" t="s">
        <v>505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490</v>
      </c>
      <c r="O29" s="176">
        <v>2020</v>
      </c>
      <c r="Q29" s="185" t="s">
        <v>384</v>
      </c>
    </row>
    <row r="30" spans="2:17" ht="15" x14ac:dyDescent="0.2">
      <c r="B30" s="176" t="s">
        <v>515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499</v>
      </c>
      <c r="O30" s="176">
        <v>2020</v>
      </c>
      <c r="Q30" s="185" t="s">
        <v>384</v>
      </c>
    </row>
    <row r="31" spans="2:17" ht="15" x14ac:dyDescent="0.2">
      <c r="B31" s="176" t="s">
        <v>512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508</v>
      </c>
      <c r="O31" s="176">
        <v>2020</v>
      </c>
      <c r="Q31" s="185" t="s">
        <v>384</v>
      </c>
    </row>
    <row r="32" spans="2:17" ht="15" x14ac:dyDescent="0.2">
      <c r="B32" s="176" t="s">
        <v>516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515</v>
      </c>
      <c r="O32" s="176">
        <v>2020</v>
      </c>
      <c r="Q32" s="185" t="s">
        <v>384</v>
      </c>
    </row>
    <row r="33" spans="2:17" ht="15" x14ac:dyDescent="0.2">
      <c r="B33" s="176" t="s">
        <v>517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518</v>
      </c>
      <c r="O33" s="176">
        <v>2020</v>
      </c>
      <c r="Q33" s="185" t="s">
        <v>384</v>
      </c>
    </row>
    <row r="34" spans="2:17" ht="15" x14ac:dyDescent="0.2">
      <c r="B34" s="176" t="s">
        <v>489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519</v>
      </c>
      <c r="O34" s="176">
        <v>2020</v>
      </c>
      <c r="Q34" s="185" t="s">
        <v>384</v>
      </c>
    </row>
    <row r="35" spans="2:17" ht="15" x14ac:dyDescent="0.2">
      <c r="B35" s="176" t="s">
        <v>498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488</v>
      </c>
      <c r="O35" s="176">
        <v>2020</v>
      </c>
      <c r="Q35" s="185" t="s">
        <v>384</v>
      </c>
    </row>
    <row r="36" spans="2:17" ht="15" x14ac:dyDescent="0.2">
      <c r="B36" s="176" t="s">
        <v>506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503</v>
      </c>
      <c r="O36" s="176">
        <v>2020</v>
      </c>
      <c r="Q36" s="185" t="s">
        <v>385</v>
      </c>
    </row>
    <row r="37" spans="2:17" ht="15" x14ac:dyDescent="0.2">
      <c r="B37" s="176" t="s">
        <v>518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511</v>
      </c>
      <c r="O37" s="176">
        <v>2020</v>
      </c>
      <c r="Q37" s="185" t="s">
        <v>385</v>
      </c>
    </row>
    <row r="38" spans="2:17" ht="15" x14ac:dyDescent="0.2">
      <c r="B38" s="176" t="s">
        <v>513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517</v>
      </c>
      <c r="O38" s="176">
        <v>2020</v>
      </c>
      <c r="Q38" s="185" t="s">
        <v>385</v>
      </c>
    </row>
    <row r="39" spans="2:17" ht="15" x14ac:dyDescent="0.2">
      <c r="B39" s="176" t="s">
        <v>520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521</v>
      </c>
      <c r="O39" s="176">
        <v>2020</v>
      </c>
      <c r="Q39" s="185" t="s">
        <v>385</v>
      </c>
    </row>
    <row r="40" spans="2:17" ht="15" x14ac:dyDescent="0.2">
      <c r="B40" s="176" t="s">
        <v>521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522</v>
      </c>
      <c r="O40" s="176">
        <v>2020</v>
      </c>
      <c r="Q40" s="185" t="s">
        <v>385</v>
      </c>
    </row>
    <row r="41" spans="2:17" ht="15" x14ac:dyDescent="0.2">
      <c r="B41" s="176" t="s">
        <v>491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493</v>
      </c>
      <c r="O41" s="176">
        <v>2020</v>
      </c>
      <c r="Q41" s="185" t="s">
        <v>385</v>
      </c>
    </row>
    <row r="42" spans="2:17" ht="15" x14ac:dyDescent="0.2">
      <c r="B42" s="176" t="s">
        <v>500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502</v>
      </c>
      <c r="O42" s="176">
        <v>2020</v>
      </c>
      <c r="Q42" s="185" t="s">
        <v>385</v>
      </c>
    </row>
    <row r="43" spans="2:17" ht="15" x14ac:dyDescent="0.2">
      <c r="B43" s="176" t="s">
        <v>507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510</v>
      </c>
      <c r="O43" s="176">
        <v>2020</v>
      </c>
      <c r="Q43" s="185" t="s">
        <v>385</v>
      </c>
    </row>
    <row r="44" spans="2:17" ht="15" x14ac:dyDescent="0.2">
      <c r="B44" s="176" t="s">
        <v>519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516</v>
      </c>
      <c r="O44" s="176">
        <v>2020</v>
      </c>
      <c r="Q44" s="185" t="s">
        <v>385</v>
      </c>
    </row>
    <row r="45" spans="2:17" ht="15" x14ac:dyDescent="0.2">
      <c r="B45" s="176" t="s">
        <v>514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520</v>
      </c>
      <c r="O45" s="176">
        <v>2020</v>
      </c>
      <c r="Q45" s="185" t="s">
        <v>385</v>
      </c>
    </row>
    <row r="46" spans="2:17" ht="15" x14ac:dyDescent="0.2">
      <c r="B46" s="176" t="s">
        <v>523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523</v>
      </c>
      <c r="O46" s="176">
        <v>2020</v>
      </c>
      <c r="Q46" s="185" t="s">
        <v>385</v>
      </c>
    </row>
    <row r="47" spans="2:17" ht="15" x14ac:dyDescent="0.2">
      <c r="B47" s="176" t="s">
        <v>522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492</v>
      </c>
      <c r="O47" s="176">
        <v>2020</v>
      </c>
      <c r="Q47" s="187" t="s">
        <v>385</v>
      </c>
    </row>
    <row r="48" spans="2:17" ht="15" x14ac:dyDescent="0.2">
      <c r="B48" s="176" t="s">
        <v>524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525</v>
      </c>
      <c r="O48" s="176">
        <v>2020</v>
      </c>
      <c r="Q48" s="185" t="s">
        <v>382</v>
      </c>
    </row>
    <row r="49" spans="1:17" ht="15" x14ac:dyDescent="0.2">
      <c r="B49" s="176" t="s">
        <v>526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527</v>
      </c>
      <c r="O49" s="176">
        <v>2020</v>
      </c>
      <c r="Q49" s="185" t="s">
        <v>382</v>
      </c>
    </row>
    <row r="50" spans="1:17" ht="15" x14ac:dyDescent="0.2">
      <c r="B50" s="176" t="s">
        <v>528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529</v>
      </c>
      <c r="O50" s="176">
        <v>2020</v>
      </c>
      <c r="Q50" s="185" t="s">
        <v>382</v>
      </c>
    </row>
    <row r="51" spans="1:17" ht="15" x14ac:dyDescent="0.2">
      <c r="B51" s="176" t="s">
        <v>530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531</v>
      </c>
      <c r="O51" s="176">
        <v>2020</v>
      </c>
      <c r="Q51" s="185" t="s">
        <v>382</v>
      </c>
    </row>
    <row r="52" spans="1:17" ht="15" x14ac:dyDescent="0.2">
      <c r="B52" s="176" t="s">
        <v>532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533</v>
      </c>
      <c r="O52" s="176">
        <v>2020</v>
      </c>
      <c r="Q52" s="185" t="s">
        <v>382</v>
      </c>
    </row>
    <row r="53" spans="1:17" ht="15" x14ac:dyDescent="0.2">
      <c r="B53" s="176" t="s">
        <v>534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535</v>
      </c>
      <c r="O53" s="176">
        <v>2020</v>
      </c>
      <c r="Q53" s="185" t="s">
        <v>382</v>
      </c>
    </row>
    <row r="54" spans="1:17" ht="15" x14ac:dyDescent="0.2">
      <c r="B54" s="176" t="s">
        <v>536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537</v>
      </c>
      <c r="O54" s="176">
        <v>2020</v>
      </c>
      <c r="Q54" s="185" t="s">
        <v>382</v>
      </c>
    </row>
    <row r="55" spans="1:17" ht="15" x14ac:dyDescent="0.2">
      <c r="B55" s="176" t="s">
        <v>538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539</v>
      </c>
      <c r="O55" s="176">
        <v>2020</v>
      </c>
      <c r="Q55" s="185" t="s">
        <v>382</v>
      </c>
    </row>
    <row r="56" spans="1:17" ht="15" x14ac:dyDescent="0.2">
      <c r="A56" s="5"/>
      <c r="B56" s="176" t="s">
        <v>540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541</v>
      </c>
      <c r="O56" s="176">
        <v>2020</v>
      </c>
      <c r="Q56" s="185" t="s">
        <v>382</v>
      </c>
    </row>
    <row r="57" spans="1:17" ht="15" x14ac:dyDescent="0.2">
      <c r="A57" s="5"/>
      <c r="B57" s="176" t="s">
        <v>542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543</v>
      </c>
      <c r="O57" s="176">
        <v>2020</v>
      </c>
      <c r="Q57" s="185" t="s">
        <v>382</v>
      </c>
    </row>
    <row r="58" spans="1:17" ht="15" x14ac:dyDescent="0.2">
      <c r="A58" s="5"/>
      <c r="B58" s="176" t="s">
        <v>544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545</v>
      </c>
      <c r="O58" s="176">
        <v>2020</v>
      </c>
      <c r="Q58" s="185" t="s">
        <v>382</v>
      </c>
    </row>
    <row r="59" spans="1:17" ht="15" x14ac:dyDescent="0.2">
      <c r="A59" s="5"/>
      <c r="B59" s="176" t="s">
        <v>546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547</v>
      </c>
      <c r="O59" s="176">
        <v>2020</v>
      </c>
      <c r="Q59" s="185" t="s">
        <v>382</v>
      </c>
    </row>
    <row r="60" spans="1:17" ht="15" x14ac:dyDescent="0.2">
      <c r="A60" s="5"/>
      <c r="B60" s="176" t="s">
        <v>548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549</v>
      </c>
      <c r="O60" s="176">
        <v>2020</v>
      </c>
      <c r="Q60" s="185" t="s">
        <v>382</v>
      </c>
    </row>
    <row r="61" spans="1:17" ht="15" x14ac:dyDescent="0.2">
      <c r="A61" s="5"/>
      <c r="B61" s="176" t="s">
        <v>550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551</v>
      </c>
      <c r="O61" s="176">
        <v>2020</v>
      </c>
      <c r="Q61" s="185" t="s">
        <v>382</v>
      </c>
    </row>
    <row r="62" spans="1:17" ht="15" x14ac:dyDescent="0.2">
      <c r="A62" s="5"/>
      <c r="B62" s="176" t="s">
        <v>552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553</v>
      </c>
      <c r="O62" s="176">
        <v>2020</v>
      </c>
      <c r="Q62" s="185" t="s">
        <v>382</v>
      </c>
    </row>
    <row r="63" spans="1:17" ht="15" x14ac:dyDescent="0.2">
      <c r="A63" s="5"/>
      <c r="B63" s="176" t="s">
        <v>554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555</v>
      </c>
      <c r="O63" s="176">
        <v>2020</v>
      </c>
      <c r="Q63" s="185" t="s">
        <v>382</v>
      </c>
    </row>
    <row r="64" spans="1:17" ht="15" x14ac:dyDescent="0.2">
      <c r="A64" s="5"/>
      <c r="B64" s="176" t="s">
        <v>556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557</v>
      </c>
      <c r="O64" s="176">
        <v>2020</v>
      </c>
      <c r="Q64" s="185" t="s">
        <v>382</v>
      </c>
    </row>
    <row r="65" spans="1:17" ht="15" x14ac:dyDescent="0.2">
      <c r="A65" s="5"/>
      <c r="B65" s="176" t="s">
        <v>558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559</v>
      </c>
      <c r="O65" s="176">
        <v>2020</v>
      </c>
      <c r="Q65" s="185" t="s">
        <v>382</v>
      </c>
    </row>
    <row r="66" spans="1:17" ht="15" x14ac:dyDescent="0.2">
      <c r="A66" s="5"/>
      <c r="B66" s="176" t="s">
        <v>560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561</v>
      </c>
      <c r="O66" s="176">
        <v>2020</v>
      </c>
      <c r="Q66" s="185" t="s">
        <v>384</v>
      </c>
    </row>
    <row r="67" spans="1:17" ht="15" x14ac:dyDescent="0.2">
      <c r="A67" s="5"/>
      <c r="B67" s="176" t="s">
        <v>562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563</v>
      </c>
      <c r="O67" s="176">
        <v>2020</v>
      </c>
      <c r="Q67" s="185" t="s">
        <v>384</v>
      </c>
    </row>
    <row r="68" spans="1:17" ht="15" x14ac:dyDescent="0.2">
      <c r="A68" s="5"/>
      <c r="B68" s="176" t="s">
        <v>564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565</v>
      </c>
      <c r="O68" s="176">
        <v>2020</v>
      </c>
      <c r="Q68" s="185" t="s">
        <v>384</v>
      </c>
    </row>
    <row r="69" spans="1:17" ht="15" x14ac:dyDescent="0.2">
      <c r="A69" s="5"/>
      <c r="B69" s="176" t="s">
        <v>566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567</v>
      </c>
      <c r="O69" s="176">
        <v>2020</v>
      </c>
      <c r="Q69" s="185" t="s">
        <v>384</v>
      </c>
    </row>
    <row r="70" spans="1:17" ht="15" x14ac:dyDescent="0.2">
      <c r="A70" s="5"/>
      <c r="B70" s="176" t="s">
        <v>568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569</v>
      </c>
      <c r="O70" s="176">
        <v>2020</v>
      </c>
      <c r="Q70" s="185" t="s">
        <v>384</v>
      </c>
    </row>
    <row r="71" spans="1:17" ht="15" x14ac:dyDescent="0.2">
      <c r="A71" s="5"/>
      <c r="B71" s="176" t="s">
        <v>570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571</v>
      </c>
      <c r="O71" s="176">
        <v>2020</v>
      </c>
      <c r="Q71" s="185" t="s">
        <v>384</v>
      </c>
    </row>
    <row r="72" spans="1:17" ht="15" x14ac:dyDescent="0.2">
      <c r="A72" s="5"/>
      <c r="B72" s="176" t="s">
        <v>572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573</v>
      </c>
      <c r="O72" s="176">
        <v>2020</v>
      </c>
      <c r="Q72" s="185" t="s">
        <v>384</v>
      </c>
    </row>
    <row r="73" spans="1:17" ht="15" x14ac:dyDescent="0.2">
      <c r="A73" s="5"/>
      <c r="B73" s="176" t="s">
        <v>574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575</v>
      </c>
      <c r="O73" s="176">
        <v>2020</v>
      </c>
      <c r="Q73" s="185" t="s">
        <v>384</v>
      </c>
    </row>
    <row r="74" spans="1:17" ht="15" x14ac:dyDescent="0.2">
      <c r="A74" s="5"/>
      <c r="B74" s="176" t="s">
        <v>576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577</v>
      </c>
      <c r="O74" s="176">
        <v>2020</v>
      </c>
      <c r="Q74" s="185" t="s">
        <v>384</v>
      </c>
    </row>
    <row r="75" spans="1:17" ht="15" x14ac:dyDescent="0.2">
      <c r="A75" s="5"/>
      <c r="B75" s="176" t="s">
        <v>578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579</v>
      </c>
      <c r="O75" s="176">
        <v>2020</v>
      </c>
      <c r="Q75" s="185" t="s">
        <v>384</v>
      </c>
    </row>
    <row r="76" spans="1:17" ht="15" x14ac:dyDescent="0.2">
      <c r="A76" s="5"/>
      <c r="B76" s="176" t="s">
        <v>580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581</v>
      </c>
      <c r="O76" s="176">
        <v>2020</v>
      </c>
      <c r="Q76" s="185" t="s">
        <v>384</v>
      </c>
    </row>
    <row r="77" spans="1:17" ht="15" x14ac:dyDescent="0.2">
      <c r="A77" s="5"/>
      <c r="B77" s="176" t="s">
        <v>582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583</v>
      </c>
      <c r="O77" s="176">
        <v>2020</v>
      </c>
      <c r="Q77" s="185" t="s">
        <v>384</v>
      </c>
    </row>
    <row r="78" spans="1:17" ht="15" x14ac:dyDescent="0.2">
      <c r="A78" s="5"/>
      <c r="B78" s="176" t="s">
        <v>584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585</v>
      </c>
      <c r="O78" s="176">
        <v>2020</v>
      </c>
      <c r="Q78" s="185" t="s">
        <v>385</v>
      </c>
    </row>
    <row r="79" spans="1:17" ht="15" x14ac:dyDescent="0.2">
      <c r="A79" s="5"/>
      <c r="B79" s="176" t="s">
        <v>586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587</v>
      </c>
      <c r="O79" s="176">
        <v>2020</v>
      </c>
      <c r="Q79" s="185" t="s">
        <v>385</v>
      </c>
    </row>
    <row r="80" spans="1:17" ht="15" x14ac:dyDescent="0.2">
      <c r="A80" s="5"/>
      <c r="B80" s="176" t="s">
        <v>588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589</v>
      </c>
      <c r="O80" s="176">
        <v>2020</v>
      </c>
      <c r="Q80" s="185" t="s">
        <v>385</v>
      </c>
    </row>
    <row r="81" spans="1:17" ht="15" x14ac:dyDescent="0.2">
      <c r="A81" s="5"/>
      <c r="B81" s="176" t="s">
        <v>590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591</v>
      </c>
      <c r="O81" s="176">
        <v>2020</v>
      </c>
      <c r="Q81" s="185" t="s">
        <v>385</v>
      </c>
    </row>
    <row r="82" spans="1:17" ht="15" x14ac:dyDescent="0.2">
      <c r="A82" s="5"/>
      <c r="B82" s="176" t="s">
        <v>592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593</v>
      </c>
      <c r="O82" s="176">
        <v>2020</v>
      </c>
      <c r="Q82" s="185" t="s">
        <v>385</v>
      </c>
    </row>
    <row r="83" spans="1:17" ht="15" x14ac:dyDescent="0.2">
      <c r="A83" s="5"/>
      <c r="B83" s="176" t="s">
        <v>594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595</v>
      </c>
      <c r="O83" s="176">
        <v>2020</v>
      </c>
      <c r="Q83" s="185" t="s">
        <v>385</v>
      </c>
    </row>
    <row r="84" spans="1:17" ht="15" x14ac:dyDescent="0.2">
      <c r="A84" s="5"/>
      <c r="B84" s="176" t="s">
        <v>596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597</v>
      </c>
      <c r="O84" s="176">
        <v>2020</v>
      </c>
      <c r="Q84" s="185" t="s">
        <v>385</v>
      </c>
    </row>
    <row r="85" spans="1:17" ht="15" x14ac:dyDescent="0.2">
      <c r="A85" s="5"/>
      <c r="B85" s="176" t="s">
        <v>598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599</v>
      </c>
      <c r="O85" s="176">
        <v>2020</v>
      </c>
      <c r="Q85" s="185" t="s">
        <v>385</v>
      </c>
    </row>
    <row r="86" spans="1:17" ht="15" x14ac:dyDescent="0.2">
      <c r="A86" s="5"/>
      <c r="B86" s="176" t="s">
        <v>600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601</v>
      </c>
      <c r="O86" s="176">
        <v>2020</v>
      </c>
      <c r="Q86" s="185" t="s">
        <v>385</v>
      </c>
    </row>
    <row r="87" spans="1:17" ht="15" x14ac:dyDescent="0.2">
      <c r="A87" s="5"/>
      <c r="B87" s="176" t="s">
        <v>602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603</v>
      </c>
      <c r="O87" s="176">
        <v>2020</v>
      </c>
      <c r="Q87" s="185" t="s">
        <v>385</v>
      </c>
    </row>
    <row r="88" spans="1:17" ht="15" x14ac:dyDescent="0.2">
      <c r="A88" s="5"/>
      <c r="B88" s="176" t="s">
        <v>604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605</v>
      </c>
      <c r="O88" s="176">
        <v>2020</v>
      </c>
      <c r="Q88" s="185" t="s">
        <v>385</v>
      </c>
    </row>
    <row r="89" spans="1:17" ht="15" x14ac:dyDescent="0.2">
      <c r="A89" s="5"/>
      <c r="B89" s="176" t="s">
        <v>606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607</v>
      </c>
      <c r="O89" s="176">
        <v>2020</v>
      </c>
      <c r="Q89" s="187" t="s">
        <v>385</v>
      </c>
    </row>
    <row r="90" spans="1:17" ht="15" x14ac:dyDescent="0.2">
      <c r="A90" s="5"/>
      <c r="B90" s="176" t="s">
        <v>535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538</v>
      </c>
      <c r="O90" s="176">
        <v>2020</v>
      </c>
      <c r="Q90" s="185" t="s">
        <v>382</v>
      </c>
    </row>
    <row r="91" spans="1:17" ht="15" x14ac:dyDescent="0.2">
      <c r="A91" s="5"/>
      <c r="B91" s="176" t="s">
        <v>547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552</v>
      </c>
      <c r="O91" s="176">
        <v>2020</v>
      </c>
      <c r="Q91" s="185" t="s">
        <v>382</v>
      </c>
    </row>
    <row r="92" spans="1:17" ht="15" x14ac:dyDescent="0.2">
      <c r="A92" s="5"/>
      <c r="B92" s="176" t="s">
        <v>559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566</v>
      </c>
      <c r="O92" s="176">
        <v>2020</v>
      </c>
      <c r="Q92" s="185" t="s">
        <v>382</v>
      </c>
    </row>
    <row r="93" spans="1:17" ht="15" x14ac:dyDescent="0.2">
      <c r="A93" s="5"/>
      <c r="B93" s="176" t="s">
        <v>583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580</v>
      </c>
      <c r="O93" s="176">
        <v>2020</v>
      </c>
      <c r="Q93" s="185" t="s">
        <v>382</v>
      </c>
    </row>
    <row r="94" spans="1:17" ht="15" x14ac:dyDescent="0.2">
      <c r="A94" s="5"/>
      <c r="B94" s="176" t="s">
        <v>571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594</v>
      </c>
      <c r="O94" s="176">
        <v>2020</v>
      </c>
      <c r="Q94" s="185" t="s">
        <v>382</v>
      </c>
    </row>
    <row r="95" spans="1:17" ht="15" x14ac:dyDescent="0.2">
      <c r="A95" s="5"/>
      <c r="B95" s="176" t="s">
        <v>607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524</v>
      </c>
      <c r="O95" s="176">
        <v>2020</v>
      </c>
      <c r="Q95" s="185" t="s">
        <v>382</v>
      </c>
    </row>
    <row r="96" spans="1:17" ht="15" x14ac:dyDescent="0.2">
      <c r="A96" s="5"/>
      <c r="B96" s="176" t="s">
        <v>595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540</v>
      </c>
      <c r="O96" s="176">
        <v>2020</v>
      </c>
      <c r="Q96" s="185" t="s">
        <v>382</v>
      </c>
    </row>
    <row r="97" spans="1:17" ht="15" x14ac:dyDescent="0.2">
      <c r="A97" s="5"/>
      <c r="B97" s="176" t="s">
        <v>525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554</v>
      </c>
      <c r="O97" s="176">
        <v>2020</v>
      </c>
      <c r="Q97" s="185" t="s">
        <v>382</v>
      </c>
    </row>
    <row r="98" spans="1:17" ht="15" x14ac:dyDescent="0.2">
      <c r="A98" s="5"/>
      <c r="B98" s="176" t="s">
        <v>537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568</v>
      </c>
      <c r="O98" s="176">
        <v>2020</v>
      </c>
      <c r="Q98" s="185" t="s">
        <v>382</v>
      </c>
    </row>
    <row r="99" spans="1:17" ht="15" x14ac:dyDescent="0.2">
      <c r="A99" s="5"/>
      <c r="B99" s="176" t="s">
        <v>549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582</v>
      </c>
      <c r="O99" s="176">
        <v>2020</v>
      </c>
      <c r="Q99" s="185" t="s">
        <v>382</v>
      </c>
    </row>
    <row r="100" spans="1:17" ht="15" x14ac:dyDescent="0.2">
      <c r="A100" s="5"/>
      <c r="B100" s="176" t="s">
        <v>573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596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561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526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597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542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585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556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527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570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539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584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551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598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575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528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563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546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599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560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587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574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529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588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541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602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553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532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577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544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565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558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601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572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589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586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531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600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543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530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555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550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579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564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567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578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603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592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591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606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533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536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545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548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557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562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581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576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569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590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605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604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593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534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608</v>
      </c>
      <c r="C134" s="185" t="s">
        <v>609</v>
      </c>
      <c r="D134" s="5"/>
      <c r="H134" s="181"/>
      <c r="I134" s="181"/>
      <c r="J134" s="181"/>
      <c r="K134" s="181"/>
    </row>
    <row r="135" spans="1:17" ht="15" x14ac:dyDescent="0.2">
      <c r="B135" s="185" t="s">
        <v>610</v>
      </c>
      <c r="C135" s="185" t="s">
        <v>611</v>
      </c>
      <c r="D135" s="5"/>
    </row>
    <row r="136" spans="1:17" ht="15" x14ac:dyDescent="0.2">
      <c r="B136" s="185" t="s">
        <v>612</v>
      </c>
      <c r="C136" s="185" t="s">
        <v>613</v>
      </c>
      <c r="D136" s="5"/>
    </row>
    <row r="137" spans="1:17" ht="15" x14ac:dyDescent="0.2">
      <c r="B137" s="185" t="s">
        <v>614</v>
      </c>
      <c r="C137" s="185" t="s">
        <v>615</v>
      </c>
      <c r="D137" s="5"/>
    </row>
    <row r="138" spans="1:17" ht="15" x14ac:dyDescent="0.2">
      <c r="B138" s="185" t="s">
        <v>616</v>
      </c>
      <c r="C138" s="185" t="s">
        <v>617</v>
      </c>
      <c r="D138" s="5"/>
    </row>
    <row r="139" spans="1:17" ht="15" x14ac:dyDescent="0.2">
      <c r="B139" s="185" t="s">
        <v>618</v>
      </c>
      <c r="C139" s="185" t="s">
        <v>619</v>
      </c>
      <c r="D139" s="5"/>
    </row>
    <row r="140" spans="1:17" ht="15" x14ac:dyDescent="0.2">
      <c r="B140" s="185" t="s">
        <v>620</v>
      </c>
      <c r="C140" s="185" t="s">
        <v>621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62"/>
  <sheetViews>
    <sheetView zoomScale="80" zoomScaleNormal="80" workbookViewId="0">
      <selection activeCell="AB28" sqref="AB2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19" width="10.7109375" style="5" customWidth="1"/>
    <col min="20" max="20" width="12.5703125" style="5" bestFit="1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0" width="9.7109375" style="5" customWidth="1"/>
    <col min="31" max="31" width="12.28515625" style="5" customWidth="1"/>
    <col min="32" max="32" width="10.7109375" style="5" customWidth="1"/>
    <col min="33" max="34" width="9.140625" style="5"/>
    <col min="35" max="35" width="24.28515625" style="5" customWidth="1"/>
    <col min="36" max="36" width="23.42578125" style="5" bestFit="1" customWidth="1"/>
    <col min="37" max="37" width="57.140625" style="5" bestFit="1" customWidth="1"/>
    <col min="38" max="39" width="9.140625" style="5"/>
    <col min="40" max="40" width="13" style="5" bestFit="1" customWidth="1"/>
    <col min="41" max="16384" width="9.140625" style="5"/>
  </cols>
  <sheetData>
    <row r="2" spans="3:41" x14ac:dyDescent="0.2">
      <c r="G2" s="51" t="s">
        <v>26</v>
      </c>
    </row>
    <row r="3" spans="3:41" ht="45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3" t="s">
        <v>635</v>
      </c>
      <c r="H3" s="63" t="s">
        <v>636</v>
      </c>
      <c r="I3" s="63" t="s">
        <v>637</v>
      </c>
      <c r="J3" s="63" t="s">
        <v>638</v>
      </c>
      <c r="K3" s="63" t="s">
        <v>639</v>
      </c>
      <c r="L3" s="63" t="s">
        <v>640</v>
      </c>
      <c r="M3" s="63" t="s">
        <v>641</v>
      </c>
      <c r="N3" s="63" t="s">
        <v>642</v>
      </c>
      <c r="O3" s="63" t="s">
        <v>643</v>
      </c>
      <c r="P3" s="63" t="s">
        <v>644</v>
      </c>
      <c r="Q3" s="63" t="s">
        <v>645</v>
      </c>
      <c r="R3" s="63" t="s">
        <v>646</v>
      </c>
      <c r="S3" s="64" t="s">
        <v>33</v>
      </c>
      <c r="T3" s="64" t="s">
        <v>312</v>
      </c>
      <c r="U3" s="63" t="s">
        <v>662</v>
      </c>
      <c r="V3" s="63" t="s">
        <v>324</v>
      </c>
      <c r="W3" s="63" t="s">
        <v>325</v>
      </c>
      <c r="X3" s="63" t="s">
        <v>326</v>
      </c>
      <c r="Y3" s="63" t="s">
        <v>81</v>
      </c>
      <c r="Z3" s="63" t="s">
        <v>82</v>
      </c>
      <c r="AA3" s="63" t="s">
        <v>746</v>
      </c>
      <c r="AB3" s="63" t="s">
        <v>747</v>
      </c>
      <c r="AC3" s="63" t="s">
        <v>748</v>
      </c>
      <c r="AD3" s="63" t="s">
        <v>665</v>
      </c>
      <c r="AE3" s="63" t="s">
        <v>313</v>
      </c>
      <c r="AF3" s="63" t="s">
        <v>733</v>
      </c>
      <c r="AG3" s="63" t="s">
        <v>314</v>
      </c>
    </row>
    <row r="4" spans="3:41" ht="38.25" x14ac:dyDescent="0.2">
      <c r="C4" s="62" t="s">
        <v>744</v>
      </c>
      <c r="D4" s="62" t="s">
        <v>42</v>
      </c>
      <c r="E4" s="62" t="s">
        <v>316</v>
      </c>
      <c r="F4" s="62" t="s">
        <v>317</v>
      </c>
      <c r="G4" s="519" t="s">
        <v>721</v>
      </c>
      <c r="H4" s="520"/>
      <c r="I4" s="520"/>
      <c r="J4" s="521"/>
      <c r="K4" s="519" t="s">
        <v>319</v>
      </c>
      <c r="L4" s="520"/>
      <c r="M4" s="520"/>
      <c r="N4" s="521"/>
      <c r="O4" s="519" t="s">
        <v>320</v>
      </c>
      <c r="P4" s="520"/>
      <c r="Q4" s="520"/>
      <c r="R4" s="521"/>
      <c r="S4" s="519" t="s">
        <v>321</v>
      </c>
      <c r="T4" s="521"/>
      <c r="U4" s="522" t="s">
        <v>322</v>
      </c>
      <c r="V4" s="523"/>
      <c r="W4" s="523"/>
      <c r="X4" s="524"/>
      <c r="Y4" s="106"/>
      <c r="Z4" s="106"/>
      <c r="AA4" s="114" t="s">
        <v>622</v>
      </c>
      <c r="AB4" s="117" t="s">
        <v>622</v>
      </c>
      <c r="AC4" s="117" t="s">
        <v>622</v>
      </c>
      <c r="AD4" s="117" t="s">
        <v>664</v>
      </c>
      <c r="AE4" s="106" t="s">
        <v>116</v>
      </c>
      <c r="AF4" s="106" t="s">
        <v>323</v>
      </c>
      <c r="AG4" s="106"/>
      <c r="AI4" s="56" t="s">
        <v>27</v>
      </c>
      <c r="AJ4" s="57"/>
      <c r="AK4" s="57"/>
      <c r="AL4" s="57"/>
      <c r="AM4" s="57"/>
      <c r="AN4" s="57"/>
      <c r="AO4" s="57"/>
    </row>
    <row r="5" spans="3:41" ht="15.75" thickBot="1" x14ac:dyDescent="0.25">
      <c r="C5" s="60" t="s">
        <v>743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I5" s="58" t="s">
        <v>34</v>
      </c>
      <c r="AJ5" s="58" t="s">
        <v>28</v>
      </c>
      <c r="AK5" s="58" t="s">
        <v>29</v>
      </c>
      <c r="AL5" s="58" t="s">
        <v>35</v>
      </c>
      <c r="AM5" s="58" t="s">
        <v>36</v>
      </c>
      <c r="AN5" s="58" t="s">
        <v>37</v>
      </c>
      <c r="AO5" s="58" t="s">
        <v>301</v>
      </c>
    </row>
    <row r="6" spans="3:41" ht="33.75" x14ac:dyDescent="0.2">
      <c r="C6" s="83" t="s">
        <v>735</v>
      </c>
      <c r="D6" s="84"/>
      <c r="E6" s="84"/>
      <c r="F6" s="85"/>
      <c r="G6" s="513" t="s">
        <v>45</v>
      </c>
      <c r="H6" s="514"/>
      <c r="I6" s="514"/>
      <c r="J6" s="515"/>
      <c r="K6" s="514" t="s">
        <v>45</v>
      </c>
      <c r="L6" s="514"/>
      <c r="M6" s="514"/>
      <c r="N6" s="515"/>
      <c r="O6" s="513" t="s">
        <v>45</v>
      </c>
      <c r="P6" s="514"/>
      <c r="Q6" s="514"/>
      <c r="R6" s="515"/>
      <c r="S6" s="513" t="s">
        <v>302</v>
      </c>
      <c r="T6" s="515"/>
      <c r="U6" s="513" t="s">
        <v>969</v>
      </c>
      <c r="V6" s="514"/>
      <c r="W6" s="514"/>
      <c r="X6" s="515"/>
      <c r="Y6" s="107" t="s">
        <v>981</v>
      </c>
      <c r="Z6" s="107" t="s">
        <v>329</v>
      </c>
      <c r="AA6" s="115" t="s">
        <v>45</v>
      </c>
      <c r="AB6" s="107" t="s">
        <v>45</v>
      </c>
      <c r="AC6" s="107" t="s">
        <v>45</v>
      </c>
      <c r="AD6" s="107"/>
      <c r="AE6" s="116" t="s">
        <v>749</v>
      </c>
      <c r="AF6" s="107" t="s">
        <v>45</v>
      </c>
      <c r="AG6" s="107" t="s">
        <v>330</v>
      </c>
      <c r="AI6" s="285" t="s">
        <v>303</v>
      </c>
      <c r="AJ6" s="285" t="s">
        <v>304</v>
      </c>
      <c r="AK6" s="285" t="s">
        <v>42</v>
      </c>
      <c r="AL6" s="285" t="s">
        <v>305</v>
      </c>
      <c r="AM6" s="285" t="s">
        <v>306</v>
      </c>
      <c r="AN6" s="285" t="s">
        <v>307</v>
      </c>
      <c r="AO6" s="285" t="s">
        <v>308</v>
      </c>
    </row>
    <row r="7" spans="3:41" ht="15" x14ac:dyDescent="0.25">
      <c r="C7" s="75" t="str">
        <f>"R-SH_Apt"&amp;"_"&amp;RIGHT(E7,3)&amp;"_N1"</f>
        <v>R-SH_Apt_KER_N1</v>
      </c>
      <c r="D7" s="65" t="s">
        <v>332</v>
      </c>
      <c r="E7" s="135" t="s">
        <v>722</v>
      </c>
      <c r="F7" s="102" t="s">
        <v>369</v>
      </c>
      <c r="G7" s="323">
        <v>1</v>
      </c>
      <c r="H7" s="324">
        <v>1</v>
      </c>
      <c r="I7" s="324">
        <v>1</v>
      </c>
      <c r="J7" s="325">
        <v>1</v>
      </c>
      <c r="K7" s="92"/>
      <c r="L7" s="93"/>
      <c r="M7" s="93"/>
      <c r="N7" s="94"/>
      <c r="O7" s="323"/>
      <c r="P7" s="324"/>
      <c r="Q7" s="324"/>
      <c r="R7" s="325"/>
      <c r="S7" s="98">
        <v>20</v>
      </c>
      <c r="T7" s="135"/>
      <c r="U7" s="464">
        <f>U9*1.3</f>
        <v>3.6270000000000002</v>
      </c>
      <c r="V7" s="464">
        <f t="shared" ref="V7:X7" si="0">V9*1.3</f>
        <v>3.6270000000000002</v>
      </c>
      <c r="W7" s="464">
        <f t="shared" si="0"/>
        <v>3.6270000000000002</v>
      </c>
      <c r="X7" s="464">
        <f t="shared" si="0"/>
        <v>3.6270000000000002</v>
      </c>
      <c r="Y7" s="464">
        <v>0.12</v>
      </c>
      <c r="Z7" s="134"/>
      <c r="AA7" s="337"/>
      <c r="AB7" s="337"/>
      <c r="AC7" s="337"/>
      <c r="AD7" s="337"/>
      <c r="AE7" s="131">
        <v>1</v>
      </c>
      <c r="AF7" s="134"/>
      <c r="AG7" s="134">
        <v>2020</v>
      </c>
      <c r="AI7" s="152" t="s">
        <v>38</v>
      </c>
      <c r="AJ7" s="151" t="str">
        <f>C7</f>
        <v>R-SH_Apt_KER_N1</v>
      </c>
      <c r="AK7" s="151" t="str">
        <f>D7</f>
        <v>Residential Kerosene Heating Oil - New 1 SH</v>
      </c>
      <c r="AL7" s="152" t="s">
        <v>16</v>
      </c>
      <c r="AM7" s="152" t="s">
        <v>434</v>
      </c>
      <c r="AN7" s="152"/>
      <c r="AO7" s="152" t="s">
        <v>309</v>
      </c>
    </row>
    <row r="8" spans="3:41" ht="15" x14ac:dyDescent="0.25">
      <c r="C8" s="69" t="str">
        <f>"R-SW_Apt"&amp;"_"&amp;RIGHT(E8,3)&amp;"_N1"</f>
        <v>R-SW_Apt_KER_N1</v>
      </c>
      <c r="D8" s="68" t="s">
        <v>333</v>
      </c>
      <c r="E8" s="70" t="s">
        <v>722</v>
      </c>
      <c r="F8" s="103" t="s">
        <v>715</v>
      </c>
      <c r="G8" s="320">
        <v>1</v>
      </c>
      <c r="H8" s="321">
        <v>1</v>
      </c>
      <c r="I8" s="321">
        <v>1</v>
      </c>
      <c r="J8" s="322">
        <v>1</v>
      </c>
      <c r="K8" s="90"/>
      <c r="L8" s="78"/>
      <c r="M8" s="78"/>
      <c r="N8" s="91"/>
      <c r="O8" s="320">
        <f>G8*0.7</f>
        <v>0.7</v>
      </c>
      <c r="P8" s="321">
        <f t="shared" ref="P8" si="1">H8*0.7</f>
        <v>0.7</v>
      </c>
      <c r="Q8" s="321">
        <f t="shared" ref="Q8" si="2">I8*0.7</f>
        <v>0.7</v>
      </c>
      <c r="R8" s="322">
        <f t="shared" ref="R8" si="3">J8*0.7</f>
        <v>0.7</v>
      </c>
      <c r="S8" s="99">
        <v>20</v>
      </c>
      <c r="T8" s="70"/>
      <c r="U8" s="465">
        <f>U10*1.3</f>
        <v>3.6576075949367097</v>
      </c>
      <c r="V8" s="465">
        <f t="shared" ref="V8:X8" si="4">V10*1.3</f>
        <v>3.6576075949367097</v>
      </c>
      <c r="W8" s="465">
        <f t="shared" si="4"/>
        <v>3.6576075949367097</v>
      </c>
      <c r="X8" s="465">
        <f t="shared" si="4"/>
        <v>3.6576075949367097</v>
      </c>
      <c r="Y8" s="465">
        <v>0.12</v>
      </c>
      <c r="Z8" s="112"/>
      <c r="AA8" s="119"/>
      <c r="AB8" s="119"/>
      <c r="AC8" s="119"/>
      <c r="AD8" s="119"/>
      <c r="AE8" s="109">
        <v>1</v>
      </c>
      <c r="AF8" s="112"/>
      <c r="AG8" s="112">
        <v>2020</v>
      </c>
      <c r="AI8" s="152"/>
      <c r="AJ8" s="151" t="str">
        <f t="shared" ref="AJ8:AJ13" si="5">C8</f>
        <v>R-SW_Apt_KER_N1</v>
      </c>
      <c r="AK8" s="151" t="str">
        <f t="shared" ref="AK8:AK13" si="6">D8</f>
        <v>Residential Kerosene Heating Oil - New 2 SH + WH</v>
      </c>
      <c r="AL8" s="152" t="s">
        <v>16</v>
      </c>
      <c r="AM8" s="152" t="s">
        <v>434</v>
      </c>
      <c r="AN8" s="152"/>
      <c r="AO8" s="152" t="s">
        <v>309</v>
      </c>
    </row>
    <row r="9" spans="3:41" ht="15" x14ac:dyDescent="0.25">
      <c r="C9" s="75" t="str">
        <f>"R-SH_Apt"&amp;"_"&amp;RIGHT(E9,3)&amp;"_N1"</f>
        <v>R-SH_Apt_GAS_N1</v>
      </c>
      <c r="D9" s="86" t="s">
        <v>331</v>
      </c>
      <c r="E9" s="76" t="s">
        <v>727</v>
      </c>
      <c r="F9" s="104" t="s">
        <v>369</v>
      </c>
      <c r="G9" s="317">
        <v>1</v>
      </c>
      <c r="H9" s="318">
        <v>1</v>
      </c>
      <c r="I9" s="318">
        <v>1</v>
      </c>
      <c r="J9" s="319">
        <v>1</v>
      </c>
      <c r="K9" s="88"/>
      <c r="L9" s="77"/>
      <c r="M9" s="77"/>
      <c r="N9" s="89"/>
      <c r="O9" s="317"/>
      <c r="P9" s="318"/>
      <c r="Q9" s="318"/>
      <c r="R9" s="319"/>
      <c r="S9" s="100">
        <v>22</v>
      </c>
      <c r="T9" s="76"/>
      <c r="U9" s="464">
        <f>2.79</f>
        <v>2.79</v>
      </c>
      <c r="V9" s="464">
        <f t="shared" ref="V9:X11" si="7">2.79</f>
        <v>2.79</v>
      </c>
      <c r="W9" s="464">
        <f t="shared" si="7"/>
        <v>2.79</v>
      </c>
      <c r="X9" s="464">
        <f t="shared" si="7"/>
        <v>2.79</v>
      </c>
      <c r="Y9" s="464">
        <v>0.12</v>
      </c>
      <c r="Z9" s="111"/>
      <c r="AA9" s="118"/>
      <c r="AB9" s="118"/>
      <c r="AC9" s="118"/>
      <c r="AD9" s="118"/>
      <c r="AE9" s="108">
        <v>1</v>
      </c>
      <c r="AF9" s="111"/>
      <c r="AG9" s="111">
        <v>2020</v>
      </c>
      <c r="AI9" s="152"/>
      <c r="AJ9" s="151" t="str">
        <f t="shared" si="5"/>
        <v>R-SH_Apt_GAS_N1</v>
      </c>
      <c r="AK9" s="151" t="str">
        <f t="shared" si="6"/>
        <v>Residential Natural Gas Heating - New 1 SH</v>
      </c>
      <c r="AL9" s="152" t="s">
        <v>16</v>
      </c>
      <c r="AM9" s="152" t="s">
        <v>434</v>
      </c>
      <c r="AN9" s="152"/>
      <c r="AO9" s="152" t="s">
        <v>309</v>
      </c>
    </row>
    <row r="10" spans="3:41" ht="15" x14ac:dyDescent="0.25">
      <c r="C10" s="69" t="str">
        <f>"R-SW_Apt"&amp;"_"&amp;RIGHT(E10,3)&amp;"_N1"</f>
        <v>R-SW_Apt_GAS_N1</v>
      </c>
      <c r="D10" s="68" t="s">
        <v>335</v>
      </c>
      <c r="E10" s="70" t="s">
        <v>727</v>
      </c>
      <c r="F10" s="103" t="s">
        <v>715</v>
      </c>
      <c r="G10" s="320">
        <v>1</v>
      </c>
      <c r="H10" s="321">
        <v>1</v>
      </c>
      <c r="I10" s="321">
        <v>1</v>
      </c>
      <c r="J10" s="322">
        <v>1</v>
      </c>
      <c r="K10" s="90"/>
      <c r="L10" s="78"/>
      <c r="M10" s="78"/>
      <c r="N10" s="91"/>
      <c r="O10" s="320">
        <f>G10*0.7</f>
        <v>0.7</v>
      </c>
      <c r="P10" s="321">
        <f t="shared" ref="P10" si="8">H10*0.7</f>
        <v>0.7</v>
      </c>
      <c r="Q10" s="321">
        <f t="shared" ref="Q10" si="9">I10*0.7</f>
        <v>0.7</v>
      </c>
      <c r="R10" s="322">
        <f t="shared" ref="R10" si="10">J10*0.7</f>
        <v>0.7</v>
      </c>
      <c r="S10" s="99">
        <v>22</v>
      </c>
      <c r="T10" s="70"/>
      <c r="U10" s="465">
        <f>U9*($T$146/$T$145)</f>
        <v>2.8135443037974688</v>
      </c>
      <c r="V10" s="465">
        <f t="shared" ref="V10:X10" si="11">V9*($T$146/$T$145)</f>
        <v>2.8135443037974688</v>
      </c>
      <c r="W10" s="465">
        <f t="shared" si="11"/>
        <v>2.8135443037974688</v>
      </c>
      <c r="X10" s="465">
        <f t="shared" si="11"/>
        <v>2.8135443037974688</v>
      </c>
      <c r="Y10" s="465">
        <v>0.12</v>
      </c>
      <c r="Z10" s="112"/>
      <c r="AA10" s="119"/>
      <c r="AB10" s="119"/>
      <c r="AC10" s="119"/>
      <c r="AD10" s="119"/>
      <c r="AE10" s="109">
        <v>1</v>
      </c>
      <c r="AF10" s="112"/>
      <c r="AG10" s="112">
        <v>2020</v>
      </c>
      <c r="AI10" s="152"/>
      <c r="AJ10" s="151" t="str">
        <f t="shared" si="5"/>
        <v>R-SW_Apt_GAS_N1</v>
      </c>
      <c r="AK10" s="151" t="str">
        <f t="shared" si="6"/>
        <v>Residential Natural Gas Heating - New 2 SH + WH</v>
      </c>
      <c r="AL10" s="152" t="s">
        <v>16</v>
      </c>
      <c r="AM10" s="152" t="s">
        <v>434</v>
      </c>
      <c r="AN10" s="152"/>
      <c r="AO10" s="152" t="s">
        <v>309</v>
      </c>
    </row>
    <row r="11" spans="3:41" ht="15" x14ac:dyDescent="0.25">
      <c r="C11" s="75" t="str">
        <f>"R-SH_Apt"&amp;"_"&amp;RIGHT(E11,3)&amp;"_N1"</f>
        <v>R-SH_Apt_LPG_N1</v>
      </c>
      <c r="D11" s="86" t="s">
        <v>339</v>
      </c>
      <c r="E11" s="76" t="s">
        <v>723</v>
      </c>
      <c r="F11" s="104" t="s">
        <v>369</v>
      </c>
      <c r="G11" s="317">
        <v>1</v>
      </c>
      <c r="H11" s="318">
        <v>1</v>
      </c>
      <c r="I11" s="318">
        <v>1</v>
      </c>
      <c r="J11" s="319">
        <v>1</v>
      </c>
      <c r="K11" s="88"/>
      <c r="L11" s="77"/>
      <c r="M11" s="77"/>
      <c r="N11" s="89"/>
      <c r="O11" s="317"/>
      <c r="P11" s="318"/>
      <c r="Q11" s="318"/>
      <c r="R11" s="319"/>
      <c r="S11" s="100">
        <v>22</v>
      </c>
      <c r="T11" s="76"/>
      <c r="U11" s="464">
        <f>2.79</f>
        <v>2.79</v>
      </c>
      <c r="V11" s="464">
        <f t="shared" si="7"/>
        <v>2.79</v>
      </c>
      <c r="W11" s="464">
        <f t="shared" si="7"/>
        <v>2.79</v>
      </c>
      <c r="X11" s="464">
        <f t="shared" si="7"/>
        <v>2.79</v>
      </c>
      <c r="Y11" s="464">
        <v>0.12</v>
      </c>
      <c r="Z11" s="111"/>
      <c r="AA11" s="118"/>
      <c r="AB11" s="118"/>
      <c r="AC11" s="118"/>
      <c r="AD11" s="118"/>
      <c r="AE11" s="108">
        <v>1</v>
      </c>
      <c r="AF11" s="111"/>
      <c r="AG11" s="111">
        <v>2020</v>
      </c>
      <c r="AI11" s="152"/>
      <c r="AJ11" s="151" t="str">
        <f t="shared" si="5"/>
        <v>R-SH_Apt_LPG_N1</v>
      </c>
      <c r="AK11" s="151" t="str">
        <f t="shared" si="6"/>
        <v>Residential Liquid Petroleum Gas- New 1 SH</v>
      </c>
      <c r="AL11" s="152" t="s">
        <v>16</v>
      </c>
      <c r="AM11" s="152" t="s">
        <v>434</v>
      </c>
      <c r="AN11" s="152"/>
      <c r="AO11" s="152" t="s">
        <v>309</v>
      </c>
    </row>
    <row r="12" spans="3:41" ht="15" x14ac:dyDescent="0.25">
      <c r="C12" s="69" t="str">
        <f>"R-SW_Apt"&amp;"_"&amp;RIGHT(E12,3)&amp;"_N1"</f>
        <v>R-SW_Apt_LPG_N1</v>
      </c>
      <c r="D12" s="68" t="s">
        <v>340</v>
      </c>
      <c r="E12" s="70" t="s">
        <v>723</v>
      </c>
      <c r="F12" s="103" t="s">
        <v>715</v>
      </c>
      <c r="G12" s="320">
        <v>1</v>
      </c>
      <c r="H12" s="321">
        <v>1</v>
      </c>
      <c r="I12" s="321">
        <v>1</v>
      </c>
      <c r="J12" s="322">
        <v>1</v>
      </c>
      <c r="K12" s="90"/>
      <c r="L12" s="78"/>
      <c r="M12" s="78"/>
      <c r="N12" s="91"/>
      <c r="O12" s="320">
        <f>G12*0.7</f>
        <v>0.7</v>
      </c>
      <c r="P12" s="321">
        <f t="shared" ref="P12:R12" si="12">H12*0.7</f>
        <v>0.7</v>
      </c>
      <c r="Q12" s="321">
        <f t="shared" si="12"/>
        <v>0.7</v>
      </c>
      <c r="R12" s="322">
        <f t="shared" si="12"/>
        <v>0.7</v>
      </c>
      <c r="S12" s="99">
        <v>22</v>
      </c>
      <c r="T12" s="70"/>
      <c r="U12" s="465">
        <f>U11*($T$146/$T$145)</f>
        <v>2.8135443037974688</v>
      </c>
      <c r="V12" s="465">
        <f t="shared" ref="V12:X12" si="13">V11*($T$146/$T$145)</f>
        <v>2.8135443037974688</v>
      </c>
      <c r="W12" s="465">
        <f t="shared" si="13"/>
        <v>2.8135443037974688</v>
      </c>
      <c r="X12" s="465">
        <f t="shared" si="13"/>
        <v>2.8135443037974688</v>
      </c>
      <c r="Y12" s="465">
        <v>0.12</v>
      </c>
      <c r="Z12" s="112"/>
      <c r="AA12" s="119"/>
      <c r="AB12" s="119"/>
      <c r="AC12" s="119"/>
      <c r="AD12" s="119"/>
      <c r="AE12" s="109">
        <v>1</v>
      </c>
      <c r="AF12" s="112"/>
      <c r="AG12" s="112">
        <v>2020</v>
      </c>
      <c r="AI12" s="152"/>
      <c r="AJ12" s="151" t="str">
        <f t="shared" si="5"/>
        <v>R-SW_Apt_LPG_N1</v>
      </c>
      <c r="AK12" s="151" t="str">
        <f t="shared" si="6"/>
        <v>Residential Liquid Petroleum Gas- New 2 SH + WH</v>
      </c>
      <c r="AL12" s="152" t="s">
        <v>16</v>
      </c>
      <c r="AM12" s="152" t="s">
        <v>434</v>
      </c>
      <c r="AN12" s="152"/>
      <c r="AO12" s="152" t="s">
        <v>309</v>
      </c>
    </row>
    <row r="13" spans="3:41" ht="15" x14ac:dyDescent="0.25">
      <c r="C13" s="75" t="str">
        <f>"R-SH_Apt"&amp;"_"&amp;RIGHT(E13,3)&amp;"_N1"</f>
        <v>R-SH_Apt_WOO_N1</v>
      </c>
      <c r="D13" s="86" t="s">
        <v>341</v>
      </c>
      <c r="E13" s="76" t="s">
        <v>726</v>
      </c>
      <c r="F13" s="104" t="s">
        <v>369</v>
      </c>
      <c r="G13" s="317">
        <v>1</v>
      </c>
      <c r="H13" s="318">
        <v>1</v>
      </c>
      <c r="I13" s="318">
        <v>1</v>
      </c>
      <c r="J13" s="319">
        <v>1</v>
      </c>
      <c r="K13" s="88"/>
      <c r="L13" s="77"/>
      <c r="M13" s="77"/>
      <c r="N13" s="89"/>
      <c r="O13" s="317"/>
      <c r="P13" s="318"/>
      <c r="Q13" s="318"/>
      <c r="R13" s="319"/>
      <c r="S13" s="100">
        <v>20</v>
      </c>
      <c r="T13" s="76"/>
      <c r="U13" s="464">
        <v>6.25</v>
      </c>
      <c r="V13" s="464">
        <v>6.25</v>
      </c>
      <c r="W13" s="464">
        <f>V13*1.1</f>
        <v>6.8750000000000009</v>
      </c>
      <c r="X13" s="464">
        <f>V13*1.1</f>
        <v>6.8750000000000009</v>
      </c>
      <c r="Y13" s="464">
        <v>0.25</v>
      </c>
      <c r="Z13" s="111"/>
      <c r="AA13" s="118"/>
      <c r="AB13" s="118"/>
      <c r="AC13" s="118"/>
      <c r="AD13" s="118"/>
      <c r="AE13" s="108">
        <v>1</v>
      </c>
      <c r="AF13" s="111"/>
      <c r="AG13" s="111">
        <v>2020</v>
      </c>
      <c r="AI13" s="152"/>
      <c r="AJ13" s="151" t="str">
        <f t="shared" si="5"/>
        <v>R-SH_Apt_WOO_N1</v>
      </c>
      <c r="AK13" s="151" t="str">
        <f t="shared" si="6"/>
        <v>Residential Biomass Boiler - New 1 SH</v>
      </c>
      <c r="AL13" s="152" t="s">
        <v>16</v>
      </c>
      <c r="AM13" s="152" t="s">
        <v>434</v>
      </c>
      <c r="AN13" s="152"/>
      <c r="AO13" s="152" t="s">
        <v>309</v>
      </c>
    </row>
    <row r="14" spans="3:41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726</v>
      </c>
      <c r="F14" s="103" t="s">
        <v>715</v>
      </c>
      <c r="G14" s="320">
        <v>1</v>
      </c>
      <c r="H14" s="321">
        <v>1</v>
      </c>
      <c r="I14" s="321">
        <v>1</v>
      </c>
      <c r="J14" s="322">
        <v>1</v>
      </c>
      <c r="K14" s="90"/>
      <c r="L14" s="78"/>
      <c r="M14" s="78"/>
      <c r="N14" s="91"/>
      <c r="O14" s="320">
        <f t="shared" ref="O14:R14" si="14">G14*0.7</f>
        <v>0.7</v>
      </c>
      <c r="P14" s="321">
        <f t="shared" si="14"/>
        <v>0.7</v>
      </c>
      <c r="Q14" s="321">
        <f t="shared" si="14"/>
        <v>0.7</v>
      </c>
      <c r="R14" s="322">
        <f t="shared" si="14"/>
        <v>0.7</v>
      </c>
      <c r="S14" s="99">
        <v>20</v>
      </c>
      <c r="T14" s="70"/>
      <c r="U14" s="465">
        <f>(JRC_Data!BB11/1000)*($T$146/$T$147)</f>
        <v>6.6663223140495873</v>
      </c>
      <c r="V14" s="465">
        <f>(JRC_Data!BC11/1000)*($T$146/$T$147)</f>
        <v>6.6663223140495873</v>
      </c>
      <c r="W14" s="465">
        <f>(JRC_Data!BD11/1000)*($T$146/$T$147)</f>
        <v>7.4070247933884303</v>
      </c>
      <c r="X14" s="465">
        <f>(JRC_Data!BE11/1000)*($T$146/$T$147)</f>
        <v>7.4070247933884303</v>
      </c>
      <c r="Y14" s="465">
        <v>0.25</v>
      </c>
      <c r="Z14" s="112"/>
      <c r="AA14" s="119"/>
      <c r="AB14" s="119"/>
      <c r="AC14" s="119"/>
      <c r="AD14" s="119"/>
      <c r="AE14" s="109">
        <v>1</v>
      </c>
      <c r="AF14" s="112"/>
      <c r="AG14" s="112">
        <v>2020</v>
      </c>
      <c r="AI14" s="155"/>
      <c r="AJ14" s="154" t="str">
        <f>C14</f>
        <v>R-SW_Apt_WOO_N1</v>
      </c>
      <c r="AK14" s="154" t="str">
        <f>D14</f>
        <v>Residential Biomass Boiler - New 2 SH + WH</v>
      </c>
      <c r="AL14" s="155" t="s">
        <v>16</v>
      </c>
      <c r="AM14" s="155" t="s">
        <v>434</v>
      </c>
      <c r="AN14" s="155"/>
      <c r="AO14" s="155" t="s">
        <v>309</v>
      </c>
    </row>
    <row r="15" spans="3:41" ht="15.75" thickBot="1" x14ac:dyDescent="0.3">
      <c r="C15" s="79" t="s">
        <v>736</v>
      </c>
      <c r="D15" s="79"/>
      <c r="E15" s="80"/>
      <c r="F15" s="80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0"/>
      <c r="T15" s="80"/>
      <c r="U15" s="79"/>
      <c r="V15" s="79"/>
      <c r="W15" s="79"/>
      <c r="X15" s="79"/>
      <c r="Y15" s="79"/>
      <c r="Z15" s="80"/>
      <c r="AA15" s="82"/>
      <c r="AB15" s="82"/>
      <c r="AC15" s="82"/>
      <c r="AD15" s="82"/>
      <c r="AE15" s="79"/>
      <c r="AF15" s="80"/>
      <c r="AG15" s="80"/>
      <c r="AI15" s="156"/>
      <c r="AJ15" s="157" t="str">
        <f>C16</f>
        <v>R-SH_Apt_ELC_N1</v>
      </c>
      <c r="AK15" s="157" t="str">
        <f>D16</f>
        <v>Residential Electric Heater - New 1 SH</v>
      </c>
      <c r="AL15" s="156" t="s">
        <v>16</v>
      </c>
      <c r="AM15" s="156" t="s">
        <v>434</v>
      </c>
      <c r="AN15" s="156"/>
      <c r="AO15" s="156" t="s">
        <v>309</v>
      </c>
    </row>
    <row r="16" spans="3:41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27" t="s">
        <v>369</v>
      </c>
      <c r="G16" s="326">
        <v>1</v>
      </c>
      <c r="H16" s="327">
        <v>1</v>
      </c>
      <c r="I16" s="327">
        <v>1</v>
      </c>
      <c r="J16" s="328">
        <v>1</v>
      </c>
      <c r="K16" s="120"/>
      <c r="L16" s="121"/>
      <c r="M16" s="121"/>
      <c r="N16" s="122"/>
      <c r="O16" s="120"/>
      <c r="P16" s="121"/>
      <c r="Q16" s="121"/>
      <c r="R16" s="122"/>
      <c r="S16" s="167">
        <v>20</v>
      </c>
      <c r="T16" s="124"/>
      <c r="U16" s="125">
        <f>(JRC_Data!BB48/1000)*($T$145/$T$147)</f>
        <v>3.9173553719008263</v>
      </c>
      <c r="V16" s="125">
        <f>(JRC_Data!BC48/1000)*($T$145/$T$147)</f>
        <v>3.9173553719008263</v>
      </c>
      <c r="W16" s="125">
        <f>(JRC_Data!BD48/1000)*($T$145/$T$147)</f>
        <v>3.9173553719008263</v>
      </c>
      <c r="X16" s="125">
        <f>(JRC_Data!BE48/1000)*($T$145/$T$147)</f>
        <v>3.9173553719008263</v>
      </c>
      <c r="Y16" s="128">
        <f>JRC_Data!BL48/1000</f>
        <v>0.05</v>
      </c>
      <c r="Z16" s="129"/>
      <c r="AA16" s="130"/>
      <c r="AB16" s="130"/>
      <c r="AC16" s="130"/>
      <c r="AD16" s="130"/>
      <c r="AE16" s="128">
        <v>1</v>
      </c>
      <c r="AF16" s="129"/>
      <c r="AG16" s="129">
        <v>2020</v>
      </c>
      <c r="AI16" s="150"/>
      <c r="AJ16" s="149" t="str">
        <f t="shared" ref="AJ16:AK19" si="15">C18</f>
        <v>R-SH_Apt_ELC_HPN1</v>
      </c>
      <c r="AK16" s="149" t="str">
        <f t="shared" si="15"/>
        <v>Residential Electric Heat Pump - Air to Air - SH</v>
      </c>
      <c r="AL16" s="150" t="s">
        <v>16</v>
      </c>
      <c r="AM16" s="150" t="s">
        <v>434</v>
      </c>
      <c r="AN16" s="150"/>
      <c r="AO16" s="150" t="s">
        <v>309</v>
      </c>
    </row>
    <row r="17" spans="3:41" ht="15" x14ac:dyDescent="0.25">
      <c r="C17" s="79" t="s">
        <v>737</v>
      </c>
      <c r="D17" s="79"/>
      <c r="E17" s="80"/>
      <c r="F17" s="80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0"/>
      <c r="T17" s="80"/>
      <c r="U17" s="79"/>
      <c r="V17" s="79"/>
      <c r="W17" s="79"/>
      <c r="X17" s="79"/>
      <c r="Y17" s="79"/>
      <c r="Z17" s="80"/>
      <c r="AA17" s="82"/>
      <c r="AB17" s="82"/>
      <c r="AC17" s="82"/>
      <c r="AD17" s="82"/>
      <c r="AE17" s="79"/>
      <c r="AF17" s="80"/>
      <c r="AG17" s="80"/>
      <c r="AI17" s="152"/>
      <c r="AJ17" s="151" t="str">
        <f t="shared" si="15"/>
        <v>R-HC_Apt_ELC_HPN1</v>
      </c>
      <c r="AK17" s="151" t="str">
        <f t="shared" si="15"/>
        <v>Residential Electric Heat Pump - Air to Air - SH + SC</v>
      </c>
      <c r="AL17" s="152" t="s">
        <v>16</v>
      </c>
      <c r="AM17" s="152" t="s">
        <v>434</v>
      </c>
      <c r="AN17" s="152"/>
      <c r="AO17" s="152" t="s">
        <v>309</v>
      </c>
    </row>
    <row r="18" spans="3:41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02" t="s">
        <v>369</v>
      </c>
      <c r="G18" s="65">
        <v>1</v>
      </c>
      <c r="H18" s="66">
        <f>JRC_Data!AD16/JRC_Data!$AC$16</f>
        <v>1.0666666666666667</v>
      </c>
      <c r="I18" s="66">
        <f>JRC_Data!AE16/JRC_Data!$AC$16</f>
        <v>1.2333333333333334</v>
      </c>
      <c r="J18" s="102">
        <f>JRC_Data!AF16/JRC_Data!$AC$16</f>
        <v>1.3333333333333333</v>
      </c>
      <c r="K18" s="65"/>
      <c r="L18" s="66"/>
      <c r="M18" s="66"/>
      <c r="N18" s="102"/>
      <c r="O18" s="65"/>
      <c r="P18" s="66"/>
      <c r="Q18" s="66"/>
      <c r="R18" s="102"/>
      <c r="S18" s="98">
        <v>20</v>
      </c>
      <c r="T18" s="135"/>
      <c r="U18" s="86">
        <f>(JRC_Data!BB16/1000)*($T$145/$T$148)</f>
        <v>2.1281632653061227</v>
      </c>
      <c r="V18" s="86">
        <f>(JRC_Data!BC16/1000)*($T$145/$T$148)</f>
        <v>2.0314285714285716</v>
      </c>
      <c r="W18" s="86">
        <f>(JRC_Data!BD16/1000)*($T$145/$T$148)</f>
        <v>1.8379591836734692</v>
      </c>
      <c r="X18" s="86">
        <f>(JRC_Data!BE16/1000)*($T$145/$T$148)</f>
        <v>1.7412244897959184</v>
      </c>
      <c r="Y18" s="86">
        <f>JRC_Data!BL16/1000</f>
        <v>3.4000000000000002E-2</v>
      </c>
      <c r="Z18" s="134"/>
      <c r="AA18" s="337"/>
      <c r="AB18" s="337"/>
      <c r="AC18" s="337"/>
      <c r="AD18" s="337"/>
      <c r="AE18" s="131">
        <v>1</v>
      </c>
      <c r="AF18" s="134"/>
      <c r="AG18" s="134">
        <v>2100</v>
      </c>
      <c r="AI18" s="152"/>
      <c r="AJ18" s="151" t="str">
        <f t="shared" si="15"/>
        <v>R-SH_Apt_ELC_HPN2</v>
      </c>
      <c r="AK18" s="151" t="str">
        <f t="shared" si="15"/>
        <v>Residential Electric Heat Pump - Air to Water - SH</v>
      </c>
      <c r="AL18" s="152" t="s">
        <v>16</v>
      </c>
      <c r="AM18" s="152" t="s">
        <v>434</v>
      </c>
      <c r="AN18" s="152"/>
      <c r="AO18" s="152" t="s">
        <v>309</v>
      </c>
    </row>
    <row r="19" spans="3:41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103" t="s">
        <v>716</v>
      </c>
      <c r="G19" s="68">
        <v>1</v>
      </c>
      <c r="H19" s="69">
        <f>JRC_Data!AD16/JRC_Data!$AC$16</f>
        <v>1.0666666666666667</v>
      </c>
      <c r="I19" s="69">
        <f>JRC_Data!AE16/JRC_Data!$AC$16</f>
        <v>1.2333333333333334</v>
      </c>
      <c r="J19" s="103">
        <f>JRC_Data!AF16/JRC_Data!$AC$16</f>
        <v>1.3333333333333333</v>
      </c>
      <c r="K19" s="68">
        <v>1</v>
      </c>
      <c r="L19" s="69">
        <f>JRC_Data!AD16/JRC_Data!$AC$16</f>
        <v>1.0666666666666667</v>
      </c>
      <c r="M19" s="69">
        <f>JRC_Data!AE16/JRC_Data!$AC$16</f>
        <v>1.2333333333333334</v>
      </c>
      <c r="N19" s="103">
        <f>JRC_Data!AF16/JRC_Data!$AC$16</f>
        <v>1.3333333333333333</v>
      </c>
      <c r="O19" s="68"/>
      <c r="P19" s="69"/>
      <c r="Q19" s="69"/>
      <c r="R19" s="103"/>
      <c r="S19" s="99">
        <v>20</v>
      </c>
      <c r="T19" s="70"/>
      <c r="U19" s="68">
        <f>(JRC_Data!BB16/1000)*($T$146/$T$148)</f>
        <v>2.1461224489795923</v>
      </c>
      <c r="V19" s="68">
        <f>(JRC_Data!BC16/1000)*($T$146/$T$148)</f>
        <v>2.0485714285714289</v>
      </c>
      <c r="W19" s="68">
        <f>(JRC_Data!BD16/1000)*($T$146/$T$148)</f>
        <v>1.8534693877551021</v>
      </c>
      <c r="X19" s="68">
        <f>(JRC_Data!BE16/1000)*($T$146/$T$148)</f>
        <v>1.755918367346939</v>
      </c>
      <c r="Y19" s="68">
        <f>JRC_Data!BL16/1000</f>
        <v>3.4000000000000002E-2</v>
      </c>
      <c r="Z19" s="112"/>
      <c r="AA19" s="119"/>
      <c r="AB19" s="119"/>
      <c r="AC19" s="119"/>
      <c r="AD19" s="119"/>
      <c r="AE19" s="109">
        <v>1</v>
      </c>
      <c r="AF19" s="112"/>
      <c r="AG19" s="112">
        <v>2100</v>
      </c>
      <c r="AI19" s="152"/>
      <c r="AJ19" s="151" t="str">
        <f t="shared" si="15"/>
        <v>R-SW_Apt_ELC_HPN1</v>
      </c>
      <c r="AK19" s="151" t="str">
        <f t="shared" si="15"/>
        <v>Residential Electric Heat Pump - Air to Water - SH + WH</v>
      </c>
      <c r="AL19" s="152" t="s">
        <v>16</v>
      </c>
      <c r="AM19" s="152" t="s">
        <v>434</v>
      </c>
      <c r="AN19" s="152"/>
      <c r="AO19" s="152" t="s">
        <v>309</v>
      </c>
    </row>
    <row r="20" spans="3:41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104" t="s">
        <v>369</v>
      </c>
      <c r="G20" s="86">
        <f>JRC_Data!AC18/JRC_Data!$AC$16</f>
        <v>1</v>
      </c>
      <c r="H20" s="75">
        <f>JRC_Data!AD18/JRC_Data!$AC$16</f>
        <v>1.0999999999999999</v>
      </c>
      <c r="I20" s="75">
        <f>JRC_Data!AE18/JRC_Data!$AC$16</f>
        <v>1.2333333333333334</v>
      </c>
      <c r="J20" s="104">
        <f>JRC_Data!AF18/JRC_Data!$AC$16</f>
        <v>1.3333333333333333</v>
      </c>
      <c r="K20" s="86"/>
      <c r="L20" s="75"/>
      <c r="M20" s="75"/>
      <c r="N20" s="104"/>
      <c r="O20" s="86"/>
      <c r="P20" s="75"/>
      <c r="Q20" s="75"/>
      <c r="R20" s="104"/>
      <c r="S20" s="100">
        <v>20</v>
      </c>
      <c r="T20" s="76"/>
      <c r="U20" s="464">
        <v>7.5039999999999996</v>
      </c>
      <c r="V20" s="464">
        <f>U20*0.91</f>
        <v>6.82864</v>
      </c>
      <c r="W20" s="464">
        <f>V20*0.91</f>
        <v>6.2140624000000004</v>
      </c>
      <c r="X20" s="464">
        <f>U20*0.82</f>
        <v>6.1532799999999996</v>
      </c>
      <c r="Y20" s="464">
        <v>0.1</v>
      </c>
      <c r="Z20" s="111"/>
      <c r="AA20" s="119"/>
      <c r="AB20" s="119"/>
      <c r="AC20" s="118"/>
      <c r="AD20" s="118"/>
      <c r="AE20" s="108">
        <v>1</v>
      </c>
      <c r="AF20" s="111"/>
      <c r="AG20" s="111">
        <v>2020</v>
      </c>
      <c r="AI20" s="286"/>
      <c r="AJ20" s="151" t="str">
        <f>C22</f>
        <v>R-SH_Apt_ELC_HPN3</v>
      </c>
      <c r="AK20" s="151" t="str">
        <f>D22</f>
        <v>Residential Electric Heat Pump - Ground to Water - SH</v>
      </c>
      <c r="AL20" s="152" t="s">
        <v>16</v>
      </c>
      <c r="AM20" s="152" t="s">
        <v>434</v>
      </c>
      <c r="AN20" s="152"/>
      <c r="AO20" s="152" t="s">
        <v>309</v>
      </c>
    </row>
    <row r="21" spans="3:41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103" t="s">
        <v>715</v>
      </c>
      <c r="G21" s="68">
        <f>JRC_Data!AC18/JRC_Data!$AC$16</f>
        <v>1</v>
      </c>
      <c r="H21" s="69">
        <f>JRC_Data!AD18/JRC_Data!$AC$16</f>
        <v>1.0999999999999999</v>
      </c>
      <c r="I21" s="69">
        <f>JRC_Data!AE18/JRC_Data!$AC$16</f>
        <v>1.2333333333333334</v>
      </c>
      <c r="J21" s="103">
        <f>JRC_Data!AF18/JRC_Data!$AC$16</f>
        <v>1.3333333333333333</v>
      </c>
      <c r="K21" s="68"/>
      <c r="L21" s="69"/>
      <c r="M21" s="69"/>
      <c r="N21" s="103"/>
      <c r="O21" s="68">
        <f>G21*0.7</f>
        <v>0.7</v>
      </c>
      <c r="P21" s="69">
        <f t="shared" ref="P21:R21" si="16">H21*0.7</f>
        <v>0.76999999999999991</v>
      </c>
      <c r="Q21" s="69">
        <f t="shared" si="16"/>
        <v>0.86333333333333329</v>
      </c>
      <c r="R21" s="103">
        <f t="shared" si="16"/>
        <v>0.93333333333333324</v>
      </c>
      <c r="S21" s="99">
        <v>20</v>
      </c>
      <c r="T21" s="70"/>
      <c r="U21" s="465">
        <f>U20*($T$146/$T$145)</f>
        <v>7.5673248945147682</v>
      </c>
      <c r="V21" s="465">
        <f t="shared" ref="V21:X21" si="17">V20*($T$146/$T$145)</f>
        <v>6.8862656540084393</v>
      </c>
      <c r="W21" s="465">
        <f t="shared" si="17"/>
        <v>6.2665017451476803</v>
      </c>
      <c r="X21" s="465">
        <f t="shared" si="17"/>
        <v>6.2052064135021103</v>
      </c>
      <c r="Y21" s="465">
        <v>0.1</v>
      </c>
      <c r="Z21" s="112"/>
      <c r="AA21" s="119"/>
      <c r="AB21" s="119"/>
      <c r="AC21" s="119"/>
      <c r="AD21" s="119"/>
      <c r="AE21" s="109">
        <v>1</v>
      </c>
      <c r="AF21" s="112"/>
      <c r="AG21" s="112">
        <v>2020</v>
      </c>
      <c r="AI21" s="158"/>
      <c r="AJ21" s="154" t="str">
        <f>C23</f>
        <v>R-HC_Apt_ELC_HPN2</v>
      </c>
      <c r="AK21" s="154" t="str">
        <f>D23</f>
        <v>Residential Electric Heat Pump - Ground to Water - SH + SC</v>
      </c>
      <c r="AL21" s="155" t="s">
        <v>16</v>
      </c>
      <c r="AM21" s="155" t="s">
        <v>434</v>
      </c>
      <c r="AN21" s="155"/>
      <c r="AO21" s="155" t="s">
        <v>309</v>
      </c>
    </row>
    <row r="22" spans="3:41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103" t="s">
        <v>369</v>
      </c>
      <c r="G22" s="86">
        <f>JRC_Data!AC20/JRC_Data!$AC$16</f>
        <v>1.0999999999999999</v>
      </c>
      <c r="H22" s="75">
        <f>JRC_Data!AD20/JRC_Data!$AC$16</f>
        <v>1.1666666666666667</v>
      </c>
      <c r="I22" s="75">
        <f>JRC_Data!AE20/JRC_Data!$AC$16</f>
        <v>1.3333333333333333</v>
      </c>
      <c r="J22" s="104">
        <f>JRC_Data!AF20/JRC_Data!$AC$16</f>
        <v>1.5</v>
      </c>
      <c r="K22" s="86"/>
      <c r="L22" s="75"/>
      <c r="M22" s="75"/>
      <c r="N22" s="104"/>
      <c r="O22" s="86"/>
      <c r="P22" s="75"/>
      <c r="Q22" s="75"/>
      <c r="R22" s="104"/>
      <c r="S22" s="100">
        <v>20</v>
      </c>
      <c r="T22" s="76"/>
      <c r="U22" s="86">
        <f>(JRC_Data!BB20/1000)*($T$145/$T$148)</f>
        <v>13.542857142857143</v>
      </c>
      <c r="V22" s="86">
        <f>(JRC_Data!BC20/1000)*($T$145/$T$148)</f>
        <v>12.575510204081631</v>
      </c>
      <c r="W22" s="86">
        <f>(JRC_Data!BD20/1000)*($T$145/$T$148)</f>
        <v>11.608163265306121</v>
      </c>
      <c r="X22" s="86">
        <f>(JRC_Data!BE20/1000)*($T$145/$T$148)</f>
        <v>10.640816326530611</v>
      </c>
      <c r="Y22" s="86">
        <f>JRC_Data!BL20/1000</f>
        <v>0.2</v>
      </c>
      <c r="Z22" s="111"/>
      <c r="AA22" s="118"/>
      <c r="AB22" s="118"/>
      <c r="AC22" s="118"/>
      <c r="AD22" s="118"/>
      <c r="AE22" s="108">
        <v>1</v>
      </c>
      <c r="AF22" s="111"/>
      <c r="AG22" s="111">
        <v>2020</v>
      </c>
      <c r="AI22" s="159"/>
      <c r="AJ22" s="149" t="str">
        <f>C25</f>
        <v>R-SW_Apt_GAS_HPN1</v>
      </c>
      <c r="AK22" s="149" t="str">
        <f>D25</f>
        <v>Residential Gas Absorption Heat Pump - Air to Water - SH + WH</v>
      </c>
      <c r="AL22" s="150" t="s">
        <v>16</v>
      </c>
      <c r="AM22" s="150" t="s">
        <v>434</v>
      </c>
      <c r="AN22" s="150"/>
      <c r="AO22" s="150" t="s">
        <v>309</v>
      </c>
    </row>
    <row r="23" spans="3:41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41" t="s">
        <v>716</v>
      </c>
      <c r="G23" s="68">
        <f>JRC_Data!AC20/JRC_Data!$AC$16</f>
        <v>1.0999999999999999</v>
      </c>
      <c r="H23" s="69">
        <f>JRC_Data!AD20/JRC_Data!$AC$16</f>
        <v>1.1666666666666667</v>
      </c>
      <c r="I23" s="69">
        <f>JRC_Data!AE20/JRC_Data!$AC$16</f>
        <v>1.3333333333333333</v>
      </c>
      <c r="J23" s="103">
        <f>JRC_Data!AF20/JRC_Data!$AC$16</f>
        <v>1.5</v>
      </c>
      <c r="K23" s="68">
        <v>1</v>
      </c>
      <c r="L23" s="69">
        <f>JRC_Data!AD20/JRC_Data!$AC$16</f>
        <v>1.1666666666666667</v>
      </c>
      <c r="M23" s="69">
        <f>JRC_Data!AE20/JRC_Data!$AC$16</f>
        <v>1.3333333333333333</v>
      </c>
      <c r="N23" s="103">
        <f>JRC_Data!AF20/JRC_Data!$AC$16</f>
        <v>1.5</v>
      </c>
      <c r="O23" s="68"/>
      <c r="P23" s="69"/>
      <c r="Q23" s="69"/>
      <c r="R23" s="103"/>
      <c r="S23" s="99">
        <v>20</v>
      </c>
      <c r="T23" s="70"/>
      <c r="U23" s="68">
        <f>(JRC_Data!BB20/1000)*($T$146/$T$148)</f>
        <v>13.657142857142858</v>
      </c>
      <c r="V23" s="68">
        <f>(JRC_Data!BC20/1000)*($T$146/$T$148)</f>
        <v>12.681632653061225</v>
      </c>
      <c r="W23" s="68">
        <f>(JRC_Data!BD20/1000)*($T$146/$T$148)</f>
        <v>11.706122448979592</v>
      </c>
      <c r="X23" s="68">
        <f>(JRC_Data!BE20/1000)*($T$146/$T$148)</f>
        <v>10.73061224489796</v>
      </c>
      <c r="Y23" s="68">
        <f>JRC_Data!BL20/1000</f>
        <v>0.2</v>
      </c>
      <c r="Z23" s="112"/>
      <c r="AA23" s="119"/>
      <c r="AB23" s="119"/>
      <c r="AC23" s="119"/>
      <c r="AD23" s="119"/>
      <c r="AE23" s="109">
        <v>1</v>
      </c>
      <c r="AF23" s="112"/>
      <c r="AG23" s="112">
        <v>2020</v>
      </c>
      <c r="AI23" s="287"/>
      <c r="AJ23" s="154" t="str">
        <f>C26</f>
        <v>R-SW_Apt_GAS_HPN2</v>
      </c>
      <c r="AK23" s="154" t="str">
        <f>D26</f>
        <v>Residential Gas Engine Heat Pump - Air to Water - SH + WH</v>
      </c>
      <c r="AL23" s="155" t="s">
        <v>16</v>
      </c>
      <c r="AM23" s="155" t="s">
        <v>434</v>
      </c>
      <c r="AN23" s="155"/>
      <c r="AO23" s="155" t="s">
        <v>309</v>
      </c>
    </row>
    <row r="24" spans="3:41" ht="15.75" thickBot="1" x14ac:dyDescent="0.3">
      <c r="C24" s="79" t="s">
        <v>738</v>
      </c>
      <c r="D24" s="79"/>
      <c r="E24" s="80"/>
      <c r="F24" s="80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0"/>
      <c r="T24" s="80"/>
      <c r="U24" s="79"/>
      <c r="V24" s="79"/>
      <c r="W24" s="79"/>
      <c r="X24" s="79"/>
      <c r="Y24" s="79"/>
      <c r="Z24" s="133"/>
      <c r="AA24" s="82"/>
      <c r="AB24" s="82"/>
      <c r="AC24" s="82"/>
      <c r="AD24" s="82"/>
      <c r="AE24" s="79"/>
      <c r="AF24" s="80"/>
      <c r="AG24" s="80"/>
      <c r="AI24" s="288"/>
      <c r="AJ24" s="157" t="str">
        <f>C28</f>
        <v>R-SW_Apt_GAS_HHPN1</v>
      </c>
      <c r="AK24" s="157" t="str">
        <f>D28</f>
        <v>Residential Gas Hybrid Heat Pump - Air to Water - SH + WH</v>
      </c>
      <c r="AL24" s="156" t="s">
        <v>16</v>
      </c>
      <c r="AM24" s="156" t="s">
        <v>434</v>
      </c>
      <c r="AN24" s="156"/>
      <c r="AO24" s="156" t="s">
        <v>309</v>
      </c>
    </row>
    <row r="25" spans="3:41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727</v>
      </c>
      <c r="F25" s="135" t="s">
        <v>715</v>
      </c>
      <c r="G25" s="65">
        <v>1</v>
      </c>
      <c r="H25" s="66">
        <f>JRC_Data!AD28/JRC_Data!$AC$28</f>
        <v>1.074074074074074</v>
      </c>
      <c r="I25" s="66">
        <f>JRC_Data!AE28/JRC_Data!$AC$28</f>
        <v>1.2592592592592591</v>
      </c>
      <c r="J25" s="66">
        <f>JRC_Data!AF28/JRC_Data!$AC$28</f>
        <v>1.2592592592592591</v>
      </c>
      <c r="K25" s="92"/>
      <c r="L25" s="93"/>
      <c r="M25" s="93"/>
      <c r="N25" s="94"/>
      <c r="O25" s="65">
        <f>G25*0.7</f>
        <v>0.7</v>
      </c>
      <c r="P25" s="66">
        <f t="shared" ref="P25:R25" si="18">H25*0.7</f>
        <v>0.75185185185185177</v>
      </c>
      <c r="Q25" s="66">
        <f t="shared" si="18"/>
        <v>0.88148148148148131</v>
      </c>
      <c r="R25" s="102">
        <f t="shared" si="18"/>
        <v>0.88148148148148131</v>
      </c>
      <c r="S25" s="135">
        <v>22</v>
      </c>
      <c r="T25" s="94"/>
      <c r="U25" s="65">
        <f>(JRC_Data!BB28/1000)*($T$146/$T$149)</f>
        <v>14.395366795366796</v>
      </c>
      <c r="V25" s="65">
        <f>(JRC_Data!BC28/1000)*($T$146/$T$149)</f>
        <v>13.472586872586874</v>
      </c>
      <c r="W25" s="65">
        <f>(JRC_Data!BD28/1000)*($T$146/$T$149)</f>
        <v>11.627027027027028</v>
      </c>
      <c r="X25" s="65">
        <f>(JRC_Data!BE28/1000)*($T$146/$T$149)</f>
        <v>11.627027027027028</v>
      </c>
      <c r="Y25" s="131">
        <f>JRC_Data!BL28/1000</f>
        <v>0.23499999999999999</v>
      </c>
      <c r="Z25" s="131"/>
      <c r="AA25" s="102"/>
      <c r="AB25" s="131"/>
      <c r="AC25" s="131"/>
      <c r="AD25" s="131"/>
      <c r="AE25" s="131">
        <v>1</v>
      </c>
      <c r="AF25" s="134"/>
      <c r="AG25" s="134">
        <v>2020</v>
      </c>
      <c r="AI25" s="289"/>
      <c r="AJ25" s="149" t="str">
        <f>C30</f>
        <v>R-SW_Apt_HET_N1</v>
      </c>
      <c r="AK25" s="149" t="str">
        <f>D30</f>
        <v>Residential District Heating Centralized - SH + WH</v>
      </c>
      <c r="AL25" s="150" t="s">
        <v>16</v>
      </c>
      <c r="AM25" s="150" t="s">
        <v>434</v>
      </c>
      <c r="AN25" s="150"/>
      <c r="AO25" s="150" t="s">
        <v>309</v>
      </c>
    </row>
    <row r="26" spans="3:41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727</v>
      </c>
      <c r="F26" s="73" t="s">
        <v>715</v>
      </c>
      <c r="G26" s="68">
        <f>JRC_Data!AC30/JRC_Data!$AC$28</f>
        <v>1.1111111111111109</v>
      </c>
      <c r="H26" s="68">
        <f>JRC_Data!AD30/JRC_Data!$AC$28</f>
        <v>1.1481481481481481</v>
      </c>
      <c r="I26" s="68">
        <f>JRC_Data!AE30/JRC_Data!$AC$28</f>
        <v>1.1481481481481481</v>
      </c>
      <c r="J26" s="68">
        <f>JRC_Data!AF30/JRC_Data!$AC$28</f>
        <v>1.1851851851851851</v>
      </c>
      <c r="K26" s="95"/>
      <c r="L26" s="96"/>
      <c r="M26" s="96"/>
      <c r="N26" s="97"/>
      <c r="O26" s="329">
        <f>G26*0.7</f>
        <v>0.77777777777777757</v>
      </c>
      <c r="P26" s="72">
        <f t="shared" ref="P26" si="19">H26*0.7</f>
        <v>0.8037037037037037</v>
      </c>
      <c r="Q26" s="72">
        <f t="shared" ref="Q26" si="20">I26*0.7</f>
        <v>0.8037037037037037</v>
      </c>
      <c r="R26" s="105">
        <f t="shared" ref="R26" si="21">J26*0.7</f>
        <v>0.82962962962962949</v>
      </c>
      <c r="S26" s="73">
        <v>15</v>
      </c>
      <c r="T26" s="97"/>
      <c r="U26" s="329">
        <f>(JRC_Data!BB30/1000)*($T$146/$T$149)</f>
        <v>43.832046332046332</v>
      </c>
      <c r="V26" s="329">
        <f>(JRC_Data!BC30/1000)*($T$146/$T$149)</f>
        <v>43.832046332046332</v>
      </c>
      <c r="W26" s="329">
        <f>(JRC_Data!BD30/1000)*($T$146/$T$149)</f>
        <v>43.832046332046332</v>
      </c>
      <c r="X26" s="329">
        <f>(JRC_Data!BE30/1000)*($T$146/$T$149)</f>
        <v>43.832046332046332</v>
      </c>
      <c r="Y26" s="110">
        <f>JRC_Data!BL30/1000</f>
        <v>0.23499999999999999</v>
      </c>
      <c r="Z26" s="110"/>
      <c r="AA26" s="105"/>
      <c r="AB26" s="110"/>
      <c r="AC26" s="110"/>
      <c r="AD26" s="110"/>
      <c r="AE26" s="110">
        <v>1</v>
      </c>
      <c r="AF26" s="113"/>
      <c r="AG26" s="113">
        <v>2020</v>
      </c>
      <c r="AI26" s="160"/>
      <c r="AJ26" s="154" t="str">
        <f>C31</f>
        <v>R-SW_Apt_HET_N2</v>
      </c>
      <c r="AK26" s="154" t="str">
        <f>D31</f>
        <v>Residential District Heating Decentralized - SH + WH</v>
      </c>
      <c r="AL26" s="155" t="s">
        <v>16</v>
      </c>
      <c r="AM26" s="155" t="s">
        <v>434</v>
      </c>
      <c r="AN26" s="155"/>
      <c r="AO26" s="155" t="s">
        <v>309</v>
      </c>
    </row>
    <row r="27" spans="3:41" ht="15" x14ac:dyDescent="0.25">
      <c r="C27" s="79" t="s">
        <v>739</v>
      </c>
      <c r="D27" s="79"/>
      <c r="E27" s="80"/>
      <c r="F27" s="80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0"/>
      <c r="T27" s="80"/>
      <c r="U27" s="79"/>
      <c r="V27" s="79"/>
      <c r="W27" s="79"/>
      <c r="X27" s="79"/>
      <c r="Y27" s="79"/>
      <c r="Z27" s="80"/>
      <c r="AA27" s="82"/>
      <c r="AB27" s="82"/>
      <c r="AC27" s="82"/>
      <c r="AD27" s="82"/>
      <c r="AE27" s="79"/>
      <c r="AF27" s="80"/>
      <c r="AG27" s="80"/>
      <c r="AI27" s="289"/>
      <c r="AJ27" s="149" t="str">
        <f t="shared" ref="AJ27:AK28" si="22">C33</f>
        <v>R-WH_Apt_ELC_N1</v>
      </c>
      <c r="AK27" s="149" t="str">
        <f t="shared" si="22"/>
        <v xml:space="preserve">Residential Electric Water Heater </v>
      </c>
      <c r="AL27" s="150" t="s">
        <v>16</v>
      </c>
      <c r="AM27" s="150" t="s">
        <v>434</v>
      </c>
      <c r="AN27" s="150"/>
      <c r="AO27" s="150" t="s">
        <v>309</v>
      </c>
    </row>
    <row r="28" spans="3:41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731</v>
      </c>
      <c r="F28" s="144" t="s">
        <v>715</v>
      </c>
      <c r="G28" s="330">
        <v>1</v>
      </c>
      <c r="H28" s="331">
        <v>1.048</v>
      </c>
      <c r="I28" s="331">
        <v>1.097</v>
      </c>
      <c r="J28" s="331">
        <v>1.161</v>
      </c>
      <c r="K28" s="95"/>
      <c r="L28" s="96"/>
      <c r="M28" s="96"/>
      <c r="N28" s="97"/>
      <c r="O28" s="330">
        <f>G28*0.7</f>
        <v>0.7</v>
      </c>
      <c r="P28" s="331">
        <f t="shared" ref="P28:R28" si="23">H28*0.7</f>
        <v>0.73360000000000003</v>
      </c>
      <c r="Q28" s="331">
        <f t="shared" si="23"/>
        <v>0.76789999999999992</v>
      </c>
      <c r="R28" s="332">
        <f t="shared" si="23"/>
        <v>0.81269999999999998</v>
      </c>
      <c r="S28" s="333">
        <v>20</v>
      </c>
      <c r="T28" s="334"/>
      <c r="U28" s="125">
        <f>((JRC_Data!BB18+JRC_Data!BB9*0.8)/1000)*($T$145/$T$148)</f>
        <v>13.736326530612244</v>
      </c>
      <c r="V28" s="125">
        <f>((JRC_Data!BC18+JRC_Data!BC9*0.8)/1000)*($T$145/$T$148)</f>
        <v>12.768979591836732</v>
      </c>
      <c r="W28" s="125">
        <f>((JRC_Data!BD18+JRC_Data!BD9*0.8)/1000)*($T$145/$T$148)</f>
        <v>12.768979591836732</v>
      </c>
      <c r="X28" s="125">
        <f>((JRC_Data!BE18+JRC_Data!BE9*0.8)/1000)*($T$145/$T$148)</f>
        <v>11.801632653061223</v>
      </c>
      <c r="Y28" s="338">
        <f>(JRC_Data!BL9+JRC_Data!BL18)*0.8/1000</f>
        <v>0.308</v>
      </c>
      <c r="Z28" s="129"/>
      <c r="AA28" s="130"/>
      <c r="AB28" s="130"/>
      <c r="AC28" s="130">
        <v>0.3</v>
      </c>
      <c r="AD28" s="112">
        <v>5</v>
      </c>
      <c r="AE28" s="128">
        <v>1</v>
      </c>
      <c r="AF28" s="129"/>
      <c r="AG28" s="129">
        <v>2020</v>
      </c>
      <c r="AI28" s="4"/>
      <c r="AJ28" s="151" t="str">
        <f t="shared" si="22"/>
        <v>R-WH_Apt_SOL_N1</v>
      </c>
      <c r="AK28" s="151" t="str">
        <f t="shared" si="22"/>
        <v xml:space="preserve">Residential Solar Water Heater </v>
      </c>
      <c r="AL28" s="152" t="s">
        <v>16</v>
      </c>
      <c r="AM28" s="152" t="s">
        <v>434</v>
      </c>
      <c r="AN28" s="152"/>
      <c r="AO28" s="152" t="s">
        <v>309</v>
      </c>
    </row>
    <row r="29" spans="3:41" ht="15.75" thickBot="1" x14ac:dyDescent="0.3">
      <c r="C29" s="79" t="s">
        <v>740</v>
      </c>
      <c r="D29" s="79"/>
      <c r="E29" s="80"/>
      <c r="F29" s="80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0"/>
      <c r="T29" s="80"/>
      <c r="U29" s="79" t="s">
        <v>986</v>
      </c>
      <c r="V29" s="79"/>
      <c r="W29" s="79"/>
      <c r="X29" s="79"/>
      <c r="Y29" s="79"/>
      <c r="Z29" s="80"/>
      <c r="AA29" s="82"/>
      <c r="AB29" s="82"/>
      <c r="AC29" s="82"/>
      <c r="AD29" s="82"/>
      <c r="AE29" s="79"/>
      <c r="AF29" s="80"/>
      <c r="AG29" s="80"/>
      <c r="AI29" s="4"/>
      <c r="AJ29" s="151" t="str">
        <f>C36</f>
        <v>R-SC_Apt_ELC_N1</v>
      </c>
      <c r="AK29" s="151" t="str">
        <f>D36</f>
        <v>Room Residential Electric Air Conditioning</v>
      </c>
      <c r="AL29" s="150" t="s">
        <v>16</v>
      </c>
      <c r="AM29" s="150" t="s">
        <v>434</v>
      </c>
      <c r="AN29" s="150"/>
      <c r="AO29" s="150" t="s">
        <v>309</v>
      </c>
    </row>
    <row r="30" spans="3:41" ht="15" x14ac:dyDescent="0.25">
      <c r="C30" s="65" t="str">
        <f>"R-SW_Apt"&amp;"_"&amp;RIGHT(E30,3)&amp;"_N1"</f>
        <v>R-SW_Apt_HET_N1</v>
      </c>
      <c r="D30" s="66" t="s">
        <v>355</v>
      </c>
      <c r="E30" s="135" t="s">
        <v>714</v>
      </c>
      <c r="F30" s="67" t="s">
        <v>715</v>
      </c>
      <c r="G30" s="323">
        <v>1</v>
      </c>
      <c r="H30" s="324">
        <v>1</v>
      </c>
      <c r="I30" s="324">
        <v>1</v>
      </c>
      <c r="J30" s="325">
        <v>1</v>
      </c>
      <c r="K30" s="92"/>
      <c r="L30" s="93"/>
      <c r="M30" s="93"/>
      <c r="N30" s="94"/>
      <c r="O30" s="323">
        <v>1</v>
      </c>
      <c r="P30" s="324">
        <v>1</v>
      </c>
      <c r="Q30" s="324">
        <v>1</v>
      </c>
      <c r="R30" s="325">
        <v>1</v>
      </c>
      <c r="S30" s="98">
        <v>20</v>
      </c>
      <c r="T30" s="94"/>
      <c r="U30" s="65">
        <f>(JRC_Data!BB62/1000)*($T$146/$T$144)</f>
        <v>2.6555555555555554</v>
      </c>
      <c r="V30" s="65">
        <f>(JRC_Data!BC62/1000)*($T$146/$T$144)</f>
        <v>2.6555555555555554</v>
      </c>
      <c r="W30" s="65">
        <f>(JRC_Data!BD62/1000)*($T$146/$T$144)</f>
        <v>2.6555555555555554</v>
      </c>
      <c r="X30" s="65">
        <f>(JRC_Data!BE62/1000)*($T$146/$T$144)</f>
        <v>2.6555555555555554</v>
      </c>
      <c r="Y30" s="131">
        <f>JRC_Data!BL62/1000</f>
        <v>0.15</v>
      </c>
      <c r="Z30" s="131"/>
      <c r="AA30" s="131"/>
      <c r="AB30" s="131"/>
      <c r="AC30" s="131"/>
      <c r="AD30" s="131"/>
      <c r="AE30" s="131">
        <v>1</v>
      </c>
      <c r="AF30" s="134"/>
      <c r="AG30" s="134">
        <v>2020</v>
      </c>
      <c r="AJ30" s="151" t="str">
        <f>C37</f>
        <v>R-SC_Apt_ELC_N2</v>
      </c>
      <c r="AK30" s="151" t="str">
        <f>D37</f>
        <v>Centralized Residential Electric Air Conditioning</v>
      </c>
      <c r="AL30" s="150" t="s">
        <v>16</v>
      </c>
      <c r="AM30" s="150" t="s">
        <v>434</v>
      </c>
      <c r="AN30" s="150"/>
      <c r="AO30" s="150" t="s">
        <v>309</v>
      </c>
    </row>
    <row r="31" spans="3:41" x14ac:dyDescent="0.2">
      <c r="C31" s="329" t="str">
        <f>"R-SW_Apt"&amp;"_"&amp;RIGHT(E31,3)&amp;"_N2"</f>
        <v>R-SW_Apt_HET_N2</v>
      </c>
      <c r="D31" s="72" t="s">
        <v>356</v>
      </c>
      <c r="E31" s="73" t="s">
        <v>714</v>
      </c>
      <c r="F31" s="74" t="s">
        <v>715</v>
      </c>
      <c r="G31" s="330">
        <v>1</v>
      </c>
      <c r="H31" s="331">
        <v>1</v>
      </c>
      <c r="I31" s="331">
        <v>1</v>
      </c>
      <c r="J31" s="332">
        <v>1</v>
      </c>
      <c r="K31" s="95"/>
      <c r="L31" s="96"/>
      <c r="M31" s="96"/>
      <c r="N31" s="97"/>
      <c r="O31" s="330">
        <v>1</v>
      </c>
      <c r="P31" s="331">
        <v>1</v>
      </c>
      <c r="Q31" s="331">
        <v>1</v>
      </c>
      <c r="R31" s="332">
        <v>1</v>
      </c>
      <c r="S31" s="101">
        <v>20</v>
      </c>
      <c r="T31" s="97"/>
      <c r="U31" s="329">
        <f>(JRC_Data!BB62/1000)*($T$146/$T$144)</f>
        <v>2.6555555555555554</v>
      </c>
      <c r="V31" s="329">
        <f>(JRC_Data!BC62/1000)*($T$146/$T$144)</f>
        <v>2.6555555555555554</v>
      </c>
      <c r="W31" s="329">
        <f>(JRC_Data!BD62/1000)*($T$146/$T$144)</f>
        <v>2.6555555555555554</v>
      </c>
      <c r="X31" s="329">
        <f>(JRC_Data!BE62/1000)*($T$146/$T$144)</f>
        <v>2.6555555555555554</v>
      </c>
      <c r="Y31" s="109">
        <f>JRC_Data!BL62/1000</f>
        <v>0.15</v>
      </c>
      <c r="Z31" s="109"/>
      <c r="AA31" s="109"/>
      <c r="AB31" s="109"/>
      <c r="AC31" s="109"/>
      <c r="AD31" s="109"/>
      <c r="AE31" s="110">
        <v>1</v>
      </c>
      <c r="AF31" s="113"/>
      <c r="AG31" s="113">
        <v>2020</v>
      </c>
    </row>
    <row r="32" spans="3:41" x14ac:dyDescent="0.2">
      <c r="C32" s="79" t="s">
        <v>741</v>
      </c>
      <c r="D32" s="79"/>
      <c r="E32" s="80"/>
      <c r="F32" s="80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0"/>
      <c r="T32" s="80"/>
      <c r="U32" s="79"/>
      <c r="V32" s="79"/>
      <c r="W32" s="79"/>
      <c r="X32" s="79"/>
      <c r="Y32" s="79"/>
      <c r="Z32" s="80"/>
      <c r="AA32" s="82"/>
      <c r="AB32" s="82"/>
      <c r="AC32" s="82"/>
      <c r="AD32" s="82"/>
      <c r="AE32" s="79"/>
      <c r="AF32" s="80"/>
      <c r="AG32" s="80"/>
    </row>
    <row r="33" spans="3:41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66" t="s">
        <v>371</v>
      </c>
      <c r="G33" s="92"/>
      <c r="H33" s="93"/>
      <c r="I33" s="93"/>
      <c r="J33" s="94"/>
      <c r="K33" s="92"/>
      <c r="L33" s="93"/>
      <c r="M33" s="93"/>
      <c r="N33" s="94"/>
      <c r="O33" s="323">
        <v>1</v>
      </c>
      <c r="P33" s="324">
        <v>1</v>
      </c>
      <c r="Q33" s="324">
        <v>1</v>
      </c>
      <c r="R33" s="325">
        <v>1</v>
      </c>
      <c r="S33" s="98">
        <v>30</v>
      </c>
      <c r="T33" s="94"/>
      <c r="U33" s="66">
        <f>(JRC_Data!BB48/1000)*($T$141/$T$142)</f>
        <v>3.6878868563919918</v>
      </c>
      <c r="V33" s="66">
        <f>(JRC_Data!BC48/1000)*($T$141/$T$142)</f>
        <v>3.6878868563919918</v>
      </c>
      <c r="W33" s="66">
        <f>(JRC_Data!BD48/1000)*($T$141/$T$142)</f>
        <v>3.6878868563919918</v>
      </c>
      <c r="X33" s="66">
        <f>(JRC_Data!BE48/1000)*($T$141/$T$142)</f>
        <v>3.6878868563919918</v>
      </c>
      <c r="Y33" s="131">
        <f>JRC_Data!BL48/1000</f>
        <v>0.05</v>
      </c>
      <c r="Z33" s="131"/>
      <c r="AA33" s="131"/>
      <c r="AB33" s="131"/>
      <c r="AC33" s="131"/>
      <c r="AD33" s="131"/>
      <c r="AE33" s="131">
        <v>1</v>
      </c>
      <c r="AF33" s="134"/>
      <c r="AG33" s="134">
        <v>2020</v>
      </c>
    </row>
    <row r="34" spans="3:41" x14ac:dyDescent="0.2">
      <c r="C34" s="69" t="str">
        <f>"R-WH_Apt"&amp;"_"&amp;RIGHT(E34,3)&amp;"_N1"</f>
        <v>R-WH_Apt_SOL_N1</v>
      </c>
      <c r="D34" s="69" t="s">
        <v>359</v>
      </c>
      <c r="E34" s="70" t="s">
        <v>732</v>
      </c>
      <c r="F34" s="69" t="s">
        <v>371</v>
      </c>
      <c r="G34" s="90"/>
      <c r="H34" s="78"/>
      <c r="I34" s="78"/>
      <c r="J34" s="91"/>
      <c r="K34" s="90"/>
      <c r="L34" s="78"/>
      <c r="M34" s="78"/>
      <c r="N34" s="91"/>
      <c r="O34" s="320">
        <v>1</v>
      </c>
      <c r="P34" s="321">
        <v>1</v>
      </c>
      <c r="Q34" s="321">
        <v>1</v>
      </c>
      <c r="R34" s="322">
        <v>1</v>
      </c>
      <c r="S34" s="99">
        <v>25</v>
      </c>
      <c r="T34" s="103">
        <v>30</v>
      </c>
      <c r="U34" s="69">
        <f>(JRC_Data!BB45/1000)*($T$141/$T$142)</f>
        <v>4.9786472561291895</v>
      </c>
      <c r="V34" s="69">
        <f>(JRC_Data!BC45/1000)*($T$141/$T$142)</f>
        <v>4.7020557418997893</v>
      </c>
      <c r="W34" s="69">
        <f>(JRC_Data!BD45/1000)*($T$141/$T$142)</f>
        <v>4.2410698848507904</v>
      </c>
      <c r="X34" s="69">
        <f>(JRC_Data!BE45/1000)*($T$141/$T$142)</f>
        <v>3.4112953421625924</v>
      </c>
      <c r="Y34" s="131">
        <f>JRC_Data!BL45/1000</f>
        <v>6.2E-2</v>
      </c>
      <c r="Z34" s="109"/>
      <c r="AA34" s="109"/>
      <c r="AB34" s="109"/>
      <c r="AC34" s="109"/>
      <c r="AD34" s="109"/>
      <c r="AE34" s="109">
        <v>1</v>
      </c>
      <c r="AF34" s="112"/>
      <c r="AG34" s="112">
        <v>2020</v>
      </c>
    </row>
    <row r="35" spans="3:41" x14ac:dyDescent="0.2">
      <c r="C35" s="79" t="s">
        <v>742</v>
      </c>
      <c r="D35" s="79"/>
      <c r="E35" s="80"/>
      <c r="F35" s="80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0"/>
      <c r="T35" s="80"/>
      <c r="U35" s="79"/>
      <c r="V35" s="79"/>
      <c r="W35" s="79"/>
      <c r="X35" s="79"/>
      <c r="Y35" s="79"/>
      <c r="Z35" s="80"/>
      <c r="AA35" s="82"/>
      <c r="AB35" s="82"/>
      <c r="AC35" s="82"/>
      <c r="AD35" s="82"/>
      <c r="AE35" s="79"/>
      <c r="AF35" s="80"/>
      <c r="AG35" s="80"/>
    </row>
    <row r="36" spans="3:41" x14ac:dyDescent="0.2">
      <c r="C36" s="65" t="str">
        <f>"R-SC_Apt"&amp;"_"&amp;RIGHT(E36,3)&amp;"_N1"</f>
        <v>R-SC_Apt_ELC_N1</v>
      </c>
      <c r="D36" s="66" t="s">
        <v>988</v>
      </c>
      <c r="E36" s="135" t="s">
        <v>406</v>
      </c>
      <c r="F36" s="67" t="s">
        <v>370</v>
      </c>
      <c r="G36" s="323"/>
      <c r="H36" s="324"/>
      <c r="I36" s="324"/>
      <c r="J36" s="325"/>
      <c r="K36" s="65">
        <v>1</v>
      </c>
      <c r="L36" s="66">
        <f>JRC_Data!AD16/JRC_Data!$AC$16</f>
        <v>1.0666666666666667</v>
      </c>
      <c r="M36" s="66">
        <f>JRC_Data!AE16/JRC_Data!$AC$16</f>
        <v>1.2333333333333334</v>
      </c>
      <c r="N36" s="102">
        <f>JRC_Data!AF16/JRC_Data!$AC$16</f>
        <v>1.3333333333333333</v>
      </c>
      <c r="O36" s="323"/>
      <c r="P36" s="324"/>
      <c r="Q36" s="324"/>
      <c r="R36" s="325"/>
      <c r="S36" s="98">
        <v>20</v>
      </c>
      <c r="T36" s="94"/>
      <c r="U36" s="65">
        <f>(JRC_Data!BB16/1000)*($T$142/$T$148)</f>
        <v>1.8396671215443359</v>
      </c>
      <c r="V36" s="65">
        <f>(JRC_Data!BC16/1000)*($T$142/$T$148)</f>
        <v>1.756045888746866</v>
      </c>
      <c r="W36" s="65">
        <f>(JRC_Data!BD16/1000)*($T$142/$T$148)</f>
        <v>1.5888034231519261</v>
      </c>
      <c r="X36" s="65">
        <f>(JRC_Data!BE16/1000)*($T$142/$T$148)</f>
        <v>1.5051821903544564</v>
      </c>
      <c r="Y36" s="131">
        <f>JRC_Data!BL16/1000</f>
        <v>3.4000000000000002E-2</v>
      </c>
      <c r="Z36" s="131"/>
      <c r="AA36" s="131"/>
      <c r="AB36" s="131"/>
      <c r="AC36" s="131"/>
      <c r="AD36" s="131"/>
      <c r="AE36" s="131">
        <v>1</v>
      </c>
      <c r="AF36" s="134"/>
      <c r="AG36" s="134">
        <v>2020</v>
      </c>
    </row>
    <row r="37" spans="3:41" x14ac:dyDescent="0.2">
      <c r="C37" s="329" t="str">
        <f>"R-SC_Apt"&amp;"_"&amp;RIGHT(E37,3)&amp;"_N2"</f>
        <v>R-SC_Apt_ELC_N2</v>
      </c>
      <c r="D37" s="72" t="s">
        <v>989</v>
      </c>
      <c r="E37" s="73" t="s">
        <v>406</v>
      </c>
      <c r="F37" s="74" t="s">
        <v>370</v>
      </c>
      <c r="G37" s="330"/>
      <c r="H37" s="331"/>
      <c r="I37" s="331"/>
      <c r="J37" s="332"/>
      <c r="K37" s="329">
        <v>1</v>
      </c>
      <c r="L37" s="72">
        <f>JRC_Data!AI26/JRC_Data!$AH$26</f>
        <v>1.0333333333333334</v>
      </c>
      <c r="M37" s="72">
        <f>JRC_Data!AJ26/JRC_Data!$AH$26</f>
        <v>1.1333333333333333</v>
      </c>
      <c r="N37" s="105">
        <f>JRC_Data!AK26/JRC_Data!$AH$26</f>
        <v>1.1666666666666667</v>
      </c>
      <c r="O37" s="330"/>
      <c r="P37" s="331"/>
      <c r="Q37" s="331"/>
      <c r="R37" s="332"/>
      <c r="S37" s="101">
        <v>20</v>
      </c>
      <c r="T37" s="97"/>
      <c r="U37" s="329">
        <f>(JRC_Data!BB26/1000)</f>
        <v>1.875</v>
      </c>
      <c r="V37" s="329">
        <f>(JRC_Data!BC26/1000)</f>
        <v>1.78125</v>
      </c>
      <c r="W37" s="329">
        <f>(JRC_Data!BD26/1000)</f>
        <v>1.59375</v>
      </c>
      <c r="X37" s="329">
        <f>(JRC_Data!BE26/1000)</f>
        <v>1.5</v>
      </c>
      <c r="Y37" s="109">
        <f>JRC_Data!BL26/1000</f>
        <v>0.29443999999999998</v>
      </c>
      <c r="Z37" s="109"/>
      <c r="AA37" s="109"/>
      <c r="AB37" s="109"/>
      <c r="AC37" s="109"/>
      <c r="AD37" s="109"/>
      <c r="AE37" s="110">
        <v>1</v>
      </c>
      <c r="AF37" s="113"/>
      <c r="AG37" s="113">
        <v>2020</v>
      </c>
    </row>
    <row r="40" spans="3:41" x14ac:dyDescent="0.2">
      <c r="G40" s="51" t="s">
        <v>26</v>
      </c>
    </row>
    <row r="41" spans="3:41" ht="45.75" thickBot="1" x14ac:dyDescent="0.25">
      <c r="C41" s="60" t="s">
        <v>28</v>
      </c>
      <c r="D41" s="61" t="s">
        <v>39</v>
      </c>
      <c r="E41" s="60" t="s">
        <v>30</v>
      </c>
      <c r="F41" s="60" t="s">
        <v>31</v>
      </c>
      <c r="G41" s="63" t="s">
        <v>647</v>
      </c>
      <c r="H41" s="63" t="s">
        <v>648</v>
      </c>
      <c r="I41" s="63" t="s">
        <v>649</v>
      </c>
      <c r="J41" s="63" t="s">
        <v>650</v>
      </c>
      <c r="K41" s="63" t="s">
        <v>651</v>
      </c>
      <c r="L41" s="63" t="s">
        <v>652</v>
      </c>
      <c r="M41" s="63" t="s">
        <v>653</v>
      </c>
      <c r="N41" s="63" t="s">
        <v>654</v>
      </c>
      <c r="O41" s="63" t="s">
        <v>655</v>
      </c>
      <c r="P41" s="63" t="s">
        <v>656</v>
      </c>
      <c r="Q41" s="63" t="s">
        <v>657</v>
      </c>
      <c r="R41" s="63" t="s">
        <v>658</v>
      </c>
      <c r="S41" s="64" t="s">
        <v>33</v>
      </c>
      <c r="T41" s="64" t="s">
        <v>312</v>
      </c>
      <c r="U41" s="63" t="s">
        <v>662</v>
      </c>
      <c r="V41" s="63" t="s">
        <v>324</v>
      </c>
      <c r="W41" s="63" t="s">
        <v>325</v>
      </c>
      <c r="X41" s="63" t="s">
        <v>326</v>
      </c>
      <c r="Y41" s="63" t="s">
        <v>81</v>
      </c>
      <c r="Z41" s="63" t="s">
        <v>82</v>
      </c>
      <c r="AA41" s="63" t="s">
        <v>746</v>
      </c>
      <c r="AB41" s="63" t="s">
        <v>747</v>
      </c>
      <c r="AC41" s="63" t="s">
        <v>748</v>
      </c>
      <c r="AD41" s="63" t="s">
        <v>665</v>
      </c>
      <c r="AE41" s="63" t="s">
        <v>313</v>
      </c>
      <c r="AF41" s="63" t="s">
        <v>733</v>
      </c>
      <c r="AG41" s="63" t="s">
        <v>314</v>
      </c>
    </row>
    <row r="42" spans="3:41" ht="38.25" x14ac:dyDescent="0.2">
      <c r="C42" s="62" t="s">
        <v>315</v>
      </c>
      <c r="D42" s="62" t="s">
        <v>42</v>
      </c>
      <c r="E42" s="62" t="s">
        <v>316</v>
      </c>
      <c r="F42" s="62" t="s">
        <v>317</v>
      </c>
      <c r="G42" s="519" t="s">
        <v>318</v>
      </c>
      <c r="H42" s="520"/>
      <c r="I42" s="520"/>
      <c r="J42" s="521"/>
      <c r="K42" s="519" t="s">
        <v>319</v>
      </c>
      <c r="L42" s="520"/>
      <c r="M42" s="520"/>
      <c r="N42" s="521"/>
      <c r="O42" s="519" t="s">
        <v>320</v>
      </c>
      <c r="P42" s="520"/>
      <c r="Q42" s="520"/>
      <c r="R42" s="521"/>
      <c r="S42" s="519" t="s">
        <v>321</v>
      </c>
      <c r="T42" s="521"/>
      <c r="U42" s="522" t="s">
        <v>322</v>
      </c>
      <c r="V42" s="523"/>
      <c r="W42" s="523"/>
      <c r="X42" s="524"/>
      <c r="Y42" s="106"/>
      <c r="Z42" s="106"/>
      <c r="AA42" s="114" t="s">
        <v>622</v>
      </c>
      <c r="AB42" s="117" t="s">
        <v>622</v>
      </c>
      <c r="AC42" s="117" t="s">
        <v>622</v>
      </c>
      <c r="AD42" s="117" t="s">
        <v>664</v>
      </c>
      <c r="AE42" s="106" t="s">
        <v>116</v>
      </c>
      <c r="AF42" s="106" t="s">
        <v>323</v>
      </c>
      <c r="AG42" s="106"/>
      <c r="AI42" s="56" t="s">
        <v>27</v>
      </c>
      <c r="AJ42" s="57"/>
      <c r="AK42" s="57"/>
      <c r="AL42" s="57"/>
      <c r="AM42" s="57"/>
      <c r="AN42" s="57"/>
      <c r="AO42" s="57"/>
    </row>
    <row r="43" spans="3:41" ht="15.75" thickBot="1" x14ac:dyDescent="0.25">
      <c r="C43" s="60" t="s">
        <v>745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457"/>
      <c r="T43" s="457"/>
      <c r="U43" s="457"/>
      <c r="V43" s="457"/>
      <c r="W43" s="457"/>
      <c r="X43" s="457"/>
      <c r="Y43" s="457"/>
      <c r="Z43" s="457"/>
      <c r="AA43" s="457"/>
      <c r="AB43" s="457"/>
      <c r="AC43" s="457"/>
      <c r="AD43" s="457"/>
      <c r="AE43" s="457"/>
      <c r="AF43" s="457"/>
      <c r="AG43" s="457"/>
      <c r="AI43" s="58" t="s">
        <v>34</v>
      </c>
      <c r="AJ43" s="58" t="s">
        <v>28</v>
      </c>
      <c r="AK43" s="58" t="s">
        <v>29</v>
      </c>
      <c r="AL43" s="58" t="s">
        <v>35</v>
      </c>
      <c r="AM43" s="58" t="s">
        <v>36</v>
      </c>
      <c r="AN43" s="58" t="s">
        <v>37</v>
      </c>
      <c r="AO43" s="58" t="s">
        <v>301</v>
      </c>
    </row>
    <row r="44" spans="3:41" ht="33.75" x14ac:dyDescent="0.2">
      <c r="C44" s="83" t="s">
        <v>735</v>
      </c>
      <c r="D44" s="84"/>
      <c r="E44" s="84"/>
      <c r="F44" s="85"/>
      <c r="G44" s="513" t="s">
        <v>45</v>
      </c>
      <c r="H44" s="514"/>
      <c r="I44" s="514"/>
      <c r="J44" s="515"/>
      <c r="K44" s="514" t="s">
        <v>45</v>
      </c>
      <c r="L44" s="514"/>
      <c r="M44" s="514"/>
      <c r="N44" s="515"/>
      <c r="O44" s="513" t="s">
        <v>45</v>
      </c>
      <c r="P44" s="514"/>
      <c r="Q44" s="514"/>
      <c r="R44" s="515"/>
      <c r="S44" s="516" t="s">
        <v>302</v>
      </c>
      <c r="T44" s="517"/>
      <c r="U44" s="516" t="s">
        <v>969</v>
      </c>
      <c r="V44" s="518"/>
      <c r="W44" s="518"/>
      <c r="X44" s="517"/>
      <c r="Y44" s="458" t="s">
        <v>981</v>
      </c>
      <c r="Z44" s="458" t="s">
        <v>329</v>
      </c>
      <c r="AA44" s="459" t="s">
        <v>45</v>
      </c>
      <c r="AB44" s="458" t="s">
        <v>45</v>
      </c>
      <c r="AC44" s="458" t="s">
        <v>45</v>
      </c>
      <c r="AD44" s="458"/>
      <c r="AE44" s="460" t="s">
        <v>749</v>
      </c>
      <c r="AF44" s="458" t="s">
        <v>45</v>
      </c>
      <c r="AG44" s="458" t="s">
        <v>330</v>
      </c>
      <c r="AI44" s="285" t="s">
        <v>303</v>
      </c>
      <c r="AJ44" s="285" t="s">
        <v>304</v>
      </c>
      <c r="AK44" s="285" t="s">
        <v>42</v>
      </c>
      <c r="AL44" s="285" t="s">
        <v>305</v>
      </c>
      <c r="AM44" s="285" t="s">
        <v>306</v>
      </c>
      <c r="AN44" s="285" t="s">
        <v>307</v>
      </c>
      <c r="AO44" s="285" t="s">
        <v>308</v>
      </c>
    </row>
    <row r="45" spans="3:41" ht="15" x14ac:dyDescent="0.25">
      <c r="C45" s="65" t="str">
        <f>"R-SH_Att"&amp;"_"&amp;RIGHT(E45,3)&amp;"_N1"</f>
        <v>R-SH_Att_KER_N1</v>
      </c>
      <c r="D45" s="66" t="s">
        <v>332</v>
      </c>
      <c r="E45" s="135" t="s">
        <v>722</v>
      </c>
      <c r="F45" s="102" t="s">
        <v>392</v>
      </c>
      <c r="G45" s="65">
        <v>1</v>
      </c>
      <c r="H45" s="66">
        <v>1</v>
      </c>
      <c r="I45" s="66">
        <v>1</v>
      </c>
      <c r="J45" s="102">
        <v>1</v>
      </c>
      <c r="K45" s="92"/>
      <c r="L45" s="93"/>
      <c r="M45" s="93"/>
      <c r="N45" s="94"/>
      <c r="O45" s="65"/>
      <c r="P45" s="66"/>
      <c r="Q45" s="66"/>
      <c r="R45" s="102"/>
      <c r="S45" s="100">
        <v>20</v>
      </c>
      <c r="T45" s="87"/>
      <c r="U45" s="464">
        <f>U49*1.3</f>
        <v>4.2250000000000005</v>
      </c>
      <c r="V45" s="464">
        <f t="shared" ref="V45:X45" si="24">V49*1.3</f>
        <v>4.2250000000000005</v>
      </c>
      <c r="W45" s="464">
        <f t="shared" si="24"/>
        <v>4.2250000000000005</v>
      </c>
      <c r="X45" s="464">
        <f t="shared" si="24"/>
        <v>4.2250000000000005</v>
      </c>
      <c r="Y45" s="464">
        <v>0.12</v>
      </c>
      <c r="Z45" s="111"/>
      <c r="AA45" s="88"/>
      <c r="AB45" s="118"/>
      <c r="AC45" s="118"/>
      <c r="AD45" s="118"/>
      <c r="AE45" s="108">
        <v>1</v>
      </c>
      <c r="AF45" s="111"/>
      <c r="AG45" s="111">
        <v>2020</v>
      </c>
      <c r="AI45" s="152" t="s">
        <v>38</v>
      </c>
      <c r="AJ45" s="151" t="str">
        <f>C45</f>
        <v>R-SH_Att_KER_N1</v>
      </c>
      <c r="AK45" s="151" t="str">
        <f>D45</f>
        <v>Residential Kerosene Heating Oil - New 1 SH</v>
      </c>
      <c r="AL45" s="152" t="s">
        <v>16</v>
      </c>
      <c r="AM45" s="152" t="s">
        <v>434</v>
      </c>
      <c r="AN45" s="152"/>
      <c r="AO45" s="152" t="s">
        <v>309</v>
      </c>
    </row>
    <row r="46" spans="3:41" ht="15" x14ac:dyDescent="0.25">
      <c r="C46" s="68" t="str">
        <f>"R-SW_Att"&amp;"_"&amp;RIGHT(E46,3)&amp;"_N1"</f>
        <v>R-SW_Att_KER_N1</v>
      </c>
      <c r="D46" s="69" t="s">
        <v>333</v>
      </c>
      <c r="E46" s="70" t="s">
        <v>722</v>
      </c>
      <c r="F46" s="103" t="s">
        <v>717</v>
      </c>
      <c r="G46" s="68">
        <v>1</v>
      </c>
      <c r="H46" s="69">
        <v>1</v>
      </c>
      <c r="I46" s="69">
        <v>1</v>
      </c>
      <c r="J46" s="103">
        <v>1</v>
      </c>
      <c r="K46" s="90"/>
      <c r="L46" s="78"/>
      <c r="M46" s="78"/>
      <c r="N46" s="91"/>
      <c r="O46" s="68">
        <f>G46*0.7</f>
        <v>0.7</v>
      </c>
      <c r="P46" s="69">
        <f t="shared" ref="P46:P48" si="25">H46*0.7</f>
        <v>0.7</v>
      </c>
      <c r="Q46" s="69">
        <f t="shared" ref="Q46:Q48" si="26">I46*0.7</f>
        <v>0.7</v>
      </c>
      <c r="R46" s="103">
        <f t="shared" ref="R46:R48" si="27">J46*0.7</f>
        <v>0.7</v>
      </c>
      <c r="S46" s="99">
        <v>20</v>
      </c>
      <c r="T46" s="71"/>
      <c r="U46" s="465">
        <f>U50*1.3</f>
        <v>4.2773760330578519</v>
      </c>
      <c r="V46" s="465">
        <f t="shared" ref="V46:X46" si="28">V50*1.3</f>
        <v>4.2773760330578519</v>
      </c>
      <c r="W46" s="465">
        <f t="shared" si="28"/>
        <v>4.2773760330578519</v>
      </c>
      <c r="X46" s="465">
        <f t="shared" si="28"/>
        <v>4.2773760330578519</v>
      </c>
      <c r="Y46" s="465">
        <v>0.12</v>
      </c>
      <c r="Z46" s="112"/>
      <c r="AA46" s="90"/>
      <c r="AB46" s="119"/>
      <c r="AC46" s="119"/>
      <c r="AD46" s="119"/>
      <c r="AE46" s="109">
        <v>1</v>
      </c>
      <c r="AF46" s="112"/>
      <c r="AG46" s="112">
        <v>2020</v>
      </c>
      <c r="AI46" s="152"/>
      <c r="AJ46" s="151" t="str">
        <f t="shared" ref="AJ46:AJ56" si="29">C46</f>
        <v>R-SW_Att_KER_N1</v>
      </c>
      <c r="AK46" s="151" t="str">
        <f t="shared" ref="AK46:AK56" si="30">D46</f>
        <v>Residential Kerosene Heating Oil - New 2 SH + WH</v>
      </c>
      <c r="AL46" s="152" t="s">
        <v>16</v>
      </c>
      <c r="AM46" s="152" t="s">
        <v>434</v>
      </c>
      <c r="AN46" s="152"/>
      <c r="AO46" s="152" t="s">
        <v>309</v>
      </c>
    </row>
    <row r="47" spans="3:41" ht="15" x14ac:dyDescent="0.25">
      <c r="C47" s="86" t="str">
        <f>"R-SW_Att"&amp;"_"&amp;RIGHT(E47,3)&amp;"_N2"</f>
        <v>R-SW_Att_KER_N2</v>
      </c>
      <c r="D47" s="75" t="s">
        <v>334</v>
      </c>
      <c r="E47" s="76" t="s">
        <v>724</v>
      </c>
      <c r="F47" s="104" t="s">
        <v>717</v>
      </c>
      <c r="G47" s="86">
        <v>1</v>
      </c>
      <c r="H47" s="75">
        <v>1</v>
      </c>
      <c r="I47" s="75">
        <v>1</v>
      </c>
      <c r="J47" s="104">
        <v>1</v>
      </c>
      <c r="K47" s="88"/>
      <c r="L47" s="77"/>
      <c r="M47" s="77"/>
      <c r="N47" s="89"/>
      <c r="O47" s="86">
        <f>G47*0.7</f>
        <v>0.7</v>
      </c>
      <c r="P47" s="75">
        <f t="shared" si="25"/>
        <v>0.7</v>
      </c>
      <c r="Q47" s="75">
        <f t="shared" si="26"/>
        <v>0.7</v>
      </c>
      <c r="R47" s="104">
        <f t="shared" si="27"/>
        <v>0.7</v>
      </c>
      <c r="S47" s="100">
        <v>20</v>
      </c>
      <c r="T47" s="87"/>
      <c r="U47" s="108">
        <f>((JRC_Data!BB7+JRC_Data!BB45)*0.8/1000)*$T$148</f>
        <v>9.0810810810810807</v>
      </c>
      <c r="V47" s="108">
        <f>((JRC_Data!BC7+JRC_Data!BC45)*0.8/1000)*$T$148</f>
        <v>8.8540540540540533</v>
      </c>
      <c r="W47" s="108">
        <f>((JRC_Data!BD7+JRC_Data!BD45)*0.8/1000)*$T$148</f>
        <v>8.4756756756756761</v>
      </c>
      <c r="X47" s="108">
        <f>((JRC_Data!BE7+JRC_Data!BE45)*0.8/1000)*$T$148</f>
        <v>7.7945945945945949</v>
      </c>
      <c r="Y47" s="104">
        <f>((JRC_Data!BL7+JRC_Data!BL45)*0.8)/1000</f>
        <v>0.2656</v>
      </c>
      <c r="Z47" s="111"/>
      <c r="AA47" s="88">
        <v>0.1</v>
      </c>
      <c r="AB47" s="118"/>
      <c r="AC47" s="118"/>
      <c r="AD47" s="290">
        <v>5</v>
      </c>
      <c r="AE47" s="108">
        <v>1</v>
      </c>
      <c r="AF47" s="111"/>
      <c r="AG47" s="111">
        <v>2020</v>
      </c>
      <c r="AI47" s="152"/>
      <c r="AJ47" s="151" t="str">
        <f t="shared" si="29"/>
        <v>R-SW_Att_KER_N2</v>
      </c>
      <c r="AK47" s="151" t="str">
        <f t="shared" si="30"/>
        <v>Residential Kerosene Heating Oil - New 3 SH+WH + Solar</v>
      </c>
      <c r="AL47" s="152" t="s">
        <v>16</v>
      </c>
      <c r="AM47" s="152" t="s">
        <v>434</v>
      </c>
      <c r="AN47" s="152"/>
      <c r="AO47" s="152" t="s">
        <v>309</v>
      </c>
    </row>
    <row r="48" spans="3:41" ht="15" x14ac:dyDescent="0.25">
      <c r="C48" s="68" t="str">
        <f>"R-SW_Att"&amp;"_"&amp;RIGHT(E48,3)&amp;"_N3"</f>
        <v>R-SW_Att_KER_N3</v>
      </c>
      <c r="D48" s="69" t="s">
        <v>338</v>
      </c>
      <c r="E48" s="70" t="s">
        <v>725</v>
      </c>
      <c r="F48" s="103" t="s">
        <v>717</v>
      </c>
      <c r="G48" s="68">
        <v>1</v>
      </c>
      <c r="H48" s="69">
        <v>1.0249999999999999</v>
      </c>
      <c r="I48" s="69">
        <v>1.0249999999999999</v>
      </c>
      <c r="J48" s="103">
        <v>1.0249999999999999</v>
      </c>
      <c r="K48" s="90"/>
      <c r="L48" s="78"/>
      <c r="M48" s="78"/>
      <c r="N48" s="91"/>
      <c r="O48" s="68">
        <f>G48*0.7</f>
        <v>0.7</v>
      </c>
      <c r="P48" s="69">
        <f t="shared" si="25"/>
        <v>0.71749999999999992</v>
      </c>
      <c r="Q48" s="69">
        <f t="shared" si="26"/>
        <v>0.71749999999999992</v>
      </c>
      <c r="R48" s="103">
        <f t="shared" si="27"/>
        <v>0.71749999999999992</v>
      </c>
      <c r="S48" s="99">
        <v>20</v>
      </c>
      <c r="T48" s="71"/>
      <c r="U48" s="109">
        <f>((JRC_Data!BB7+JRC_Data!BB11)*0.8/1000)*$T$148</f>
        <v>10.102702702702702</v>
      </c>
      <c r="V48" s="109">
        <f>((JRC_Data!BC7+JRC_Data!BC11)*0.8/1000)*$T$148</f>
        <v>10.102702702702702</v>
      </c>
      <c r="W48" s="109">
        <f>((JRC_Data!BD7+JRC_Data!BD11)*0.8/1000)*$T$148</f>
        <v>10.670270270270269</v>
      </c>
      <c r="X48" s="109">
        <f>((JRC_Data!BE7+JRC_Data!BE11)*0.8/1000)*$T$148</f>
        <v>10.670270270270269</v>
      </c>
      <c r="Y48" s="104">
        <f>((JRC_Data!BL7+JRC_Data!BL11)*0.8)/1000</f>
        <v>0.23680000000000001</v>
      </c>
      <c r="Z48" s="112"/>
      <c r="AA48" s="90"/>
      <c r="AB48" s="119">
        <v>0.47</v>
      </c>
      <c r="AC48" s="119"/>
      <c r="AD48" s="112">
        <v>5</v>
      </c>
      <c r="AE48" s="109">
        <v>1</v>
      </c>
      <c r="AF48" s="112"/>
      <c r="AG48" s="112">
        <v>2020</v>
      </c>
      <c r="AI48" s="152"/>
      <c r="AJ48" s="151" t="str">
        <f t="shared" si="29"/>
        <v>R-SW_Att_KER_N3</v>
      </c>
      <c r="AK48" s="151" t="str">
        <f t="shared" si="30"/>
        <v>Residential Kerosene Heating Oil - New 3 SH+WH + Wood Stove</v>
      </c>
      <c r="AL48" s="153" t="s">
        <v>16</v>
      </c>
      <c r="AM48" s="153" t="s">
        <v>434</v>
      </c>
      <c r="AN48" s="152"/>
      <c r="AO48" s="152"/>
    </row>
    <row r="49" spans="3:41" ht="15" x14ac:dyDescent="0.25">
      <c r="C49" s="86" t="str">
        <f>"R-SH_Att"&amp;"_"&amp;RIGHT(E49,3)&amp;"_N1"</f>
        <v>R-SH_Att_GAS_N1</v>
      </c>
      <c r="D49" s="75" t="s">
        <v>331</v>
      </c>
      <c r="E49" s="76" t="s">
        <v>727</v>
      </c>
      <c r="F49" s="104" t="s">
        <v>392</v>
      </c>
      <c r="G49" s="86">
        <v>1</v>
      </c>
      <c r="H49" s="75">
        <v>1</v>
      </c>
      <c r="I49" s="75">
        <v>1</v>
      </c>
      <c r="J49" s="104">
        <v>1</v>
      </c>
      <c r="K49" s="88"/>
      <c r="L49" s="77"/>
      <c r="M49" s="77"/>
      <c r="N49" s="89"/>
      <c r="O49" s="86"/>
      <c r="P49" s="75"/>
      <c r="Q49" s="75"/>
      <c r="R49" s="104"/>
      <c r="S49" s="100">
        <v>20</v>
      </c>
      <c r="T49" s="87"/>
      <c r="U49" s="464">
        <f>3.25</f>
        <v>3.25</v>
      </c>
      <c r="V49" s="464">
        <f t="shared" ref="V49:X49" si="31">3.25</f>
        <v>3.25</v>
      </c>
      <c r="W49" s="464">
        <f t="shared" si="31"/>
        <v>3.25</v>
      </c>
      <c r="X49" s="464">
        <f t="shared" si="31"/>
        <v>3.25</v>
      </c>
      <c r="Y49" s="464">
        <v>0.12</v>
      </c>
      <c r="Z49" s="111"/>
      <c r="AA49" s="88"/>
      <c r="AB49" s="118"/>
      <c r="AC49" s="118"/>
      <c r="AD49" s="118"/>
      <c r="AE49" s="108">
        <v>1</v>
      </c>
      <c r="AF49" s="111"/>
      <c r="AG49" s="111">
        <v>2020</v>
      </c>
      <c r="AI49" s="152"/>
      <c r="AJ49" s="151" t="str">
        <f t="shared" si="29"/>
        <v>R-SH_Att_GAS_N1</v>
      </c>
      <c r="AK49" s="151" t="str">
        <f t="shared" si="30"/>
        <v>Residential Natural Gas Heating - New 1 SH</v>
      </c>
      <c r="AL49" s="152" t="s">
        <v>16</v>
      </c>
      <c r="AM49" s="152" t="s">
        <v>434</v>
      </c>
      <c r="AN49" s="152"/>
      <c r="AO49" s="152" t="s">
        <v>309</v>
      </c>
    </row>
    <row r="50" spans="3:41" ht="15" x14ac:dyDescent="0.25">
      <c r="C50" s="68" t="str">
        <f>"R-SW_Att"&amp;"_"&amp;RIGHT(E50,3)&amp;"_N1"</f>
        <v>R-SW_Att_GAS_N1</v>
      </c>
      <c r="D50" s="69" t="s">
        <v>335</v>
      </c>
      <c r="E50" s="70" t="s">
        <v>727</v>
      </c>
      <c r="F50" s="103" t="s">
        <v>717</v>
      </c>
      <c r="G50" s="68">
        <v>1</v>
      </c>
      <c r="H50" s="69">
        <v>1</v>
      </c>
      <c r="I50" s="69">
        <v>1</v>
      </c>
      <c r="J50" s="103">
        <v>1</v>
      </c>
      <c r="K50" s="90"/>
      <c r="L50" s="78"/>
      <c r="M50" s="78"/>
      <c r="N50" s="91"/>
      <c r="O50" s="68">
        <f>G50*0.7</f>
        <v>0.7</v>
      </c>
      <c r="P50" s="69">
        <f t="shared" ref="P50:P52" si="32">H50*0.7</f>
        <v>0.7</v>
      </c>
      <c r="Q50" s="69">
        <f t="shared" ref="Q50:Q52" si="33">I50*0.7</f>
        <v>0.7</v>
      </c>
      <c r="R50" s="103">
        <f t="shared" ref="R50:R52" si="34">J50*0.7</f>
        <v>0.7</v>
      </c>
      <c r="S50" s="99">
        <v>20</v>
      </c>
      <c r="T50" s="71"/>
      <c r="U50" s="465">
        <f>U49*($T$148/$T$147)</f>
        <v>3.2902892561983474</v>
      </c>
      <c r="V50" s="465">
        <f t="shared" ref="V50:X50" si="35">V49*($T$148/$T$147)</f>
        <v>3.2902892561983474</v>
      </c>
      <c r="W50" s="465">
        <f t="shared" si="35"/>
        <v>3.2902892561983474</v>
      </c>
      <c r="X50" s="465">
        <f t="shared" si="35"/>
        <v>3.2902892561983474</v>
      </c>
      <c r="Y50" s="465">
        <v>0.12</v>
      </c>
      <c r="Z50" s="112"/>
      <c r="AA50" s="90"/>
      <c r="AB50" s="119"/>
      <c r="AC50" s="119"/>
      <c r="AD50" s="119"/>
      <c r="AE50" s="109">
        <v>1</v>
      </c>
      <c r="AF50" s="112"/>
      <c r="AG50" s="112">
        <v>2020</v>
      </c>
      <c r="AI50" s="152"/>
      <c r="AJ50" s="151" t="str">
        <f t="shared" si="29"/>
        <v>R-SW_Att_GAS_N1</v>
      </c>
      <c r="AK50" s="151" t="str">
        <f t="shared" si="30"/>
        <v>Residential Natural Gas Heating - New 2 SH + WH</v>
      </c>
      <c r="AL50" s="152" t="s">
        <v>16</v>
      </c>
      <c r="AM50" s="152" t="s">
        <v>434</v>
      </c>
      <c r="AN50" s="152"/>
      <c r="AO50" s="152" t="s">
        <v>309</v>
      </c>
    </row>
    <row r="51" spans="3:41" ht="15" x14ac:dyDescent="0.25">
      <c r="C51" s="86" t="str">
        <f>"R-SW_Att"&amp;"_"&amp;RIGHT(E51,3)&amp;"_N2"</f>
        <v>R-SW_Att_GAS_N2</v>
      </c>
      <c r="D51" s="75" t="s">
        <v>336</v>
      </c>
      <c r="E51" s="76" t="s">
        <v>728</v>
      </c>
      <c r="F51" s="104" t="s">
        <v>717</v>
      </c>
      <c r="G51" s="86">
        <v>1</v>
      </c>
      <c r="H51" s="75">
        <v>1</v>
      </c>
      <c r="I51" s="75">
        <v>1</v>
      </c>
      <c r="J51" s="104">
        <v>1</v>
      </c>
      <c r="K51" s="88"/>
      <c r="L51" s="77"/>
      <c r="M51" s="77"/>
      <c r="N51" s="89"/>
      <c r="O51" s="86">
        <f>G51*0.7</f>
        <v>0.7</v>
      </c>
      <c r="P51" s="75">
        <f t="shared" si="32"/>
        <v>0.7</v>
      </c>
      <c r="Q51" s="75">
        <f t="shared" si="33"/>
        <v>0.7</v>
      </c>
      <c r="R51" s="104">
        <f t="shared" si="34"/>
        <v>0.7</v>
      </c>
      <c r="S51" s="100">
        <v>20</v>
      </c>
      <c r="T51" s="87"/>
      <c r="U51" s="464">
        <v>12.75</v>
      </c>
      <c r="V51" s="464">
        <f>U51*0.9685</f>
        <v>12.348375000000001</v>
      </c>
      <c r="W51" s="464">
        <f>U51*0.916</f>
        <v>11.679</v>
      </c>
      <c r="X51" s="464">
        <f>U51*0.812</f>
        <v>10.353000000000002</v>
      </c>
      <c r="Y51" s="464">
        <v>0.19</v>
      </c>
      <c r="Z51" s="111"/>
      <c r="AA51" s="88">
        <v>0.1</v>
      </c>
      <c r="AB51" s="118"/>
      <c r="AC51" s="118"/>
      <c r="AD51" s="290">
        <v>5</v>
      </c>
      <c r="AE51" s="108">
        <v>1</v>
      </c>
      <c r="AF51" s="111"/>
      <c r="AG51" s="111">
        <v>2020</v>
      </c>
      <c r="AI51" s="152"/>
      <c r="AJ51" s="151" t="str">
        <f t="shared" si="29"/>
        <v>R-SW_Att_GAS_N2</v>
      </c>
      <c r="AK51" s="151" t="str">
        <f t="shared" si="30"/>
        <v>Residential Natural Gas Heating - New 3 SH + WH + Solar</v>
      </c>
      <c r="AL51" s="152" t="s">
        <v>16</v>
      </c>
      <c r="AM51" s="152" t="s">
        <v>434</v>
      </c>
      <c r="AN51" s="152"/>
      <c r="AO51" s="152" t="s">
        <v>309</v>
      </c>
    </row>
    <row r="52" spans="3:41" ht="15" x14ac:dyDescent="0.25">
      <c r="C52" s="68" t="str">
        <f>"R-SW_Att"&amp;"_"&amp;RIGHT(E52,3)&amp;"_N3"</f>
        <v>R-SW_Att_GAS_N3</v>
      </c>
      <c r="D52" s="69" t="s">
        <v>337</v>
      </c>
      <c r="E52" s="70" t="s">
        <v>729</v>
      </c>
      <c r="F52" s="103" t="s">
        <v>717</v>
      </c>
      <c r="G52" s="68">
        <v>1</v>
      </c>
      <c r="H52" s="69">
        <v>1.0249999999999999</v>
      </c>
      <c r="I52" s="69">
        <v>1.0249999999999999</v>
      </c>
      <c r="J52" s="103">
        <v>1.0249999999999999</v>
      </c>
      <c r="K52" s="90"/>
      <c r="L52" s="78"/>
      <c r="M52" s="78"/>
      <c r="N52" s="91"/>
      <c r="O52" s="68">
        <f>G52*0.7</f>
        <v>0.7</v>
      </c>
      <c r="P52" s="69">
        <f t="shared" si="32"/>
        <v>0.71749999999999992</v>
      </c>
      <c r="Q52" s="69">
        <f t="shared" si="33"/>
        <v>0.71749999999999992</v>
      </c>
      <c r="R52" s="103">
        <f t="shared" si="34"/>
        <v>0.71749999999999992</v>
      </c>
      <c r="S52" s="99">
        <v>20</v>
      </c>
      <c r="T52" s="71"/>
      <c r="U52" s="109">
        <f>((JRC_Data!BB9+JRC_Data!BB11)*0.8/1000)*($T$148/$T$147)</f>
        <v>8.7066115702479348</v>
      </c>
      <c r="V52" s="109">
        <f>((JRC_Data!BC9+JRC_Data!BC11)*0.8/1000)*($T$148/$T$147)</f>
        <v>8.7066115702479348</v>
      </c>
      <c r="W52" s="109">
        <f>((JRC_Data!BD9+JRC_Data!BD11)*0.8/1000)*($T$148/$T$147)</f>
        <v>9.3140495867768589</v>
      </c>
      <c r="X52" s="109">
        <f>((JRC_Data!BE9+JRC_Data!BE11)*0.8/1000)*($T$148/$T$147)</f>
        <v>9.3140495867768589</v>
      </c>
      <c r="Y52" s="104">
        <f>((JRC_Data!BL9+JRC_Data!BL11)*0.8)/1000</f>
        <v>0.20880000000000001</v>
      </c>
      <c r="Z52" s="112"/>
      <c r="AA52" s="90"/>
      <c r="AB52" s="119">
        <v>0.47</v>
      </c>
      <c r="AC52" s="119"/>
      <c r="AD52" s="112">
        <v>5</v>
      </c>
      <c r="AE52" s="109">
        <v>1</v>
      </c>
      <c r="AF52" s="112"/>
      <c r="AG52" s="112">
        <v>2020</v>
      </c>
      <c r="AI52" s="152"/>
      <c r="AJ52" s="151" t="str">
        <f t="shared" si="29"/>
        <v>R-SW_Att_GAS_N3</v>
      </c>
      <c r="AK52" s="151" t="str">
        <f t="shared" si="30"/>
        <v>Residential Natural Gas Heating - New 4 SH + WH + Wood Stove</v>
      </c>
      <c r="AL52" s="152" t="s">
        <v>16</v>
      </c>
      <c r="AM52" s="152" t="s">
        <v>434</v>
      </c>
      <c r="AN52" s="152"/>
      <c r="AO52" s="152" t="s">
        <v>309</v>
      </c>
    </row>
    <row r="53" spans="3:41" ht="15" x14ac:dyDescent="0.25">
      <c r="C53" s="86" t="str">
        <f>"R-SH_Att"&amp;"_"&amp;RIGHT(E53,3)&amp;"_N1"</f>
        <v>R-SH_Att_LPG_N1</v>
      </c>
      <c r="D53" s="75" t="s">
        <v>339</v>
      </c>
      <c r="E53" s="76" t="s">
        <v>723</v>
      </c>
      <c r="F53" s="104" t="s">
        <v>392</v>
      </c>
      <c r="G53" s="86">
        <v>1</v>
      </c>
      <c r="H53" s="75">
        <v>1</v>
      </c>
      <c r="I53" s="75">
        <v>1</v>
      </c>
      <c r="J53" s="104">
        <v>1</v>
      </c>
      <c r="K53" s="88"/>
      <c r="L53" s="77"/>
      <c r="M53" s="77"/>
      <c r="N53" s="89"/>
      <c r="O53" s="86"/>
      <c r="P53" s="75"/>
      <c r="Q53" s="75"/>
      <c r="R53" s="104"/>
      <c r="S53" s="100">
        <v>20</v>
      </c>
      <c r="T53" s="87"/>
      <c r="U53" s="464">
        <f>U49</f>
        <v>3.25</v>
      </c>
      <c r="V53" s="464">
        <f t="shared" ref="V53:X53" si="36">V49</f>
        <v>3.25</v>
      </c>
      <c r="W53" s="464">
        <f t="shared" si="36"/>
        <v>3.25</v>
      </c>
      <c r="X53" s="464">
        <f t="shared" si="36"/>
        <v>3.25</v>
      </c>
      <c r="Y53" s="464">
        <v>0.12</v>
      </c>
      <c r="Z53" s="111"/>
      <c r="AA53" s="88"/>
      <c r="AB53" s="118"/>
      <c r="AC53" s="118"/>
      <c r="AD53" s="118"/>
      <c r="AE53" s="108">
        <v>1</v>
      </c>
      <c r="AF53" s="111"/>
      <c r="AG53" s="111">
        <v>2020</v>
      </c>
      <c r="AI53" s="152"/>
      <c r="AJ53" s="151" t="str">
        <f t="shared" si="29"/>
        <v>R-SH_Att_LPG_N1</v>
      </c>
      <c r="AK53" s="151" t="str">
        <f t="shared" si="30"/>
        <v>Residential Liquid Petroleum Gas- New 1 SH</v>
      </c>
      <c r="AL53" s="152" t="s">
        <v>16</v>
      </c>
      <c r="AM53" s="152" t="s">
        <v>434</v>
      </c>
      <c r="AN53" s="152"/>
      <c r="AO53" s="152" t="s">
        <v>309</v>
      </c>
    </row>
    <row r="54" spans="3:41" ht="15" x14ac:dyDescent="0.25">
      <c r="C54" s="68" t="str">
        <f>"R-SW_Att"&amp;"_"&amp;RIGHT(E54,3)&amp;"_N1"</f>
        <v>R-SW_Att_LPG_N1</v>
      </c>
      <c r="D54" s="69" t="s">
        <v>340</v>
      </c>
      <c r="E54" s="70" t="s">
        <v>723</v>
      </c>
      <c r="F54" s="103" t="s">
        <v>717</v>
      </c>
      <c r="G54" s="68">
        <v>1</v>
      </c>
      <c r="H54" s="69">
        <v>1</v>
      </c>
      <c r="I54" s="69">
        <v>1</v>
      </c>
      <c r="J54" s="103">
        <v>1</v>
      </c>
      <c r="K54" s="90"/>
      <c r="L54" s="78"/>
      <c r="M54" s="78"/>
      <c r="N54" s="91"/>
      <c r="O54" s="68">
        <f>G54*0.7</f>
        <v>0.7</v>
      </c>
      <c r="P54" s="69">
        <f t="shared" ref="P54" si="37">H54*0.7</f>
        <v>0.7</v>
      </c>
      <c r="Q54" s="69">
        <f t="shared" ref="Q54" si="38">I54*0.7</f>
        <v>0.7</v>
      </c>
      <c r="R54" s="103">
        <f t="shared" ref="R54" si="39">J54*0.7</f>
        <v>0.7</v>
      </c>
      <c r="S54" s="99">
        <v>20</v>
      </c>
      <c r="T54" s="71"/>
      <c r="U54" s="465">
        <f>U50</f>
        <v>3.2902892561983474</v>
      </c>
      <c r="V54" s="465">
        <f t="shared" ref="V54:X54" si="40">V50</f>
        <v>3.2902892561983474</v>
      </c>
      <c r="W54" s="465">
        <f t="shared" si="40"/>
        <v>3.2902892561983474</v>
      </c>
      <c r="X54" s="465">
        <f t="shared" si="40"/>
        <v>3.2902892561983474</v>
      </c>
      <c r="Y54" s="465">
        <v>0.12</v>
      </c>
      <c r="Z54" s="112"/>
      <c r="AA54" s="90"/>
      <c r="AB54" s="119"/>
      <c r="AC54" s="119"/>
      <c r="AD54" s="119"/>
      <c r="AE54" s="109">
        <v>1</v>
      </c>
      <c r="AF54" s="112"/>
      <c r="AG54" s="112">
        <v>2020</v>
      </c>
      <c r="AI54" s="152"/>
      <c r="AJ54" s="151" t="str">
        <f t="shared" si="29"/>
        <v>R-SW_Att_LPG_N1</v>
      </c>
      <c r="AK54" s="151" t="str">
        <f t="shared" si="30"/>
        <v>Residential Liquid Petroleum Gas- New 2 SH + WH</v>
      </c>
      <c r="AL54" s="152" t="s">
        <v>16</v>
      </c>
      <c r="AM54" s="152" t="s">
        <v>434</v>
      </c>
      <c r="AN54" s="152"/>
      <c r="AO54" s="152" t="s">
        <v>309</v>
      </c>
    </row>
    <row r="55" spans="3:41" ht="15" x14ac:dyDescent="0.25">
      <c r="C55" s="86" t="str">
        <f>"R-SH_Att"&amp;"_"&amp;RIGHT(E55,3)&amp;"_N1"</f>
        <v>R-SH_Att_WOO_N1</v>
      </c>
      <c r="D55" s="75" t="s">
        <v>341</v>
      </c>
      <c r="E55" s="76" t="s">
        <v>726</v>
      </c>
      <c r="F55" s="104" t="s">
        <v>392</v>
      </c>
      <c r="G55" s="86">
        <v>1</v>
      </c>
      <c r="H55" s="75">
        <v>1</v>
      </c>
      <c r="I55" s="75">
        <v>1</v>
      </c>
      <c r="J55" s="104">
        <v>1</v>
      </c>
      <c r="K55" s="88"/>
      <c r="L55" s="77"/>
      <c r="M55" s="77"/>
      <c r="N55" s="89"/>
      <c r="O55" s="86"/>
      <c r="P55" s="75"/>
      <c r="Q55" s="75"/>
      <c r="R55" s="104"/>
      <c r="S55" s="100">
        <v>20</v>
      </c>
      <c r="T55" s="87"/>
      <c r="U55" s="464">
        <v>20.48</v>
      </c>
      <c r="V55" s="464">
        <f>U55*0.96777</f>
        <v>19.819929600000002</v>
      </c>
      <c r="W55" s="464">
        <f>U55*0.914844</f>
        <v>18.736005120000002</v>
      </c>
      <c r="X55" s="464">
        <f>U55*0.8181</f>
        <v>16.754688000000002</v>
      </c>
      <c r="Y55" s="464">
        <v>0.25</v>
      </c>
      <c r="Z55" s="111"/>
      <c r="AA55" s="86"/>
      <c r="AB55" s="118"/>
      <c r="AC55" s="118"/>
      <c r="AD55" s="118"/>
      <c r="AE55" s="108">
        <v>1</v>
      </c>
      <c r="AF55" s="111"/>
      <c r="AG55" s="111">
        <v>2020</v>
      </c>
      <c r="AI55" s="152"/>
      <c r="AJ55" s="151" t="str">
        <f t="shared" si="29"/>
        <v>R-SH_Att_WOO_N1</v>
      </c>
      <c r="AK55" s="151" t="str">
        <f t="shared" si="30"/>
        <v>Residential Biomass Boiler - New 1 SH</v>
      </c>
      <c r="AL55" s="152" t="s">
        <v>16</v>
      </c>
      <c r="AM55" s="152" t="s">
        <v>434</v>
      </c>
      <c r="AN55" s="152"/>
      <c r="AO55" s="152" t="s">
        <v>309</v>
      </c>
    </row>
    <row r="56" spans="3:41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726</v>
      </c>
      <c r="F56" s="103" t="s">
        <v>717</v>
      </c>
      <c r="G56" s="68">
        <v>1</v>
      </c>
      <c r="H56" s="69">
        <v>1</v>
      </c>
      <c r="I56" s="69">
        <v>1</v>
      </c>
      <c r="J56" s="103">
        <v>1</v>
      </c>
      <c r="K56" s="90"/>
      <c r="L56" s="78"/>
      <c r="M56" s="78"/>
      <c r="N56" s="91"/>
      <c r="O56" s="68">
        <f t="shared" ref="O56:R58" si="41">G56*0.7</f>
        <v>0.7</v>
      </c>
      <c r="P56" s="69">
        <f t="shared" si="41"/>
        <v>0.7</v>
      </c>
      <c r="Q56" s="69">
        <f t="shared" si="41"/>
        <v>0.7</v>
      </c>
      <c r="R56" s="103">
        <f t="shared" si="41"/>
        <v>0.7</v>
      </c>
      <c r="S56" s="99">
        <v>20</v>
      </c>
      <c r="T56" s="71"/>
      <c r="U56" s="465">
        <f>U55*($T$148/$T$147)</f>
        <v>20.733884297520664</v>
      </c>
      <c r="V56" s="465">
        <f t="shared" ref="V56:X56" si="42">V55*($T$148/$T$147)</f>
        <v>20.065631206611574</v>
      </c>
      <c r="W56" s="465">
        <f t="shared" si="42"/>
        <v>18.968269646280994</v>
      </c>
      <c r="X56" s="465">
        <f t="shared" si="42"/>
        <v>16.962390743801656</v>
      </c>
      <c r="Y56" s="465">
        <v>0.25</v>
      </c>
      <c r="Z56" s="112"/>
      <c r="AA56" s="90"/>
      <c r="AB56" s="119"/>
      <c r="AC56" s="119"/>
      <c r="AD56" s="119"/>
      <c r="AE56" s="109">
        <v>1</v>
      </c>
      <c r="AF56" s="112"/>
      <c r="AG56" s="112">
        <v>2020</v>
      </c>
      <c r="AI56" s="155"/>
      <c r="AJ56" s="154" t="str">
        <f t="shared" si="29"/>
        <v>R-SW_Att_WOO_N1</v>
      </c>
      <c r="AK56" s="154" t="str">
        <f t="shared" si="30"/>
        <v>Residential Biomass Boiler - New 2 SH + WH</v>
      </c>
      <c r="AL56" s="155" t="s">
        <v>16</v>
      </c>
      <c r="AM56" s="155" t="s">
        <v>434</v>
      </c>
      <c r="AN56" s="155"/>
      <c r="AO56" s="155" t="s">
        <v>309</v>
      </c>
    </row>
    <row r="57" spans="3:41" ht="15.75" thickBot="1" x14ac:dyDescent="0.3">
      <c r="C57" s="65" t="s">
        <v>699</v>
      </c>
      <c r="D57" s="66" t="s">
        <v>700</v>
      </c>
      <c r="E57" s="135" t="s">
        <v>730</v>
      </c>
      <c r="F57" s="102" t="s">
        <v>392</v>
      </c>
      <c r="G57" s="86">
        <v>1</v>
      </c>
      <c r="H57" s="75">
        <v>1</v>
      </c>
      <c r="I57" s="75">
        <v>1</v>
      </c>
      <c r="J57" s="104">
        <v>1</v>
      </c>
      <c r="K57" s="88"/>
      <c r="L57" s="77"/>
      <c r="M57" s="77"/>
      <c r="N57" s="89"/>
      <c r="O57" s="86">
        <f t="shared" si="41"/>
        <v>0.7</v>
      </c>
      <c r="P57" s="75">
        <f t="shared" si="41"/>
        <v>0.7</v>
      </c>
      <c r="Q57" s="75">
        <f t="shared" si="41"/>
        <v>0.7</v>
      </c>
      <c r="R57" s="104">
        <f t="shared" si="41"/>
        <v>0.7</v>
      </c>
      <c r="S57" s="100">
        <v>20</v>
      </c>
      <c r="T57" s="87"/>
      <c r="U57" s="108">
        <f>(JRC_Data!BB7/1000)*$T$147</f>
        <v>6.166795366795367</v>
      </c>
      <c r="V57" s="108">
        <f>(JRC_Data!BC7/1000)*$T$147</f>
        <v>6.166795366795367</v>
      </c>
      <c r="W57" s="108">
        <f>(JRC_Data!BD7/1000)*$T$147</f>
        <v>6.166795366795367</v>
      </c>
      <c r="X57" s="108">
        <f>(JRC_Data!BE7/1000)*$T$147</f>
        <v>6.166795366795367</v>
      </c>
      <c r="Y57" s="104">
        <f>JRC_Data!BL7/1000</f>
        <v>0.27</v>
      </c>
      <c r="Z57" s="111"/>
      <c r="AA57" s="88"/>
      <c r="AB57" s="118"/>
      <c r="AC57" s="118"/>
      <c r="AD57" s="118"/>
      <c r="AE57" s="108">
        <v>1</v>
      </c>
      <c r="AF57" s="111"/>
      <c r="AG57" s="111">
        <v>2020</v>
      </c>
      <c r="AI57" s="155"/>
      <c r="AJ57" s="154" t="str">
        <f t="shared" ref="AJ57:AJ58" si="43">C57</f>
        <v>*R-H_Apt_HVO_N1</v>
      </c>
      <c r="AK57" s="154" t="str">
        <f t="shared" ref="AK57:AK58" si="44">D57</f>
        <v>Residential  Hydrotreated vegetable oil - New 1 SH</v>
      </c>
      <c r="AL57" s="155" t="s">
        <v>16</v>
      </c>
      <c r="AM57" s="155" t="s">
        <v>434</v>
      </c>
      <c r="AN57" s="155"/>
      <c r="AO57" s="155" t="s">
        <v>309</v>
      </c>
    </row>
    <row r="58" spans="3:41" ht="15.75" thickBot="1" x14ac:dyDescent="0.3">
      <c r="C58" s="68" t="s">
        <v>992</v>
      </c>
      <c r="D58" s="69" t="s">
        <v>993</v>
      </c>
      <c r="E58" s="70" t="s">
        <v>730</v>
      </c>
      <c r="F58" s="103" t="s">
        <v>717</v>
      </c>
      <c r="G58" s="329">
        <v>1</v>
      </c>
      <c r="H58" s="72">
        <v>1</v>
      </c>
      <c r="I58" s="72">
        <v>1</v>
      </c>
      <c r="J58" s="105">
        <v>1</v>
      </c>
      <c r="K58" s="95"/>
      <c r="L58" s="96"/>
      <c r="M58" s="96"/>
      <c r="N58" s="97"/>
      <c r="O58" s="329">
        <f t="shared" si="41"/>
        <v>0.7</v>
      </c>
      <c r="P58" s="72">
        <f t="shared" si="41"/>
        <v>0.7</v>
      </c>
      <c r="Q58" s="72">
        <f t="shared" si="41"/>
        <v>0.7</v>
      </c>
      <c r="R58" s="105">
        <f t="shared" si="41"/>
        <v>0.7</v>
      </c>
      <c r="S58" s="101">
        <v>20</v>
      </c>
      <c r="T58" s="74"/>
      <c r="U58" s="110">
        <f>(JRC_Data!BB7/1000)*$T$148</f>
        <v>6.243243243243243</v>
      </c>
      <c r="V58" s="110">
        <f>(JRC_Data!BC7/1000)*$T$148</f>
        <v>6.243243243243243</v>
      </c>
      <c r="W58" s="110">
        <f>(JRC_Data!BD7/1000)*$T$148</f>
        <v>6.243243243243243</v>
      </c>
      <c r="X58" s="110">
        <f>(JRC_Data!BE7/1000)*$T$148</f>
        <v>6.243243243243243</v>
      </c>
      <c r="Y58" s="103">
        <f>JRC_Data!BL7/1000</f>
        <v>0.27</v>
      </c>
      <c r="Z58" s="112"/>
      <c r="AA58" s="90"/>
      <c r="AB58" s="119"/>
      <c r="AC58" s="119"/>
      <c r="AD58" s="119"/>
      <c r="AE58" s="109">
        <v>1</v>
      </c>
      <c r="AF58" s="113"/>
      <c r="AG58" s="113">
        <v>2020</v>
      </c>
      <c r="AI58" s="155"/>
      <c r="AJ58" s="154" t="str">
        <f t="shared" si="43"/>
        <v>*R-H_Apt_HVO_N2</v>
      </c>
      <c r="AK58" s="154" t="str">
        <f t="shared" si="44"/>
        <v>Residential  Hydrotreated vegetable oil - New 1 SH + WH</v>
      </c>
      <c r="AL58" s="155" t="s">
        <v>16</v>
      </c>
      <c r="AM58" s="155" t="s">
        <v>434</v>
      </c>
      <c r="AN58" s="155"/>
      <c r="AO58" s="155" t="s">
        <v>309</v>
      </c>
    </row>
    <row r="59" spans="3:41" ht="15.75" thickBot="1" x14ac:dyDescent="0.3">
      <c r="C59" s="79" t="s">
        <v>736</v>
      </c>
      <c r="D59" s="79"/>
      <c r="E59" s="80"/>
      <c r="F59" s="80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0"/>
      <c r="T59" s="80"/>
      <c r="U59" s="79"/>
      <c r="V59" s="79"/>
      <c r="W59" s="79"/>
      <c r="X59" s="79"/>
      <c r="Y59" s="79"/>
      <c r="Z59" s="80"/>
      <c r="AA59" s="82"/>
      <c r="AB59" s="82"/>
      <c r="AC59" s="82"/>
      <c r="AD59" s="82"/>
      <c r="AE59" s="79"/>
      <c r="AF59" s="80"/>
      <c r="AG59" s="80"/>
      <c r="AI59" s="156"/>
      <c r="AJ59" s="157" t="str">
        <f>C60</f>
        <v>R-SH_Att_ELC_N1</v>
      </c>
      <c r="AK59" s="157" t="str">
        <f>D60</f>
        <v>Residential Electric Heater - New 1 SH</v>
      </c>
      <c r="AL59" s="156" t="s">
        <v>16</v>
      </c>
      <c r="AM59" s="156" t="s">
        <v>434</v>
      </c>
      <c r="AN59" s="156"/>
      <c r="AO59" s="156" t="s">
        <v>309</v>
      </c>
    </row>
    <row r="60" spans="3:41" ht="15" x14ac:dyDescent="0.25">
      <c r="C60" s="142" t="str">
        <f>"R-SH_Att"&amp;"_"&amp;RIGHT(E60,3)&amp;"_N1"</f>
        <v>R-SH_Att_ELC_N1</v>
      </c>
      <c r="D60" s="126" t="s">
        <v>343</v>
      </c>
      <c r="E60" s="167" t="s">
        <v>406</v>
      </c>
      <c r="F60" s="127" t="s">
        <v>392</v>
      </c>
      <c r="G60" s="326">
        <v>1</v>
      </c>
      <c r="H60" s="327">
        <v>1</v>
      </c>
      <c r="I60" s="327">
        <v>1</v>
      </c>
      <c r="J60" s="328">
        <v>1</v>
      </c>
      <c r="K60" s="120"/>
      <c r="L60" s="121"/>
      <c r="M60" s="121"/>
      <c r="N60" s="122"/>
      <c r="O60" s="120"/>
      <c r="P60" s="121"/>
      <c r="Q60" s="121"/>
      <c r="R60" s="122"/>
      <c r="S60" s="123">
        <v>20</v>
      </c>
      <c r="T60" s="124"/>
      <c r="U60" s="125">
        <f>(JRC_Data!BB48/1000)*($T$148/$T$147)</f>
        <v>4.0495867768595044</v>
      </c>
      <c r="V60" s="125">
        <f>(JRC_Data!BC48/1000)*($T$148/$T$147)</f>
        <v>4.0495867768595044</v>
      </c>
      <c r="W60" s="125">
        <f>(JRC_Data!BD48/1000)*($T$148/$T$147)</f>
        <v>4.0495867768595044</v>
      </c>
      <c r="X60" s="125">
        <f>(JRC_Data!BE48/1000)*($T$148/$T$147)</f>
        <v>4.0495867768595044</v>
      </c>
      <c r="Y60" s="128">
        <f>JRC_Data!BL48/1000</f>
        <v>0.05</v>
      </c>
      <c r="Z60" s="129"/>
      <c r="AA60" s="130"/>
      <c r="AB60" s="130"/>
      <c r="AC60" s="130"/>
      <c r="AD60" s="130"/>
      <c r="AE60" s="128">
        <v>1</v>
      </c>
      <c r="AF60" s="129"/>
      <c r="AG60" s="129">
        <v>2020</v>
      </c>
      <c r="AI60" s="150"/>
      <c r="AJ60" s="149" t="str">
        <f t="shared" ref="AJ60:AK66" si="45">C62</f>
        <v>R-SH_Att_ELC_HPN1</v>
      </c>
      <c r="AK60" s="149" t="str">
        <f t="shared" si="45"/>
        <v>Residential Electric Heat Pump - Air to Air - SH</v>
      </c>
      <c r="AL60" s="150" t="s">
        <v>16</v>
      </c>
      <c r="AM60" s="150" t="s">
        <v>434</v>
      </c>
      <c r="AN60" s="150"/>
      <c r="AO60" s="150" t="s">
        <v>309</v>
      </c>
    </row>
    <row r="61" spans="3:41" ht="15" x14ac:dyDescent="0.25">
      <c r="C61" s="79" t="s">
        <v>737</v>
      </c>
      <c r="D61" s="79"/>
      <c r="E61" s="80"/>
      <c r="F61" s="80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0"/>
      <c r="T61" s="80"/>
      <c r="U61" s="79"/>
      <c r="V61" s="79"/>
      <c r="W61" s="79"/>
      <c r="X61" s="79"/>
      <c r="Y61" s="79"/>
      <c r="Z61" s="80"/>
      <c r="AA61" s="82"/>
      <c r="AB61" s="82"/>
      <c r="AC61" s="82"/>
      <c r="AD61" s="82"/>
      <c r="AE61" s="79"/>
      <c r="AF61" s="80"/>
      <c r="AG61" s="80"/>
      <c r="AI61" s="152"/>
      <c r="AJ61" s="151" t="str">
        <f t="shared" si="45"/>
        <v>R-HC_Att_ELC_HPN1</v>
      </c>
      <c r="AK61" s="151" t="str">
        <f t="shared" si="45"/>
        <v>Residential Electric Heat Pump - Air to Air - SH + SC</v>
      </c>
      <c r="AL61" s="152" t="s">
        <v>16</v>
      </c>
      <c r="AM61" s="152" t="s">
        <v>434</v>
      </c>
      <c r="AN61" s="152"/>
      <c r="AO61" s="152" t="s">
        <v>309</v>
      </c>
    </row>
    <row r="62" spans="3:41" ht="15" x14ac:dyDescent="0.25">
      <c r="C62" s="65" t="str">
        <f>"R-SH_Att"&amp;"_"&amp;RIGHT(E62,3)&amp;"_HPN1"</f>
        <v>R-SH_Att_ELC_HPN1</v>
      </c>
      <c r="D62" s="66" t="s">
        <v>345</v>
      </c>
      <c r="E62" s="135" t="s">
        <v>406</v>
      </c>
      <c r="F62" s="102" t="s">
        <v>392</v>
      </c>
      <c r="G62" s="65">
        <v>1</v>
      </c>
      <c r="H62" s="66">
        <f>JRC_Data!AD16/JRC_Data!$AC$16</f>
        <v>1.0666666666666667</v>
      </c>
      <c r="I62" s="66">
        <f>JRC_Data!AE16/JRC_Data!$AC$16</f>
        <v>1.2333333333333334</v>
      </c>
      <c r="J62" s="102">
        <f>JRC_Data!AF16/JRC_Data!$AC$16</f>
        <v>1.3333333333333333</v>
      </c>
      <c r="K62" s="65"/>
      <c r="L62" s="66"/>
      <c r="M62" s="66"/>
      <c r="N62" s="102"/>
      <c r="O62" s="65"/>
      <c r="P62" s="66"/>
      <c r="Q62" s="66"/>
      <c r="R62" s="102"/>
      <c r="S62" s="98">
        <v>20</v>
      </c>
      <c r="T62" s="94"/>
      <c r="U62" s="65">
        <f>(JRC_Data!BB16/1000)*($T$147/$T$148)</f>
        <v>2.1730612244897962</v>
      </c>
      <c r="V62" s="65">
        <f>(JRC_Data!BC16/1000)*($T$147/$T$148)</f>
        <v>2.0742857142857147</v>
      </c>
      <c r="W62" s="65">
        <f>(JRC_Data!BD16/1000)*($T$147/$T$148)</f>
        <v>1.8767346938775511</v>
      </c>
      <c r="X62" s="131">
        <f>(JRC_Data!BE16/1000)*($T$147/$T$148)</f>
        <v>1.7779591836734696</v>
      </c>
      <c r="Y62" s="131">
        <f>JRC_Data!BL16/1000</f>
        <v>3.4000000000000002E-2</v>
      </c>
      <c r="Z62" s="131"/>
      <c r="AA62" s="131"/>
      <c r="AB62" s="131"/>
      <c r="AC62" s="131"/>
      <c r="AD62" s="131"/>
      <c r="AE62" s="131">
        <v>1</v>
      </c>
      <c r="AF62" s="134"/>
      <c r="AG62" s="134">
        <v>2100</v>
      </c>
      <c r="AI62" s="152"/>
      <c r="AJ62" s="151" t="str">
        <f t="shared" si="45"/>
        <v>R-SH_Att_ELC_HPN2</v>
      </c>
      <c r="AK62" s="151" t="str">
        <f t="shared" si="45"/>
        <v>Residential Electric Heat Pump - Air to Water - SH</v>
      </c>
      <c r="AL62" s="152" t="s">
        <v>16</v>
      </c>
      <c r="AM62" s="152" t="s">
        <v>434</v>
      </c>
      <c r="AN62" s="152"/>
      <c r="AO62" s="152" t="s">
        <v>309</v>
      </c>
    </row>
    <row r="63" spans="3:41" ht="15" x14ac:dyDescent="0.25">
      <c r="C63" s="68" t="str">
        <f>"R-HC_Att"&amp;"_"&amp;RIGHT(E63,3)&amp;"_HPN1"</f>
        <v>R-HC_Att_ELC_HPN1</v>
      </c>
      <c r="D63" s="69" t="s">
        <v>346</v>
      </c>
      <c r="E63" s="70" t="s">
        <v>406</v>
      </c>
      <c r="F63" s="103" t="s">
        <v>718</v>
      </c>
      <c r="G63" s="68">
        <v>1</v>
      </c>
      <c r="H63" s="69">
        <f>JRC_Data!AD16/JRC_Data!$AC$16</f>
        <v>1.0666666666666667</v>
      </c>
      <c r="I63" s="69">
        <f>JRC_Data!AE16/JRC_Data!$AC$16</f>
        <v>1.2333333333333334</v>
      </c>
      <c r="J63" s="103">
        <f>JRC_Data!AF16/JRC_Data!$AC$16</f>
        <v>1.3333333333333333</v>
      </c>
      <c r="K63" s="68">
        <v>1</v>
      </c>
      <c r="L63" s="69">
        <f>JRC_Data!AD16/JRC_Data!$AC$16</f>
        <v>1.0666666666666667</v>
      </c>
      <c r="M63" s="69">
        <f>JRC_Data!AE16/JRC_Data!$AC$16</f>
        <v>1.2333333333333334</v>
      </c>
      <c r="N63" s="103">
        <f>JRC_Data!AF16/JRC_Data!$AC$16</f>
        <v>1.3333333333333333</v>
      </c>
      <c r="O63" s="68"/>
      <c r="P63" s="69"/>
      <c r="Q63" s="69"/>
      <c r="R63" s="103"/>
      <c r="S63" s="99">
        <v>20</v>
      </c>
      <c r="T63" s="91"/>
      <c r="U63" s="68">
        <f>(JRC_Data!BB16/1000)*($T$148/$T$148)</f>
        <v>2.2000000000000002</v>
      </c>
      <c r="V63" s="68">
        <f>(JRC_Data!BC16/1000)*($T$148/$T$148)</f>
        <v>2.1</v>
      </c>
      <c r="W63" s="68">
        <f>(JRC_Data!BD16/1000)*($T$148/$T$148)</f>
        <v>1.9</v>
      </c>
      <c r="X63" s="109">
        <f>(JRC_Data!BE16/1000)*($T$148/$T$148)</f>
        <v>1.8</v>
      </c>
      <c r="Y63" s="109">
        <f>JRC_Data!BL16/1000</f>
        <v>3.4000000000000002E-2</v>
      </c>
      <c r="Z63" s="109"/>
      <c r="AA63" s="109"/>
      <c r="AB63" s="109"/>
      <c r="AC63" s="109"/>
      <c r="AD63" s="109"/>
      <c r="AE63" s="109">
        <v>1</v>
      </c>
      <c r="AF63" s="112"/>
      <c r="AG63" s="112">
        <v>2100</v>
      </c>
      <c r="AI63" s="152"/>
      <c r="AJ63" s="151" t="str">
        <f t="shared" si="45"/>
        <v>R-SW_Att_ELC_HPN1</v>
      </c>
      <c r="AK63" s="151" t="str">
        <f t="shared" si="45"/>
        <v>Residential Electric Heat Pump - Air to Water - SH + WH</v>
      </c>
      <c r="AL63" s="152" t="s">
        <v>16</v>
      </c>
      <c r="AM63" s="152" t="s">
        <v>434</v>
      </c>
      <c r="AN63" s="152"/>
      <c r="AO63" s="152" t="s">
        <v>309</v>
      </c>
    </row>
    <row r="64" spans="3:41" ht="15" x14ac:dyDescent="0.25">
      <c r="C64" s="86" t="str">
        <f>"R-SH_Att"&amp;"_"&amp;RIGHT(E64,3)&amp;"_HPN2"</f>
        <v>R-SH_Att_ELC_HPN2</v>
      </c>
      <c r="D64" s="75" t="s">
        <v>347</v>
      </c>
      <c r="E64" s="76" t="s">
        <v>406</v>
      </c>
      <c r="F64" s="104" t="s">
        <v>392</v>
      </c>
      <c r="G64" s="86">
        <v>1</v>
      </c>
      <c r="H64" s="75">
        <f>JRC_Data!AD18/JRC_Data!$AC$16</f>
        <v>1.0999999999999999</v>
      </c>
      <c r="I64" s="75">
        <f>JRC_Data!AE18/JRC_Data!$AC$16</f>
        <v>1.2333333333333334</v>
      </c>
      <c r="J64" s="104">
        <f>JRC_Data!AF18/JRC_Data!$AC$16</f>
        <v>1.3333333333333333</v>
      </c>
      <c r="K64" s="86"/>
      <c r="L64" s="75"/>
      <c r="M64" s="75"/>
      <c r="N64" s="104"/>
      <c r="O64" s="86"/>
      <c r="P64" s="75"/>
      <c r="Q64" s="75"/>
      <c r="R64" s="104"/>
      <c r="S64" s="100">
        <v>20</v>
      </c>
      <c r="T64" s="89"/>
      <c r="U64" s="464">
        <v>8.5299999999999994</v>
      </c>
      <c r="V64" s="464">
        <f>U64*0.91</f>
        <v>7.7622999999999998</v>
      </c>
      <c r="W64" s="464">
        <f>V64*0.91</f>
        <v>7.0636929999999998</v>
      </c>
      <c r="X64" s="464">
        <f>U64*0.82</f>
        <v>6.9945999999999993</v>
      </c>
      <c r="Y64" s="464">
        <v>0.1</v>
      </c>
      <c r="Z64" s="108"/>
      <c r="AA64" s="108"/>
      <c r="AB64" s="108"/>
      <c r="AC64" s="108"/>
      <c r="AD64" s="108"/>
      <c r="AE64" s="108">
        <v>1</v>
      </c>
      <c r="AF64" s="111"/>
      <c r="AG64" s="111">
        <v>2020</v>
      </c>
      <c r="AI64" s="286"/>
      <c r="AJ64" s="151" t="str">
        <f t="shared" si="45"/>
        <v>R-SW_Att_ELC_HPN2</v>
      </c>
      <c r="AK64" s="151" t="str">
        <f t="shared" si="45"/>
        <v>Residential Electric Heat Pump - Air to Water - SH + WH + Solar</v>
      </c>
      <c r="AL64" s="152" t="s">
        <v>16</v>
      </c>
      <c r="AM64" s="152" t="s">
        <v>434</v>
      </c>
      <c r="AN64" s="152"/>
      <c r="AO64" s="152" t="s">
        <v>309</v>
      </c>
    </row>
    <row r="65" spans="3:41" ht="15" x14ac:dyDescent="0.25">
      <c r="C65" s="68" t="str">
        <f>"R-SW_Att"&amp;"_"&amp;RIGHT(E65,3)&amp;"_HPN1"</f>
        <v>R-SW_Att_ELC_HPN1</v>
      </c>
      <c r="D65" s="69" t="s">
        <v>348</v>
      </c>
      <c r="E65" s="70" t="s">
        <v>406</v>
      </c>
      <c r="F65" s="103" t="s">
        <v>717</v>
      </c>
      <c r="G65" s="68">
        <v>1</v>
      </c>
      <c r="H65" s="69">
        <f>JRC_Data!AD18/JRC_Data!$AC$16</f>
        <v>1.0999999999999999</v>
      </c>
      <c r="I65" s="69">
        <f>JRC_Data!AE18/JRC_Data!$AC$16</f>
        <v>1.2333333333333334</v>
      </c>
      <c r="J65" s="103">
        <f>JRC_Data!AF18/JRC_Data!$AC$16</f>
        <v>1.3333333333333333</v>
      </c>
      <c r="K65" s="68"/>
      <c r="L65" s="69"/>
      <c r="M65" s="69"/>
      <c r="N65" s="103"/>
      <c r="O65" s="68">
        <f>G65*0.7</f>
        <v>0.7</v>
      </c>
      <c r="P65" s="69">
        <f t="shared" ref="P65:P66" si="46">H65*0.7</f>
        <v>0.76999999999999991</v>
      </c>
      <c r="Q65" s="69">
        <f t="shared" ref="Q65:Q66" si="47">I65*0.7</f>
        <v>0.86333333333333329</v>
      </c>
      <c r="R65" s="103">
        <f t="shared" ref="R65:R66" si="48">J65*0.7</f>
        <v>0.93333333333333324</v>
      </c>
      <c r="S65" s="99">
        <v>20</v>
      </c>
      <c r="T65" s="91"/>
      <c r="U65" s="465">
        <f>U64*($T$146/$T$145)</f>
        <v>8.6019831223628689</v>
      </c>
      <c r="V65" s="465">
        <f t="shared" ref="V65" si="49">V64*($T$146/$T$145)</f>
        <v>7.8278046413502116</v>
      </c>
      <c r="W65" s="465">
        <f t="shared" ref="W65" si="50">W64*($T$146/$T$145)</f>
        <v>7.1233022236286923</v>
      </c>
      <c r="X65" s="465">
        <f t="shared" ref="X65" si="51">X64*($T$146/$T$145)</f>
        <v>7.0536261603375525</v>
      </c>
      <c r="Y65" s="465">
        <v>0.1</v>
      </c>
      <c r="Z65" s="109"/>
      <c r="AA65" s="109"/>
      <c r="AB65" s="109"/>
      <c r="AC65" s="109"/>
      <c r="AD65" s="109"/>
      <c r="AE65" s="109">
        <v>1</v>
      </c>
      <c r="AF65" s="112"/>
      <c r="AG65" s="112">
        <v>2020</v>
      </c>
      <c r="AI65" s="286"/>
      <c r="AJ65" s="151" t="str">
        <f t="shared" si="45"/>
        <v>R-SH_Att_ELC_HPN3</v>
      </c>
      <c r="AK65" s="151" t="str">
        <f t="shared" si="45"/>
        <v>Residential Electric Heat Pump - Ground to Water - SH</v>
      </c>
      <c r="AL65" s="152" t="s">
        <v>16</v>
      </c>
      <c r="AM65" s="152" t="s">
        <v>434</v>
      </c>
      <c r="AN65" s="152"/>
      <c r="AO65" s="152" t="s">
        <v>309</v>
      </c>
    </row>
    <row r="66" spans="3:41" ht="15.75" thickBot="1" x14ac:dyDescent="0.3">
      <c r="C66" s="86" t="str">
        <f>"R-SW_Att"&amp;"_"&amp;RIGHT(E66,3)&amp;"_HPN2"</f>
        <v>R-SW_Att_ELC_HPN2</v>
      </c>
      <c r="D66" s="75" t="s">
        <v>349</v>
      </c>
      <c r="E66" s="76" t="s">
        <v>1026</v>
      </c>
      <c r="F66" s="104" t="s">
        <v>717</v>
      </c>
      <c r="G66" s="86">
        <v>1</v>
      </c>
      <c r="H66" s="75">
        <v>1.1100000000000001</v>
      </c>
      <c r="I66" s="75">
        <v>1.19</v>
      </c>
      <c r="J66" s="104">
        <v>1.19</v>
      </c>
      <c r="K66" s="86"/>
      <c r="L66" s="75"/>
      <c r="M66" s="75"/>
      <c r="N66" s="104"/>
      <c r="O66" s="86">
        <f>G66*0.7</f>
        <v>0.7</v>
      </c>
      <c r="P66" s="75">
        <f t="shared" si="46"/>
        <v>0.77700000000000002</v>
      </c>
      <c r="Q66" s="75">
        <f t="shared" si="47"/>
        <v>0.83299999999999996</v>
      </c>
      <c r="R66" s="104">
        <f t="shared" si="48"/>
        <v>0.83299999999999996</v>
      </c>
      <c r="S66" s="100">
        <v>20</v>
      </c>
      <c r="T66" s="89"/>
      <c r="U66" s="86">
        <f>((JRC_Data!BB18+JRC_Data!BB45)*0.8/1000)*($T$148/$T$147)</f>
        <v>13.282644628099174</v>
      </c>
      <c r="V66" s="86">
        <f>((JRC_Data!BC18+JRC_Data!BC45)*0.8/1000)*($T$148/$T$147)</f>
        <v>12.229752066115703</v>
      </c>
      <c r="W66" s="86">
        <f>((JRC_Data!BD18+JRC_Data!BD45)*0.8/1000)*($T$148/$T$147)</f>
        <v>11.824793388429752</v>
      </c>
      <c r="X66" s="108">
        <f>((JRC_Data!BE18+JRC_Data!BE45)*0.8/1000)*($T$148/$T$147)</f>
        <v>10.285950413223141</v>
      </c>
      <c r="Y66" s="108">
        <f>((JRC_Data!BL18+JRC_Data!BL45)*0.8)/1000</f>
        <v>0.16960000000000003</v>
      </c>
      <c r="Z66" s="108"/>
      <c r="AA66" s="118">
        <v>0.1</v>
      </c>
      <c r="AB66" s="108"/>
      <c r="AC66" s="108"/>
      <c r="AD66" s="290">
        <v>5</v>
      </c>
      <c r="AE66" s="108">
        <v>1</v>
      </c>
      <c r="AF66" s="111"/>
      <c r="AG66" s="111">
        <v>2020</v>
      </c>
      <c r="AI66" s="158"/>
      <c r="AJ66" s="154" t="str">
        <f t="shared" si="45"/>
        <v>R-HC_Att_ELC_HPN2</v>
      </c>
      <c r="AK66" s="154" t="str">
        <f t="shared" si="45"/>
        <v>Residential Electric Heat Pump - Ground to Water - SH + SC</v>
      </c>
      <c r="AL66" s="155" t="s">
        <v>16</v>
      </c>
      <c r="AM66" s="155" t="s">
        <v>434</v>
      </c>
      <c r="AN66" s="155"/>
      <c r="AO66" s="155" t="s">
        <v>309</v>
      </c>
    </row>
    <row r="67" spans="3:41" ht="15" x14ac:dyDescent="0.25">
      <c r="C67" s="68" t="str">
        <f>"R-SH_Att"&amp;"_"&amp;RIGHT(E67,3)&amp;"_HPN3"</f>
        <v>R-SH_Att_ELC_HPN3</v>
      </c>
      <c r="D67" s="69" t="s">
        <v>350</v>
      </c>
      <c r="E67" s="70" t="s">
        <v>406</v>
      </c>
      <c r="F67" s="103" t="s">
        <v>392</v>
      </c>
      <c r="G67" s="68">
        <f>JRC_Data!AC20/JRC_Data!$AC$16</f>
        <v>1.0999999999999999</v>
      </c>
      <c r="H67" s="69">
        <f>JRC_Data!AD20/JRC_Data!$AC$16</f>
        <v>1.1666666666666667</v>
      </c>
      <c r="I67" s="69">
        <f>JRC_Data!AE20/JRC_Data!$AC$16</f>
        <v>1.3333333333333333</v>
      </c>
      <c r="J67" s="103">
        <f>JRC_Data!AF20/JRC_Data!$AC$16</f>
        <v>1.5</v>
      </c>
      <c r="K67" s="68"/>
      <c r="L67" s="69"/>
      <c r="M67" s="69"/>
      <c r="N67" s="103"/>
      <c r="O67" s="68"/>
      <c r="P67" s="69"/>
      <c r="Q67" s="69"/>
      <c r="R67" s="103"/>
      <c r="S67" s="99">
        <v>20</v>
      </c>
      <c r="T67" s="91"/>
      <c r="U67" s="68">
        <f>(JRC_Data!BB20/1000)*($T$147/$T$148)</f>
        <v>13.828571428571429</v>
      </c>
      <c r="V67" s="68">
        <f>(JRC_Data!BC20/1000)*($T$147/$T$148)</f>
        <v>12.840816326530613</v>
      </c>
      <c r="W67" s="68">
        <f>(JRC_Data!BD20/1000)*($T$147/$T$148)</f>
        <v>11.853061224489796</v>
      </c>
      <c r="X67" s="109">
        <f>(JRC_Data!BE20/1000)*($T$147/$T$148)</f>
        <v>10.865306122448981</v>
      </c>
      <c r="Y67" s="109">
        <f>JRC_Data!BL20/1000</f>
        <v>0.2</v>
      </c>
      <c r="Z67" s="109"/>
      <c r="AA67" s="109"/>
      <c r="AB67" s="109"/>
      <c r="AC67" s="109"/>
      <c r="AD67" s="109"/>
      <c r="AE67" s="109">
        <v>1</v>
      </c>
      <c r="AF67" s="112"/>
      <c r="AG67" s="112">
        <v>2020</v>
      </c>
      <c r="AI67" s="159"/>
      <c r="AJ67" s="149" t="str">
        <f>C70</f>
        <v>R-SW_Att_GAS_HPN1</v>
      </c>
      <c r="AK67" s="149" t="str">
        <f>D70</f>
        <v>Residential Gas Absorption Heat Pump - Air to Water - SH + WH</v>
      </c>
      <c r="AL67" s="150" t="s">
        <v>16</v>
      </c>
      <c r="AM67" s="150" t="s">
        <v>434</v>
      </c>
      <c r="AN67" s="150"/>
      <c r="AO67" s="150" t="s">
        <v>309</v>
      </c>
    </row>
    <row r="68" spans="3:41" ht="15.75" thickBot="1" x14ac:dyDescent="0.3">
      <c r="C68" s="140" t="str">
        <f>"R-HC_Att"&amp;"_"&amp;RIGHT(E68,3)&amp;"_HPN2"</f>
        <v>R-HC_Att_ELC_HPN2</v>
      </c>
      <c r="D68" s="136" t="s">
        <v>351</v>
      </c>
      <c r="E68" s="165" t="s">
        <v>406</v>
      </c>
      <c r="F68" s="141" t="s">
        <v>718</v>
      </c>
      <c r="G68" s="140">
        <f>JRC_Data!AC20/JRC_Data!$AC$16</f>
        <v>1.0999999999999999</v>
      </c>
      <c r="H68" s="136">
        <f>JRC_Data!AD20/JRC_Data!$AC$16</f>
        <v>1.1666666666666667</v>
      </c>
      <c r="I68" s="136">
        <f>JRC_Data!AE20/JRC_Data!$AC$16</f>
        <v>1.3333333333333333</v>
      </c>
      <c r="J68" s="141">
        <f>JRC_Data!AF20/JRC_Data!$AC$16</f>
        <v>1.5</v>
      </c>
      <c r="K68" s="140">
        <f>JRC_Data!AC20/JRC_Data!$AC$16</f>
        <v>1.0999999999999999</v>
      </c>
      <c r="L68" s="136">
        <f>JRC_Data!AD20/JRC_Data!$AC$16</f>
        <v>1.1666666666666667</v>
      </c>
      <c r="M68" s="136">
        <f>JRC_Data!AE20/JRC_Data!$AC$16</f>
        <v>1.3333333333333333</v>
      </c>
      <c r="N68" s="141">
        <f>JRC_Data!AF20/JRC_Data!$AC$16</f>
        <v>1.5</v>
      </c>
      <c r="O68" s="140"/>
      <c r="P68" s="136"/>
      <c r="Q68" s="136"/>
      <c r="R68" s="141"/>
      <c r="S68" s="147">
        <v>20</v>
      </c>
      <c r="T68" s="148"/>
      <c r="U68" s="140">
        <f>(JRC_Data!BB20/1000)*($T$148/$T$148)</f>
        <v>14</v>
      </c>
      <c r="V68" s="140">
        <f>(JRC_Data!BC20/1000)*($T$148/$T$148)</f>
        <v>13</v>
      </c>
      <c r="W68" s="140">
        <f>(JRC_Data!BD20/1000)*($T$148/$T$148)</f>
        <v>12</v>
      </c>
      <c r="X68" s="132">
        <f>(JRC_Data!BE20/1000)*($T$148/$T$148)</f>
        <v>11</v>
      </c>
      <c r="Y68" s="132">
        <f>JRC_Data!BL20/1000</f>
        <v>0.2</v>
      </c>
      <c r="Z68" s="132"/>
      <c r="AA68" s="132"/>
      <c r="AB68" s="132"/>
      <c r="AC68" s="132"/>
      <c r="AD68" s="132"/>
      <c r="AE68" s="132">
        <v>1</v>
      </c>
      <c r="AF68" s="137"/>
      <c r="AG68" s="137">
        <v>2020</v>
      </c>
      <c r="AI68" s="287"/>
      <c r="AJ68" s="154" t="str">
        <f>C71</f>
        <v>R-SW_Att_GAS_HPN2</v>
      </c>
      <c r="AK68" s="154" t="str">
        <f>D71</f>
        <v>Residential Gas Engine Heat Pump - Air to Water - SH + WH</v>
      </c>
      <c r="AL68" s="155" t="s">
        <v>16</v>
      </c>
      <c r="AM68" s="155" t="s">
        <v>434</v>
      </c>
      <c r="AN68" s="155"/>
      <c r="AO68" s="155" t="s">
        <v>309</v>
      </c>
    </row>
    <row r="69" spans="3:41" ht="15.75" thickBot="1" x14ac:dyDescent="0.3">
      <c r="C69" s="79" t="s">
        <v>738</v>
      </c>
      <c r="D69" s="79"/>
      <c r="E69" s="80"/>
      <c r="F69" s="80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0"/>
      <c r="T69" s="80"/>
      <c r="U69" s="79"/>
      <c r="V69" s="79"/>
      <c r="W69" s="79"/>
      <c r="X69" s="79"/>
      <c r="Y69" s="79"/>
      <c r="Z69" s="133"/>
      <c r="AA69" s="82"/>
      <c r="AB69" s="82"/>
      <c r="AC69" s="82"/>
      <c r="AD69" s="82"/>
      <c r="AE69" s="79"/>
      <c r="AF69" s="80"/>
      <c r="AG69" s="80"/>
      <c r="AI69" s="288"/>
      <c r="AJ69" s="157" t="str">
        <f>C73</f>
        <v>R-SW_Att_GAS_HHPN1</v>
      </c>
      <c r="AK69" s="157" t="str">
        <f>D73</f>
        <v>Residential Gas Hybrid Heat Pump - Air to Water - SH + WH</v>
      </c>
      <c r="AL69" s="156" t="s">
        <v>16</v>
      </c>
      <c r="AM69" s="156" t="s">
        <v>434</v>
      </c>
      <c r="AN69" s="156"/>
      <c r="AO69" s="156" t="s">
        <v>309</v>
      </c>
    </row>
    <row r="70" spans="3:41" ht="15" x14ac:dyDescent="0.25">
      <c r="C70" s="65" t="str">
        <f>"R-SW_Att"&amp;"_"&amp;RIGHT(E70,3)&amp;"_HPN1"</f>
        <v>R-SW_Att_GAS_HPN1</v>
      </c>
      <c r="D70" s="66" t="s">
        <v>352</v>
      </c>
      <c r="E70" s="135" t="s">
        <v>727</v>
      </c>
      <c r="F70" s="135" t="s">
        <v>717</v>
      </c>
      <c r="G70" s="65">
        <v>1</v>
      </c>
      <c r="H70" s="66">
        <f>JRC_Data!AD28/JRC_Data!$AC$28</f>
        <v>1.074074074074074</v>
      </c>
      <c r="I70" s="66">
        <f>JRC_Data!AE28/JRC_Data!$AC$28</f>
        <v>1.2592592592592591</v>
      </c>
      <c r="J70" s="102">
        <f>JRC_Data!AF28/JRC_Data!$AC$28</f>
        <v>1.2592592592592591</v>
      </c>
      <c r="K70" s="92"/>
      <c r="L70" s="93"/>
      <c r="M70" s="93"/>
      <c r="N70" s="94"/>
      <c r="O70" s="323">
        <f>G70*0.7</f>
        <v>0.7</v>
      </c>
      <c r="P70" s="324">
        <f t="shared" ref="P70:P71" si="52">H70*0.7</f>
        <v>0.75185185185185177</v>
      </c>
      <c r="Q70" s="324">
        <f t="shared" ref="Q70:Q71" si="53">I70*0.7</f>
        <v>0.88148148148148131</v>
      </c>
      <c r="R70" s="325">
        <f t="shared" ref="R70:R71" si="54">J70*0.7</f>
        <v>0.88148148148148131</v>
      </c>
      <c r="S70" s="135">
        <v>22</v>
      </c>
      <c r="T70" s="94"/>
      <c r="U70" s="65">
        <f>(JRC_Data!BB28/1000)*($T$148/$T$149)</f>
        <v>14.756756756756756</v>
      </c>
      <c r="V70" s="65">
        <f>(JRC_Data!BC28/1000)*($T$148/$T$149)</f>
        <v>13.810810810810811</v>
      </c>
      <c r="W70" s="65">
        <f>(JRC_Data!BD28/1000)*($T$148/$T$149)</f>
        <v>11.918918918918919</v>
      </c>
      <c r="X70" s="131">
        <f>(JRC_Data!BE28/1000)*($T$148/$T$149)</f>
        <v>11.918918918918919</v>
      </c>
      <c r="Y70" s="131">
        <f>JRC_Data!BL28/1000</f>
        <v>0.23499999999999999</v>
      </c>
      <c r="Z70" s="131"/>
      <c r="AA70" s="102"/>
      <c r="AB70" s="131"/>
      <c r="AC70" s="131"/>
      <c r="AD70" s="131"/>
      <c r="AE70" s="131">
        <v>1</v>
      </c>
      <c r="AF70" s="134"/>
      <c r="AG70" s="134">
        <v>2020</v>
      </c>
      <c r="AI70" s="289"/>
      <c r="AJ70" s="149" t="str">
        <f>C75</f>
        <v>R-SW_Att_HET_N1</v>
      </c>
      <c r="AK70" s="149" t="str">
        <f>D75</f>
        <v>Residential District Heating Centralized - SH + WH</v>
      </c>
      <c r="AL70" s="150" t="s">
        <v>16</v>
      </c>
      <c r="AM70" s="150" t="s">
        <v>434</v>
      </c>
      <c r="AN70" s="150"/>
      <c r="AO70" s="150" t="s">
        <v>309</v>
      </c>
    </row>
    <row r="71" spans="3:41" ht="15.75" thickBot="1" x14ac:dyDescent="0.3">
      <c r="C71" s="329" t="str">
        <f>"R-SW_Att"&amp;"_"&amp;RIGHT(E71,3)&amp;"_HPN2"</f>
        <v>R-SW_Att_GAS_HPN2</v>
      </c>
      <c r="D71" s="72" t="s">
        <v>353</v>
      </c>
      <c r="E71" s="73" t="s">
        <v>727</v>
      </c>
      <c r="F71" s="73" t="s">
        <v>717</v>
      </c>
      <c r="G71" s="329">
        <f>JRC_Data!AC30/JRC_Data!$AC$28</f>
        <v>1.1111111111111109</v>
      </c>
      <c r="H71" s="72">
        <f>JRC_Data!AD30/JRC_Data!$AC$28</f>
        <v>1.1481481481481481</v>
      </c>
      <c r="I71" s="72">
        <f>JRC_Data!AE30/JRC_Data!$AC$28</f>
        <v>1.1481481481481481</v>
      </c>
      <c r="J71" s="105">
        <f>JRC_Data!AF30/JRC_Data!$AC$28</f>
        <v>1.1851851851851851</v>
      </c>
      <c r="K71" s="95"/>
      <c r="L71" s="96"/>
      <c r="M71" s="96"/>
      <c r="N71" s="97"/>
      <c r="O71" s="330">
        <f>G71*0.7</f>
        <v>0.77777777777777757</v>
      </c>
      <c r="P71" s="331">
        <f t="shared" si="52"/>
        <v>0.8037037037037037</v>
      </c>
      <c r="Q71" s="331">
        <f t="shared" si="53"/>
        <v>0.8037037037037037</v>
      </c>
      <c r="R71" s="332">
        <f t="shared" si="54"/>
        <v>0.82962962962962949</v>
      </c>
      <c r="S71" s="73">
        <v>15</v>
      </c>
      <c r="T71" s="97"/>
      <c r="U71" s="329">
        <f>(JRC_Data!BB30/1000)*($T$148/$T$149)</f>
        <v>44.932432432432435</v>
      </c>
      <c r="V71" s="329">
        <f>(JRC_Data!BC30/1000)*($T$148/$T$149)</f>
        <v>44.932432432432435</v>
      </c>
      <c r="W71" s="329">
        <f>(JRC_Data!BD30/1000)*($T$148/$T$149)</f>
        <v>44.932432432432435</v>
      </c>
      <c r="X71" s="110">
        <f>(JRC_Data!BE30/1000)*($T$148/$T$149)</f>
        <v>44.932432432432435</v>
      </c>
      <c r="Y71" s="110">
        <f>JRC_Data!BL28/1000</f>
        <v>0.23499999999999999</v>
      </c>
      <c r="Z71" s="110"/>
      <c r="AA71" s="105"/>
      <c r="AB71" s="110"/>
      <c r="AC71" s="110"/>
      <c r="AD71" s="110"/>
      <c r="AE71" s="110">
        <v>1</v>
      </c>
      <c r="AF71" s="113"/>
      <c r="AG71" s="113">
        <v>2020</v>
      </c>
      <c r="AI71" s="160"/>
      <c r="AJ71" s="154" t="str">
        <f>C76</f>
        <v>R-SW_Att_HET_N2</v>
      </c>
      <c r="AK71" s="154" t="str">
        <f>D76</f>
        <v>Residential District Heating Decentralized - SH + WH</v>
      </c>
      <c r="AL71" s="155" t="s">
        <v>16</v>
      </c>
      <c r="AM71" s="155" t="s">
        <v>434</v>
      </c>
      <c r="AN71" s="155"/>
      <c r="AO71" s="155" t="s">
        <v>309</v>
      </c>
    </row>
    <row r="72" spans="3:41" ht="15" x14ac:dyDescent="0.25">
      <c r="C72" s="79" t="s">
        <v>344</v>
      </c>
      <c r="D72" s="79"/>
      <c r="E72" s="80"/>
      <c r="F72" s="80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0"/>
      <c r="T72" s="80"/>
      <c r="U72" s="79"/>
      <c r="V72" s="79"/>
      <c r="W72" s="79"/>
      <c r="X72" s="79"/>
      <c r="Y72" s="79"/>
      <c r="Z72" s="80"/>
      <c r="AA72" s="82"/>
      <c r="AB72" s="82"/>
      <c r="AC72" s="82"/>
      <c r="AD72" s="82"/>
      <c r="AE72" s="79"/>
      <c r="AF72" s="80"/>
      <c r="AG72" s="80"/>
      <c r="AI72" s="289"/>
      <c r="AJ72" s="149" t="str">
        <f t="shared" ref="AJ72:AK73" si="55">C78</f>
        <v>R-WH_Att_ELC_N1</v>
      </c>
      <c r="AK72" s="149" t="str">
        <f t="shared" si="55"/>
        <v xml:space="preserve">Residential Electric Water Heater </v>
      </c>
      <c r="AL72" s="150" t="s">
        <v>16</v>
      </c>
      <c r="AM72" s="150" t="s">
        <v>434</v>
      </c>
      <c r="AN72" s="150"/>
      <c r="AO72" s="150" t="s">
        <v>309</v>
      </c>
    </row>
    <row r="73" spans="3:41" ht="15.75" thickBot="1" x14ac:dyDescent="0.3">
      <c r="C73" s="142" t="str">
        <f>"R-SW_Att"&amp;"_"&amp;RIGHT(E73,3)&amp;"_HHPN1"</f>
        <v>R-SW_Att_GAS_HHPN1</v>
      </c>
      <c r="D73" s="126" t="s">
        <v>361</v>
      </c>
      <c r="E73" s="167" t="s">
        <v>731</v>
      </c>
      <c r="F73" s="144" t="s">
        <v>717</v>
      </c>
      <c r="G73" s="330">
        <v>1</v>
      </c>
      <c r="H73" s="331">
        <v>1.048</v>
      </c>
      <c r="I73" s="331">
        <v>1.097</v>
      </c>
      <c r="J73" s="331">
        <v>1.161</v>
      </c>
      <c r="K73" s="95"/>
      <c r="L73" s="96"/>
      <c r="M73" s="96"/>
      <c r="N73" s="97"/>
      <c r="O73" s="330">
        <f>G73*0.7</f>
        <v>0.7</v>
      </c>
      <c r="P73" s="331">
        <f t="shared" ref="P73" si="56">H73*0.7</f>
        <v>0.73360000000000003</v>
      </c>
      <c r="Q73" s="331">
        <f t="shared" ref="Q73" si="57">I73*0.7</f>
        <v>0.76789999999999992</v>
      </c>
      <c r="R73" s="332">
        <f t="shared" ref="R73" si="58">J73*0.7</f>
        <v>0.81269999999999998</v>
      </c>
      <c r="S73" s="5">
        <v>20</v>
      </c>
      <c r="U73" s="125">
        <f>((JRC_Data!BB18+JRC_Data!BB9*0.8)/1000)*($T$148/$T$148)</f>
        <v>14.2</v>
      </c>
      <c r="V73" s="125">
        <f>((JRC_Data!BC18+JRC_Data!BC9*0.8)/1000)*($T$148/$T$148)</f>
        <v>13.2</v>
      </c>
      <c r="W73" s="125">
        <f>((JRC_Data!BD18+JRC_Data!BD9*0.8)/1000)*($T$148/$T$148)</f>
        <v>13.2</v>
      </c>
      <c r="X73" s="125">
        <f>((JRC_Data!BE18+JRC_Data!BE9*0.8)/1000)*($T$148/$T$148)</f>
        <v>12.2</v>
      </c>
      <c r="Y73" s="456">
        <f>(JRC_Data!BL9+JRC_Data!BL18)*0.8/1000</f>
        <v>0.308</v>
      </c>
      <c r="Z73" s="129"/>
      <c r="AA73" s="130"/>
      <c r="AB73" s="130"/>
      <c r="AC73" s="130">
        <v>0.3</v>
      </c>
      <c r="AD73" s="129">
        <v>5</v>
      </c>
      <c r="AE73" s="128">
        <v>1</v>
      </c>
      <c r="AF73" s="129"/>
      <c r="AG73" s="129">
        <v>2020</v>
      </c>
      <c r="AI73" s="4"/>
      <c r="AJ73" s="151" t="str">
        <f t="shared" si="55"/>
        <v>R-WH_Att_SOL_N1</v>
      </c>
      <c r="AK73" s="151" t="str">
        <f t="shared" si="55"/>
        <v xml:space="preserve">Residential Solar Water Heater </v>
      </c>
      <c r="AL73" s="152" t="s">
        <v>16</v>
      </c>
      <c r="AM73" s="152" t="s">
        <v>434</v>
      </c>
      <c r="AN73" s="152"/>
      <c r="AO73" s="152" t="s">
        <v>309</v>
      </c>
    </row>
    <row r="74" spans="3:41" ht="15" x14ac:dyDescent="0.25">
      <c r="C74" s="79" t="s">
        <v>354</v>
      </c>
      <c r="D74" s="79"/>
      <c r="E74" s="80"/>
      <c r="F74" s="80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0"/>
      <c r="T74" s="80"/>
      <c r="U74" s="79"/>
      <c r="V74" s="79"/>
      <c r="W74" s="79"/>
      <c r="X74" s="79"/>
      <c r="Y74" s="79"/>
      <c r="Z74" s="80"/>
      <c r="AA74" s="82"/>
      <c r="AB74" s="82"/>
      <c r="AC74" s="82"/>
      <c r="AD74" s="82"/>
      <c r="AE74" s="79"/>
      <c r="AF74" s="80"/>
      <c r="AG74" s="80"/>
      <c r="AI74" s="4"/>
      <c r="AJ74" s="151" t="str">
        <f>C81</f>
        <v>R-SC_Att_ELC_N1</v>
      </c>
      <c r="AK74" s="151" t="str">
        <f>D81</f>
        <v>Residential Electric Air Conditioning</v>
      </c>
      <c r="AL74" s="150" t="s">
        <v>16</v>
      </c>
      <c r="AM74" s="150" t="s">
        <v>434</v>
      </c>
      <c r="AN74" s="150"/>
      <c r="AO74" s="150" t="s">
        <v>309</v>
      </c>
    </row>
    <row r="75" spans="3:41" x14ac:dyDescent="0.2">
      <c r="C75" s="65" t="str">
        <f>"R-SW_Att"&amp;"_"&amp;RIGHT(E75,3)&amp;"_N1"</f>
        <v>R-SW_Att_HET_N1</v>
      </c>
      <c r="D75" s="66" t="s">
        <v>355</v>
      </c>
      <c r="E75" s="135" t="s">
        <v>714</v>
      </c>
      <c r="F75" s="135" t="s">
        <v>717</v>
      </c>
      <c r="G75" s="65">
        <v>1</v>
      </c>
      <c r="H75" s="66">
        <v>1</v>
      </c>
      <c r="I75" s="66">
        <v>1</v>
      </c>
      <c r="J75" s="102">
        <v>1</v>
      </c>
      <c r="K75" s="92"/>
      <c r="L75" s="93"/>
      <c r="M75" s="93"/>
      <c r="N75" s="94"/>
      <c r="O75" s="323">
        <v>1</v>
      </c>
      <c r="P75" s="324">
        <v>1</v>
      </c>
      <c r="Q75" s="324">
        <v>1</v>
      </c>
      <c r="R75" s="325">
        <v>1</v>
      </c>
      <c r="S75" s="98">
        <v>20</v>
      </c>
      <c r="T75" s="94"/>
      <c r="U75" s="65">
        <f>(JRC_Data!BB62/1000)*($T$148/$T$144)</f>
        <v>2.7222222222222219</v>
      </c>
      <c r="V75" s="65">
        <f>(JRC_Data!BC62/1000)*($T$148/$T$144)</f>
        <v>2.7222222222222219</v>
      </c>
      <c r="W75" s="65">
        <f>(JRC_Data!BD62/1000)*($T$148/$T$144)</f>
        <v>2.7222222222222219</v>
      </c>
      <c r="X75" s="65">
        <f>(JRC_Data!BE62/1000)*($T$148/$T$144)</f>
        <v>2.7222222222222219</v>
      </c>
      <c r="Y75" s="131">
        <f>JRC_Data!BL62/1000</f>
        <v>0.15</v>
      </c>
      <c r="Z75" s="131"/>
      <c r="AA75" s="131"/>
      <c r="AB75" s="131"/>
      <c r="AC75" s="131"/>
      <c r="AD75" s="131"/>
      <c r="AE75" s="131">
        <v>1</v>
      </c>
      <c r="AF75" s="134"/>
      <c r="AG75" s="134">
        <v>2020</v>
      </c>
    </row>
    <row r="76" spans="3:41" x14ac:dyDescent="0.2">
      <c r="C76" s="329" t="str">
        <f>"R-SW_Att"&amp;"_"&amp;RIGHT(E76,3)&amp;"_N2"</f>
        <v>R-SW_Att_HET_N2</v>
      </c>
      <c r="D76" s="72" t="s">
        <v>356</v>
      </c>
      <c r="E76" s="73" t="s">
        <v>714</v>
      </c>
      <c r="F76" s="73" t="s">
        <v>717</v>
      </c>
      <c r="G76" s="329">
        <v>1</v>
      </c>
      <c r="H76" s="72">
        <v>1</v>
      </c>
      <c r="I76" s="72">
        <v>1</v>
      </c>
      <c r="J76" s="105">
        <v>1</v>
      </c>
      <c r="K76" s="95"/>
      <c r="L76" s="96"/>
      <c r="M76" s="96"/>
      <c r="N76" s="97"/>
      <c r="O76" s="330">
        <v>1</v>
      </c>
      <c r="P76" s="331">
        <v>1</v>
      </c>
      <c r="Q76" s="331">
        <v>1</v>
      </c>
      <c r="R76" s="332">
        <v>1</v>
      </c>
      <c r="S76" s="101">
        <v>20</v>
      </c>
      <c r="T76" s="97"/>
      <c r="U76" s="329">
        <f>(JRC_Data!BB62/1000)*($T$148/$T$144)</f>
        <v>2.7222222222222219</v>
      </c>
      <c r="V76" s="329">
        <f>(JRC_Data!BC62/1000)*($T$148/$T$144)</f>
        <v>2.7222222222222219</v>
      </c>
      <c r="W76" s="329">
        <f>(JRC_Data!BD62/1000)*($T$148/$T$144)</f>
        <v>2.7222222222222219</v>
      </c>
      <c r="X76" s="329">
        <f>(JRC_Data!BE62/1000)*($T$148/$T$144)</f>
        <v>2.7222222222222219</v>
      </c>
      <c r="Y76" s="110">
        <f>JRC_Data!BL62/1000</f>
        <v>0.15</v>
      </c>
      <c r="Z76" s="110"/>
      <c r="AA76" s="110"/>
      <c r="AB76" s="110"/>
      <c r="AC76" s="110"/>
      <c r="AD76" s="110"/>
      <c r="AE76" s="110">
        <v>1</v>
      </c>
      <c r="AF76" s="113"/>
      <c r="AG76" s="113">
        <v>2020</v>
      </c>
    </row>
    <row r="77" spans="3:41" x14ac:dyDescent="0.2">
      <c r="C77" s="79" t="s">
        <v>357</v>
      </c>
      <c r="D77" s="79"/>
      <c r="E77" s="80"/>
      <c r="F77" s="80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0"/>
      <c r="T77" s="80"/>
      <c r="U77" s="79"/>
      <c r="V77" s="79"/>
      <c r="W77" s="79"/>
      <c r="X77" s="79"/>
      <c r="Y77" s="79"/>
      <c r="Z77" s="80"/>
      <c r="AA77" s="82"/>
      <c r="AB77" s="82"/>
      <c r="AC77" s="82"/>
      <c r="AD77" s="82"/>
      <c r="AE77" s="79"/>
      <c r="AF77" s="80"/>
      <c r="AG77" s="80"/>
    </row>
    <row r="78" spans="3:41" x14ac:dyDescent="0.2">
      <c r="C78" s="65" t="str">
        <f>"R-WH_Att"&amp;"_"&amp;RIGHT(E78,3)&amp;"_N1"</f>
        <v>R-WH_Att_ELC_N1</v>
      </c>
      <c r="D78" s="66" t="s">
        <v>358</v>
      </c>
      <c r="E78" s="135" t="s">
        <v>406</v>
      </c>
      <c r="F78" s="102" t="s">
        <v>395</v>
      </c>
      <c r="G78" s="92"/>
      <c r="H78" s="93"/>
      <c r="I78" s="93"/>
      <c r="J78" s="94"/>
      <c r="K78" s="92"/>
      <c r="L78" s="93"/>
      <c r="M78" s="93"/>
      <c r="N78" s="94"/>
      <c r="O78" s="323">
        <v>1</v>
      </c>
      <c r="P78" s="324">
        <v>1</v>
      </c>
      <c r="Q78" s="324">
        <v>1</v>
      </c>
      <c r="R78" s="325">
        <v>1</v>
      </c>
      <c r="S78" s="98">
        <v>20</v>
      </c>
      <c r="T78" s="94"/>
      <c r="U78" s="65">
        <f>(JRC_Data!BB48/1000)*($T$142/$T$142)</f>
        <v>4</v>
      </c>
      <c r="V78" s="65">
        <f>(JRC_Data!BC48/1000)*($T$142/$T$142)</f>
        <v>4</v>
      </c>
      <c r="W78" s="65">
        <f>(JRC_Data!BD48/1000)*($T$142/$T$142)</f>
        <v>4</v>
      </c>
      <c r="X78" s="65">
        <f>(JRC_Data!BE48/1000)*($T$142/$T$142)</f>
        <v>4</v>
      </c>
      <c r="Y78" s="131">
        <f>JRC_Data!BL48/1000</f>
        <v>0.05</v>
      </c>
      <c r="Z78" s="131"/>
      <c r="AA78" s="131"/>
      <c r="AB78" s="131"/>
      <c r="AC78" s="131"/>
      <c r="AD78" s="131"/>
      <c r="AE78" s="131">
        <v>1</v>
      </c>
      <c r="AF78" s="134"/>
      <c r="AG78" s="134">
        <v>2020</v>
      </c>
    </row>
    <row r="79" spans="3:41" x14ac:dyDescent="0.2">
      <c r="C79" s="329" t="str">
        <f>"R-WH_Att"&amp;"_"&amp;RIGHT(E79,3)&amp;"_N1"</f>
        <v>R-WH_Att_SOL_N1</v>
      </c>
      <c r="D79" s="72" t="s">
        <v>359</v>
      </c>
      <c r="E79" s="73" t="s">
        <v>732</v>
      </c>
      <c r="F79" s="105" t="s">
        <v>395</v>
      </c>
      <c r="G79" s="95"/>
      <c r="H79" s="96"/>
      <c r="I79" s="96"/>
      <c r="J79" s="97"/>
      <c r="K79" s="95"/>
      <c r="L79" s="96"/>
      <c r="M79" s="96"/>
      <c r="N79" s="97"/>
      <c r="O79" s="320">
        <v>1</v>
      </c>
      <c r="P79" s="321">
        <v>1</v>
      </c>
      <c r="Q79" s="321">
        <v>1</v>
      </c>
      <c r="R79" s="322">
        <v>1</v>
      </c>
      <c r="S79" s="99">
        <v>25</v>
      </c>
      <c r="T79" s="68">
        <v>30</v>
      </c>
      <c r="U79" s="68">
        <f>(JRC_Data!BB45/1000)*($T$142/$T$142)</f>
        <v>5.4</v>
      </c>
      <c r="V79" s="68">
        <f>(JRC_Data!BC45/1000)*($T$142/$T$142)</f>
        <v>5.0999999999999996</v>
      </c>
      <c r="W79" s="68">
        <f>(JRC_Data!BD45/1000)*($T$142/$T$142)</f>
        <v>4.5999999999999996</v>
      </c>
      <c r="X79" s="68">
        <f>(JRC_Data!BE45/1000)*($T$142/$T$142)</f>
        <v>3.7</v>
      </c>
      <c r="Y79" s="109">
        <f>JRC_Data!BL45/1000</f>
        <v>6.2E-2</v>
      </c>
      <c r="Z79" s="109"/>
      <c r="AA79" s="109"/>
      <c r="AB79" s="109"/>
      <c r="AC79" s="109"/>
      <c r="AD79" s="109"/>
      <c r="AE79" s="109">
        <v>1</v>
      </c>
      <c r="AF79" s="113"/>
      <c r="AG79" s="112">
        <v>2020</v>
      </c>
    </row>
    <row r="80" spans="3:41" x14ac:dyDescent="0.2">
      <c r="C80" s="79" t="s">
        <v>742</v>
      </c>
      <c r="D80" s="79"/>
      <c r="E80" s="80"/>
      <c r="F80" s="80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0"/>
      <c r="T80" s="80"/>
      <c r="U80" s="79"/>
      <c r="V80" s="79"/>
      <c r="W80" s="79"/>
      <c r="X80" s="79"/>
      <c r="Y80" s="79"/>
      <c r="Z80" s="80"/>
      <c r="AA80" s="82"/>
      <c r="AB80" s="82"/>
      <c r="AC80" s="82"/>
      <c r="AD80" s="82"/>
      <c r="AE80" s="79"/>
      <c r="AF80" s="80"/>
      <c r="AG80" s="80"/>
    </row>
    <row r="81" spans="3:41" x14ac:dyDescent="0.2">
      <c r="C81" s="75" t="str">
        <f>"R-SC_Att"&amp;"_"&amp;RIGHT(E81,3)&amp;"_N1"</f>
        <v>R-SC_Att_ELC_N1</v>
      </c>
      <c r="D81" s="143" t="s">
        <v>360</v>
      </c>
      <c r="E81" s="163" t="s">
        <v>406</v>
      </c>
      <c r="F81" s="164" t="s">
        <v>394</v>
      </c>
      <c r="G81" s="161"/>
      <c r="H81" s="162"/>
      <c r="I81" s="162"/>
      <c r="J81" s="162"/>
      <c r="K81" s="335">
        <v>1</v>
      </c>
      <c r="L81" s="336">
        <f>JRC_Data!AD16/JRC_Data!$AC$16</f>
        <v>1.0666666666666667</v>
      </c>
      <c r="M81" s="336">
        <f>JRC_Data!AE16/JRC_Data!$AC$16</f>
        <v>1.2333333333333334</v>
      </c>
      <c r="N81" s="336">
        <f>JRC_Data!AF16/JRC_Data!$AC$16</f>
        <v>1.3333333333333333</v>
      </c>
      <c r="O81" s="162"/>
      <c r="P81" s="162"/>
      <c r="Q81" s="162"/>
      <c r="R81" s="146"/>
      <c r="S81" s="145">
        <v>20</v>
      </c>
      <c r="T81" s="146"/>
      <c r="U81" s="142">
        <f>(JRC_Data!BB16/1000)*($T$143/$T$148)</f>
        <v>1.9786641929499076</v>
      </c>
      <c r="V81" s="142">
        <f>(JRC_Data!BC16/1000)*($T$143/$T$148)</f>
        <v>1.8887249114521845</v>
      </c>
      <c r="W81" s="142">
        <f>(JRC_Data!BD16/1000)*($T$143/$T$148)</f>
        <v>1.7088463484567382</v>
      </c>
      <c r="X81" s="142">
        <f>(JRC_Data!BE16/1000)*($T$143/$T$148)</f>
        <v>1.6189070669590153</v>
      </c>
      <c r="Y81" s="139">
        <f>JRC_Data!BL16/1000</f>
        <v>3.4000000000000002E-2</v>
      </c>
      <c r="Z81" s="139"/>
      <c r="AA81" s="139"/>
      <c r="AB81" s="139"/>
      <c r="AC81" s="139"/>
      <c r="AD81" s="139"/>
      <c r="AE81" s="139">
        <v>1</v>
      </c>
      <c r="AF81" s="138"/>
      <c r="AG81" s="138">
        <v>2020</v>
      </c>
    </row>
    <row r="85" spans="3:41" x14ac:dyDescent="0.2">
      <c r="AK85" s="57"/>
      <c r="AL85" s="57"/>
      <c r="AM85" s="57"/>
      <c r="AN85" s="57"/>
      <c r="AO85" s="57"/>
    </row>
    <row r="86" spans="3:41" x14ac:dyDescent="0.2">
      <c r="G86" s="51" t="s">
        <v>26</v>
      </c>
    </row>
    <row r="87" spans="3:41" ht="45.75" thickBot="1" x14ac:dyDescent="0.25">
      <c r="C87" s="60" t="s">
        <v>28</v>
      </c>
      <c r="D87" s="61" t="s">
        <v>39</v>
      </c>
      <c r="E87" s="60" t="s">
        <v>30</v>
      </c>
      <c r="F87" s="60" t="s">
        <v>31</v>
      </c>
      <c r="G87" s="63" t="s">
        <v>997</v>
      </c>
      <c r="H87" s="63" t="s">
        <v>998</v>
      </c>
      <c r="I87" s="63" t="s">
        <v>999</v>
      </c>
      <c r="J87" s="63" t="s">
        <v>1000</v>
      </c>
      <c r="K87" s="63" t="s">
        <v>1001</v>
      </c>
      <c r="L87" s="63" t="s">
        <v>1002</v>
      </c>
      <c r="M87" s="63" t="s">
        <v>1003</v>
      </c>
      <c r="N87" s="63" t="s">
        <v>1004</v>
      </c>
      <c r="O87" s="63" t="s">
        <v>1005</v>
      </c>
      <c r="P87" s="63" t="s">
        <v>1006</v>
      </c>
      <c r="Q87" s="63" t="s">
        <v>1007</v>
      </c>
      <c r="R87" s="63" t="s">
        <v>1008</v>
      </c>
      <c r="S87" s="64" t="s">
        <v>33</v>
      </c>
      <c r="T87" s="64" t="s">
        <v>312</v>
      </c>
      <c r="U87" s="63" t="s">
        <v>662</v>
      </c>
      <c r="V87" s="63" t="s">
        <v>324</v>
      </c>
      <c r="W87" s="63" t="s">
        <v>325</v>
      </c>
      <c r="X87" s="63" t="s">
        <v>326</v>
      </c>
      <c r="Y87" s="63" t="s">
        <v>81</v>
      </c>
      <c r="Z87" s="63" t="s">
        <v>82</v>
      </c>
      <c r="AA87" s="63" t="s">
        <v>746</v>
      </c>
      <c r="AB87" s="63" t="s">
        <v>747</v>
      </c>
      <c r="AC87" s="63" t="s">
        <v>748</v>
      </c>
      <c r="AD87" s="63" t="s">
        <v>665</v>
      </c>
      <c r="AE87" s="63" t="s">
        <v>313</v>
      </c>
      <c r="AF87" s="63" t="s">
        <v>733</v>
      </c>
      <c r="AG87" s="63" t="s">
        <v>314</v>
      </c>
    </row>
    <row r="88" spans="3:41" ht="38.25" x14ac:dyDescent="0.2">
      <c r="C88" s="62" t="s">
        <v>315</v>
      </c>
      <c r="D88" s="62" t="s">
        <v>42</v>
      </c>
      <c r="E88" s="62" t="s">
        <v>316</v>
      </c>
      <c r="F88" s="62" t="s">
        <v>317</v>
      </c>
      <c r="G88" s="519" t="s">
        <v>318</v>
      </c>
      <c r="H88" s="520"/>
      <c r="I88" s="520"/>
      <c r="J88" s="521"/>
      <c r="K88" s="519" t="s">
        <v>319</v>
      </c>
      <c r="L88" s="520"/>
      <c r="M88" s="520"/>
      <c r="N88" s="521"/>
      <c r="O88" s="519" t="s">
        <v>320</v>
      </c>
      <c r="P88" s="520"/>
      <c r="Q88" s="520"/>
      <c r="R88" s="521"/>
      <c r="S88" s="519" t="s">
        <v>321</v>
      </c>
      <c r="T88" s="521"/>
      <c r="U88" s="522" t="s">
        <v>322</v>
      </c>
      <c r="V88" s="523"/>
      <c r="W88" s="523"/>
      <c r="X88" s="524"/>
      <c r="Y88" s="106"/>
      <c r="Z88" s="106"/>
      <c r="AA88" s="114" t="s">
        <v>622</v>
      </c>
      <c r="AB88" s="117" t="s">
        <v>622</v>
      </c>
      <c r="AC88" s="117" t="s">
        <v>622</v>
      </c>
      <c r="AD88" s="117" t="s">
        <v>664</v>
      </c>
      <c r="AE88" s="106" t="s">
        <v>116</v>
      </c>
      <c r="AF88" s="106" t="s">
        <v>323</v>
      </c>
      <c r="AG88" s="106"/>
      <c r="AI88" s="56" t="s">
        <v>27</v>
      </c>
      <c r="AJ88" s="57"/>
      <c r="AK88" s="57"/>
      <c r="AL88" s="57"/>
      <c r="AM88" s="57"/>
      <c r="AN88" s="57"/>
      <c r="AO88" s="57"/>
    </row>
    <row r="89" spans="3:41" ht="15.75" thickBot="1" x14ac:dyDescent="0.25">
      <c r="C89" s="60" t="s">
        <v>1027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457"/>
      <c r="T89" s="457"/>
      <c r="U89" s="457"/>
      <c r="V89" s="457"/>
      <c r="W89" s="457"/>
      <c r="X89" s="457"/>
      <c r="Y89" s="457"/>
      <c r="Z89" s="457"/>
      <c r="AA89" s="457"/>
      <c r="AB89" s="457"/>
      <c r="AC89" s="457"/>
      <c r="AD89" s="457"/>
      <c r="AE89" s="457"/>
      <c r="AF89" s="457"/>
      <c r="AG89" s="457"/>
      <c r="AI89" s="58" t="s">
        <v>34</v>
      </c>
      <c r="AJ89" s="58" t="s">
        <v>28</v>
      </c>
      <c r="AK89" s="58" t="s">
        <v>29</v>
      </c>
      <c r="AL89" s="58" t="s">
        <v>35</v>
      </c>
      <c r="AM89" s="58" t="s">
        <v>36</v>
      </c>
      <c r="AN89" s="58" t="s">
        <v>37</v>
      </c>
      <c r="AO89" s="58" t="s">
        <v>301</v>
      </c>
    </row>
    <row r="90" spans="3:41" ht="33.75" x14ac:dyDescent="0.2">
      <c r="C90" s="83" t="s">
        <v>735</v>
      </c>
      <c r="D90" s="84"/>
      <c r="E90" s="84"/>
      <c r="F90" s="85"/>
      <c r="G90" s="513" t="s">
        <v>45</v>
      </c>
      <c r="H90" s="514"/>
      <c r="I90" s="514"/>
      <c r="J90" s="515"/>
      <c r="K90" s="514" t="s">
        <v>45</v>
      </c>
      <c r="L90" s="514"/>
      <c r="M90" s="514"/>
      <c r="N90" s="515"/>
      <c r="O90" s="513" t="s">
        <v>45</v>
      </c>
      <c r="P90" s="514"/>
      <c r="Q90" s="514"/>
      <c r="R90" s="515"/>
      <c r="S90" s="516" t="s">
        <v>302</v>
      </c>
      <c r="T90" s="517"/>
      <c r="U90" s="516" t="s">
        <v>969</v>
      </c>
      <c r="V90" s="518"/>
      <c r="W90" s="518"/>
      <c r="X90" s="517"/>
      <c r="Y90" s="458" t="s">
        <v>981</v>
      </c>
      <c r="Z90" s="458" t="s">
        <v>329</v>
      </c>
      <c r="AA90" s="459" t="s">
        <v>45</v>
      </c>
      <c r="AB90" s="458" t="s">
        <v>45</v>
      </c>
      <c r="AC90" s="458" t="s">
        <v>45</v>
      </c>
      <c r="AD90" s="458"/>
      <c r="AE90" s="460" t="s">
        <v>749</v>
      </c>
      <c r="AF90" s="458" t="s">
        <v>45</v>
      </c>
      <c r="AG90" s="458" t="s">
        <v>330</v>
      </c>
      <c r="AI90" s="285" t="s">
        <v>303</v>
      </c>
      <c r="AJ90" s="285" t="s">
        <v>304</v>
      </c>
      <c r="AK90" s="285" t="s">
        <v>42</v>
      </c>
      <c r="AL90" s="285" t="s">
        <v>305</v>
      </c>
      <c r="AM90" s="285" t="s">
        <v>306</v>
      </c>
      <c r="AN90" s="285" t="s">
        <v>307</v>
      </c>
      <c r="AO90" s="285" t="s">
        <v>308</v>
      </c>
    </row>
    <row r="91" spans="3:41" ht="15" x14ac:dyDescent="0.25">
      <c r="C91" s="65" t="str">
        <f>"R-SH_Det"&amp;"_"&amp;RIGHT(E91,3)&amp;"_N1"</f>
        <v>R-SH_Det_KER_N1</v>
      </c>
      <c r="D91" s="66" t="s">
        <v>332</v>
      </c>
      <c r="E91" s="135" t="s">
        <v>722</v>
      </c>
      <c r="F91" s="102" t="s">
        <v>400</v>
      </c>
      <c r="G91" s="65">
        <v>1</v>
      </c>
      <c r="H91" s="66">
        <v>1</v>
      </c>
      <c r="I91" s="66">
        <v>1</v>
      </c>
      <c r="J91" s="102">
        <v>1</v>
      </c>
      <c r="K91" s="92"/>
      <c r="L91" s="93"/>
      <c r="M91" s="93"/>
      <c r="N91" s="94"/>
      <c r="O91" s="65"/>
      <c r="P91" s="66"/>
      <c r="Q91" s="66"/>
      <c r="R91" s="102"/>
      <c r="S91" s="100">
        <v>20</v>
      </c>
      <c r="T91" s="87"/>
      <c r="U91" s="464">
        <f>U95*1.3</f>
        <v>4.5825000000000005</v>
      </c>
      <c r="V91" s="464">
        <f t="shared" ref="V91:X91" si="59">V95*1.3</f>
        <v>4.5825000000000005</v>
      </c>
      <c r="W91" s="464">
        <f t="shared" si="59"/>
        <v>4.5825000000000005</v>
      </c>
      <c r="X91" s="464">
        <f t="shared" si="59"/>
        <v>4.5825000000000005</v>
      </c>
      <c r="Y91" s="464">
        <v>0.12</v>
      </c>
      <c r="Z91" s="111"/>
      <c r="AA91" s="88"/>
      <c r="AB91" s="118"/>
      <c r="AC91" s="118"/>
      <c r="AD91" s="118"/>
      <c r="AE91" s="108">
        <v>1</v>
      </c>
      <c r="AF91" s="111"/>
      <c r="AG91" s="111">
        <v>2020</v>
      </c>
      <c r="AI91" s="152" t="s">
        <v>38</v>
      </c>
      <c r="AJ91" s="151" t="str">
        <f>C91</f>
        <v>R-SH_Det_KER_N1</v>
      </c>
      <c r="AK91" s="151" t="str">
        <f>D91</f>
        <v>Residential Kerosene Heating Oil - New 1 SH</v>
      </c>
      <c r="AL91" s="152" t="s">
        <v>16</v>
      </c>
      <c r="AM91" s="152" t="s">
        <v>434</v>
      </c>
      <c r="AN91" s="152"/>
      <c r="AO91" s="152" t="s">
        <v>309</v>
      </c>
    </row>
    <row r="92" spans="3:41" ht="15" x14ac:dyDescent="0.25">
      <c r="C92" s="68" t="str">
        <f>"R-SW_Det"&amp;"_"&amp;RIGHT(E92,3)&amp;"_N1"</f>
        <v>R-SW_Det_KER_N1</v>
      </c>
      <c r="D92" s="69" t="s">
        <v>333</v>
      </c>
      <c r="E92" s="70" t="s">
        <v>722</v>
      </c>
      <c r="F92" s="103" t="s">
        <v>719</v>
      </c>
      <c r="G92" s="68">
        <v>1</v>
      </c>
      <c r="H92" s="69">
        <v>1</v>
      </c>
      <c r="I92" s="69">
        <v>1</v>
      </c>
      <c r="J92" s="103">
        <v>1</v>
      </c>
      <c r="K92" s="90"/>
      <c r="L92" s="78"/>
      <c r="M92" s="78"/>
      <c r="N92" s="91"/>
      <c r="O92" s="68">
        <f>G92*0.7</f>
        <v>0.7</v>
      </c>
      <c r="P92" s="69">
        <f t="shared" ref="P92:P94" si="60">H92*0.7</f>
        <v>0.7</v>
      </c>
      <c r="Q92" s="69">
        <f t="shared" ref="Q92:Q94" si="61">I92*0.7</f>
        <v>0.7</v>
      </c>
      <c r="R92" s="103">
        <f t="shared" ref="R92:R94" si="62">J92*0.7</f>
        <v>0.7</v>
      </c>
      <c r="S92" s="99">
        <v>20</v>
      </c>
      <c r="T92" s="71"/>
      <c r="U92" s="465">
        <f>U96*1.3</f>
        <v>4.9452075289575284</v>
      </c>
      <c r="V92" s="465">
        <f t="shared" ref="V92:X92" si="63">V96*1.3</f>
        <v>4.9452075289575284</v>
      </c>
      <c r="W92" s="465">
        <f t="shared" si="63"/>
        <v>4.9452075289575284</v>
      </c>
      <c r="X92" s="465">
        <f t="shared" si="63"/>
        <v>4.9452075289575284</v>
      </c>
      <c r="Y92" s="465">
        <v>0.12</v>
      </c>
      <c r="Z92" s="112"/>
      <c r="AA92" s="90"/>
      <c r="AB92" s="119"/>
      <c r="AC92" s="119"/>
      <c r="AD92" s="119"/>
      <c r="AE92" s="109">
        <v>1</v>
      </c>
      <c r="AF92" s="112"/>
      <c r="AG92" s="112">
        <v>2020</v>
      </c>
      <c r="AI92" s="152"/>
      <c r="AJ92" s="151" t="str">
        <f t="shared" ref="AJ92:AJ104" si="64">C92</f>
        <v>R-SW_Det_KER_N1</v>
      </c>
      <c r="AK92" s="151" t="str">
        <f t="shared" ref="AK92:AK104" si="65">D92</f>
        <v>Residential Kerosene Heating Oil - New 2 SH + WH</v>
      </c>
      <c r="AL92" s="152" t="s">
        <v>16</v>
      </c>
      <c r="AM92" s="152" t="s">
        <v>434</v>
      </c>
      <c r="AN92" s="152"/>
      <c r="AO92" s="152" t="s">
        <v>309</v>
      </c>
    </row>
    <row r="93" spans="3:41" ht="15" x14ac:dyDescent="0.25">
      <c r="C93" s="86" t="str">
        <f>"R-SW_Det"&amp;"_"&amp;RIGHT(E93,3)&amp;"_N2"</f>
        <v>R-SW_Det_KER_N2</v>
      </c>
      <c r="D93" s="75" t="s">
        <v>334</v>
      </c>
      <c r="E93" s="76" t="s">
        <v>724</v>
      </c>
      <c r="F93" s="104" t="s">
        <v>719</v>
      </c>
      <c r="G93" s="86">
        <v>1</v>
      </c>
      <c r="H93" s="75">
        <v>1</v>
      </c>
      <c r="I93" s="75">
        <v>1</v>
      </c>
      <c r="J93" s="104">
        <v>1</v>
      </c>
      <c r="K93" s="88"/>
      <c r="L93" s="77"/>
      <c r="M93" s="77"/>
      <c r="N93" s="89"/>
      <c r="O93" s="86">
        <f>G93*0.7</f>
        <v>0.7</v>
      </c>
      <c r="P93" s="75">
        <f t="shared" si="60"/>
        <v>0.7</v>
      </c>
      <c r="Q93" s="75">
        <f t="shared" si="61"/>
        <v>0.7</v>
      </c>
      <c r="R93" s="104">
        <f t="shared" si="62"/>
        <v>0.7</v>
      </c>
      <c r="S93" s="100">
        <v>20</v>
      </c>
      <c r="T93" s="87"/>
      <c r="U93" s="108">
        <f>((JRC_Data!BB7+JRC_Data!BB45)*0.8/1000)*$T$150</f>
        <v>10.359845559845558</v>
      </c>
      <c r="V93" s="108">
        <f>((JRC_Data!BC7+JRC_Data!BC45)*0.8/1000)*$T$150</f>
        <v>10.10084942084942</v>
      </c>
      <c r="W93" s="108">
        <f>((JRC_Data!BD7+JRC_Data!BD45)*0.8/1000)*$T$150</f>
        <v>9.6691891891891899</v>
      </c>
      <c r="X93" s="108">
        <f>((JRC_Data!BE7+JRC_Data!BE45)*0.8/1000)*$T$150</f>
        <v>8.8922007722007717</v>
      </c>
      <c r="Y93" s="104">
        <f>((JRC_Data!BL7+JRC_Data!BL45)*0.8)/1000</f>
        <v>0.2656</v>
      </c>
      <c r="Z93" s="111"/>
      <c r="AA93" s="88">
        <v>0.1</v>
      </c>
      <c r="AB93" s="118"/>
      <c r="AC93" s="118"/>
      <c r="AD93" s="290">
        <v>5</v>
      </c>
      <c r="AE93" s="108">
        <v>1</v>
      </c>
      <c r="AF93" s="111"/>
      <c r="AG93" s="111">
        <v>2020</v>
      </c>
      <c r="AI93" s="152"/>
      <c r="AJ93" s="151" t="str">
        <f t="shared" si="64"/>
        <v>R-SW_Det_KER_N2</v>
      </c>
      <c r="AK93" s="151" t="str">
        <f t="shared" si="65"/>
        <v>Residential Kerosene Heating Oil - New 3 SH+WH + Solar</v>
      </c>
      <c r="AL93" s="152" t="s">
        <v>16</v>
      </c>
      <c r="AM93" s="152" t="s">
        <v>434</v>
      </c>
      <c r="AN93" s="152"/>
      <c r="AO93" s="152" t="s">
        <v>309</v>
      </c>
    </row>
    <row r="94" spans="3:41" ht="15" x14ac:dyDescent="0.25">
      <c r="C94" s="68" t="str">
        <f>"R-SW_Det"&amp;"_"&amp;RIGHT(E94,3)&amp;"_N3"</f>
        <v>R-SW_Det_KER_N3</v>
      </c>
      <c r="D94" s="69" t="s">
        <v>338</v>
      </c>
      <c r="E94" s="70" t="s">
        <v>725</v>
      </c>
      <c r="F94" s="103" t="s">
        <v>719</v>
      </c>
      <c r="G94" s="68">
        <v>1</v>
      </c>
      <c r="H94" s="69">
        <v>1.0249999999999999</v>
      </c>
      <c r="I94" s="69">
        <v>1.0249999999999999</v>
      </c>
      <c r="J94" s="103">
        <v>1.0249999999999999</v>
      </c>
      <c r="K94" s="90"/>
      <c r="L94" s="78"/>
      <c r="M94" s="78"/>
      <c r="N94" s="91"/>
      <c r="O94" s="68">
        <f>G94*0.7</f>
        <v>0.7</v>
      </c>
      <c r="P94" s="69">
        <f t="shared" si="60"/>
        <v>0.71749999999999992</v>
      </c>
      <c r="Q94" s="69">
        <f t="shared" si="61"/>
        <v>0.71749999999999992</v>
      </c>
      <c r="R94" s="103">
        <f t="shared" si="62"/>
        <v>0.71749999999999992</v>
      </c>
      <c r="S94" s="99">
        <v>20</v>
      </c>
      <c r="T94" s="71"/>
      <c r="U94" s="109">
        <f>((JRC_Data!BB7+JRC_Data!BB11)*0.8/1000)*$T$150</f>
        <v>11.525328185328185</v>
      </c>
      <c r="V94" s="109">
        <f>((JRC_Data!BC7+JRC_Data!BC11)*0.8/1000)*$T$150</f>
        <v>11.525328185328185</v>
      </c>
      <c r="W94" s="109">
        <f>((JRC_Data!BD7+JRC_Data!BD11)*0.8/1000)*$T$150</f>
        <v>12.172818532818532</v>
      </c>
      <c r="X94" s="109">
        <f>((JRC_Data!BE7+JRC_Data!BE11)*0.8/1000)*$T$150</f>
        <v>12.172818532818532</v>
      </c>
      <c r="Y94" s="104">
        <f>((JRC_Data!BL7+JRC_Data!BL11)*0.8)/1000</f>
        <v>0.23680000000000001</v>
      </c>
      <c r="Z94" s="112"/>
      <c r="AA94" s="90"/>
      <c r="AB94" s="119">
        <v>0.47</v>
      </c>
      <c r="AC94" s="119"/>
      <c r="AD94" s="112">
        <v>5</v>
      </c>
      <c r="AE94" s="109">
        <v>1</v>
      </c>
      <c r="AF94" s="112"/>
      <c r="AG94" s="112">
        <v>2020</v>
      </c>
      <c r="AI94" s="152"/>
      <c r="AJ94" s="151" t="str">
        <f t="shared" si="64"/>
        <v>R-SW_Det_KER_N3</v>
      </c>
      <c r="AK94" s="151" t="str">
        <f t="shared" si="65"/>
        <v>Residential Kerosene Heating Oil - New 3 SH+WH + Wood Stove</v>
      </c>
      <c r="AL94" s="153" t="s">
        <v>16</v>
      </c>
      <c r="AM94" s="153" t="s">
        <v>434</v>
      </c>
      <c r="AN94" s="152"/>
      <c r="AO94" s="152"/>
    </row>
    <row r="95" spans="3:41" ht="15" x14ac:dyDescent="0.25">
      <c r="C95" s="86" t="str">
        <f>"R-SH_Det"&amp;"_"&amp;RIGHT(E95,3)&amp;"_N1"</f>
        <v>R-SH_Det_GAS_N1</v>
      </c>
      <c r="D95" s="75" t="s">
        <v>331</v>
      </c>
      <c r="E95" s="76" t="s">
        <v>727</v>
      </c>
      <c r="F95" s="104" t="s">
        <v>400</v>
      </c>
      <c r="G95" s="86">
        <v>1</v>
      </c>
      <c r="H95" s="75">
        <v>1</v>
      </c>
      <c r="I95" s="75">
        <v>1</v>
      </c>
      <c r="J95" s="104">
        <v>1</v>
      </c>
      <c r="K95" s="88"/>
      <c r="L95" s="77"/>
      <c r="M95" s="77"/>
      <c r="N95" s="89"/>
      <c r="O95" s="86"/>
      <c r="P95" s="75"/>
      <c r="Q95" s="75"/>
      <c r="R95" s="104"/>
      <c r="S95" s="100">
        <v>20</v>
      </c>
      <c r="T95" s="87"/>
      <c r="U95" s="464">
        <f>3.525</f>
        <v>3.5249999999999999</v>
      </c>
      <c r="V95" s="464">
        <f t="shared" ref="V95:X95" si="66">3.525</f>
        <v>3.5249999999999999</v>
      </c>
      <c r="W95" s="464">
        <f t="shared" si="66"/>
        <v>3.5249999999999999</v>
      </c>
      <c r="X95" s="464">
        <f t="shared" si="66"/>
        <v>3.5249999999999999</v>
      </c>
      <c r="Y95" s="464">
        <v>0.12</v>
      </c>
      <c r="Z95" s="111"/>
      <c r="AA95" s="88"/>
      <c r="AB95" s="118"/>
      <c r="AC95" s="118"/>
      <c r="AD95" s="118"/>
      <c r="AE95" s="108">
        <v>1</v>
      </c>
      <c r="AF95" s="111"/>
      <c r="AG95" s="111">
        <v>2020</v>
      </c>
      <c r="AI95" s="152"/>
      <c r="AJ95" s="151" t="str">
        <f t="shared" si="64"/>
        <v>R-SH_Det_GAS_N1</v>
      </c>
      <c r="AK95" s="151" t="str">
        <f t="shared" si="65"/>
        <v>Residential Natural Gas Heating - New 1 SH</v>
      </c>
      <c r="AL95" s="152" t="s">
        <v>16</v>
      </c>
      <c r="AM95" s="152" t="s">
        <v>434</v>
      </c>
      <c r="AN95" s="152"/>
      <c r="AO95" s="152" t="s">
        <v>309</v>
      </c>
    </row>
    <row r="96" spans="3:41" ht="15" x14ac:dyDescent="0.25">
      <c r="C96" s="68" t="str">
        <f>"R-SW_Det"&amp;"_"&amp;RIGHT(E96,3)&amp;"_N1"</f>
        <v>R-SW_Det_GAS_N1</v>
      </c>
      <c r="D96" s="69" t="s">
        <v>335</v>
      </c>
      <c r="E96" s="70" t="s">
        <v>727</v>
      </c>
      <c r="F96" s="103" t="s">
        <v>719</v>
      </c>
      <c r="G96" s="68">
        <v>1</v>
      </c>
      <c r="H96" s="69">
        <v>1</v>
      </c>
      <c r="I96" s="69">
        <v>1</v>
      </c>
      <c r="J96" s="103">
        <v>1</v>
      </c>
      <c r="K96" s="90"/>
      <c r="L96" s="78"/>
      <c r="M96" s="78"/>
      <c r="N96" s="91"/>
      <c r="O96" s="68">
        <f>G96*0.7</f>
        <v>0.7</v>
      </c>
      <c r="P96" s="69">
        <f t="shared" ref="P96:P98" si="67">H96*0.7</f>
        <v>0.7</v>
      </c>
      <c r="Q96" s="69">
        <f t="shared" ref="Q96:Q98" si="68">I96*0.7</f>
        <v>0.7</v>
      </c>
      <c r="R96" s="103">
        <f t="shared" ref="R96:R98" si="69">J96*0.7</f>
        <v>0.7</v>
      </c>
      <c r="S96" s="99">
        <v>20</v>
      </c>
      <c r="T96" s="71"/>
      <c r="U96" s="465">
        <f>U95*($T$150/$T$149)</f>
        <v>3.8040057915057912</v>
      </c>
      <c r="V96" s="465">
        <f t="shared" ref="V96:X96" si="70">V95*($T$150/$T$149)</f>
        <v>3.8040057915057912</v>
      </c>
      <c r="W96" s="465">
        <f t="shared" si="70"/>
        <v>3.8040057915057912</v>
      </c>
      <c r="X96" s="465">
        <f t="shared" si="70"/>
        <v>3.8040057915057912</v>
      </c>
      <c r="Y96" s="465">
        <v>0.12</v>
      </c>
      <c r="Z96" s="112"/>
      <c r="AA96" s="90"/>
      <c r="AB96" s="119"/>
      <c r="AC96" s="119"/>
      <c r="AD96" s="119"/>
      <c r="AE96" s="109">
        <v>1</v>
      </c>
      <c r="AF96" s="112"/>
      <c r="AG96" s="112">
        <v>2020</v>
      </c>
      <c r="AI96" s="152"/>
      <c r="AJ96" s="151" t="str">
        <f t="shared" si="64"/>
        <v>R-SW_Det_GAS_N1</v>
      </c>
      <c r="AK96" s="151" t="str">
        <f t="shared" si="65"/>
        <v>Residential Natural Gas Heating - New 2 SH + WH</v>
      </c>
      <c r="AL96" s="152" t="s">
        <v>16</v>
      </c>
      <c r="AM96" s="152" t="s">
        <v>434</v>
      </c>
      <c r="AN96" s="152"/>
      <c r="AO96" s="152" t="s">
        <v>309</v>
      </c>
    </row>
    <row r="97" spans="3:41" ht="15" x14ac:dyDescent="0.25">
      <c r="C97" s="86" t="str">
        <f>"R-SW_Det"&amp;"_"&amp;RIGHT(E97,3)&amp;"_N2"</f>
        <v>R-SW_Det_GAS_N2</v>
      </c>
      <c r="D97" s="75" t="s">
        <v>336</v>
      </c>
      <c r="E97" s="76" t="s">
        <v>728</v>
      </c>
      <c r="F97" s="104" t="s">
        <v>719</v>
      </c>
      <c r="G97" s="86">
        <v>1</v>
      </c>
      <c r="H97" s="75">
        <v>1</v>
      </c>
      <c r="I97" s="75">
        <v>1</v>
      </c>
      <c r="J97" s="104">
        <v>1</v>
      </c>
      <c r="K97" s="88"/>
      <c r="L97" s="77"/>
      <c r="M97" s="77"/>
      <c r="N97" s="89"/>
      <c r="O97" s="86">
        <f>G97*0.7</f>
        <v>0.7</v>
      </c>
      <c r="P97" s="75">
        <f t="shared" si="67"/>
        <v>0.7</v>
      </c>
      <c r="Q97" s="75">
        <f t="shared" si="68"/>
        <v>0.7</v>
      </c>
      <c r="R97" s="104">
        <f t="shared" si="69"/>
        <v>0.7</v>
      </c>
      <c r="S97" s="100">
        <v>20</v>
      </c>
      <c r="T97" s="87"/>
      <c r="U97" s="108">
        <v>13.025</v>
      </c>
      <c r="V97" s="464">
        <f>U97*0.9685</f>
        <v>12.614712500000001</v>
      </c>
      <c r="W97" s="464">
        <f>U97*0.916</f>
        <v>11.930900000000001</v>
      </c>
      <c r="X97" s="464">
        <f>U97*0.812</f>
        <v>10.576300000000002</v>
      </c>
      <c r="Y97" s="104">
        <v>0.19</v>
      </c>
      <c r="Z97" s="111"/>
      <c r="AA97" s="88">
        <v>0.1</v>
      </c>
      <c r="AB97" s="118"/>
      <c r="AC97" s="118"/>
      <c r="AD97" s="290">
        <v>5</v>
      </c>
      <c r="AE97" s="108">
        <v>1</v>
      </c>
      <c r="AF97" s="111"/>
      <c r="AG97" s="111">
        <v>2020</v>
      </c>
      <c r="AI97" s="152"/>
      <c r="AJ97" s="151" t="str">
        <f t="shared" si="64"/>
        <v>R-SW_Det_GAS_N2</v>
      </c>
      <c r="AK97" s="151" t="str">
        <f t="shared" si="65"/>
        <v>Residential Natural Gas Heating - New 3 SH + WH + Solar</v>
      </c>
      <c r="AL97" s="152" t="s">
        <v>16</v>
      </c>
      <c r="AM97" s="152" t="s">
        <v>434</v>
      </c>
      <c r="AN97" s="152"/>
      <c r="AO97" s="152" t="s">
        <v>309</v>
      </c>
    </row>
    <row r="98" spans="3:41" ht="15" x14ac:dyDescent="0.25">
      <c r="C98" s="68" t="str">
        <f>"R-SW_Det"&amp;"_"&amp;RIGHT(E98,3)&amp;"_N3"</f>
        <v>R-SW_Det_GAS_N3</v>
      </c>
      <c r="D98" s="69" t="s">
        <v>337</v>
      </c>
      <c r="E98" s="70" t="s">
        <v>729</v>
      </c>
      <c r="F98" s="103" t="s">
        <v>719</v>
      </c>
      <c r="G98" s="68">
        <v>1</v>
      </c>
      <c r="H98" s="69">
        <v>1.0249999999999999</v>
      </c>
      <c r="I98" s="69">
        <v>1.0249999999999999</v>
      </c>
      <c r="J98" s="103">
        <v>1.0249999999999999</v>
      </c>
      <c r="K98" s="90"/>
      <c r="L98" s="78"/>
      <c r="M98" s="78"/>
      <c r="N98" s="91"/>
      <c r="O98" s="68">
        <f>G98*0.7</f>
        <v>0.7</v>
      </c>
      <c r="P98" s="69">
        <f t="shared" si="67"/>
        <v>0.71749999999999992</v>
      </c>
      <c r="Q98" s="69">
        <f t="shared" si="68"/>
        <v>0.71749999999999992</v>
      </c>
      <c r="R98" s="103">
        <f t="shared" si="69"/>
        <v>0.71749999999999992</v>
      </c>
      <c r="S98" s="99">
        <v>20</v>
      </c>
      <c r="T98" s="71"/>
      <c r="U98" s="109">
        <f>((JRC_Data!BB9+JRC_Data!BB11)*0.8/1000)*($T$150/$T$147)</f>
        <v>9.9326446280991725</v>
      </c>
      <c r="V98" s="109">
        <f>((JRC_Data!BC9+JRC_Data!BC11)*0.8/1000)*($T$150/$T$147)</f>
        <v>9.9326446280991725</v>
      </c>
      <c r="W98" s="109">
        <f>((JRC_Data!BD9+JRC_Data!BD11)*0.8/1000)*($T$150/$T$147)</f>
        <v>10.625619834710744</v>
      </c>
      <c r="X98" s="109">
        <f>((JRC_Data!BE9+JRC_Data!BE11)*0.8/1000)*($T$150/$T$147)</f>
        <v>10.625619834710744</v>
      </c>
      <c r="Y98" s="104">
        <f>((JRC_Data!BL9+JRC_Data!BL11)*0.8)/1000</f>
        <v>0.20880000000000001</v>
      </c>
      <c r="Z98" s="112"/>
      <c r="AA98" s="90"/>
      <c r="AB98" s="119">
        <v>0.47</v>
      </c>
      <c r="AC98" s="119"/>
      <c r="AD98" s="112">
        <v>5</v>
      </c>
      <c r="AE98" s="109">
        <v>1</v>
      </c>
      <c r="AF98" s="112"/>
      <c r="AG98" s="112">
        <v>2020</v>
      </c>
      <c r="AI98" s="152"/>
      <c r="AJ98" s="151" t="str">
        <f t="shared" si="64"/>
        <v>R-SW_Det_GAS_N3</v>
      </c>
      <c r="AK98" s="151" t="str">
        <f t="shared" si="65"/>
        <v>Residential Natural Gas Heating - New 4 SH + WH + Wood Stove</v>
      </c>
      <c r="AL98" s="152" t="s">
        <v>16</v>
      </c>
      <c r="AM98" s="152" t="s">
        <v>434</v>
      </c>
      <c r="AN98" s="152"/>
      <c r="AO98" s="152" t="s">
        <v>309</v>
      </c>
    </row>
    <row r="99" spans="3:41" ht="15" x14ac:dyDescent="0.25">
      <c r="C99" s="86" t="str">
        <f>"R-SH_Det"&amp;"_"&amp;RIGHT(E99,3)&amp;"_N1"</f>
        <v>R-SH_Det_LPG_N1</v>
      </c>
      <c r="D99" s="75" t="s">
        <v>339</v>
      </c>
      <c r="E99" s="76" t="s">
        <v>723</v>
      </c>
      <c r="F99" s="104" t="s">
        <v>400</v>
      </c>
      <c r="G99" s="86">
        <v>1</v>
      </c>
      <c r="H99" s="75">
        <v>1</v>
      </c>
      <c r="I99" s="75">
        <v>1</v>
      </c>
      <c r="J99" s="104">
        <v>1</v>
      </c>
      <c r="K99" s="88"/>
      <c r="L99" s="77"/>
      <c r="M99" s="77"/>
      <c r="N99" s="89"/>
      <c r="O99" s="86"/>
      <c r="P99" s="75"/>
      <c r="Q99" s="75"/>
      <c r="R99" s="104"/>
      <c r="S99" s="100">
        <v>20</v>
      </c>
      <c r="T99" s="87"/>
      <c r="U99" s="464">
        <f>U95</f>
        <v>3.5249999999999999</v>
      </c>
      <c r="V99" s="464">
        <f t="shared" ref="V99:X99" si="71">V95</f>
        <v>3.5249999999999999</v>
      </c>
      <c r="W99" s="464">
        <f t="shared" si="71"/>
        <v>3.5249999999999999</v>
      </c>
      <c r="X99" s="464">
        <f t="shared" si="71"/>
        <v>3.5249999999999999</v>
      </c>
      <c r="Y99" s="464">
        <v>0.12</v>
      </c>
      <c r="Z99" s="111"/>
      <c r="AA99" s="88"/>
      <c r="AB99" s="118"/>
      <c r="AC99" s="118"/>
      <c r="AD99" s="118"/>
      <c r="AE99" s="108">
        <v>1</v>
      </c>
      <c r="AF99" s="111"/>
      <c r="AG99" s="111">
        <v>2020</v>
      </c>
      <c r="AI99" s="152"/>
      <c r="AJ99" s="151" t="str">
        <f t="shared" si="64"/>
        <v>R-SH_Det_LPG_N1</v>
      </c>
      <c r="AK99" s="151" t="str">
        <f t="shared" si="65"/>
        <v>Residential Liquid Petroleum Gas- New 1 SH</v>
      </c>
      <c r="AL99" s="152" t="s">
        <v>16</v>
      </c>
      <c r="AM99" s="152" t="s">
        <v>434</v>
      </c>
      <c r="AN99" s="152"/>
      <c r="AO99" s="152" t="s">
        <v>309</v>
      </c>
    </row>
    <row r="100" spans="3:41" ht="15" x14ac:dyDescent="0.25">
      <c r="C100" s="68" t="str">
        <f>"R-SW_Det"&amp;"_"&amp;RIGHT(E100,3)&amp;"_N1"</f>
        <v>R-SW_Det_LPG_N1</v>
      </c>
      <c r="D100" s="69" t="s">
        <v>340</v>
      </c>
      <c r="E100" s="70" t="s">
        <v>723</v>
      </c>
      <c r="F100" s="103" t="s">
        <v>719</v>
      </c>
      <c r="G100" s="68">
        <v>1</v>
      </c>
      <c r="H100" s="69">
        <v>1</v>
      </c>
      <c r="I100" s="69">
        <v>1</v>
      </c>
      <c r="J100" s="103">
        <v>1</v>
      </c>
      <c r="K100" s="90"/>
      <c r="L100" s="78"/>
      <c r="M100" s="78"/>
      <c r="N100" s="91"/>
      <c r="O100" s="68">
        <f>G100*0.7</f>
        <v>0.7</v>
      </c>
      <c r="P100" s="69">
        <f t="shared" ref="P100" si="72">H100*0.7</f>
        <v>0.7</v>
      </c>
      <c r="Q100" s="69">
        <f t="shared" ref="Q100" si="73">I100*0.7</f>
        <v>0.7</v>
      </c>
      <c r="R100" s="103">
        <f t="shared" ref="R100" si="74">J100*0.7</f>
        <v>0.7</v>
      </c>
      <c r="S100" s="99">
        <v>20</v>
      </c>
      <c r="T100" s="71"/>
      <c r="U100" s="465">
        <f>U96</f>
        <v>3.8040057915057912</v>
      </c>
      <c r="V100" s="465">
        <f t="shared" ref="V100:X100" si="75">V96</f>
        <v>3.8040057915057912</v>
      </c>
      <c r="W100" s="465">
        <f t="shared" si="75"/>
        <v>3.8040057915057912</v>
      </c>
      <c r="X100" s="465">
        <f t="shared" si="75"/>
        <v>3.8040057915057912</v>
      </c>
      <c r="Y100" s="465">
        <v>0.12</v>
      </c>
      <c r="Z100" s="112"/>
      <c r="AA100" s="90"/>
      <c r="AB100" s="119"/>
      <c r="AC100" s="119"/>
      <c r="AD100" s="119"/>
      <c r="AE100" s="109">
        <v>1</v>
      </c>
      <c r="AF100" s="112"/>
      <c r="AG100" s="112">
        <v>2020</v>
      </c>
      <c r="AI100" s="152"/>
      <c r="AJ100" s="151" t="str">
        <f t="shared" si="64"/>
        <v>R-SW_Det_LPG_N1</v>
      </c>
      <c r="AK100" s="151" t="str">
        <f t="shared" si="65"/>
        <v>Residential Liquid Petroleum Gas- New 2 SH + WH</v>
      </c>
      <c r="AL100" s="152" t="s">
        <v>16</v>
      </c>
      <c r="AM100" s="152" t="s">
        <v>434</v>
      </c>
      <c r="AN100" s="152"/>
      <c r="AO100" s="152" t="s">
        <v>309</v>
      </c>
    </row>
    <row r="101" spans="3:41" ht="15" x14ac:dyDescent="0.25">
      <c r="C101" s="86" t="str">
        <f>"R-SH_Det"&amp;"_"&amp;RIGHT(E101,3)&amp;"_N1"</f>
        <v>R-SH_Det_WOO_N1</v>
      </c>
      <c r="D101" s="75" t="s">
        <v>341</v>
      </c>
      <c r="E101" s="76" t="s">
        <v>726</v>
      </c>
      <c r="F101" s="104" t="s">
        <v>400</v>
      </c>
      <c r="G101" s="86">
        <v>1</v>
      </c>
      <c r="H101" s="75">
        <v>1</v>
      </c>
      <c r="I101" s="75">
        <v>1</v>
      </c>
      <c r="J101" s="104">
        <v>1</v>
      </c>
      <c r="K101" s="88"/>
      <c r="L101" s="77"/>
      <c r="M101" s="77"/>
      <c r="N101" s="89"/>
      <c r="O101" s="86"/>
      <c r="P101" s="75"/>
      <c r="Q101" s="75"/>
      <c r="R101" s="104"/>
      <c r="S101" s="100">
        <v>20</v>
      </c>
      <c r="T101" s="87"/>
      <c r="U101" s="464">
        <v>22.5</v>
      </c>
      <c r="V101" s="464">
        <f>U101*0.96777</f>
        <v>21.774825</v>
      </c>
      <c r="W101" s="464">
        <f>U101*0.914844</f>
        <v>20.58399</v>
      </c>
      <c r="X101" s="464">
        <f>U101*0.8181</f>
        <v>18.407250000000001</v>
      </c>
      <c r="Y101" s="464">
        <v>0.25</v>
      </c>
      <c r="Z101" s="111"/>
      <c r="AA101" s="88"/>
      <c r="AB101" s="118"/>
      <c r="AC101" s="118"/>
      <c r="AD101" s="118"/>
      <c r="AE101" s="108">
        <v>1</v>
      </c>
      <c r="AF101" s="111"/>
      <c r="AG101" s="111">
        <v>2020</v>
      </c>
      <c r="AI101" s="152"/>
      <c r="AJ101" s="151" t="str">
        <f t="shared" si="64"/>
        <v>R-SH_Det_WOO_N1</v>
      </c>
      <c r="AK101" s="151" t="str">
        <f t="shared" si="65"/>
        <v>Residential Biomass Boiler - New 1 SH</v>
      </c>
      <c r="AL101" s="152" t="s">
        <v>16</v>
      </c>
      <c r="AM101" s="152" t="s">
        <v>434</v>
      </c>
      <c r="AN101" s="152"/>
      <c r="AO101" s="152" t="s">
        <v>309</v>
      </c>
    </row>
    <row r="102" spans="3:41" ht="15.75" thickBot="1" x14ac:dyDescent="0.3">
      <c r="C102" s="68" t="str">
        <f>"R-SW_Det"&amp;"_"&amp;RIGHT(E102,3)&amp;"_N1"</f>
        <v>R-SW_Det_WOO_N1</v>
      </c>
      <c r="D102" s="69" t="s">
        <v>342</v>
      </c>
      <c r="E102" s="70" t="s">
        <v>726</v>
      </c>
      <c r="F102" s="103" t="s">
        <v>719</v>
      </c>
      <c r="G102" s="68">
        <v>1</v>
      </c>
      <c r="H102" s="69">
        <v>1</v>
      </c>
      <c r="I102" s="69">
        <v>1</v>
      </c>
      <c r="J102" s="103">
        <v>1</v>
      </c>
      <c r="K102" s="90"/>
      <c r="L102" s="78"/>
      <c r="M102" s="78"/>
      <c r="N102" s="91"/>
      <c r="O102" s="68">
        <f t="shared" ref="O102:R104" si="76">G102*0.7</f>
        <v>0.7</v>
      </c>
      <c r="P102" s="69">
        <f t="shared" si="76"/>
        <v>0.7</v>
      </c>
      <c r="Q102" s="69">
        <f t="shared" si="76"/>
        <v>0.7</v>
      </c>
      <c r="R102" s="103">
        <f t="shared" si="76"/>
        <v>0.7</v>
      </c>
      <c r="S102" s="99">
        <v>20</v>
      </c>
      <c r="T102" s="71"/>
      <c r="U102" s="465">
        <f>U101*($T$148/$T$147)</f>
        <v>22.778925619834713</v>
      </c>
      <c r="V102" s="465">
        <f t="shared" ref="V102" si="77">V101*($T$148/$T$147)</f>
        <v>22.04476084710744</v>
      </c>
      <c r="W102" s="465">
        <f t="shared" ref="W102" si="78">W101*($T$148/$T$147)</f>
        <v>20.839163429752066</v>
      </c>
      <c r="X102" s="465">
        <f t="shared" ref="X102" si="79">X101*($T$148/$T$147)</f>
        <v>18.635439049586779</v>
      </c>
      <c r="Y102" s="465">
        <v>0.25</v>
      </c>
      <c r="Z102" s="112"/>
      <c r="AA102" s="90"/>
      <c r="AB102" s="119"/>
      <c r="AC102" s="119"/>
      <c r="AD102" s="119"/>
      <c r="AE102" s="109">
        <v>1</v>
      </c>
      <c r="AF102" s="112"/>
      <c r="AG102" s="112">
        <v>2020</v>
      </c>
      <c r="AI102" s="155"/>
      <c r="AJ102" s="154" t="str">
        <f t="shared" si="64"/>
        <v>R-SW_Det_WOO_N1</v>
      </c>
      <c r="AK102" s="154" t="str">
        <f t="shared" si="65"/>
        <v>Residential Biomass Boiler - New 2 SH + WH</v>
      </c>
      <c r="AL102" s="155" t="s">
        <v>16</v>
      </c>
      <c r="AM102" s="155" t="s">
        <v>434</v>
      </c>
      <c r="AN102" s="155"/>
      <c r="AO102" s="155" t="s">
        <v>309</v>
      </c>
    </row>
    <row r="103" spans="3:41" ht="15.75" thickBot="1" x14ac:dyDescent="0.3">
      <c r="C103" s="65" t="s">
        <v>699</v>
      </c>
      <c r="D103" s="66" t="s">
        <v>700</v>
      </c>
      <c r="E103" s="135" t="s">
        <v>730</v>
      </c>
      <c r="F103" s="102" t="s">
        <v>400</v>
      </c>
      <c r="G103" s="86">
        <v>1</v>
      </c>
      <c r="H103" s="75">
        <v>1</v>
      </c>
      <c r="I103" s="75">
        <v>1</v>
      </c>
      <c r="J103" s="104">
        <v>1</v>
      </c>
      <c r="K103" s="88"/>
      <c r="L103" s="77"/>
      <c r="M103" s="77"/>
      <c r="N103" s="89"/>
      <c r="O103" s="86">
        <f t="shared" si="76"/>
        <v>0.7</v>
      </c>
      <c r="P103" s="75">
        <f t="shared" si="76"/>
        <v>0.7</v>
      </c>
      <c r="Q103" s="75">
        <f t="shared" si="76"/>
        <v>0.7</v>
      </c>
      <c r="R103" s="104">
        <f t="shared" si="76"/>
        <v>0.7</v>
      </c>
      <c r="S103" s="100">
        <v>20</v>
      </c>
      <c r="T103" s="87"/>
      <c r="U103" s="108">
        <f>(JRC_Data!BB7/1000)*$T$149</f>
        <v>6.6</v>
      </c>
      <c r="V103" s="108">
        <f>(JRC_Data!BC7/1000)*$T$149</f>
        <v>6.6</v>
      </c>
      <c r="W103" s="108">
        <f>(JRC_Data!BD7/1000)*$T$149</f>
        <v>6.6</v>
      </c>
      <c r="X103" s="108">
        <f>(JRC_Data!BE7/1000)*$T$149</f>
        <v>6.6</v>
      </c>
      <c r="Y103" s="104">
        <f>JRC_Data!BL7/1000</f>
        <v>0.27</v>
      </c>
      <c r="Z103" s="111"/>
      <c r="AA103" s="88"/>
      <c r="AB103" s="118"/>
      <c r="AC103" s="118"/>
      <c r="AD103" s="118"/>
      <c r="AE103" s="108">
        <v>1</v>
      </c>
      <c r="AF103" s="111"/>
      <c r="AG103" s="111">
        <v>2020</v>
      </c>
      <c r="AI103" s="155"/>
      <c r="AJ103" s="154" t="str">
        <f t="shared" si="64"/>
        <v>*R-H_Apt_HVO_N1</v>
      </c>
      <c r="AK103" s="154" t="str">
        <f t="shared" si="65"/>
        <v>Residential  Hydrotreated vegetable oil - New 1 SH</v>
      </c>
      <c r="AL103" s="155" t="s">
        <v>16</v>
      </c>
      <c r="AM103" s="155" t="s">
        <v>434</v>
      </c>
      <c r="AN103" s="155"/>
      <c r="AO103" s="155" t="s">
        <v>309</v>
      </c>
    </row>
    <row r="104" spans="3:41" ht="15.75" thickBot="1" x14ac:dyDescent="0.3">
      <c r="C104" s="68" t="s">
        <v>992</v>
      </c>
      <c r="D104" s="69" t="s">
        <v>993</v>
      </c>
      <c r="E104" s="70" t="s">
        <v>730</v>
      </c>
      <c r="F104" s="103" t="s">
        <v>719</v>
      </c>
      <c r="G104" s="329">
        <v>1</v>
      </c>
      <c r="H104" s="72">
        <v>1</v>
      </c>
      <c r="I104" s="72">
        <v>1</v>
      </c>
      <c r="J104" s="105">
        <v>1</v>
      </c>
      <c r="K104" s="95"/>
      <c r="L104" s="96"/>
      <c r="M104" s="96"/>
      <c r="N104" s="97"/>
      <c r="O104" s="329">
        <f t="shared" si="76"/>
        <v>0.7</v>
      </c>
      <c r="P104" s="72">
        <f t="shared" si="76"/>
        <v>0.7</v>
      </c>
      <c r="Q104" s="72">
        <f t="shared" si="76"/>
        <v>0.7</v>
      </c>
      <c r="R104" s="105">
        <f t="shared" si="76"/>
        <v>0.7</v>
      </c>
      <c r="S104" s="101">
        <v>20</v>
      </c>
      <c r="T104" s="74"/>
      <c r="U104" s="110">
        <f>(JRC_Data!BB7/1000)*$T$150</f>
        <v>7.1223938223938221</v>
      </c>
      <c r="V104" s="110">
        <f>(JRC_Data!BC7/1000)*$T$150</f>
        <v>7.1223938223938221</v>
      </c>
      <c r="W104" s="110">
        <f>(JRC_Data!BD7/1000)*$T$150</f>
        <v>7.1223938223938221</v>
      </c>
      <c r="X104" s="110">
        <f>(JRC_Data!BE7/1000)*$T$150</f>
        <v>7.1223938223938221</v>
      </c>
      <c r="Y104" s="103">
        <f>JRC_Data!BL7/1000</f>
        <v>0.27</v>
      </c>
      <c r="Z104" s="112"/>
      <c r="AA104" s="90"/>
      <c r="AB104" s="119"/>
      <c r="AC104" s="119"/>
      <c r="AD104" s="119"/>
      <c r="AE104" s="109">
        <v>1</v>
      </c>
      <c r="AF104" s="113"/>
      <c r="AG104" s="113">
        <v>2020</v>
      </c>
      <c r="AI104" s="155"/>
      <c r="AJ104" s="154" t="str">
        <f t="shared" si="64"/>
        <v>*R-H_Apt_HVO_N2</v>
      </c>
      <c r="AK104" s="154" t="str">
        <f t="shared" si="65"/>
        <v>Residential  Hydrotreated vegetable oil - New 1 SH + WH</v>
      </c>
      <c r="AL104" s="155" t="s">
        <v>16</v>
      </c>
      <c r="AM104" s="155" t="s">
        <v>434</v>
      </c>
      <c r="AN104" s="155"/>
      <c r="AO104" s="155" t="s">
        <v>309</v>
      </c>
    </row>
    <row r="105" spans="3:41" ht="15.75" thickBot="1" x14ac:dyDescent="0.3">
      <c r="C105" s="79" t="s">
        <v>736</v>
      </c>
      <c r="D105" s="79"/>
      <c r="E105" s="80"/>
      <c r="F105" s="80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0"/>
      <c r="T105" s="80"/>
      <c r="U105" s="79"/>
      <c r="V105" s="79"/>
      <c r="W105" s="79"/>
      <c r="X105" s="79"/>
      <c r="Y105" s="79"/>
      <c r="Z105" s="80"/>
      <c r="AA105" s="82"/>
      <c r="AB105" s="82"/>
      <c r="AC105" s="82"/>
      <c r="AD105" s="82"/>
      <c r="AE105" s="79"/>
      <c r="AF105" s="80"/>
      <c r="AG105" s="80"/>
      <c r="AI105" s="156"/>
      <c r="AJ105" s="157" t="str">
        <f>C106</f>
        <v>R-SH_Det_ELC_N1</v>
      </c>
      <c r="AK105" s="157" t="str">
        <f>D106</f>
        <v>Residential Electric Heater - New 1 SH</v>
      </c>
      <c r="AL105" s="156" t="s">
        <v>16</v>
      </c>
      <c r="AM105" s="156" t="s">
        <v>434</v>
      </c>
      <c r="AN105" s="156"/>
      <c r="AO105" s="156" t="s">
        <v>309</v>
      </c>
    </row>
    <row r="106" spans="3:41" ht="15" x14ac:dyDescent="0.25">
      <c r="C106" s="142" t="str">
        <f>"R-SH_Det"&amp;"_"&amp;RIGHT(E106,3)&amp;"_N1"</f>
        <v>R-SH_Det_ELC_N1</v>
      </c>
      <c r="D106" s="126" t="s">
        <v>343</v>
      </c>
      <c r="E106" s="167" t="s">
        <v>406</v>
      </c>
      <c r="F106" s="127" t="s">
        <v>400</v>
      </c>
      <c r="G106" s="326">
        <v>1</v>
      </c>
      <c r="H106" s="327">
        <v>1</v>
      </c>
      <c r="I106" s="327">
        <v>1</v>
      </c>
      <c r="J106" s="328">
        <v>1</v>
      </c>
      <c r="K106" s="120"/>
      <c r="L106" s="121"/>
      <c r="M106" s="121"/>
      <c r="N106" s="122"/>
      <c r="O106" s="120"/>
      <c r="P106" s="121"/>
      <c r="Q106" s="121"/>
      <c r="R106" s="122"/>
      <c r="S106" s="123">
        <v>20</v>
      </c>
      <c r="T106" s="124"/>
      <c r="U106" s="125">
        <f>(JRC_Data!BB48/1000)*($T$149/$T$147)</f>
        <v>4.2809917355371896</v>
      </c>
      <c r="V106" s="125">
        <f>(JRC_Data!BC48/1000)*($T$149/$T$147)</f>
        <v>4.2809917355371896</v>
      </c>
      <c r="W106" s="125">
        <f>(JRC_Data!BD48/1000)*($T$149/$T$147)</f>
        <v>4.2809917355371896</v>
      </c>
      <c r="X106" s="125">
        <f>(JRC_Data!BE48/1000)*($T$149/$T$147)</f>
        <v>4.2809917355371896</v>
      </c>
      <c r="Y106" s="128">
        <f>JRC_Data!BL48/1000</f>
        <v>0.05</v>
      </c>
      <c r="Z106" s="129"/>
      <c r="AA106" s="130"/>
      <c r="AB106" s="130"/>
      <c r="AC106" s="130"/>
      <c r="AD106" s="130"/>
      <c r="AE106" s="128">
        <v>1</v>
      </c>
      <c r="AF106" s="129"/>
      <c r="AG106" s="129">
        <v>2020</v>
      </c>
      <c r="AI106" s="150"/>
      <c r="AJ106" s="149" t="str">
        <f t="shared" ref="AJ106:AJ112" si="80">C108</f>
        <v>R-SH_Det_ELC_HPN1</v>
      </c>
      <c r="AK106" s="149" t="str">
        <f t="shared" ref="AK106:AK112" si="81">D108</f>
        <v>Residential Electric Heat Pump - Air to Air - SH</v>
      </c>
      <c r="AL106" s="150" t="s">
        <v>16</v>
      </c>
      <c r="AM106" s="150" t="s">
        <v>434</v>
      </c>
      <c r="AN106" s="150"/>
      <c r="AO106" s="150" t="s">
        <v>309</v>
      </c>
    </row>
    <row r="107" spans="3:41" ht="15" x14ac:dyDescent="0.25">
      <c r="C107" s="79" t="s">
        <v>737</v>
      </c>
      <c r="D107" s="79"/>
      <c r="E107" s="80"/>
      <c r="F107" s="80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0"/>
      <c r="T107" s="80"/>
      <c r="U107" s="79"/>
      <c r="V107" s="79"/>
      <c r="W107" s="79"/>
      <c r="X107" s="79"/>
      <c r="Y107" s="79"/>
      <c r="Z107" s="80"/>
      <c r="AA107" s="82"/>
      <c r="AB107" s="82"/>
      <c r="AC107" s="82"/>
      <c r="AD107" s="82"/>
      <c r="AE107" s="79"/>
      <c r="AF107" s="80"/>
      <c r="AG107" s="80"/>
      <c r="AI107" s="152"/>
      <c r="AJ107" s="151" t="str">
        <f t="shared" si="80"/>
        <v>R-HC_Det_ELC_HPN1</v>
      </c>
      <c r="AK107" s="151" t="str">
        <f t="shared" si="81"/>
        <v>Residential Electric Heat Pump - Air to Air - SH + SC</v>
      </c>
      <c r="AL107" s="152" t="s">
        <v>16</v>
      </c>
      <c r="AM107" s="152" t="s">
        <v>434</v>
      </c>
      <c r="AN107" s="152"/>
      <c r="AO107" s="152" t="s">
        <v>309</v>
      </c>
    </row>
    <row r="108" spans="3:41" ht="15" x14ac:dyDescent="0.25">
      <c r="C108" s="65" t="str">
        <f>"R-SH_Det"&amp;"_"&amp;RIGHT(E108,3)&amp;"_HPN1"</f>
        <v>R-SH_Det_ELC_HPN1</v>
      </c>
      <c r="D108" s="66" t="s">
        <v>345</v>
      </c>
      <c r="E108" s="135" t="s">
        <v>406</v>
      </c>
      <c r="F108" s="102" t="s">
        <v>400</v>
      </c>
      <c r="G108" s="65">
        <v>1</v>
      </c>
      <c r="H108" s="66">
        <v>1.0666666666666667</v>
      </c>
      <c r="I108" s="66">
        <v>1.2333333333333334</v>
      </c>
      <c r="J108" s="102">
        <v>1.3333333333333333</v>
      </c>
      <c r="K108" s="65"/>
      <c r="L108" s="66"/>
      <c r="M108" s="66"/>
      <c r="N108" s="102"/>
      <c r="O108" s="65"/>
      <c r="P108" s="66"/>
      <c r="Q108" s="66"/>
      <c r="R108" s="102"/>
      <c r="S108" s="98">
        <v>20</v>
      </c>
      <c r="T108" s="94"/>
      <c r="U108" s="65">
        <f>(JRC_Data!BB16/1000)*($T$149/$T$148)</f>
        <v>2.3257142857142861</v>
      </c>
      <c r="V108" s="65">
        <f>(JRC_Data!BC16/1000)*($T$149/$T$148)</f>
        <v>2.2200000000000002</v>
      </c>
      <c r="W108" s="65">
        <f>(JRC_Data!BD16/1000)*($T$149/$T$148)</f>
        <v>2.0085714285714285</v>
      </c>
      <c r="X108" s="65">
        <f>(JRC_Data!BE16/1000)*($T$149/$T$148)</f>
        <v>1.902857142857143</v>
      </c>
      <c r="Y108" s="131">
        <f>JRC_Data!BL16/1000</f>
        <v>3.4000000000000002E-2</v>
      </c>
      <c r="Z108" s="131"/>
      <c r="AA108" s="131"/>
      <c r="AB108" s="131"/>
      <c r="AC108" s="131"/>
      <c r="AD108" s="131"/>
      <c r="AE108" s="131">
        <v>1</v>
      </c>
      <c r="AF108" s="134"/>
      <c r="AG108" s="134">
        <v>2100</v>
      </c>
      <c r="AI108" s="152"/>
      <c r="AJ108" s="151" t="str">
        <f t="shared" si="80"/>
        <v>R-SH_Det_ELC_HPN2</v>
      </c>
      <c r="AK108" s="151" t="str">
        <f t="shared" si="81"/>
        <v>Residential Electric Heat Pump - Air to Water - SH</v>
      </c>
      <c r="AL108" s="152" t="s">
        <v>16</v>
      </c>
      <c r="AM108" s="152" t="s">
        <v>434</v>
      </c>
      <c r="AN108" s="152"/>
      <c r="AO108" s="152" t="s">
        <v>309</v>
      </c>
    </row>
    <row r="109" spans="3:41" ht="15" x14ac:dyDescent="0.25">
      <c r="C109" s="68" t="str">
        <f>"R-HC_Det"&amp;"_"&amp;RIGHT(E109,3)&amp;"_HPN1"</f>
        <v>R-HC_Det_ELC_HPN1</v>
      </c>
      <c r="D109" s="69" t="s">
        <v>346</v>
      </c>
      <c r="E109" s="70" t="s">
        <v>406</v>
      </c>
      <c r="F109" s="103" t="s">
        <v>720</v>
      </c>
      <c r="G109" s="68">
        <v>1</v>
      </c>
      <c r="H109" s="69">
        <v>1.0666666666666667</v>
      </c>
      <c r="I109" s="69">
        <v>1.2333333333333334</v>
      </c>
      <c r="J109" s="103">
        <v>1.3333333333333333</v>
      </c>
      <c r="K109" s="68">
        <v>1</v>
      </c>
      <c r="L109" s="69">
        <v>1.0666666666666667</v>
      </c>
      <c r="M109" s="69">
        <v>1.2333333333333334</v>
      </c>
      <c r="N109" s="103">
        <v>1.3333333333333333</v>
      </c>
      <c r="O109" s="68"/>
      <c r="P109" s="69"/>
      <c r="Q109" s="69"/>
      <c r="R109" s="103"/>
      <c r="S109" s="99">
        <v>20</v>
      </c>
      <c r="T109" s="91"/>
      <c r="U109" s="68">
        <f>(JRC_Data!BB16/1000)*($T$150/$T$148)</f>
        <v>2.5097959183673471</v>
      </c>
      <c r="V109" s="68">
        <f>(JRC_Data!BC16/1000)*($T$150/$T$148)</f>
        <v>2.3957142857142855</v>
      </c>
      <c r="W109" s="68">
        <f>(JRC_Data!BD16/1000)*($T$150/$T$148)</f>
        <v>2.1675510204081632</v>
      </c>
      <c r="X109" s="68">
        <f>(JRC_Data!BE16/1000)*($T$150/$T$148)</f>
        <v>2.053469387755102</v>
      </c>
      <c r="Y109" s="109">
        <f>JRC_Data!BL16/1000</f>
        <v>3.4000000000000002E-2</v>
      </c>
      <c r="Z109" s="109"/>
      <c r="AA109" s="109"/>
      <c r="AB109" s="109"/>
      <c r="AC109" s="109"/>
      <c r="AD109" s="109"/>
      <c r="AE109" s="109">
        <v>1</v>
      </c>
      <c r="AF109" s="112"/>
      <c r="AG109" s="112">
        <v>2100</v>
      </c>
      <c r="AI109" s="152"/>
      <c r="AJ109" s="151" t="str">
        <f t="shared" si="80"/>
        <v>R-SW_Det_ELC_HPN1</v>
      </c>
      <c r="AK109" s="151" t="str">
        <f t="shared" si="81"/>
        <v>Residential Electric Heat Pump - Air to Water - SH + WH</v>
      </c>
      <c r="AL109" s="152" t="s">
        <v>16</v>
      </c>
      <c r="AM109" s="152" t="s">
        <v>434</v>
      </c>
      <c r="AN109" s="152"/>
      <c r="AO109" s="152" t="s">
        <v>309</v>
      </c>
    </row>
    <row r="110" spans="3:41" ht="15" x14ac:dyDescent="0.25">
      <c r="C110" s="86" t="str">
        <f>"R-SH_Det"&amp;"_"&amp;RIGHT(E110,3)&amp;"_HPN2"</f>
        <v>R-SH_Det_ELC_HPN2</v>
      </c>
      <c r="D110" s="75" t="s">
        <v>347</v>
      </c>
      <c r="E110" s="76" t="s">
        <v>406</v>
      </c>
      <c r="F110" s="104" t="s">
        <v>400</v>
      </c>
      <c r="G110" s="86">
        <v>1</v>
      </c>
      <c r="H110" s="75">
        <v>1.0999999999999999</v>
      </c>
      <c r="I110" s="75">
        <v>1.2333333333333334</v>
      </c>
      <c r="J110" s="104">
        <v>1.3333333333333333</v>
      </c>
      <c r="K110" s="86"/>
      <c r="L110" s="75"/>
      <c r="M110" s="75"/>
      <c r="N110" s="104"/>
      <c r="O110" s="86"/>
      <c r="P110" s="75"/>
      <c r="Q110" s="75"/>
      <c r="R110" s="104"/>
      <c r="S110" s="100">
        <v>20</v>
      </c>
      <c r="T110" s="89"/>
      <c r="U110" s="464">
        <v>9.8469999999999995</v>
      </c>
      <c r="V110" s="464">
        <f>U110*0.91</f>
        <v>8.9607700000000001</v>
      </c>
      <c r="W110" s="464">
        <f>V110*0.91</f>
        <v>8.1543007000000003</v>
      </c>
      <c r="X110" s="464">
        <f>U110*0.82</f>
        <v>8.0745399999999989</v>
      </c>
      <c r="Y110" s="464">
        <v>0.1</v>
      </c>
      <c r="Z110" s="108"/>
      <c r="AA110" s="108"/>
      <c r="AB110" s="108"/>
      <c r="AC110" s="108"/>
      <c r="AD110" s="108"/>
      <c r="AE110" s="108">
        <v>1</v>
      </c>
      <c r="AF110" s="111"/>
      <c r="AG110" s="111">
        <v>2020</v>
      </c>
      <c r="AI110" s="286"/>
      <c r="AJ110" s="151" t="str">
        <f t="shared" si="80"/>
        <v>R-SW_Det_ELC_HPN2</v>
      </c>
      <c r="AK110" s="151" t="str">
        <f t="shared" si="81"/>
        <v>Residential Electric Heat Pump - Air to Water - SH + WH + Solar</v>
      </c>
      <c r="AL110" s="152" t="s">
        <v>16</v>
      </c>
      <c r="AM110" s="152" t="s">
        <v>434</v>
      </c>
      <c r="AN110" s="152"/>
      <c r="AO110" s="152" t="s">
        <v>309</v>
      </c>
    </row>
    <row r="111" spans="3:41" ht="15" x14ac:dyDescent="0.25">
      <c r="C111" s="68" t="str">
        <f>"R-SW_Det"&amp;"_"&amp;RIGHT(E111,3)&amp;"_HPN1"</f>
        <v>R-SW_Det_ELC_HPN1</v>
      </c>
      <c r="D111" s="69" t="s">
        <v>348</v>
      </c>
      <c r="E111" s="70" t="s">
        <v>406</v>
      </c>
      <c r="F111" s="103" t="s">
        <v>719</v>
      </c>
      <c r="G111" s="68">
        <v>1</v>
      </c>
      <c r="H111" s="69">
        <v>1.0999999999999999</v>
      </c>
      <c r="I111" s="69">
        <v>1.2333333333333334</v>
      </c>
      <c r="J111" s="103">
        <v>1.3333333333333333</v>
      </c>
      <c r="K111" s="68"/>
      <c r="L111" s="69"/>
      <c r="M111" s="69"/>
      <c r="N111" s="103"/>
      <c r="O111" s="68">
        <f>G111*0.7</f>
        <v>0.7</v>
      </c>
      <c r="P111" s="69">
        <f t="shared" ref="P111:P112" si="82">H111*0.7</f>
        <v>0.76999999999999991</v>
      </c>
      <c r="Q111" s="69">
        <f t="shared" ref="Q111:Q112" si="83">I111*0.7</f>
        <v>0.86333333333333329</v>
      </c>
      <c r="R111" s="103">
        <f t="shared" ref="R111:R112" si="84">J111*0.7</f>
        <v>0.93333333333333324</v>
      </c>
      <c r="S111" s="99">
        <v>20</v>
      </c>
      <c r="T111" s="91"/>
      <c r="U111" s="465">
        <f>U110*($T$146/$T$145)</f>
        <v>9.9300970464135023</v>
      </c>
      <c r="V111" s="465">
        <f t="shared" ref="V111" si="85">V110*($T$146/$T$145)</f>
        <v>9.0363883122362889</v>
      </c>
      <c r="W111" s="465">
        <f t="shared" ref="W111" si="86">W110*($T$146/$T$145)</f>
        <v>8.2231133641350223</v>
      </c>
      <c r="X111" s="465">
        <f t="shared" ref="X111" si="87">X110*($T$146/$T$145)</f>
        <v>8.1426795780590719</v>
      </c>
      <c r="Y111" s="465">
        <v>0.1</v>
      </c>
      <c r="Z111" s="109"/>
      <c r="AA111" s="109"/>
      <c r="AB111" s="109"/>
      <c r="AC111" s="109"/>
      <c r="AD111" s="109"/>
      <c r="AE111" s="109">
        <v>1</v>
      </c>
      <c r="AF111" s="112"/>
      <c r="AG111" s="112">
        <v>2020</v>
      </c>
      <c r="AI111" s="286"/>
      <c r="AJ111" s="151" t="str">
        <f t="shared" si="80"/>
        <v>R-SH_Det_ELC_HPN3</v>
      </c>
      <c r="AK111" s="151" t="str">
        <f t="shared" si="81"/>
        <v>Residential Electric Heat Pump - Ground to Water - SH</v>
      </c>
      <c r="AL111" s="152" t="s">
        <v>16</v>
      </c>
      <c r="AM111" s="152" t="s">
        <v>434</v>
      </c>
      <c r="AN111" s="152"/>
      <c r="AO111" s="152" t="s">
        <v>309</v>
      </c>
    </row>
    <row r="112" spans="3:41" ht="15.75" thickBot="1" x14ac:dyDescent="0.3">
      <c r="C112" s="86" t="str">
        <f>"R-SW_Det"&amp;"_"&amp;RIGHT(E112,3)&amp;"_HPN2"</f>
        <v>R-SW_Det_ELC_HPN2</v>
      </c>
      <c r="D112" s="75" t="s">
        <v>349</v>
      </c>
      <c r="E112" s="76" t="s">
        <v>1026</v>
      </c>
      <c r="F112" s="104" t="s">
        <v>719</v>
      </c>
      <c r="G112" s="86">
        <v>1</v>
      </c>
      <c r="H112" s="75">
        <v>1.1100000000000001</v>
      </c>
      <c r="I112" s="75">
        <v>1.19</v>
      </c>
      <c r="J112" s="104">
        <v>1.19</v>
      </c>
      <c r="K112" s="86"/>
      <c r="L112" s="75"/>
      <c r="M112" s="75"/>
      <c r="N112" s="104"/>
      <c r="O112" s="86">
        <f>G112*0.7</f>
        <v>0.7</v>
      </c>
      <c r="P112" s="75">
        <f t="shared" si="82"/>
        <v>0.77700000000000002</v>
      </c>
      <c r="Q112" s="75">
        <f t="shared" si="83"/>
        <v>0.83299999999999996</v>
      </c>
      <c r="R112" s="104">
        <f t="shared" si="84"/>
        <v>0.83299999999999996</v>
      </c>
      <c r="S112" s="100">
        <v>20</v>
      </c>
      <c r="T112" s="89"/>
      <c r="U112" s="86">
        <f>((JRC_Data!BB18+JRC_Data!BB45)*0.8/1000)*($T$150/$T$147)</f>
        <v>15.153057851239668</v>
      </c>
      <c r="V112" s="86">
        <f>((JRC_Data!BC18+JRC_Data!BC45)*0.8/1000)*($T$150/$T$147)</f>
        <v>13.95190082644628</v>
      </c>
      <c r="W112" s="86">
        <f>((JRC_Data!BD18+JRC_Data!BD45)*0.8/1000)*($T$150/$T$147)</f>
        <v>13.489917355371901</v>
      </c>
      <c r="X112" s="86">
        <f>((JRC_Data!BE18+JRC_Data!BE45)*0.8/1000)*($T$150/$T$147)</f>
        <v>11.734380165289256</v>
      </c>
      <c r="Y112" s="108">
        <f>((JRC_Data!BL18+JRC_Data!BL45)*0.8)/1000</f>
        <v>0.16960000000000003</v>
      </c>
      <c r="Z112" s="108"/>
      <c r="AA112" s="118">
        <v>0.1</v>
      </c>
      <c r="AB112" s="108"/>
      <c r="AC112" s="108"/>
      <c r="AD112" s="290">
        <v>5</v>
      </c>
      <c r="AE112" s="108">
        <v>1</v>
      </c>
      <c r="AF112" s="111"/>
      <c r="AG112" s="111">
        <v>2020</v>
      </c>
      <c r="AI112" s="158"/>
      <c r="AJ112" s="154" t="str">
        <f t="shared" si="80"/>
        <v>R-HC_Det_ELC_HPN2</v>
      </c>
      <c r="AK112" s="154" t="str">
        <f t="shared" si="81"/>
        <v>Residential Electric Heat Pump - Ground to Water - SH + SC</v>
      </c>
      <c r="AL112" s="155" t="s">
        <v>16</v>
      </c>
      <c r="AM112" s="155" t="s">
        <v>434</v>
      </c>
      <c r="AN112" s="155"/>
      <c r="AO112" s="155" t="s">
        <v>309</v>
      </c>
    </row>
    <row r="113" spans="3:41" ht="15" x14ac:dyDescent="0.25">
      <c r="C113" s="68" t="str">
        <f>"R-SH_Det"&amp;"_"&amp;RIGHT(E113,3)&amp;"_HPN3"</f>
        <v>R-SH_Det_ELC_HPN3</v>
      </c>
      <c r="D113" s="69" t="s">
        <v>350</v>
      </c>
      <c r="E113" s="70" t="s">
        <v>406</v>
      </c>
      <c r="F113" s="103" t="s">
        <v>400</v>
      </c>
      <c r="G113" s="68">
        <v>1.0999999999999999</v>
      </c>
      <c r="H113" s="69">
        <v>1.1666666666666667</v>
      </c>
      <c r="I113" s="69">
        <v>1.3333333333333333</v>
      </c>
      <c r="J113" s="103">
        <v>1.5</v>
      </c>
      <c r="K113" s="68"/>
      <c r="L113" s="69"/>
      <c r="M113" s="69"/>
      <c r="N113" s="103"/>
      <c r="O113" s="68"/>
      <c r="P113" s="69"/>
      <c r="Q113" s="69"/>
      <c r="R113" s="103"/>
      <c r="S113" s="99">
        <v>20</v>
      </c>
      <c r="T113" s="91"/>
      <c r="U113" s="68">
        <f>(JRC_Data!BB20/1000)*($T$149/$T$148)</f>
        <v>14.8</v>
      </c>
      <c r="V113" s="68">
        <f>(JRC_Data!BC20/1000)*($T$149/$T$148)</f>
        <v>13.742857142857144</v>
      </c>
      <c r="W113" s="68">
        <f>(JRC_Data!BD20/1000)*($T$149/$T$148)</f>
        <v>12.685714285714287</v>
      </c>
      <c r="X113" s="68">
        <f>(JRC_Data!BE20/1000)*($T$149/$T$148)</f>
        <v>11.628571428571428</v>
      </c>
      <c r="Y113" s="109">
        <f>JRC_Data!BL20/1000</f>
        <v>0.2</v>
      </c>
      <c r="Z113" s="109"/>
      <c r="AA113" s="109"/>
      <c r="AB113" s="109"/>
      <c r="AC113" s="109"/>
      <c r="AD113" s="109"/>
      <c r="AE113" s="109">
        <v>1</v>
      </c>
      <c r="AF113" s="112"/>
      <c r="AG113" s="112">
        <v>2020</v>
      </c>
      <c r="AI113" s="159"/>
      <c r="AJ113" s="149" t="str">
        <f>C116</f>
        <v>R-SW_Det_GAS_HPN1</v>
      </c>
      <c r="AK113" s="149" t="str">
        <f>D116</f>
        <v>Residential Gas Absorption Heat Pump - Air to Water - SH + WH</v>
      </c>
      <c r="AL113" s="150" t="s">
        <v>16</v>
      </c>
      <c r="AM113" s="150" t="s">
        <v>434</v>
      </c>
      <c r="AN113" s="150"/>
      <c r="AO113" s="150" t="s">
        <v>309</v>
      </c>
    </row>
    <row r="114" spans="3:41" ht="15.75" thickBot="1" x14ac:dyDescent="0.3">
      <c r="C114" s="140" t="str">
        <f>"R-HC_Det"&amp;"_"&amp;RIGHT(E114,3)&amp;"_HPN2"</f>
        <v>R-HC_Det_ELC_HPN2</v>
      </c>
      <c r="D114" s="136" t="s">
        <v>351</v>
      </c>
      <c r="E114" s="165" t="s">
        <v>406</v>
      </c>
      <c r="F114" s="141" t="s">
        <v>720</v>
      </c>
      <c r="G114" s="140">
        <v>1.0999999999999999</v>
      </c>
      <c r="H114" s="136">
        <v>1.1666666666666667</v>
      </c>
      <c r="I114" s="136">
        <v>1.3333333333333333</v>
      </c>
      <c r="J114" s="141">
        <v>1.5</v>
      </c>
      <c r="K114" s="140">
        <v>1.0999999999999999</v>
      </c>
      <c r="L114" s="136">
        <v>1.1666666666666667</v>
      </c>
      <c r="M114" s="136">
        <v>1.3333333333333333</v>
      </c>
      <c r="N114" s="141">
        <v>1.5</v>
      </c>
      <c r="O114" s="140"/>
      <c r="P114" s="136"/>
      <c r="Q114" s="136"/>
      <c r="R114" s="141"/>
      <c r="S114" s="147">
        <v>20</v>
      </c>
      <c r="T114" s="148"/>
      <c r="U114" s="140">
        <f>(JRC_Data!BB20/1000)*($T$150/$T$148)</f>
        <v>15.97142857142857</v>
      </c>
      <c r="V114" s="140">
        <f>(JRC_Data!BC20/1000)*($T$150/$T$148)</f>
        <v>14.830612244897958</v>
      </c>
      <c r="W114" s="140">
        <f>(JRC_Data!BD20/1000)*($T$150/$T$148)</f>
        <v>13.689795918367345</v>
      </c>
      <c r="X114" s="140">
        <f>(JRC_Data!BE20/1000)*($T$150/$T$148)</f>
        <v>12.548979591836734</v>
      </c>
      <c r="Y114" s="132">
        <f>JRC_Data!BL20/1000</f>
        <v>0.2</v>
      </c>
      <c r="Z114" s="132"/>
      <c r="AA114" s="132"/>
      <c r="AB114" s="132"/>
      <c r="AC114" s="132"/>
      <c r="AD114" s="132"/>
      <c r="AE114" s="132">
        <v>1</v>
      </c>
      <c r="AF114" s="137"/>
      <c r="AG114" s="137">
        <v>2020</v>
      </c>
      <c r="AI114" s="287"/>
      <c r="AJ114" s="154" t="str">
        <f>C117</f>
        <v>R-SW_Det_GAS_HPN2</v>
      </c>
      <c r="AK114" s="154" t="str">
        <f>D117</f>
        <v>Residential Gas Engine Heat Pump - Air to Water - SH + WH</v>
      </c>
      <c r="AL114" s="155" t="s">
        <v>16</v>
      </c>
      <c r="AM114" s="155" t="s">
        <v>434</v>
      </c>
      <c r="AN114" s="155"/>
      <c r="AO114" s="155" t="s">
        <v>309</v>
      </c>
    </row>
    <row r="115" spans="3:41" ht="15.75" thickBot="1" x14ac:dyDescent="0.3">
      <c r="C115" s="79" t="s">
        <v>738</v>
      </c>
      <c r="D115" s="79"/>
      <c r="E115" s="80"/>
      <c r="F115" s="80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0"/>
      <c r="T115" s="80"/>
      <c r="U115" s="79"/>
      <c r="V115" s="79"/>
      <c r="W115" s="79"/>
      <c r="X115" s="79"/>
      <c r="Y115" s="79"/>
      <c r="Z115" s="133"/>
      <c r="AA115" s="82"/>
      <c r="AB115" s="82"/>
      <c r="AC115" s="82"/>
      <c r="AD115" s="82"/>
      <c r="AE115" s="79"/>
      <c r="AF115" s="80"/>
      <c r="AG115" s="80"/>
      <c r="AI115" s="288"/>
      <c r="AJ115" s="157" t="str">
        <f>C119</f>
        <v>R-SW_Det_GAS_HHPN1</v>
      </c>
      <c r="AK115" s="157" t="str">
        <f>D119</f>
        <v>Residential Gas Hybrid Heat Pump - Air to Water - SH + WH</v>
      </c>
      <c r="AL115" s="156" t="s">
        <v>16</v>
      </c>
      <c r="AM115" s="156" t="s">
        <v>434</v>
      </c>
      <c r="AN115" s="156"/>
      <c r="AO115" s="156" t="s">
        <v>309</v>
      </c>
    </row>
    <row r="116" spans="3:41" ht="15" x14ac:dyDescent="0.25">
      <c r="C116" s="65" t="str">
        <f>"R-SW_Det"&amp;"_"&amp;RIGHT(E116,3)&amp;"_HPN1"</f>
        <v>R-SW_Det_GAS_HPN1</v>
      </c>
      <c r="D116" s="66" t="s">
        <v>352</v>
      </c>
      <c r="E116" s="135" t="s">
        <v>727</v>
      </c>
      <c r="F116" s="135" t="s">
        <v>719</v>
      </c>
      <c r="G116" s="65">
        <v>1</v>
      </c>
      <c r="H116" s="66">
        <v>1.074074074074074</v>
      </c>
      <c r="I116" s="66">
        <v>1.2592592592592591</v>
      </c>
      <c r="J116" s="102">
        <v>1.2592592592592591</v>
      </c>
      <c r="K116" s="92"/>
      <c r="L116" s="93"/>
      <c r="M116" s="93"/>
      <c r="N116" s="94"/>
      <c r="O116" s="323">
        <f>G116*0.7</f>
        <v>0.7</v>
      </c>
      <c r="P116" s="324">
        <f t="shared" ref="P116:P117" si="88">H116*0.7</f>
        <v>0.75185185185185177</v>
      </c>
      <c r="Q116" s="324">
        <f t="shared" ref="Q116:Q117" si="89">I116*0.7</f>
        <v>0.88148148148148131</v>
      </c>
      <c r="R116" s="325">
        <f t="shared" ref="R116:R117" si="90">J116*0.7</f>
        <v>0.88148148148148131</v>
      </c>
      <c r="S116" s="135">
        <v>22</v>
      </c>
      <c r="T116" s="94"/>
      <c r="U116" s="65">
        <f>(JRC_Data!BB28/1000)*($T$150/$T$149)</f>
        <v>16.834749034749034</v>
      </c>
      <c r="V116" s="65">
        <f>(JRC_Data!BC28/1000)*($T$150/$T$149)</f>
        <v>15.755598455598454</v>
      </c>
      <c r="W116" s="65">
        <f>(JRC_Data!BD28/1000)*($T$150/$T$149)</f>
        <v>13.597297297297297</v>
      </c>
      <c r="X116" s="65">
        <f>(JRC_Data!BE28/1000)*($T$150/$T$149)</f>
        <v>13.597297297297297</v>
      </c>
      <c r="Y116" s="131">
        <f>JRC_Data!BL28/1000</f>
        <v>0.23499999999999999</v>
      </c>
      <c r="Z116" s="131"/>
      <c r="AA116" s="102"/>
      <c r="AB116" s="131"/>
      <c r="AC116" s="131"/>
      <c r="AD116" s="131"/>
      <c r="AE116" s="131">
        <v>1</v>
      </c>
      <c r="AF116" s="134"/>
      <c r="AG116" s="134">
        <v>2020</v>
      </c>
      <c r="AI116" s="289"/>
      <c r="AJ116" s="149" t="str">
        <f>C121</f>
        <v>R-SW_Det_HET_N1</v>
      </c>
      <c r="AK116" s="149" t="str">
        <f>D121</f>
        <v>Residential District Heating Centralized - SH + WH</v>
      </c>
      <c r="AL116" s="150" t="s">
        <v>16</v>
      </c>
      <c r="AM116" s="150" t="s">
        <v>434</v>
      </c>
      <c r="AN116" s="150"/>
      <c r="AO116" s="150" t="s">
        <v>309</v>
      </c>
    </row>
    <row r="117" spans="3:41" ht="15.75" thickBot="1" x14ac:dyDescent="0.3">
      <c r="C117" s="329" t="str">
        <f>"R-SW_Det"&amp;"_"&amp;RIGHT(E117,3)&amp;"_HPN2"</f>
        <v>R-SW_Det_GAS_HPN2</v>
      </c>
      <c r="D117" s="72" t="s">
        <v>353</v>
      </c>
      <c r="E117" s="73" t="s">
        <v>727</v>
      </c>
      <c r="F117" s="73" t="s">
        <v>719</v>
      </c>
      <c r="G117" s="329">
        <v>1.1111111111111109</v>
      </c>
      <c r="H117" s="72">
        <v>1.1481481481481481</v>
      </c>
      <c r="I117" s="72">
        <v>1.1481481481481481</v>
      </c>
      <c r="J117" s="105">
        <v>1.1851851851851851</v>
      </c>
      <c r="K117" s="95"/>
      <c r="L117" s="96"/>
      <c r="M117" s="96"/>
      <c r="N117" s="97"/>
      <c r="O117" s="330">
        <f>G117*0.7</f>
        <v>0.77777777777777757</v>
      </c>
      <c r="P117" s="331">
        <f t="shared" si="88"/>
        <v>0.8037037037037037</v>
      </c>
      <c r="Q117" s="331">
        <f t="shared" si="89"/>
        <v>0.8037037037037037</v>
      </c>
      <c r="R117" s="332">
        <f t="shared" si="90"/>
        <v>0.82962962962962949</v>
      </c>
      <c r="S117" s="73">
        <v>15</v>
      </c>
      <c r="T117" s="97"/>
      <c r="U117" s="329">
        <f>(JRC_Data!BB30/1000)*($T$150/$T$149)</f>
        <v>51.259652509652504</v>
      </c>
      <c r="V117" s="329">
        <f>(JRC_Data!BC30/1000)*($T$150/$T$149)</f>
        <v>51.259652509652504</v>
      </c>
      <c r="W117" s="329">
        <f>(JRC_Data!BD30/1000)*($T$150/$T$149)</f>
        <v>51.259652509652504</v>
      </c>
      <c r="X117" s="329">
        <f>(JRC_Data!BE30/1000)*($T$150/$T$149)</f>
        <v>51.259652509652504</v>
      </c>
      <c r="Y117" s="110">
        <f>JRC_Data!BL28/1000</f>
        <v>0.23499999999999999</v>
      </c>
      <c r="Z117" s="110"/>
      <c r="AA117" s="105"/>
      <c r="AB117" s="110"/>
      <c r="AC117" s="110"/>
      <c r="AD117" s="110"/>
      <c r="AE117" s="110">
        <v>1</v>
      </c>
      <c r="AF117" s="113"/>
      <c r="AG117" s="113">
        <v>2020</v>
      </c>
      <c r="AI117" s="160"/>
      <c r="AJ117" s="154" t="str">
        <f>C122</f>
        <v>R-SW_Det_HET_N2</v>
      </c>
      <c r="AK117" s="154" t="str">
        <f>D122</f>
        <v>Residential District Heating Decentralized - SH + WH</v>
      </c>
      <c r="AL117" s="155" t="s">
        <v>16</v>
      </c>
      <c r="AM117" s="155" t="s">
        <v>434</v>
      </c>
      <c r="AN117" s="155"/>
      <c r="AO117" s="155" t="s">
        <v>309</v>
      </c>
    </row>
    <row r="118" spans="3:41" ht="15" x14ac:dyDescent="0.25">
      <c r="C118" s="79" t="s">
        <v>344</v>
      </c>
      <c r="D118" s="79"/>
      <c r="E118" s="80"/>
      <c r="F118" s="80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0"/>
      <c r="T118" s="80"/>
      <c r="U118" s="79"/>
      <c r="V118" s="79"/>
      <c r="W118" s="79"/>
      <c r="X118" s="79"/>
      <c r="Y118" s="79"/>
      <c r="Z118" s="80"/>
      <c r="AA118" s="82"/>
      <c r="AB118" s="82"/>
      <c r="AC118" s="82"/>
      <c r="AD118" s="82"/>
      <c r="AE118" s="79"/>
      <c r="AF118" s="80"/>
      <c r="AG118" s="80"/>
      <c r="AI118" s="289"/>
      <c r="AJ118" s="149" t="str">
        <f t="shared" ref="AJ118:AJ119" si="91">C124</f>
        <v>R-WH_Det_ELC_N1</v>
      </c>
      <c r="AK118" s="149" t="str">
        <f t="shared" ref="AK118:AK119" si="92">D124</f>
        <v xml:space="preserve">Residential Electric Water Heater </v>
      </c>
      <c r="AL118" s="150" t="s">
        <v>16</v>
      </c>
      <c r="AM118" s="150" t="s">
        <v>434</v>
      </c>
      <c r="AN118" s="150"/>
      <c r="AO118" s="150" t="s">
        <v>309</v>
      </c>
    </row>
    <row r="119" spans="3:41" ht="15.75" thickBot="1" x14ac:dyDescent="0.3">
      <c r="C119" s="142" t="str">
        <f>"R-SW_Det"&amp;"_"&amp;RIGHT(E119,3)&amp;"_HHPN1"</f>
        <v>R-SW_Det_GAS_HHPN1</v>
      </c>
      <c r="D119" s="126" t="s">
        <v>361</v>
      </c>
      <c r="E119" s="167" t="s">
        <v>731</v>
      </c>
      <c r="F119" s="144" t="s">
        <v>719</v>
      </c>
      <c r="G119" s="330">
        <v>1</v>
      </c>
      <c r="H119" s="331">
        <v>1.048</v>
      </c>
      <c r="I119" s="331">
        <v>1.097</v>
      </c>
      <c r="J119" s="331">
        <v>1.161</v>
      </c>
      <c r="K119" s="95"/>
      <c r="L119" s="96"/>
      <c r="M119" s="96"/>
      <c r="N119" s="97"/>
      <c r="O119" s="330">
        <f>G119*0.7</f>
        <v>0.7</v>
      </c>
      <c r="P119" s="331">
        <f t="shared" ref="P119" si="93">H119*0.7</f>
        <v>0.73360000000000003</v>
      </c>
      <c r="Q119" s="331">
        <f t="shared" ref="Q119" si="94">I119*0.7</f>
        <v>0.76789999999999992</v>
      </c>
      <c r="R119" s="332">
        <f t="shared" ref="R119" si="95">J119*0.7</f>
        <v>0.81269999999999998</v>
      </c>
      <c r="S119" s="5">
        <v>20</v>
      </c>
      <c r="U119" s="125">
        <f>((JRC_Data!BB18+JRC_Data!BB9*0.8)/1000)*($T$150/$T$148)</f>
        <v>16.19959183673469</v>
      </c>
      <c r="V119" s="125">
        <f>((JRC_Data!BC18+JRC_Data!BC9*0.8)/1000)*($T$150/$T$148)</f>
        <v>15.058775510204079</v>
      </c>
      <c r="W119" s="125">
        <f>((JRC_Data!BD18+JRC_Data!BD9*0.8)/1000)*($T$150/$T$148)</f>
        <v>15.058775510204079</v>
      </c>
      <c r="X119" s="125">
        <f>((JRC_Data!BE18+JRC_Data!BE9*0.8)/1000)*($T$150/$T$148)</f>
        <v>13.917959183673467</v>
      </c>
      <c r="Y119" s="456">
        <f>(JRC_Data!BL9+JRC_Data!BL18)*0.8/1000</f>
        <v>0.308</v>
      </c>
      <c r="Z119" s="129"/>
      <c r="AA119" s="130"/>
      <c r="AB119" s="130"/>
      <c r="AC119" s="130">
        <v>0.3</v>
      </c>
      <c r="AD119" s="129">
        <v>5</v>
      </c>
      <c r="AE119" s="128">
        <v>1</v>
      </c>
      <c r="AF119" s="129"/>
      <c r="AG119" s="129">
        <v>2020</v>
      </c>
      <c r="AI119" s="4"/>
      <c r="AJ119" s="151" t="str">
        <f t="shared" si="91"/>
        <v>R-WH_Det_SOL_N1</v>
      </c>
      <c r="AK119" s="151" t="str">
        <f t="shared" si="92"/>
        <v xml:space="preserve">Residential Solar Water Heater </v>
      </c>
      <c r="AL119" s="152" t="s">
        <v>16</v>
      </c>
      <c r="AM119" s="152" t="s">
        <v>434</v>
      </c>
      <c r="AN119" s="152"/>
      <c r="AO119" s="152" t="s">
        <v>309</v>
      </c>
    </row>
    <row r="120" spans="3:41" ht="15" x14ac:dyDescent="0.25">
      <c r="C120" s="79" t="s">
        <v>354</v>
      </c>
      <c r="D120" s="79"/>
      <c r="E120" s="80"/>
      <c r="F120" s="80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0"/>
      <c r="T120" s="80"/>
      <c r="U120" s="79"/>
      <c r="V120" s="79"/>
      <c r="W120" s="79"/>
      <c r="X120" s="79"/>
      <c r="Y120" s="79"/>
      <c r="Z120" s="80"/>
      <c r="AA120" s="82"/>
      <c r="AB120" s="82"/>
      <c r="AC120" s="82"/>
      <c r="AD120" s="82"/>
      <c r="AE120" s="79"/>
      <c r="AF120" s="80"/>
      <c r="AG120" s="80"/>
      <c r="AI120" s="4"/>
      <c r="AJ120" s="151" t="str">
        <f>C127</f>
        <v>R-SC_Det_ELC_N1</v>
      </c>
      <c r="AK120" s="151" t="str">
        <f>D127</f>
        <v>Residential Electric Air Conditioning</v>
      </c>
      <c r="AL120" s="150" t="s">
        <v>16</v>
      </c>
      <c r="AM120" s="150" t="s">
        <v>434</v>
      </c>
      <c r="AN120" s="150"/>
      <c r="AO120" s="150" t="s">
        <v>309</v>
      </c>
    </row>
    <row r="121" spans="3:41" x14ac:dyDescent="0.2">
      <c r="C121" s="65" t="str">
        <f>"R-SW_Det"&amp;"_"&amp;RIGHT(E121,3)&amp;"_N1"</f>
        <v>R-SW_Det_HET_N1</v>
      </c>
      <c r="D121" s="66" t="s">
        <v>355</v>
      </c>
      <c r="E121" s="135" t="s">
        <v>714</v>
      </c>
      <c r="F121" s="135" t="s">
        <v>719</v>
      </c>
      <c r="G121" s="65">
        <v>1</v>
      </c>
      <c r="H121" s="66">
        <v>1</v>
      </c>
      <c r="I121" s="66">
        <v>1</v>
      </c>
      <c r="J121" s="102">
        <v>1</v>
      </c>
      <c r="K121" s="92"/>
      <c r="L121" s="93"/>
      <c r="M121" s="93"/>
      <c r="N121" s="94"/>
      <c r="O121" s="323">
        <v>1</v>
      </c>
      <c r="P121" s="324">
        <v>1</v>
      </c>
      <c r="Q121" s="324">
        <v>1</v>
      </c>
      <c r="R121" s="325">
        <v>1</v>
      </c>
      <c r="S121" s="98">
        <v>20</v>
      </c>
      <c r="T121" s="94"/>
      <c r="U121" s="65">
        <f>(JRC_Data!BB62/1000)*($T$150/$T$144)</f>
        <v>3.1055555555555552</v>
      </c>
      <c r="V121" s="65">
        <f>(JRC_Data!BC62/1000)*($T$150/$T$144)</f>
        <v>3.1055555555555552</v>
      </c>
      <c r="W121" s="65">
        <f>(JRC_Data!BD62/1000)*($T$150/$T$144)</f>
        <v>3.1055555555555552</v>
      </c>
      <c r="X121" s="65">
        <f>(JRC_Data!BE62/1000)*($T$150/$T$144)</f>
        <v>3.1055555555555552</v>
      </c>
      <c r="Y121" s="131">
        <f>JRC_Data!BL62/1000</f>
        <v>0.15</v>
      </c>
      <c r="Z121" s="131"/>
      <c r="AA121" s="131"/>
      <c r="AB121" s="131"/>
      <c r="AC121" s="131"/>
      <c r="AD121" s="131"/>
      <c r="AE121" s="131">
        <v>1</v>
      </c>
      <c r="AF121" s="134"/>
      <c r="AG121" s="134">
        <v>2020</v>
      </c>
    </row>
    <row r="122" spans="3:41" x14ac:dyDescent="0.2">
      <c r="C122" s="329" t="str">
        <f>"R-SW_Det"&amp;"_"&amp;RIGHT(E122,3)&amp;"_N2"</f>
        <v>R-SW_Det_HET_N2</v>
      </c>
      <c r="D122" s="72" t="s">
        <v>356</v>
      </c>
      <c r="E122" s="73" t="s">
        <v>714</v>
      </c>
      <c r="F122" s="73" t="s">
        <v>719</v>
      </c>
      <c r="G122" s="329">
        <v>1</v>
      </c>
      <c r="H122" s="72">
        <v>1</v>
      </c>
      <c r="I122" s="72">
        <v>1</v>
      </c>
      <c r="J122" s="105">
        <v>1</v>
      </c>
      <c r="K122" s="95"/>
      <c r="L122" s="96"/>
      <c r="M122" s="96"/>
      <c r="N122" s="97"/>
      <c r="O122" s="330">
        <v>1</v>
      </c>
      <c r="P122" s="331">
        <v>1</v>
      </c>
      <c r="Q122" s="331">
        <v>1</v>
      </c>
      <c r="R122" s="332">
        <v>1</v>
      </c>
      <c r="S122" s="101">
        <v>20</v>
      </c>
      <c r="T122" s="97"/>
      <c r="U122" s="329">
        <v>2.7222222222222219</v>
      </c>
      <c r="V122" s="329">
        <v>2.7222222222222219</v>
      </c>
      <c r="W122" s="329">
        <v>2.7222222222222219</v>
      </c>
      <c r="X122" s="329">
        <v>2.7222222222222219</v>
      </c>
      <c r="Y122" s="110">
        <f>JRC_Data!BL62/1000</f>
        <v>0.15</v>
      </c>
      <c r="Z122" s="110"/>
      <c r="AA122" s="110"/>
      <c r="AB122" s="110"/>
      <c r="AC122" s="110"/>
      <c r="AD122" s="110"/>
      <c r="AE122" s="110">
        <v>1</v>
      </c>
      <c r="AF122" s="113"/>
      <c r="AG122" s="113">
        <v>2020</v>
      </c>
    </row>
    <row r="123" spans="3:41" x14ac:dyDescent="0.2">
      <c r="C123" s="79" t="s">
        <v>357</v>
      </c>
      <c r="D123" s="79"/>
      <c r="E123" s="80"/>
      <c r="F123" s="80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0"/>
      <c r="T123" s="80"/>
      <c r="U123" s="79"/>
      <c r="V123" s="79"/>
      <c r="W123" s="79"/>
      <c r="X123" s="79"/>
      <c r="Y123" s="79"/>
      <c r="Z123" s="80"/>
      <c r="AA123" s="82"/>
      <c r="AB123" s="82"/>
      <c r="AC123" s="82"/>
      <c r="AD123" s="82"/>
      <c r="AE123" s="79"/>
      <c r="AF123" s="80"/>
      <c r="AG123" s="80"/>
    </row>
    <row r="124" spans="3:41" x14ac:dyDescent="0.2">
      <c r="C124" s="65" t="str">
        <f>"R-WH_Det"&amp;"_"&amp;RIGHT(E124,3)&amp;"_N1"</f>
        <v>R-WH_Det_ELC_N1</v>
      </c>
      <c r="D124" s="66" t="s">
        <v>358</v>
      </c>
      <c r="E124" s="135" t="s">
        <v>406</v>
      </c>
      <c r="F124" s="102" t="s">
        <v>403</v>
      </c>
      <c r="G124" s="92"/>
      <c r="H124" s="93"/>
      <c r="I124" s="93"/>
      <c r="J124" s="94"/>
      <c r="K124" s="92"/>
      <c r="L124" s="93"/>
      <c r="M124" s="93"/>
      <c r="N124" s="94"/>
      <c r="O124" s="323">
        <v>1</v>
      </c>
      <c r="P124" s="324">
        <v>1</v>
      </c>
      <c r="Q124" s="324">
        <v>1</v>
      </c>
      <c r="R124" s="325">
        <v>1</v>
      </c>
      <c r="S124" s="98">
        <v>20</v>
      </c>
      <c r="T124" s="94"/>
      <c r="U124" s="65">
        <f>(JRC_Data!BB48/1000)*($T$143/$T$142)</f>
        <v>4.3022222222222215</v>
      </c>
      <c r="V124" s="65">
        <f>(JRC_Data!BC48/1000)*($T$143/$T$142)</f>
        <v>4.3022222222222215</v>
      </c>
      <c r="W124" s="65">
        <f>(JRC_Data!BD48/1000)*($T$143/$T$142)</f>
        <v>4.3022222222222215</v>
      </c>
      <c r="X124" s="65">
        <f>(JRC_Data!BE48/1000)*($T$143/$T$142)</f>
        <v>4.3022222222222215</v>
      </c>
      <c r="Y124" s="131">
        <f>JRC_Data!BL48/1000</f>
        <v>0.05</v>
      </c>
      <c r="Z124" s="131"/>
      <c r="AA124" s="131"/>
      <c r="AB124" s="131"/>
      <c r="AC124" s="131"/>
      <c r="AD124" s="131"/>
      <c r="AE124" s="131">
        <v>1</v>
      </c>
      <c r="AF124" s="134"/>
      <c r="AG124" s="134">
        <v>2020</v>
      </c>
    </row>
    <row r="125" spans="3:41" x14ac:dyDescent="0.2">
      <c r="C125" s="329" t="str">
        <f>"R-WH_Det"&amp;"_"&amp;RIGHT(E125,3)&amp;"_N1"</f>
        <v>R-WH_Det_SOL_N1</v>
      </c>
      <c r="D125" s="72" t="s">
        <v>359</v>
      </c>
      <c r="E125" s="73" t="s">
        <v>732</v>
      </c>
      <c r="F125" s="105" t="s">
        <v>403</v>
      </c>
      <c r="G125" s="95"/>
      <c r="H125" s="96"/>
      <c r="I125" s="96"/>
      <c r="J125" s="97"/>
      <c r="K125" s="95"/>
      <c r="L125" s="96"/>
      <c r="M125" s="96"/>
      <c r="N125" s="97"/>
      <c r="O125" s="320">
        <v>1</v>
      </c>
      <c r="P125" s="321">
        <v>1</v>
      </c>
      <c r="Q125" s="321">
        <v>1</v>
      </c>
      <c r="R125" s="322">
        <v>1</v>
      </c>
      <c r="S125" s="99">
        <v>25</v>
      </c>
      <c r="T125" s="68">
        <v>30</v>
      </c>
      <c r="U125" s="68">
        <f>(JRC_Data!BB45/1000)*($T$143/$T$142)</f>
        <v>5.8079999999999998</v>
      </c>
      <c r="V125" s="68">
        <f>(JRC_Data!BC45/1000)*($T$143/$T$142)</f>
        <v>5.4853333333333323</v>
      </c>
      <c r="W125" s="68">
        <f>(JRC_Data!BD45/1000)*($T$143/$T$142)</f>
        <v>4.9475555555555539</v>
      </c>
      <c r="X125" s="68">
        <f>(JRC_Data!BE45/1000)*($T$143/$T$142)</f>
        <v>3.9795555555555553</v>
      </c>
      <c r="Y125" s="109">
        <f>JRC_Data!BL45/1000</f>
        <v>6.2E-2</v>
      </c>
      <c r="Z125" s="109"/>
      <c r="AA125" s="109"/>
      <c r="AB125" s="109"/>
      <c r="AC125" s="109"/>
      <c r="AD125" s="109"/>
      <c r="AE125" s="109">
        <v>1</v>
      </c>
      <c r="AF125" s="113"/>
      <c r="AG125" s="112">
        <v>2020</v>
      </c>
    </row>
    <row r="126" spans="3:41" x14ac:dyDescent="0.2">
      <c r="C126" s="79" t="s">
        <v>742</v>
      </c>
      <c r="D126" s="79"/>
      <c r="E126" s="80"/>
      <c r="F126" s="80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0"/>
      <c r="T126" s="80"/>
      <c r="U126" s="79"/>
      <c r="V126" s="79"/>
      <c r="W126" s="79"/>
      <c r="X126" s="79"/>
      <c r="Y126" s="79"/>
      <c r="Z126" s="80"/>
      <c r="AA126" s="82"/>
      <c r="AB126" s="82"/>
      <c r="AC126" s="82"/>
      <c r="AD126" s="82"/>
      <c r="AE126" s="79"/>
      <c r="AF126" s="80"/>
      <c r="AG126" s="80"/>
    </row>
    <row r="127" spans="3:41" x14ac:dyDescent="0.2">
      <c r="C127" s="75" t="str">
        <f>"R-SC_Det"&amp;"_"&amp;RIGHT(E127,3)&amp;"_N1"</f>
        <v>R-SC_Det_ELC_N1</v>
      </c>
      <c r="D127" s="143" t="s">
        <v>360</v>
      </c>
      <c r="E127" s="163" t="s">
        <v>406</v>
      </c>
      <c r="F127" s="164" t="s">
        <v>402</v>
      </c>
      <c r="G127" s="161"/>
      <c r="H127" s="162"/>
      <c r="I127" s="162"/>
      <c r="J127" s="162"/>
      <c r="K127" s="335">
        <v>1</v>
      </c>
      <c r="L127" s="336">
        <v>1.0666666666666667</v>
      </c>
      <c r="M127" s="336">
        <v>1.2333333333333334</v>
      </c>
      <c r="N127" s="336">
        <v>1.3333333333333333</v>
      </c>
      <c r="O127" s="162"/>
      <c r="P127" s="162"/>
      <c r="Q127" s="162"/>
      <c r="R127" s="146"/>
      <c r="S127" s="145">
        <v>20</v>
      </c>
      <c r="T127" s="146"/>
      <c r="U127" s="142">
        <f>(JRC_Data!BB16/1000)*($T$144/$T$148)</f>
        <v>2.0204081632653064</v>
      </c>
      <c r="V127" s="142">
        <f>(JRC_Data!BC16/1000)*($T$144/$T$148)</f>
        <v>1.9285714285714286</v>
      </c>
      <c r="W127" s="142">
        <f>(JRC_Data!BD16/1000)*($T$144/$T$148)</f>
        <v>1.7448979591836735</v>
      </c>
      <c r="X127" s="142">
        <f>(JRC_Data!BE16/1000)*($T$144/$T$148)</f>
        <v>1.653061224489796</v>
      </c>
      <c r="Y127" s="139">
        <f>JRC_Data!BL16/1000</f>
        <v>3.4000000000000002E-2</v>
      </c>
      <c r="Z127" s="139"/>
      <c r="AA127" s="139"/>
      <c r="AB127" s="139"/>
      <c r="AC127" s="139"/>
      <c r="AD127" s="139"/>
      <c r="AE127" s="139">
        <v>1</v>
      </c>
      <c r="AF127" s="138"/>
      <c r="AG127" s="138">
        <v>2020</v>
      </c>
    </row>
    <row r="129" spans="1:25" ht="15" x14ac:dyDescent="0.25">
      <c r="C129" s="8"/>
      <c r="H129" s="52"/>
      <c r="I129" s="52"/>
      <c r="J129" s="52"/>
      <c r="K129" s="52"/>
      <c r="L129" s="1"/>
      <c r="M129" s="1"/>
      <c r="N129" s="55"/>
      <c r="O129" s="54"/>
      <c r="P129" s="55"/>
      <c r="Q129" s="55"/>
      <c r="R129" s="53"/>
      <c r="S129" s="55"/>
      <c r="T129" s="55"/>
      <c r="U129" s="53"/>
      <c r="V129" s="53"/>
      <c r="Y129" s="52"/>
    </row>
    <row r="130" spans="1:25" ht="15" x14ac:dyDescent="0.25">
      <c r="H130" s="52"/>
      <c r="I130" s="52"/>
      <c r="J130" s="52"/>
      <c r="K130" s="52"/>
      <c r="L130" s="1"/>
      <c r="M130" s="1"/>
      <c r="N130" s="55"/>
      <c r="O130" s="54"/>
      <c r="P130" s="55"/>
      <c r="Q130" s="55"/>
      <c r="R130" s="53"/>
      <c r="S130" s="55"/>
      <c r="T130" s="55"/>
      <c r="U130" s="53"/>
      <c r="V130" s="53"/>
      <c r="Y130" s="52"/>
    </row>
    <row r="132" spans="1:25" ht="30" customHeight="1" x14ac:dyDescent="0.2">
      <c r="I132" s="57"/>
    </row>
    <row r="135" spans="1:25" x14ac:dyDescent="0.2">
      <c r="I135" s="57"/>
    </row>
    <row r="138" spans="1:25" x14ac:dyDescent="0.2">
      <c r="I138" s="57"/>
    </row>
    <row r="139" spans="1:25" x14ac:dyDescent="0.2">
      <c r="I139" s="57"/>
      <c r="S139" s="5" t="s">
        <v>985</v>
      </c>
    </row>
    <row r="140" spans="1:25" x14ac:dyDescent="0.2">
      <c r="I140" s="57"/>
      <c r="S140" s="5" t="s">
        <v>627</v>
      </c>
      <c r="T140" s="5" t="s">
        <v>987</v>
      </c>
      <c r="U140" s="5" t="s">
        <v>982</v>
      </c>
    </row>
    <row r="141" spans="1:25" x14ac:dyDescent="0.2">
      <c r="I141" s="57"/>
      <c r="S141" s="461">
        <v>3</v>
      </c>
      <c r="T141" s="462">
        <f t="shared" ref="T141:T150" si="96">U141/$U$149</f>
        <v>0.72929037751472525</v>
      </c>
      <c r="U141" s="463">
        <f>(U142/U146)*U143</f>
        <v>1888.8620777631384</v>
      </c>
    </row>
    <row r="142" spans="1:25" x14ac:dyDescent="0.2">
      <c r="I142" s="57"/>
      <c r="S142" s="461">
        <v>5</v>
      </c>
      <c r="T142" s="462">
        <f t="shared" si="96"/>
        <v>0.79101166159768732</v>
      </c>
      <c r="U142" s="463">
        <f>(U143/U147)*U144</f>
        <v>2048.7202035380101</v>
      </c>
    </row>
    <row r="143" spans="1:25" x14ac:dyDescent="0.2">
      <c r="S143" s="461">
        <v>8</v>
      </c>
      <c r="T143" s="462">
        <f t="shared" si="96"/>
        <v>0.85077698714062355</v>
      </c>
      <c r="U143" s="463">
        <f>(U144/U147)*U145</f>
        <v>2203.5123966942151</v>
      </c>
    </row>
    <row r="144" spans="1:25" x14ac:dyDescent="0.2">
      <c r="A144" s="4"/>
      <c r="S144" s="461">
        <v>10</v>
      </c>
      <c r="T144" s="462">
        <f t="shared" si="96"/>
        <v>0.86872586872586877</v>
      </c>
      <c r="U144" s="461">
        <f>U147-(U149-U147)</f>
        <v>2250</v>
      </c>
    </row>
    <row r="145" spans="1:21" x14ac:dyDescent="0.2">
      <c r="A145" s="4"/>
      <c r="L145" s="80" t="s">
        <v>970</v>
      </c>
      <c r="M145" s="80"/>
      <c r="N145" s="80"/>
      <c r="O145" s="80"/>
      <c r="P145" s="80"/>
      <c r="S145" s="5">
        <v>15</v>
      </c>
      <c r="T145" s="452">
        <f t="shared" si="96"/>
        <v>0.91505791505791501</v>
      </c>
      <c r="U145" s="5">
        <v>2370</v>
      </c>
    </row>
    <row r="146" spans="1:21" x14ac:dyDescent="0.2">
      <c r="L146" s="5" t="s">
        <v>978</v>
      </c>
      <c r="M146" s="5" t="s">
        <v>979</v>
      </c>
      <c r="N146" s="8" t="s">
        <v>976</v>
      </c>
      <c r="O146" s="451" t="s">
        <v>980</v>
      </c>
      <c r="P146" s="8" t="s">
        <v>975</v>
      </c>
      <c r="S146" s="5">
        <v>18</v>
      </c>
      <c r="T146" s="452">
        <f t="shared" si="96"/>
        <v>0.92277992277992282</v>
      </c>
      <c r="U146" s="5">
        <v>2390</v>
      </c>
    </row>
    <row r="147" spans="1:21" x14ac:dyDescent="0.2">
      <c r="L147" s="8">
        <v>111</v>
      </c>
      <c r="M147" s="8" t="s">
        <v>687</v>
      </c>
      <c r="N147" s="8">
        <v>24</v>
      </c>
      <c r="O147" s="8">
        <f>N147/L147</f>
        <v>0.21621621621621623</v>
      </c>
      <c r="P147" s="8">
        <f>N147*1.25</f>
        <v>30</v>
      </c>
      <c r="S147" s="461">
        <v>20</v>
      </c>
      <c r="T147" s="462">
        <f t="shared" si="96"/>
        <v>0.93436293436293438</v>
      </c>
      <c r="U147" s="461">
        <f>AVERAGE(U146,U148)</f>
        <v>2420</v>
      </c>
    </row>
    <row r="148" spans="1:21" x14ac:dyDescent="0.2">
      <c r="L148" s="8">
        <v>70</v>
      </c>
      <c r="M148" s="8" t="s">
        <v>971</v>
      </c>
      <c r="N148" s="8">
        <v>15</v>
      </c>
      <c r="O148" s="8">
        <f>N148/L148</f>
        <v>0.21428571428571427</v>
      </c>
      <c r="P148" s="8">
        <f>N148*1.25</f>
        <v>18.75</v>
      </c>
      <c r="S148" s="5">
        <v>24</v>
      </c>
      <c r="T148" s="452">
        <f t="shared" si="96"/>
        <v>0.94594594594594594</v>
      </c>
      <c r="U148" s="5">
        <v>2450</v>
      </c>
    </row>
    <row r="149" spans="1:21" x14ac:dyDescent="0.2">
      <c r="L149" s="8">
        <v>99</v>
      </c>
      <c r="M149" s="8" t="s">
        <v>972</v>
      </c>
      <c r="N149" s="8">
        <v>20</v>
      </c>
      <c r="O149" s="8">
        <f>N149/L149</f>
        <v>0.20202020202020202</v>
      </c>
      <c r="P149" s="8">
        <f>N149*1.25</f>
        <v>25</v>
      </c>
      <c r="S149" s="5">
        <v>30</v>
      </c>
      <c r="T149" s="452">
        <f t="shared" si="96"/>
        <v>1</v>
      </c>
      <c r="U149" s="5">
        <v>2590</v>
      </c>
    </row>
    <row r="150" spans="1:21" x14ac:dyDescent="0.2">
      <c r="L150" s="8">
        <v>150</v>
      </c>
      <c r="M150" s="8" t="s">
        <v>973</v>
      </c>
      <c r="N150" s="8">
        <v>30</v>
      </c>
      <c r="O150" s="8">
        <f>N150/L150</f>
        <v>0.2</v>
      </c>
      <c r="P150" s="8">
        <f>N150*1.25</f>
        <v>37.5</v>
      </c>
      <c r="S150" s="5">
        <v>35</v>
      </c>
      <c r="T150" s="452">
        <f t="shared" si="96"/>
        <v>1.0791505791505791</v>
      </c>
      <c r="U150" s="5">
        <v>2795</v>
      </c>
    </row>
    <row r="151" spans="1:21" x14ac:dyDescent="0.2">
      <c r="L151" s="8"/>
      <c r="M151" s="8"/>
      <c r="N151" s="8"/>
      <c r="O151" s="8"/>
      <c r="P151" s="8"/>
    </row>
    <row r="152" spans="1:21" x14ac:dyDescent="0.2">
      <c r="L152" s="8" t="s">
        <v>974</v>
      </c>
      <c r="M152" s="8"/>
      <c r="N152" s="8"/>
      <c r="O152" s="8"/>
      <c r="P152" s="8"/>
    </row>
    <row r="153" spans="1:21" x14ac:dyDescent="0.2">
      <c r="L153" s="8" t="s">
        <v>977</v>
      </c>
      <c r="M153" s="8"/>
      <c r="N153" s="8"/>
      <c r="O153" s="8"/>
      <c r="P153" s="8"/>
    </row>
    <row r="154" spans="1:21" x14ac:dyDescent="0.2">
      <c r="L154" s="281" t="s">
        <v>983</v>
      </c>
    </row>
    <row r="155" spans="1:21" x14ac:dyDescent="0.2">
      <c r="L155" s="5" t="s">
        <v>984</v>
      </c>
    </row>
    <row r="162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42:J42"/>
    <mergeCell ref="K42:N42"/>
    <mergeCell ref="O42:R42"/>
    <mergeCell ref="S42:T42"/>
    <mergeCell ref="U42:X42"/>
    <mergeCell ref="G44:J44"/>
    <mergeCell ref="K44:N44"/>
    <mergeCell ref="O44:R44"/>
    <mergeCell ref="S44:T44"/>
    <mergeCell ref="U44:X44"/>
    <mergeCell ref="G88:J88"/>
    <mergeCell ref="K88:N88"/>
    <mergeCell ref="O88:R88"/>
    <mergeCell ref="S88:T88"/>
    <mergeCell ref="U88:X88"/>
    <mergeCell ref="G90:J90"/>
    <mergeCell ref="K90:N90"/>
    <mergeCell ref="O90:R90"/>
    <mergeCell ref="S90:T90"/>
    <mergeCell ref="U90:X90"/>
  </mergeCells>
  <phoneticPr fontId="6" type="noConversion"/>
  <hyperlinks>
    <hyperlink ref="L154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43"/>
  <sheetViews>
    <sheetView workbookViewId="0">
      <selection activeCell="D29" sqref="D2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</row>
    <row r="3" spans="3:23" x14ac:dyDescent="0.2">
      <c r="C3" s="470"/>
      <c r="D3" s="470"/>
      <c r="E3" s="470"/>
      <c r="F3" s="51" t="s">
        <v>26</v>
      </c>
      <c r="G3" s="470"/>
      <c r="H3" s="470"/>
      <c r="I3" s="470"/>
      <c r="J3" s="470"/>
      <c r="K3" s="470"/>
      <c r="L3" s="470"/>
      <c r="M3" s="470"/>
      <c r="N3" s="470"/>
    </row>
    <row r="4" spans="3:23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1028</v>
      </c>
      <c r="L4" s="63" t="s">
        <v>662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733</v>
      </c>
      <c r="R4" s="63" t="s">
        <v>313</v>
      </c>
      <c r="S4" s="63" t="s">
        <v>314</v>
      </c>
    </row>
    <row r="5" spans="3:23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22" t="s">
        <v>322</v>
      </c>
      <c r="M5" s="523"/>
      <c r="N5" s="523"/>
      <c r="O5" s="524"/>
      <c r="P5" s="106"/>
      <c r="Q5" s="106" t="s">
        <v>323</v>
      </c>
      <c r="R5" s="106" t="s">
        <v>116</v>
      </c>
      <c r="S5" s="106"/>
      <c r="U5" s="106" t="s">
        <v>626</v>
      </c>
      <c r="V5" s="106"/>
      <c r="W5" s="106" t="s">
        <v>629</v>
      </c>
    </row>
    <row r="6" spans="3:23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16" t="s">
        <v>969</v>
      </c>
      <c r="M6" s="518"/>
      <c r="N6" s="518"/>
      <c r="O6" s="517"/>
      <c r="P6" s="458" t="s">
        <v>981</v>
      </c>
      <c r="Q6" s="107" t="s">
        <v>45</v>
      </c>
      <c r="R6" s="116" t="s">
        <v>757</v>
      </c>
      <c r="S6" s="107" t="s">
        <v>330</v>
      </c>
      <c r="U6" s="107" t="s">
        <v>627</v>
      </c>
      <c r="V6" s="116" t="s">
        <v>630</v>
      </c>
      <c r="W6" s="107" t="s">
        <v>628</v>
      </c>
    </row>
    <row r="7" spans="3:23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41">
        <f>L35/$V7/1000</f>
        <v>0.432</v>
      </c>
      <c r="M7" s="341">
        <f>M35/$V7/1000</f>
        <v>0.432</v>
      </c>
      <c r="N7" s="341">
        <f>N35/$V7/1000</f>
        <v>0.432</v>
      </c>
      <c r="O7" s="341">
        <f>O35/$V7/1000</f>
        <v>0.432</v>
      </c>
      <c r="P7" s="207"/>
      <c r="Q7" s="207"/>
      <c r="R7" s="347">
        <v>1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</row>
    <row r="8" spans="3:23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2">
        <f>$W$8/1000</f>
        <v>0.86975000000000002</v>
      </c>
      <c r="M8" s="342">
        <f>$W$8/1000</f>
        <v>0.86975000000000002</v>
      </c>
      <c r="N8" s="342">
        <f>$W$8/1000</f>
        <v>0.86975000000000002</v>
      </c>
      <c r="O8" s="342">
        <f>$W$8/1000</f>
        <v>0.86975000000000002</v>
      </c>
      <c r="P8" s="208"/>
      <c r="Q8" s="208"/>
      <c r="R8" s="348">
        <v>1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3" x14ac:dyDescent="0.2">
      <c r="C9" s="200" t="str">
        <f t="shared" ref="C9:D15" si="0">D22</f>
        <v>R-RSDCK_GAS_N1</v>
      </c>
      <c r="D9" s="192" t="str">
        <f t="shared" ref="D9:D10" si="1">LEFT($E$21,20)&amp;"_"&amp;RIGHT(E9,3)&amp;" - New"</f>
        <v>Residential Cooking _GAS - New</v>
      </c>
      <c r="E9" s="192" t="s">
        <v>727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3">
        <f>L37/$V9/1000</f>
        <v>0.61250000000000004</v>
      </c>
      <c r="M9" s="343">
        <f>M37/$V9/1000</f>
        <v>0.61250000000000004</v>
      </c>
      <c r="N9" s="343">
        <f>N37/$V9/1000</f>
        <v>0.61250000000000004</v>
      </c>
      <c r="O9" s="343">
        <f>O37/$V9/1000</f>
        <v>0.61250000000000004</v>
      </c>
      <c r="P9" s="209"/>
      <c r="Q9" s="209"/>
      <c r="R9" s="349">
        <v>1</v>
      </c>
      <c r="S9" s="209">
        <v>2020</v>
      </c>
      <c r="U9" s="282">
        <v>3.5</v>
      </c>
      <c r="V9" s="282">
        <f t="shared" ref="V9:V13" si="2">1/U9</f>
        <v>0.2857142857142857</v>
      </c>
      <c r="W9" s="282">
        <f>L37/V9</f>
        <v>612.5</v>
      </c>
    </row>
    <row r="10" spans="3:23" x14ac:dyDescent="0.2">
      <c r="C10" s="200" t="str">
        <f t="shared" si="0"/>
        <v>R-RSDCK_LPG_N1</v>
      </c>
      <c r="D10" s="191" t="str">
        <f t="shared" si="1"/>
        <v>Residential Cooking _LPG - New</v>
      </c>
      <c r="E10" s="191" t="s">
        <v>723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2">
        <f>L38/$V10/1000</f>
        <v>0.61250000000000004</v>
      </c>
      <c r="M10" s="342">
        <f>M38/$V10/1000</f>
        <v>0.61250000000000004</v>
      </c>
      <c r="N10" s="342">
        <f>N38/$V10/1000</f>
        <v>0.61250000000000004</v>
      </c>
      <c r="O10" s="342">
        <f>O38/$V10/1000</f>
        <v>0.61250000000000004</v>
      </c>
      <c r="P10" s="208"/>
      <c r="Q10" s="208"/>
      <c r="R10" s="348">
        <v>1</v>
      </c>
      <c r="S10" s="208">
        <v>2020</v>
      </c>
      <c r="U10" s="282">
        <v>3.5</v>
      </c>
      <c r="V10" s="282">
        <f t="shared" si="2"/>
        <v>0.2857142857142857</v>
      </c>
      <c r="W10" s="282">
        <f>L38/V10</f>
        <v>612.5</v>
      </c>
    </row>
    <row r="11" spans="3:23" x14ac:dyDescent="0.2">
      <c r="C11" s="202" t="str">
        <f t="shared" si="0"/>
        <v>R-RSDCW_N1</v>
      </c>
      <c r="D11" s="192" t="str">
        <f t="shared" si="0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3">
        <f>L39/$V11/1000</f>
        <v>0.55220000000000002</v>
      </c>
      <c r="M11" s="343">
        <f>M39/$V11/1000</f>
        <v>0.55220000000000002</v>
      </c>
      <c r="N11" s="343">
        <f>N39/$V11/1000</f>
        <v>0.55220000000000002</v>
      </c>
      <c r="O11" s="343">
        <f>O39/$V11/1000</f>
        <v>0.55220000000000002</v>
      </c>
      <c r="P11" s="209"/>
      <c r="Q11" s="209"/>
      <c r="R11" s="349">
        <v>1</v>
      </c>
      <c r="S11" s="209">
        <v>2020</v>
      </c>
      <c r="U11" s="282">
        <v>2.2000000000000002</v>
      </c>
      <c r="V11" s="282">
        <f t="shared" si="2"/>
        <v>0.45454545454545453</v>
      </c>
      <c r="W11" s="282">
        <f>L39/V11</f>
        <v>552.20000000000005</v>
      </c>
    </row>
    <row r="12" spans="3:23" x14ac:dyDescent="0.2">
      <c r="C12" s="200" t="str">
        <f t="shared" si="0"/>
        <v>R-RSDCD_N1</v>
      </c>
      <c r="D12" s="191" t="str">
        <f t="shared" si="0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2">
        <f>L40/$V12/1000</f>
        <v>0.53500000000000003</v>
      </c>
      <c r="M12" s="342">
        <f>M40/$V12/1000</f>
        <v>0.53500000000000003</v>
      </c>
      <c r="N12" s="342">
        <f>N40/$V12/1000</f>
        <v>0.53500000000000003</v>
      </c>
      <c r="O12" s="342">
        <f>O40/$V12/1000</f>
        <v>0.53500000000000003</v>
      </c>
      <c r="P12" s="208"/>
      <c r="Q12" s="208"/>
      <c r="R12" s="348">
        <v>1</v>
      </c>
      <c r="S12" s="208">
        <v>2020</v>
      </c>
      <c r="U12" s="282">
        <v>2.5</v>
      </c>
      <c r="V12" s="282">
        <f t="shared" si="2"/>
        <v>0.4</v>
      </c>
      <c r="W12" s="282">
        <f>L40/V12</f>
        <v>535</v>
      </c>
    </row>
    <row r="13" spans="3:23" x14ac:dyDescent="0.2">
      <c r="C13" s="202" t="str">
        <f t="shared" si="0"/>
        <v>R-RSDDW_N1</v>
      </c>
      <c r="D13" s="192" t="str">
        <f t="shared" si="0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3">
        <f>L41/$V13/1000</f>
        <v>0.42019999999999996</v>
      </c>
      <c r="M13" s="343">
        <f>M41/$V13/1000</f>
        <v>0.42019999999999996</v>
      </c>
      <c r="N13" s="343">
        <f>N41/$V13/1000</f>
        <v>0.42019999999999996</v>
      </c>
      <c r="O13" s="343">
        <f>O41/$V13/1000</f>
        <v>0.42019999999999996</v>
      </c>
      <c r="P13" s="209"/>
      <c r="Q13" s="209"/>
      <c r="R13" s="349">
        <v>1</v>
      </c>
      <c r="S13" s="209">
        <v>2020</v>
      </c>
      <c r="U13" s="282">
        <v>2.2000000000000002</v>
      </c>
      <c r="V13" s="282">
        <f t="shared" si="2"/>
        <v>0.45454545454545453</v>
      </c>
      <c r="W13" s="282">
        <f>L41/V13</f>
        <v>420.2</v>
      </c>
    </row>
    <row r="14" spans="3:23" x14ac:dyDescent="0.2">
      <c r="C14" s="200" t="str">
        <f t="shared" si="0"/>
        <v>R-RSDOE_N1</v>
      </c>
      <c r="D14" s="191" t="str">
        <f t="shared" si="0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51">
        <f>L42/$V7/1000</f>
        <v>0.9</v>
      </c>
      <c r="M14" s="351">
        <f>M42/$V7/1000</f>
        <v>0.9</v>
      </c>
      <c r="N14" s="351">
        <f>N42/$V7/1000</f>
        <v>0.9</v>
      </c>
      <c r="O14" s="351">
        <f>O42/$V7/1000</f>
        <v>0.9</v>
      </c>
      <c r="P14" s="208"/>
      <c r="Q14" s="208"/>
      <c r="R14" s="348">
        <v>1</v>
      </c>
      <c r="S14" s="208">
        <v>2020</v>
      </c>
    </row>
    <row r="15" spans="3:23" x14ac:dyDescent="0.2">
      <c r="C15" s="202" t="str">
        <f t="shared" si="0"/>
        <v>R-RSDOA_N1</v>
      </c>
      <c r="D15" s="192" t="str">
        <f t="shared" si="0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52">
        <f>L43/$V7/1000</f>
        <v>0.9</v>
      </c>
      <c r="M15" s="352">
        <f>M43/$V7/1000</f>
        <v>0.9</v>
      </c>
      <c r="N15" s="352">
        <f>N43/$V7/1000</f>
        <v>0.9</v>
      </c>
      <c r="O15" s="352">
        <f>O43/$V7/1000</f>
        <v>0.9</v>
      </c>
      <c r="P15" s="210"/>
      <c r="Q15" s="210"/>
      <c r="R15" s="350">
        <v>1</v>
      </c>
      <c r="S15" s="210">
        <v>2020</v>
      </c>
      <c r="U15" s="189" t="s">
        <v>623</v>
      </c>
      <c r="V15" s="281" t="s">
        <v>480</v>
      </c>
    </row>
    <row r="17" spans="3:22" x14ac:dyDescent="0.2">
      <c r="R17" s="189" t="s">
        <v>624</v>
      </c>
      <c r="S17" s="5" t="s">
        <v>625</v>
      </c>
    </row>
    <row r="18" spans="3:22" x14ac:dyDescent="0.2">
      <c r="C18" s="5" t="s">
        <v>27</v>
      </c>
      <c r="R18" s="525" t="s">
        <v>663</v>
      </c>
      <c r="S18" s="525"/>
      <c r="U18" s="5" t="s">
        <v>862</v>
      </c>
      <c r="V18" s="5" t="s">
        <v>1023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25"/>
      <c r="S19" s="525"/>
      <c r="V19" s="5" t="s">
        <v>1024</v>
      </c>
    </row>
    <row r="20" spans="3:22" x14ac:dyDescent="0.2">
      <c r="C20" s="168" t="s">
        <v>38</v>
      </c>
      <c r="D20" s="169" t="s">
        <v>750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415</v>
      </c>
      <c r="R20" s="525"/>
      <c r="S20" s="525"/>
      <c r="V20" s="5" t="s">
        <v>1025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994</v>
      </c>
      <c r="F21" s="169" t="s">
        <v>16</v>
      </c>
      <c r="G21" s="169" t="s">
        <v>362</v>
      </c>
      <c r="H21" s="169"/>
      <c r="I21" s="169"/>
      <c r="J21" s="170" t="s">
        <v>415</v>
      </c>
      <c r="R21" s="525"/>
      <c r="S21" s="525"/>
    </row>
    <row r="22" spans="3:22" x14ac:dyDescent="0.2">
      <c r="C22" s="168" t="s">
        <v>38</v>
      </c>
      <c r="D22" s="169" t="str">
        <f t="shared" ref="D22:D23" si="3">_xlfn.TEXTJOIN("_",TRUE,"R-RSDCK",RIGHT(E9,3),"N1")</f>
        <v>R-RSDCK_GAS_N1</v>
      </c>
      <c r="E22" s="169" t="s">
        <v>995</v>
      </c>
      <c r="F22" s="169" t="s">
        <v>16</v>
      </c>
      <c r="G22" s="169" t="s">
        <v>362</v>
      </c>
      <c r="H22" s="169"/>
      <c r="I22" s="169"/>
      <c r="J22" s="170" t="s">
        <v>415</v>
      </c>
      <c r="R22" s="525"/>
      <c r="S22" s="525"/>
    </row>
    <row r="23" spans="3:22" x14ac:dyDescent="0.2">
      <c r="C23" s="168" t="s">
        <v>38</v>
      </c>
      <c r="D23" s="169" t="str">
        <f t="shared" si="3"/>
        <v>R-RSDCK_LPG_N1</v>
      </c>
      <c r="E23" s="169" t="s">
        <v>996</v>
      </c>
      <c r="F23" s="169" t="s">
        <v>16</v>
      </c>
      <c r="G23" s="169" t="s">
        <v>362</v>
      </c>
      <c r="H23" s="169"/>
      <c r="I23" s="169"/>
      <c r="J23" s="170" t="s">
        <v>415</v>
      </c>
    </row>
    <row r="24" spans="3:22" x14ac:dyDescent="0.2">
      <c r="C24" s="168" t="s">
        <v>38</v>
      </c>
      <c r="D24" s="169" t="s">
        <v>752</v>
      </c>
      <c r="E24" s="169" t="s">
        <v>417</v>
      </c>
      <c r="F24" s="169" t="s">
        <v>16</v>
      </c>
      <c r="G24" s="169" t="s">
        <v>362</v>
      </c>
      <c r="H24" s="169"/>
      <c r="I24" s="169"/>
      <c r="J24" s="170" t="s">
        <v>415</v>
      </c>
    </row>
    <row r="25" spans="3:22" x14ac:dyDescent="0.2">
      <c r="C25" s="168" t="s">
        <v>38</v>
      </c>
      <c r="D25" s="169" t="s">
        <v>753</v>
      </c>
      <c r="E25" s="169" t="s">
        <v>418</v>
      </c>
      <c r="F25" s="169" t="s">
        <v>16</v>
      </c>
      <c r="G25" s="169" t="s">
        <v>362</v>
      </c>
      <c r="H25" s="169"/>
      <c r="I25" s="169"/>
      <c r="J25" s="170" t="s">
        <v>415</v>
      </c>
    </row>
    <row r="26" spans="3:22" x14ac:dyDescent="0.2">
      <c r="C26" s="168" t="s">
        <v>38</v>
      </c>
      <c r="D26" s="169" t="s">
        <v>754</v>
      </c>
      <c r="E26" s="169" t="s">
        <v>419</v>
      </c>
      <c r="F26" s="169" t="s">
        <v>16</v>
      </c>
      <c r="G26" s="169" t="s">
        <v>362</v>
      </c>
      <c r="H26" s="169"/>
      <c r="I26" s="169"/>
      <c r="J26" s="170" t="s">
        <v>415</v>
      </c>
      <c r="Q26" s="189"/>
    </row>
    <row r="27" spans="3:22" x14ac:dyDescent="0.2">
      <c r="C27" s="168" t="s">
        <v>38</v>
      </c>
      <c r="D27" s="169" t="s">
        <v>755</v>
      </c>
      <c r="E27" s="169" t="s">
        <v>420</v>
      </c>
      <c r="F27" s="169" t="s">
        <v>16</v>
      </c>
      <c r="G27" s="169" t="s">
        <v>362</v>
      </c>
      <c r="H27" s="169"/>
      <c r="I27" s="169"/>
      <c r="J27" s="170" t="s">
        <v>415</v>
      </c>
    </row>
    <row r="28" spans="3:22" x14ac:dyDescent="0.2">
      <c r="C28" s="168" t="s">
        <v>38</v>
      </c>
      <c r="D28" s="171" t="s">
        <v>756</v>
      </c>
      <c r="E28" s="171" t="s">
        <v>421</v>
      </c>
      <c r="F28" s="171" t="s">
        <v>16</v>
      </c>
      <c r="G28" s="169" t="s">
        <v>362</v>
      </c>
      <c r="H28" s="171"/>
      <c r="I28" s="171"/>
      <c r="J28" s="172" t="s">
        <v>415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662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22" t="s">
        <v>322</v>
      </c>
      <c r="M33" s="523"/>
      <c r="N33" s="523"/>
      <c r="O33" s="524"/>
    </row>
    <row r="34" spans="8:15" x14ac:dyDescent="0.2">
      <c r="H34" s="5" t="s">
        <v>375</v>
      </c>
      <c r="L34" s="516" t="s">
        <v>327</v>
      </c>
      <c r="M34" s="518"/>
      <c r="N34" s="518"/>
      <c r="O34" s="517"/>
    </row>
    <row r="35" spans="8:15" ht="14.25" customHeight="1" x14ac:dyDescent="0.2">
      <c r="H35" s="5" t="s">
        <v>750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751</v>
      </c>
      <c r="I36" s="5" t="s">
        <v>416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727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723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752</v>
      </c>
      <c r="I39" s="5" t="s">
        <v>417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753</v>
      </c>
      <c r="I40" s="5" t="s">
        <v>418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754</v>
      </c>
      <c r="I41" s="5" t="s">
        <v>419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755</v>
      </c>
      <c r="I42" s="5" t="s">
        <v>420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756</v>
      </c>
      <c r="I43" s="5" t="s">
        <v>421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workbookViewId="0">
      <selection activeCell="A5" sqref="A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1028</v>
      </c>
      <c r="K3" s="63" t="s">
        <v>662</v>
      </c>
      <c r="L3" s="63" t="s">
        <v>324</v>
      </c>
      <c r="M3" s="63" t="s">
        <v>326</v>
      </c>
      <c r="N3" s="63" t="s">
        <v>81</v>
      </c>
      <c r="O3" s="63" t="s">
        <v>733</v>
      </c>
      <c r="P3" s="63" t="s">
        <v>313</v>
      </c>
      <c r="Q3" s="63" t="s">
        <v>314</v>
      </c>
      <c r="AA3" s="281" t="s">
        <v>1012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19" t="s">
        <v>110</v>
      </c>
      <c r="I4" s="520"/>
      <c r="J4" s="521"/>
      <c r="K4" s="522" t="s">
        <v>322</v>
      </c>
      <c r="L4" s="523"/>
      <c r="M4" s="524"/>
      <c r="N4" s="106"/>
      <c r="O4" s="106" t="s">
        <v>323</v>
      </c>
      <c r="P4" s="106" t="s">
        <v>116</v>
      </c>
      <c r="Q4" s="106"/>
      <c r="AA4" s="281" t="s">
        <v>1013</v>
      </c>
    </row>
    <row r="5" spans="3:37" ht="13.5" thickBot="1" x14ac:dyDescent="0.25">
      <c r="C5" s="83" t="s">
        <v>375</v>
      </c>
      <c r="D5" s="84"/>
      <c r="E5" s="84"/>
      <c r="F5" s="85"/>
      <c r="G5" s="466" t="s">
        <v>302</v>
      </c>
      <c r="H5" s="529" t="s">
        <v>45</v>
      </c>
      <c r="I5" s="530"/>
      <c r="J5" s="531"/>
      <c r="K5" s="529" t="s">
        <v>758</v>
      </c>
      <c r="L5" s="530"/>
      <c r="M5" s="531"/>
      <c r="N5" s="467" t="s">
        <v>328</v>
      </c>
      <c r="O5" s="467" t="s">
        <v>45</v>
      </c>
      <c r="P5" s="468" t="s">
        <v>757</v>
      </c>
      <c r="Q5" s="467" t="s">
        <v>330</v>
      </c>
      <c r="AA5" s="281"/>
      <c r="AB5" s="526" t="s">
        <v>1014</v>
      </c>
      <c r="AC5" s="526"/>
      <c r="AD5" s="469"/>
      <c r="AE5" s="527" t="s">
        <v>110</v>
      </c>
      <c r="AF5" s="527"/>
      <c r="AG5" s="527" t="s">
        <v>1015</v>
      </c>
      <c r="AH5" s="527"/>
      <c r="AI5" s="528" t="s">
        <v>1016</v>
      </c>
      <c r="AJ5" s="528"/>
    </row>
    <row r="6" spans="3:37" x14ac:dyDescent="0.2">
      <c r="C6" s="197" t="str">
        <f t="shared" ref="C6:D11" si="0">D16</f>
        <v>R-LT_Apt_N1</v>
      </c>
      <c r="D6" s="197" t="str">
        <f t="shared" si="0"/>
        <v>Residential Lighting Apartment New</v>
      </c>
      <c r="E6" s="470" t="s">
        <v>406</v>
      </c>
      <c r="F6" s="199" t="s">
        <v>372</v>
      </c>
      <c r="G6" s="471">
        <v>10</v>
      </c>
      <c r="H6" s="472">
        <v>0.4</v>
      </c>
      <c r="I6" s="473">
        <f>H6*(AC9/AB9)</f>
        <v>0.54333333333333333</v>
      </c>
      <c r="J6" s="474">
        <f>H6*(AD9/AC9)</f>
        <v>0.73128834355828232</v>
      </c>
      <c r="K6" s="475">
        <f t="shared" ref="K6:L11" si="1">L29/1000*$X6/1000</f>
        <v>1.1375E-2</v>
      </c>
      <c r="L6" s="476">
        <f t="shared" si="1"/>
        <v>1.1375E-2</v>
      </c>
      <c r="M6" s="477">
        <f t="shared" ref="M6:M11" si="2">O29/1000*$X6/1000</f>
        <v>1.1375E-2</v>
      </c>
      <c r="N6" s="199"/>
      <c r="O6" s="207"/>
      <c r="P6" s="344">
        <v>1</v>
      </c>
      <c r="Q6" s="207">
        <v>2020</v>
      </c>
      <c r="S6" s="189" t="s">
        <v>631</v>
      </c>
      <c r="U6" s="284" t="s">
        <v>634</v>
      </c>
      <c r="X6" s="5">
        <v>6.5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200" t="str">
        <f t="shared" si="0"/>
        <v>R-PF_Apt_N1</v>
      </c>
      <c r="D7" s="200" t="str">
        <f t="shared" si="0"/>
        <v>Residential Pumps &amp; Fans Apartment New</v>
      </c>
      <c r="E7" s="191" t="s">
        <v>406</v>
      </c>
      <c r="F7" s="201" t="s">
        <v>373</v>
      </c>
      <c r="G7" s="478">
        <v>15</v>
      </c>
      <c r="H7" s="479">
        <v>0.6</v>
      </c>
      <c r="I7" s="342">
        <v>0.6</v>
      </c>
      <c r="J7" s="480">
        <v>0.6</v>
      </c>
      <c r="K7" s="481">
        <f t="shared" si="1"/>
        <v>0.15</v>
      </c>
      <c r="L7" s="340">
        <f t="shared" si="1"/>
        <v>0.15</v>
      </c>
      <c r="M7" s="482">
        <f t="shared" si="2"/>
        <v>0.15</v>
      </c>
      <c r="N7" s="201"/>
      <c r="O7" s="208"/>
      <c r="P7" s="345">
        <v>1</v>
      </c>
      <c r="Q7" s="208">
        <v>2020</v>
      </c>
      <c r="S7" s="281" t="s">
        <v>632</v>
      </c>
      <c r="X7" s="5">
        <v>50</v>
      </c>
      <c r="AA7" s="5" t="s">
        <v>1017</v>
      </c>
      <c r="AB7" s="5">
        <v>17</v>
      </c>
      <c r="AC7" s="5">
        <v>17</v>
      </c>
      <c r="AE7" s="483">
        <f>AB7/683</f>
        <v>2.4890190336749635E-2</v>
      </c>
      <c r="AF7" s="483">
        <f>AC7/683</f>
        <v>2.4890190336749635E-2</v>
      </c>
      <c r="AG7" s="484">
        <v>0.03</v>
      </c>
      <c r="AI7" s="485">
        <f t="shared" ref="AI7:AJ10" si="3">AE7*AG7</f>
        <v>7.4670571010248903E-4</v>
      </c>
      <c r="AJ7" s="485">
        <f>AF7*AH7</f>
        <v>0</v>
      </c>
    </row>
    <row r="8" spans="3:37" x14ac:dyDescent="0.2">
      <c r="C8" s="197" t="str">
        <f t="shared" si="0"/>
        <v>R-LT_Att_N1</v>
      </c>
      <c r="D8" s="197" t="str">
        <f t="shared" si="0"/>
        <v>Residential Lighting Attached New</v>
      </c>
      <c r="E8" s="470" t="s">
        <v>406</v>
      </c>
      <c r="F8" s="203" t="s">
        <v>396</v>
      </c>
      <c r="G8" s="486">
        <v>10</v>
      </c>
      <c r="H8" s="487">
        <v>0.4</v>
      </c>
      <c r="I8" s="341">
        <f>H8*(AC9/AB9)</f>
        <v>0.54333333333333333</v>
      </c>
      <c r="J8" s="488">
        <f>H6*(AD9/AC9)</f>
        <v>0.73128834355828232</v>
      </c>
      <c r="K8" s="489">
        <f t="shared" si="1"/>
        <v>1.1375E-2</v>
      </c>
      <c r="L8" s="339">
        <f t="shared" si="1"/>
        <v>1.1375E-2</v>
      </c>
      <c r="M8" s="490">
        <f t="shared" si="2"/>
        <v>1.1375E-2</v>
      </c>
      <c r="N8" s="203"/>
      <c r="O8" s="209"/>
      <c r="P8" s="346">
        <v>1</v>
      </c>
      <c r="Q8" s="209">
        <v>2020</v>
      </c>
      <c r="S8" s="189" t="s">
        <v>633</v>
      </c>
      <c r="X8" s="5">
        <v>6.5</v>
      </c>
      <c r="AA8" s="5" t="s">
        <v>1018</v>
      </c>
      <c r="AB8" s="5">
        <v>24</v>
      </c>
      <c r="AC8" s="5">
        <v>24</v>
      </c>
      <c r="AE8" s="483">
        <f t="shared" ref="AE8:AF10" si="4">AB8/683</f>
        <v>3.5139092240117131E-2</v>
      </c>
      <c r="AF8" s="483">
        <f t="shared" si="4"/>
        <v>3.5139092240117131E-2</v>
      </c>
      <c r="AG8" s="484">
        <v>0.05</v>
      </c>
      <c r="AH8" s="484">
        <v>0.01</v>
      </c>
      <c r="AI8" s="485">
        <f t="shared" si="3"/>
        <v>1.7569546120058566E-3</v>
      </c>
      <c r="AJ8" s="485">
        <f t="shared" si="3"/>
        <v>3.5139092240117132E-4</v>
      </c>
    </row>
    <row r="9" spans="3:37" x14ac:dyDescent="0.2">
      <c r="C9" s="200" t="str">
        <f t="shared" si="0"/>
        <v>R-PF_Att_N1</v>
      </c>
      <c r="D9" s="200" t="str">
        <f t="shared" si="0"/>
        <v>Residential Pumps &amp; Fans Attached New</v>
      </c>
      <c r="E9" s="191" t="s">
        <v>406</v>
      </c>
      <c r="F9" s="201" t="s">
        <v>397</v>
      </c>
      <c r="G9" s="478">
        <v>15</v>
      </c>
      <c r="H9" s="479">
        <v>0.6</v>
      </c>
      <c r="I9" s="342">
        <v>0.6</v>
      </c>
      <c r="J9" s="480">
        <v>0.6</v>
      </c>
      <c r="K9" s="481">
        <f t="shared" si="1"/>
        <v>0.15</v>
      </c>
      <c r="L9" s="340">
        <f t="shared" si="1"/>
        <v>0.15</v>
      </c>
      <c r="M9" s="482">
        <f t="shared" si="2"/>
        <v>0.15</v>
      </c>
      <c r="N9" s="201"/>
      <c r="O9" s="208"/>
      <c r="P9" s="345">
        <v>1</v>
      </c>
      <c r="Q9" s="208">
        <v>2020</v>
      </c>
      <c r="X9" s="5">
        <v>50</v>
      </c>
      <c r="AA9" s="5" t="s">
        <v>1019</v>
      </c>
      <c r="AB9" s="5">
        <v>120</v>
      </c>
      <c r="AC9" s="5">
        <v>163</v>
      </c>
      <c r="AD9" s="5">
        <v>298</v>
      </c>
      <c r="AE9" s="483">
        <f t="shared" si="4"/>
        <v>0.17569546120058566</v>
      </c>
      <c r="AF9" s="483">
        <f t="shared" si="4"/>
        <v>0.23865300146412885</v>
      </c>
      <c r="AG9" s="484">
        <v>0.46</v>
      </c>
      <c r="AH9" s="484">
        <v>0.87</v>
      </c>
      <c r="AI9" s="485">
        <f>AE9*AG9</f>
        <v>8.0819912152269399E-2</v>
      </c>
      <c r="AJ9" s="485">
        <f t="shared" si="3"/>
        <v>0.2076281112737921</v>
      </c>
    </row>
    <row r="10" spans="3:37" x14ac:dyDescent="0.2">
      <c r="C10" s="197" t="str">
        <f t="shared" si="0"/>
        <v>R-LT_Det_N1</v>
      </c>
      <c r="D10" s="197" t="str">
        <f t="shared" si="0"/>
        <v>Residential Lighting Detached New</v>
      </c>
      <c r="E10" s="470" t="s">
        <v>406</v>
      </c>
      <c r="F10" s="203" t="s">
        <v>404</v>
      </c>
      <c r="G10" s="486">
        <v>10</v>
      </c>
      <c r="H10" s="487">
        <v>0.4</v>
      </c>
      <c r="I10" s="341">
        <f>H10*(AC9/AB9)</f>
        <v>0.54333333333333333</v>
      </c>
      <c r="J10" s="488">
        <f>H10*(AD9/AC9)</f>
        <v>0.73128834355828232</v>
      </c>
      <c r="K10" s="489">
        <f t="shared" si="1"/>
        <v>1.1375E-2</v>
      </c>
      <c r="L10" s="339">
        <f t="shared" si="1"/>
        <v>1.1375E-2</v>
      </c>
      <c r="M10" s="490">
        <f t="shared" si="2"/>
        <v>1.1375E-2</v>
      </c>
      <c r="N10" s="203"/>
      <c r="O10" s="209"/>
      <c r="P10" s="346">
        <v>1</v>
      </c>
      <c r="Q10" s="209">
        <v>2020</v>
      </c>
      <c r="X10" s="5">
        <v>6.5</v>
      </c>
      <c r="AA10" s="5" t="s">
        <v>1020</v>
      </c>
      <c r="AB10" s="5">
        <v>100</v>
      </c>
      <c r="AC10" s="5">
        <v>100</v>
      </c>
      <c r="AE10" s="483">
        <f t="shared" si="4"/>
        <v>0.14641288433382138</v>
      </c>
      <c r="AF10" s="483">
        <f t="shared" si="4"/>
        <v>0.14641288433382138</v>
      </c>
      <c r="AG10" s="484">
        <v>0.46</v>
      </c>
      <c r="AH10" s="484">
        <v>0.12</v>
      </c>
      <c r="AI10" s="485">
        <f>AE10*AG10</f>
        <v>6.7349926793557835E-2</v>
      </c>
      <c r="AJ10" s="485">
        <f t="shared" si="3"/>
        <v>1.7569546120058566E-2</v>
      </c>
    </row>
    <row r="11" spans="3:37" ht="13.5" thickBot="1" x14ac:dyDescent="0.25">
      <c r="C11" s="200" t="str">
        <f t="shared" si="0"/>
        <v>R-PF_Det_N1</v>
      </c>
      <c r="D11" s="200" t="str">
        <f t="shared" si="0"/>
        <v>Residential Pumps &amp; Fans Detached New</v>
      </c>
      <c r="E11" s="191" t="s">
        <v>406</v>
      </c>
      <c r="F11" s="201" t="s">
        <v>405</v>
      </c>
      <c r="G11" s="491">
        <v>15</v>
      </c>
      <c r="H11" s="492">
        <v>0.6</v>
      </c>
      <c r="I11" s="493">
        <v>0.6</v>
      </c>
      <c r="J11" s="494">
        <v>0.6</v>
      </c>
      <c r="K11" s="495">
        <f t="shared" si="1"/>
        <v>0.15</v>
      </c>
      <c r="L11" s="496">
        <f t="shared" si="1"/>
        <v>0.15</v>
      </c>
      <c r="M11" s="497">
        <f t="shared" si="2"/>
        <v>0.15</v>
      </c>
      <c r="N11" s="201"/>
      <c r="O11" s="208"/>
      <c r="P11" s="345">
        <v>1</v>
      </c>
      <c r="Q11" s="208">
        <v>2020</v>
      </c>
      <c r="X11" s="5">
        <v>50</v>
      </c>
      <c r="AA11" s="5" t="s">
        <v>1021</v>
      </c>
      <c r="AB11" s="5">
        <v>275</v>
      </c>
      <c r="AE11" s="483">
        <f>AB11/683</f>
        <v>0.40263543191800877</v>
      </c>
      <c r="AI11" s="485"/>
    </row>
    <row r="12" spans="3:37" x14ac:dyDescent="0.2">
      <c r="AA12" s="5" t="s">
        <v>1022</v>
      </c>
      <c r="AB12" s="5">
        <v>280</v>
      </c>
      <c r="AE12" s="483">
        <f>AB12/683</f>
        <v>0.40995607613469986</v>
      </c>
      <c r="AI12" s="485"/>
    </row>
    <row r="13" spans="3:37" x14ac:dyDescent="0.2">
      <c r="AA13" s="5" t="s">
        <v>1016</v>
      </c>
      <c r="AI13" s="498">
        <f>SUM(AI7:AI10)</f>
        <v>0.15067349926793558</v>
      </c>
      <c r="AJ13" s="498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</row>
    <row r="16" spans="3:37" x14ac:dyDescent="0.2">
      <c r="C16" s="168" t="s">
        <v>38</v>
      </c>
      <c r="D16" s="189" t="s">
        <v>422</v>
      </c>
      <c r="E16" s="5" t="s">
        <v>423</v>
      </c>
      <c r="F16" s="5" t="s">
        <v>16</v>
      </c>
      <c r="G16" s="5" t="s">
        <v>362</v>
      </c>
      <c r="H16" s="169"/>
      <c r="I16" s="170"/>
    </row>
    <row r="17" spans="3:21" x14ac:dyDescent="0.2">
      <c r="C17" s="168" t="s">
        <v>38</v>
      </c>
      <c r="D17" s="5" t="s">
        <v>424</v>
      </c>
      <c r="E17" s="5" t="s">
        <v>425</v>
      </c>
      <c r="F17" s="5" t="s">
        <v>16</v>
      </c>
      <c r="G17" s="169" t="s">
        <v>362</v>
      </c>
      <c r="H17" s="169"/>
      <c r="I17" s="170"/>
    </row>
    <row r="18" spans="3:21" x14ac:dyDescent="0.2">
      <c r="C18" s="168" t="s">
        <v>38</v>
      </c>
      <c r="D18" s="5" t="s">
        <v>426</v>
      </c>
      <c r="E18" s="5" t="s">
        <v>427</v>
      </c>
      <c r="F18" s="5" t="s">
        <v>16</v>
      </c>
      <c r="G18" s="5" t="s">
        <v>362</v>
      </c>
      <c r="H18" s="171"/>
      <c r="I18" s="172"/>
    </row>
    <row r="19" spans="3:21" x14ac:dyDescent="0.2">
      <c r="C19" s="168" t="s">
        <v>38</v>
      </c>
      <c r="D19" s="5" t="s">
        <v>428</v>
      </c>
      <c r="E19" s="5" t="s">
        <v>429</v>
      </c>
      <c r="F19" s="5" t="s">
        <v>16</v>
      </c>
      <c r="G19" s="169" t="s">
        <v>362</v>
      </c>
      <c r="H19" s="169"/>
      <c r="I19" s="170"/>
      <c r="T19" s="283"/>
      <c r="U19" s="283"/>
    </row>
    <row r="20" spans="3:21" x14ac:dyDescent="0.2">
      <c r="C20" s="168" t="s">
        <v>38</v>
      </c>
      <c r="D20" s="5" t="s">
        <v>430</v>
      </c>
      <c r="E20" s="5" t="s">
        <v>431</v>
      </c>
      <c r="F20" s="5" t="s">
        <v>16</v>
      </c>
      <c r="G20" s="5" t="s">
        <v>362</v>
      </c>
      <c r="H20" s="169"/>
      <c r="I20" s="170"/>
      <c r="T20" s="283"/>
      <c r="U20" s="283"/>
    </row>
    <row r="21" spans="3:21" x14ac:dyDescent="0.2">
      <c r="C21" s="168" t="s">
        <v>38</v>
      </c>
      <c r="D21" s="5" t="s">
        <v>432</v>
      </c>
      <c r="E21" s="5" t="s">
        <v>433</v>
      </c>
      <c r="F21" s="5" t="s">
        <v>16</v>
      </c>
      <c r="G21" s="169" t="s">
        <v>362</v>
      </c>
      <c r="H21" s="171"/>
      <c r="I21" s="172"/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662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22" t="s">
        <v>322</v>
      </c>
      <c r="M27" s="523"/>
      <c r="N27" s="523"/>
      <c r="O27" s="524"/>
      <c r="T27" s="283"/>
      <c r="U27" s="283"/>
    </row>
    <row r="28" spans="3:21" x14ac:dyDescent="0.2">
      <c r="J28" s="5" t="s">
        <v>375</v>
      </c>
      <c r="L28" s="513" t="s">
        <v>327</v>
      </c>
      <c r="M28" s="514"/>
      <c r="N28" s="514"/>
      <c r="O28" s="515"/>
      <c r="T28" s="283"/>
      <c r="U28" s="283"/>
    </row>
    <row r="29" spans="3:21" x14ac:dyDescent="0.2">
      <c r="J29" s="5" t="s">
        <v>422</v>
      </c>
      <c r="K29" s="5" t="s">
        <v>423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424</v>
      </c>
      <c r="K30" s="5" t="s">
        <v>425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426</v>
      </c>
      <c r="K31" s="5" t="s">
        <v>427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428</v>
      </c>
      <c r="K32" s="5" t="s">
        <v>429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430</v>
      </c>
      <c r="K33" s="5" t="s">
        <v>431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432</v>
      </c>
      <c r="K34" s="5" t="s">
        <v>433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701</v>
      </c>
      <c r="I1" s="9"/>
      <c r="J1" s="10"/>
      <c r="K1" s="10"/>
      <c r="L1" s="9" t="s">
        <v>702</v>
      </c>
      <c r="M1" s="9" t="s">
        <v>703</v>
      </c>
      <c r="N1" s="9" t="s">
        <v>704</v>
      </c>
      <c r="O1" s="9" t="s">
        <v>705</v>
      </c>
      <c r="P1" s="9" t="s">
        <v>706</v>
      </c>
      <c r="Q1" s="9" t="s">
        <v>707</v>
      </c>
      <c r="R1" s="10"/>
      <c r="S1" s="10"/>
      <c r="T1" s="10"/>
      <c r="U1" s="9" t="s">
        <v>708</v>
      </c>
      <c r="V1" s="9" t="s">
        <v>709</v>
      </c>
      <c r="W1" s="9" t="s">
        <v>710</v>
      </c>
      <c r="X1" s="9" t="s">
        <v>711</v>
      </c>
      <c r="Y1" s="9" t="s">
        <v>712</v>
      </c>
      <c r="Z1" s="9" t="s">
        <v>713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C30" sqref="C30"/>
    </sheetView>
  </sheetViews>
  <sheetFormatPr defaultRowHeight="14.25" x14ac:dyDescent="0.2"/>
  <cols>
    <col min="1" max="1" width="44.42578125" style="354" customWidth="1"/>
    <col min="2" max="2" width="74.85546875" style="354" hidden="1" customWidth="1"/>
    <col min="3" max="3" width="46.28515625" style="354" customWidth="1"/>
    <col min="4" max="73" width="9.140625" style="355"/>
    <col min="74" max="74" width="35.28515625" style="354" bestFit="1" customWidth="1"/>
    <col min="75" max="16384" width="9.140625" style="354"/>
  </cols>
  <sheetData>
    <row r="1" spans="1:89" ht="22.5" x14ac:dyDescent="0.2">
      <c r="A1" s="353" t="s">
        <v>759</v>
      </c>
      <c r="AC1" s="355">
        <v>100</v>
      </c>
      <c r="BB1" s="356" t="s">
        <v>760</v>
      </c>
      <c r="BC1" s="357"/>
      <c r="BD1" s="357" t="s">
        <v>761</v>
      </c>
      <c r="BE1" s="357" t="s">
        <v>762</v>
      </c>
      <c r="BF1" s="357" t="s">
        <v>763</v>
      </c>
    </row>
    <row r="2" spans="1:89" x14ac:dyDescent="0.2">
      <c r="A2" s="354" t="str">
        <f>"Regions: "&amp;'[1]HOB-oil_DK'!$C$4</f>
        <v>Regions: Northern Europe, NE</v>
      </c>
      <c r="B2" s="358"/>
      <c r="C2" s="358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59"/>
      <c r="AE2" s="359"/>
      <c r="AF2" s="359"/>
      <c r="AG2" s="359"/>
      <c r="AH2" s="359"/>
      <c r="AI2" s="359"/>
      <c r="AJ2" s="359"/>
      <c r="AK2" s="359"/>
      <c r="AL2" s="359"/>
      <c r="AM2" s="359"/>
      <c r="AN2" s="359"/>
      <c r="AO2" s="359"/>
      <c r="AP2" s="359"/>
      <c r="AQ2" s="359"/>
      <c r="AR2" s="359"/>
      <c r="AS2" s="359"/>
      <c r="AT2" s="359"/>
      <c r="AU2" s="359"/>
      <c r="AV2" s="359"/>
      <c r="AW2" s="359"/>
      <c r="AX2" s="359"/>
      <c r="AY2" s="359"/>
      <c r="AZ2" s="359"/>
      <c r="BA2" s="359"/>
      <c r="BB2" s="360" t="s">
        <v>764</v>
      </c>
      <c r="BD2" s="361">
        <v>0.37830319888734398</v>
      </c>
      <c r="BE2" s="361">
        <v>2.7234848484848486</v>
      </c>
      <c r="BF2" s="361">
        <v>2.6433823529411766</v>
      </c>
      <c r="BG2" s="359"/>
      <c r="BH2" s="359"/>
      <c r="BI2" s="359"/>
      <c r="BJ2" s="359"/>
      <c r="BK2" s="359"/>
      <c r="BL2" s="359"/>
      <c r="BM2" s="359"/>
      <c r="BN2" s="359"/>
      <c r="BO2" s="359"/>
      <c r="BP2" s="359"/>
      <c r="BQ2" s="359"/>
      <c r="BR2" s="359"/>
      <c r="BS2" s="359"/>
      <c r="BT2" s="359"/>
      <c r="BU2" s="359"/>
    </row>
    <row r="3" spans="1:89" x14ac:dyDescent="0.2">
      <c r="A3" s="354" t="s">
        <v>968</v>
      </c>
      <c r="B3" s="358" t="s">
        <v>670</v>
      </c>
      <c r="C3" s="358"/>
      <c r="D3" s="359" t="s">
        <v>670</v>
      </c>
      <c r="E3" s="359" t="s">
        <v>671</v>
      </c>
      <c r="F3" s="359" t="s">
        <v>672</v>
      </c>
      <c r="G3" s="359" t="s">
        <v>673</v>
      </c>
      <c r="H3" s="359" t="s">
        <v>674</v>
      </c>
      <c r="I3" s="359" t="str">
        <f>D3</f>
        <v>C</v>
      </c>
      <c r="J3" s="359" t="str">
        <f t="shared" ref="J3:BU3" si="0">E3</f>
        <v>D</v>
      </c>
      <c r="K3" s="359" t="str">
        <f t="shared" si="0"/>
        <v>E</v>
      </c>
      <c r="L3" s="359" t="str">
        <f t="shared" si="0"/>
        <v>F</v>
      </c>
      <c r="M3" s="359" t="str">
        <f t="shared" si="0"/>
        <v>G</v>
      </c>
      <c r="N3" s="359" t="str">
        <f t="shared" si="0"/>
        <v>C</v>
      </c>
      <c r="O3" s="359" t="str">
        <f t="shared" si="0"/>
        <v>D</v>
      </c>
      <c r="P3" s="359" t="str">
        <f t="shared" si="0"/>
        <v>E</v>
      </c>
      <c r="Q3" s="359" t="str">
        <f t="shared" si="0"/>
        <v>F</v>
      </c>
      <c r="R3" s="359" t="str">
        <f t="shared" si="0"/>
        <v>G</v>
      </c>
      <c r="S3" s="359" t="str">
        <f t="shared" si="0"/>
        <v>C</v>
      </c>
      <c r="T3" s="359" t="str">
        <f t="shared" si="0"/>
        <v>D</v>
      </c>
      <c r="U3" s="359" t="str">
        <f t="shared" si="0"/>
        <v>E</v>
      </c>
      <c r="V3" s="359" t="str">
        <f t="shared" si="0"/>
        <v>F</v>
      </c>
      <c r="W3" s="359" t="str">
        <f t="shared" si="0"/>
        <v>G</v>
      </c>
      <c r="X3" s="359" t="str">
        <f t="shared" si="0"/>
        <v>C</v>
      </c>
      <c r="Y3" s="359" t="str">
        <f t="shared" si="0"/>
        <v>D</v>
      </c>
      <c r="Z3" s="359" t="str">
        <f t="shared" si="0"/>
        <v>E</v>
      </c>
      <c r="AA3" s="359" t="str">
        <f t="shared" si="0"/>
        <v>F</v>
      </c>
      <c r="AB3" s="359" t="str">
        <f t="shared" si="0"/>
        <v>G</v>
      </c>
      <c r="AC3" s="359" t="str">
        <f t="shared" si="0"/>
        <v>C</v>
      </c>
      <c r="AD3" s="359" t="str">
        <f t="shared" si="0"/>
        <v>D</v>
      </c>
      <c r="AE3" s="359" t="str">
        <f t="shared" si="0"/>
        <v>E</v>
      </c>
      <c r="AF3" s="359" t="str">
        <f t="shared" si="0"/>
        <v>F</v>
      </c>
      <c r="AG3" s="359" t="str">
        <f t="shared" si="0"/>
        <v>G</v>
      </c>
      <c r="AH3" s="359" t="str">
        <f>BQ3</f>
        <v>C</v>
      </c>
      <c r="AI3" s="359" t="str">
        <f>BR3</f>
        <v>D</v>
      </c>
      <c r="AJ3" s="359" t="str">
        <f>BS3</f>
        <v>E</v>
      </c>
      <c r="AK3" s="359" t="str">
        <f>BT3</f>
        <v>F</v>
      </c>
      <c r="AL3" s="359" t="str">
        <f>BU3</f>
        <v>G</v>
      </c>
      <c r="AM3" s="359" t="str">
        <f t="shared" ref="AM3:AQ3" si="1">AH3</f>
        <v>C</v>
      </c>
      <c r="AN3" s="359" t="str">
        <f t="shared" si="1"/>
        <v>D</v>
      </c>
      <c r="AO3" s="359" t="str">
        <f t="shared" si="1"/>
        <v>E</v>
      </c>
      <c r="AP3" s="359" t="str">
        <f t="shared" si="1"/>
        <v>F</v>
      </c>
      <c r="AQ3" s="359" t="str">
        <f t="shared" si="1"/>
        <v>G</v>
      </c>
      <c r="AR3" s="359" t="str">
        <f>AC3</f>
        <v>C</v>
      </c>
      <c r="AS3" s="359" t="str">
        <f>AD3</f>
        <v>D</v>
      </c>
      <c r="AT3" s="359" t="str">
        <f>AE3</f>
        <v>E</v>
      </c>
      <c r="AU3" s="359" t="str">
        <f>AF3</f>
        <v>F</v>
      </c>
      <c r="AV3" s="359" t="str">
        <f>AG3</f>
        <v>G</v>
      </c>
      <c r="AW3" s="359" t="str">
        <f t="shared" si="0"/>
        <v>C</v>
      </c>
      <c r="AX3" s="359" t="str">
        <f t="shared" si="0"/>
        <v>D</v>
      </c>
      <c r="AY3" s="359" t="str">
        <f t="shared" si="0"/>
        <v>E</v>
      </c>
      <c r="AZ3" s="359" t="str">
        <f t="shared" si="0"/>
        <v>F</v>
      </c>
      <c r="BA3" s="359" t="str">
        <f t="shared" si="0"/>
        <v>G</v>
      </c>
      <c r="BB3" s="359" t="str">
        <f t="shared" si="0"/>
        <v>C</v>
      </c>
      <c r="BC3" s="359" t="str">
        <f t="shared" si="0"/>
        <v>D</v>
      </c>
      <c r="BD3" s="359" t="str">
        <f t="shared" si="0"/>
        <v>E</v>
      </c>
      <c r="BE3" s="359" t="str">
        <f t="shared" si="0"/>
        <v>F</v>
      </c>
      <c r="BF3" s="359" t="str">
        <f t="shared" si="0"/>
        <v>G</v>
      </c>
      <c r="BG3" s="359" t="str">
        <f t="shared" si="0"/>
        <v>C</v>
      </c>
      <c r="BH3" s="359" t="str">
        <f t="shared" si="0"/>
        <v>D</v>
      </c>
      <c r="BI3" s="359" t="str">
        <f t="shared" si="0"/>
        <v>E</v>
      </c>
      <c r="BJ3" s="359" t="str">
        <f t="shared" si="0"/>
        <v>F</v>
      </c>
      <c r="BK3" s="359" t="str">
        <f t="shared" si="0"/>
        <v>G</v>
      </c>
      <c r="BL3" s="359" t="str">
        <f t="shared" si="0"/>
        <v>C</v>
      </c>
      <c r="BM3" s="359" t="str">
        <f t="shared" si="0"/>
        <v>D</v>
      </c>
      <c r="BN3" s="359" t="str">
        <f t="shared" si="0"/>
        <v>E</v>
      </c>
      <c r="BO3" s="359" t="str">
        <f t="shared" si="0"/>
        <v>F</v>
      </c>
      <c r="BP3" s="359" t="str">
        <f t="shared" si="0"/>
        <v>G</v>
      </c>
      <c r="BQ3" s="359" t="str">
        <f t="shared" si="0"/>
        <v>C</v>
      </c>
      <c r="BR3" s="359" t="str">
        <f t="shared" si="0"/>
        <v>D</v>
      </c>
      <c r="BS3" s="359" t="str">
        <f t="shared" si="0"/>
        <v>E</v>
      </c>
      <c r="BT3" s="359" t="str">
        <f t="shared" si="0"/>
        <v>F</v>
      </c>
      <c r="BU3" s="359" t="str">
        <f t="shared" si="0"/>
        <v>G</v>
      </c>
    </row>
    <row r="4" spans="1:89" s="366" customFormat="1" ht="36" customHeight="1" x14ac:dyDescent="0.2">
      <c r="A4" s="362" t="s">
        <v>765</v>
      </c>
      <c r="B4" s="363" t="s">
        <v>766</v>
      </c>
      <c r="C4" s="364" t="s">
        <v>767</v>
      </c>
      <c r="D4" s="533" t="s">
        <v>768</v>
      </c>
      <c r="E4" s="532"/>
      <c r="F4" s="532"/>
      <c r="G4" s="532"/>
      <c r="H4" s="534"/>
      <c r="I4" s="532" t="s">
        <v>769</v>
      </c>
      <c r="J4" s="532"/>
      <c r="K4" s="532"/>
      <c r="L4" s="532"/>
      <c r="M4" s="534"/>
      <c r="N4" s="532" t="s">
        <v>770</v>
      </c>
      <c r="O4" s="532"/>
      <c r="P4" s="532"/>
      <c r="Q4" s="532"/>
      <c r="R4" s="534"/>
      <c r="S4" s="532" t="s">
        <v>771</v>
      </c>
      <c r="T4" s="532"/>
      <c r="U4" s="532"/>
      <c r="V4" s="532"/>
      <c r="W4" s="534"/>
      <c r="X4" s="532" t="s">
        <v>772</v>
      </c>
      <c r="Y4" s="532"/>
      <c r="Z4" s="532"/>
      <c r="AA4" s="532"/>
      <c r="AB4" s="534"/>
      <c r="AC4" s="532" t="s">
        <v>773</v>
      </c>
      <c r="AD4" s="532"/>
      <c r="AE4" s="532"/>
      <c r="AF4" s="532"/>
      <c r="AG4" s="534"/>
      <c r="AH4" s="532" t="s">
        <v>774</v>
      </c>
      <c r="AI4" s="532"/>
      <c r="AJ4" s="532"/>
      <c r="AK4" s="532"/>
      <c r="AL4" s="534"/>
      <c r="AM4" s="532" t="s">
        <v>775</v>
      </c>
      <c r="AN4" s="532"/>
      <c r="AO4" s="532"/>
      <c r="AP4" s="532"/>
      <c r="AQ4" s="534"/>
      <c r="AR4" s="532" t="s">
        <v>776</v>
      </c>
      <c r="AS4" s="532"/>
      <c r="AT4" s="532"/>
      <c r="AU4" s="532"/>
      <c r="AV4" s="534"/>
      <c r="AW4" s="532" t="s">
        <v>777</v>
      </c>
      <c r="AX4" s="532"/>
      <c r="AY4" s="532"/>
      <c r="AZ4" s="532"/>
      <c r="BA4" s="532"/>
      <c r="BB4" s="533" t="s">
        <v>778</v>
      </c>
      <c r="BC4" s="532"/>
      <c r="BD4" s="532"/>
      <c r="BE4" s="532"/>
      <c r="BF4" s="534"/>
      <c r="BG4" s="532" t="s">
        <v>779</v>
      </c>
      <c r="BH4" s="532"/>
      <c r="BI4" s="532"/>
      <c r="BJ4" s="532"/>
      <c r="BK4" s="532"/>
      <c r="BL4" s="533" t="s">
        <v>780</v>
      </c>
      <c r="BM4" s="532"/>
      <c r="BN4" s="532"/>
      <c r="BO4" s="532"/>
      <c r="BP4" s="532"/>
      <c r="BQ4" s="533" t="s">
        <v>781</v>
      </c>
      <c r="BR4" s="532"/>
      <c r="BS4" s="532"/>
      <c r="BT4" s="532"/>
      <c r="BU4" s="534"/>
      <c r="BV4" s="365" t="s">
        <v>782</v>
      </c>
      <c r="BW4" s="535" t="s">
        <v>783</v>
      </c>
      <c r="BX4" s="536"/>
      <c r="BY4" s="536"/>
      <c r="BZ4" s="536"/>
      <c r="CA4" s="537"/>
      <c r="CB4" s="535" t="s">
        <v>784</v>
      </c>
      <c r="CC4" s="536"/>
      <c r="CD4" s="536"/>
      <c r="CE4" s="536"/>
      <c r="CF4" s="537"/>
      <c r="CG4" s="535" t="s">
        <v>785</v>
      </c>
      <c r="CH4" s="536"/>
      <c r="CI4" s="536"/>
      <c r="CJ4" s="536"/>
      <c r="CK4" s="537"/>
    </row>
    <row r="5" spans="1:89" x14ac:dyDescent="0.2">
      <c r="A5" s="367"/>
      <c r="B5" s="368"/>
      <c r="C5" s="369"/>
      <c r="D5" s="370">
        <v>2015</v>
      </c>
      <c r="E5" s="371">
        <v>2020</v>
      </c>
      <c r="F5" s="371">
        <v>2030</v>
      </c>
      <c r="G5" s="371">
        <v>2040</v>
      </c>
      <c r="H5" s="372">
        <v>2050</v>
      </c>
      <c r="I5" s="371">
        <v>2015</v>
      </c>
      <c r="J5" s="371">
        <v>2020</v>
      </c>
      <c r="K5" s="371">
        <v>2030</v>
      </c>
      <c r="L5" s="371">
        <v>2040</v>
      </c>
      <c r="M5" s="372">
        <v>2050</v>
      </c>
      <c r="N5" s="371">
        <v>2015</v>
      </c>
      <c r="O5" s="371">
        <v>2020</v>
      </c>
      <c r="P5" s="371">
        <v>2030</v>
      </c>
      <c r="Q5" s="371">
        <v>2040</v>
      </c>
      <c r="R5" s="372">
        <v>2050</v>
      </c>
      <c r="S5" s="371">
        <v>2015</v>
      </c>
      <c r="T5" s="371">
        <v>2020</v>
      </c>
      <c r="U5" s="371">
        <v>2030</v>
      </c>
      <c r="V5" s="371">
        <v>2040</v>
      </c>
      <c r="W5" s="372">
        <v>2050</v>
      </c>
      <c r="X5" s="371">
        <v>2015</v>
      </c>
      <c r="Y5" s="371">
        <v>2020</v>
      </c>
      <c r="Z5" s="371">
        <v>2030</v>
      </c>
      <c r="AA5" s="371">
        <v>2040</v>
      </c>
      <c r="AB5" s="372">
        <v>2050</v>
      </c>
      <c r="AC5" s="371">
        <v>2015</v>
      </c>
      <c r="AD5" s="371">
        <v>2020</v>
      </c>
      <c r="AE5" s="371">
        <v>2030</v>
      </c>
      <c r="AF5" s="371">
        <v>2040</v>
      </c>
      <c r="AG5" s="372">
        <v>2050</v>
      </c>
      <c r="AH5" s="371">
        <v>2015</v>
      </c>
      <c r="AI5" s="371">
        <v>2020</v>
      </c>
      <c r="AJ5" s="371">
        <v>2030</v>
      </c>
      <c r="AK5" s="371">
        <v>2040</v>
      </c>
      <c r="AL5" s="372">
        <v>2050</v>
      </c>
      <c r="AM5" s="371">
        <v>2015</v>
      </c>
      <c r="AN5" s="371">
        <v>2020</v>
      </c>
      <c r="AO5" s="371">
        <v>2030</v>
      </c>
      <c r="AP5" s="371">
        <v>2040</v>
      </c>
      <c r="AQ5" s="372">
        <v>2050</v>
      </c>
      <c r="AR5" s="371">
        <v>2015</v>
      </c>
      <c r="AS5" s="371">
        <v>2020</v>
      </c>
      <c r="AT5" s="371">
        <v>2030</v>
      </c>
      <c r="AU5" s="371">
        <v>2040</v>
      </c>
      <c r="AV5" s="372">
        <v>2050</v>
      </c>
      <c r="AW5" s="371">
        <v>2015</v>
      </c>
      <c r="AX5" s="371">
        <v>2020</v>
      </c>
      <c r="AY5" s="371">
        <v>2030</v>
      </c>
      <c r="AZ5" s="371">
        <v>2040</v>
      </c>
      <c r="BA5" s="371">
        <v>2050</v>
      </c>
      <c r="BB5" s="370">
        <v>2015</v>
      </c>
      <c r="BC5" s="371">
        <v>2020</v>
      </c>
      <c r="BD5" s="371">
        <v>2030</v>
      </c>
      <c r="BE5" s="371">
        <v>2040</v>
      </c>
      <c r="BF5" s="372">
        <v>2050</v>
      </c>
      <c r="BG5" s="371">
        <v>2015</v>
      </c>
      <c r="BH5" s="371">
        <v>2020</v>
      </c>
      <c r="BI5" s="371">
        <v>2030</v>
      </c>
      <c r="BJ5" s="371">
        <v>2040</v>
      </c>
      <c r="BK5" s="371">
        <v>2050</v>
      </c>
      <c r="BL5" s="370">
        <v>2015</v>
      </c>
      <c r="BM5" s="371">
        <v>2020</v>
      </c>
      <c r="BN5" s="371">
        <v>2030</v>
      </c>
      <c r="BO5" s="371">
        <v>2040</v>
      </c>
      <c r="BP5" s="371">
        <v>2050</v>
      </c>
      <c r="BQ5" s="370">
        <v>2015</v>
      </c>
      <c r="BR5" s="371">
        <v>2020</v>
      </c>
      <c r="BS5" s="371">
        <v>2030</v>
      </c>
      <c r="BT5" s="371">
        <v>2040</v>
      </c>
      <c r="BU5" s="372">
        <v>2050</v>
      </c>
      <c r="BV5" s="373"/>
      <c r="BW5" s="374">
        <v>2015</v>
      </c>
      <c r="BX5" s="375">
        <v>2020</v>
      </c>
      <c r="BY5" s="375">
        <v>2030</v>
      </c>
      <c r="BZ5" s="375">
        <v>2040</v>
      </c>
      <c r="CA5" s="376">
        <v>2050</v>
      </c>
      <c r="CB5" s="374">
        <v>2015</v>
      </c>
      <c r="CC5" s="375">
        <v>2020</v>
      </c>
      <c r="CD5" s="375">
        <v>2030</v>
      </c>
      <c r="CE5" s="375">
        <v>2040</v>
      </c>
      <c r="CF5" s="375">
        <v>2050</v>
      </c>
      <c r="CG5" s="374">
        <v>2015</v>
      </c>
      <c r="CH5" s="375">
        <v>2020</v>
      </c>
      <c r="CI5" s="375">
        <v>2030</v>
      </c>
      <c r="CJ5" s="375">
        <v>2040</v>
      </c>
      <c r="CK5" s="376">
        <v>2050</v>
      </c>
    </row>
    <row r="6" spans="1:89" s="384" customFormat="1" x14ac:dyDescent="0.2">
      <c r="A6" s="377" t="s">
        <v>786</v>
      </c>
      <c r="B6" s="378"/>
      <c r="C6" s="379"/>
      <c r="D6" s="380"/>
      <c r="E6" s="381"/>
      <c r="F6" s="381"/>
      <c r="G6" s="381"/>
      <c r="H6" s="382"/>
      <c r="I6" s="381"/>
      <c r="J6" s="381"/>
      <c r="K6" s="381"/>
      <c r="L6" s="381"/>
      <c r="M6" s="382"/>
      <c r="N6" s="381"/>
      <c r="O6" s="381"/>
      <c r="P6" s="381"/>
      <c r="Q6" s="381"/>
      <c r="R6" s="382"/>
      <c r="S6" s="381"/>
      <c r="T6" s="381"/>
      <c r="U6" s="381"/>
      <c r="V6" s="381"/>
      <c r="W6" s="382"/>
      <c r="X6" s="381"/>
      <c r="Y6" s="381"/>
      <c r="Z6" s="381"/>
      <c r="AA6" s="381"/>
      <c r="AB6" s="382"/>
      <c r="AC6" s="381">
        <v>0</v>
      </c>
      <c r="AD6" s="381">
        <v>0</v>
      </c>
      <c r="AE6" s="381">
        <v>0</v>
      </c>
      <c r="AF6" s="381">
        <v>0</v>
      </c>
      <c r="AG6" s="382">
        <v>0</v>
      </c>
      <c r="AH6" s="381">
        <v>0</v>
      </c>
      <c r="AI6" s="381">
        <v>0</v>
      </c>
      <c r="AJ6" s="381">
        <v>0</v>
      </c>
      <c r="AK6" s="381">
        <v>0</v>
      </c>
      <c r="AL6" s="382">
        <v>0</v>
      </c>
      <c r="AM6" s="381">
        <v>0</v>
      </c>
      <c r="AN6" s="381">
        <v>0</v>
      </c>
      <c r="AO6" s="381">
        <v>0</v>
      </c>
      <c r="AP6" s="381">
        <v>0</v>
      </c>
      <c r="AQ6" s="382">
        <v>0</v>
      </c>
      <c r="AR6" s="381"/>
      <c r="AS6" s="381"/>
      <c r="AT6" s="381"/>
      <c r="AU6" s="381"/>
      <c r="AV6" s="382"/>
      <c r="AW6" s="381"/>
      <c r="AX6" s="381"/>
      <c r="AY6" s="381"/>
      <c r="AZ6" s="381"/>
      <c r="BA6" s="382"/>
      <c r="BB6" s="381"/>
      <c r="BC6" s="381"/>
      <c r="BD6" s="381"/>
      <c r="BE6" s="381"/>
      <c r="BF6" s="382"/>
      <c r="BG6" s="381"/>
      <c r="BH6" s="381"/>
      <c r="BI6" s="381"/>
      <c r="BJ6" s="381"/>
      <c r="BK6" s="382"/>
      <c r="BL6" s="381"/>
      <c r="BM6" s="381"/>
      <c r="BN6" s="381"/>
      <c r="BO6" s="381"/>
      <c r="BP6" s="382"/>
      <c r="BQ6" s="380"/>
      <c r="BR6" s="381"/>
      <c r="BS6" s="381"/>
      <c r="BT6" s="381"/>
      <c r="BU6" s="382"/>
      <c r="BV6" s="383"/>
      <c r="BW6" s="381"/>
      <c r="BX6" s="381"/>
      <c r="BY6" s="381"/>
      <c r="BZ6" s="381"/>
      <c r="CA6" s="382"/>
      <c r="CB6" s="381"/>
      <c r="CC6" s="381"/>
      <c r="CD6" s="381"/>
      <c r="CE6" s="381"/>
      <c r="CF6" s="382"/>
      <c r="CG6" s="380"/>
      <c r="CH6" s="381"/>
      <c r="CI6" s="381"/>
      <c r="CJ6" s="381"/>
      <c r="CK6" s="382"/>
    </row>
    <row r="7" spans="1:89" s="384" customFormat="1" x14ac:dyDescent="0.2">
      <c r="A7" s="385" t="s">
        <v>787</v>
      </c>
      <c r="B7" s="386" t="s">
        <v>889</v>
      </c>
      <c r="C7" s="387" t="s">
        <v>788</v>
      </c>
      <c r="D7" s="388" t="s">
        <v>890</v>
      </c>
      <c r="E7" s="389" t="s">
        <v>890</v>
      </c>
      <c r="F7" s="389" t="s">
        <v>890</v>
      </c>
      <c r="G7" s="389" t="s">
        <v>890</v>
      </c>
      <c r="H7" s="390" t="s">
        <v>890</v>
      </c>
      <c r="I7" s="389"/>
      <c r="J7" s="389"/>
      <c r="K7" s="389"/>
      <c r="L7" s="389"/>
      <c r="M7" s="390"/>
      <c r="N7" s="389">
        <v>100</v>
      </c>
      <c r="O7" s="389">
        <v>100</v>
      </c>
      <c r="P7" s="389">
        <v>100</v>
      </c>
      <c r="Q7" s="389">
        <v>100</v>
      </c>
      <c r="R7" s="390">
        <v>100</v>
      </c>
      <c r="S7" s="389"/>
      <c r="T7" s="389"/>
      <c r="U7" s="389"/>
      <c r="V7" s="389"/>
      <c r="W7" s="390"/>
      <c r="X7" s="389">
        <v>100</v>
      </c>
      <c r="Y7" s="389">
        <v>100</v>
      </c>
      <c r="Z7" s="389">
        <v>100</v>
      </c>
      <c r="AA7" s="389">
        <v>100</v>
      </c>
      <c r="AB7" s="390">
        <v>100</v>
      </c>
      <c r="AC7" s="391">
        <v>1</v>
      </c>
      <c r="AD7" s="391">
        <v>1</v>
      </c>
      <c r="AE7" s="391">
        <v>1</v>
      </c>
      <c r="AF7" s="391">
        <v>1</v>
      </c>
      <c r="AG7" s="392">
        <v>1</v>
      </c>
      <c r="AH7" s="391">
        <v>0</v>
      </c>
      <c r="AI7" s="391">
        <v>0</v>
      </c>
      <c r="AJ7" s="391">
        <v>0</v>
      </c>
      <c r="AK7" s="391">
        <v>0</v>
      </c>
      <c r="AL7" s="392">
        <v>0</v>
      </c>
      <c r="AM7" s="391">
        <v>0</v>
      </c>
      <c r="AN7" s="391">
        <v>0</v>
      </c>
      <c r="AO7" s="391">
        <v>0</v>
      </c>
      <c r="AP7" s="391">
        <v>0</v>
      </c>
      <c r="AQ7" s="392">
        <v>0</v>
      </c>
      <c r="AR7" s="389"/>
      <c r="AS7" s="389"/>
      <c r="AT7" s="389"/>
      <c r="AU7" s="389"/>
      <c r="AV7" s="390"/>
      <c r="AW7" s="389">
        <v>20</v>
      </c>
      <c r="AX7" s="389">
        <v>20</v>
      </c>
      <c r="AY7" s="389">
        <v>20</v>
      </c>
      <c r="AZ7" s="389">
        <v>20</v>
      </c>
      <c r="BA7" s="390">
        <v>20</v>
      </c>
      <c r="BB7" s="393">
        <v>6600</v>
      </c>
      <c r="BC7" s="393">
        <v>6600</v>
      </c>
      <c r="BD7" s="393">
        <v>6600</v>
      </c>
      <c r="BE7" s="393">
        <v>6600</v>
      </c>
      <c r="BF7" s="394">
        <v>6600</v>
      </c>
      <c r="BG7" s="393">
        <v>0</v>
      </c>
      <c r="BH7" s="393">
        <v>0</v>
      </c>
      <c r="BI7" s="393">
        <v>0</v>
      </c>
      <c r="BJ7" s="393">
        <v>0</v>
      </c>
      <c r="BK7" s="394">
        <v>0</v>
      </c>
      <c r="BL7" s="393">
        <v>270</v>
      </c>
      <c r="BM7" s="393">
        <v>270</v>
      </c>
      <c r="BN7" s="393">
        <v>270</v>
      </c>
      <c r="BO7" s="393">
        <v>270</v>
      </c>
      <c r="BP7" s="394">
        <v>270</v>
      </c>
      <c r="BQ7" s="395">
        <v>0</v>
      </c>
      <c r="BR7" s="393">
        <v>0</v>
      </c>
      <c r="BS7" s="393">
        <v>0</v>
      </c>
      <c r="BT7" s="393">
        <v>0</v>
      </c>
      <c r="BU7" s="394">
        <v>0</v>
      </c>
      <c r="BV7" s="396"/>
      <c r="BW7" s="397">
        <v>293.33333333333331</v>
      </c>
      <c r="BX7" s="397">
        <v>293.33333333333331</v>
      </c>
      <c r="BY7" s="397">
        <v>293.33333333333331</v>
      </c>
      <c r="BZ7" s="397">
        <v>293.33333333333331</v>
      </c>
      <c r="CA7" s="398">
        <v>293.33333333333331</v>
      </c>
      <c r="CB7" s="397">
        <v>0</v>
      </c>
      <c r="CC7" s="397">
        <v>0</v>
      </c>
      <c r="CD7" s="397">
        <v>0</v>
      </c>
      <c r="CE7" s="397">
        <v>0</v>
      </c>
      <c r="CF7" s="398">
        <v>0</v>
      </c>
      <c r="CG7" s="399">
        <v>12</v>
      </c>
      <c r="CH7" s="397">
        <v>12</v>
      </c>
      <c r="CI7" s="397">
        <v>12</v>
      </c>
      <c r="CJ7" s="397">
        <v>12</v>
      </c>
      <c r="CK7" s="398">
        <v>12</v>
      </c>
    </row>
    <row r="8" spans="1:89" s="384" customFormat="1" x14ac:dyDescent="0.2">
      <c r="A8" s="385" t="s">
        <v>789</v>
      </c>
      <c r="B8" s="386" t="s">
        <v>788</v>
      </c>
      <c r="C8" s="387" t="s">
        <v>790</v>
      </c>
      <c r="D8" s="388">
        <v>400</v>
      </c>
      <c r="E8" s="389">
        <v>400</v>
      </c>
      <c r="F8" s="389">
        <v>400</v>
      </c>
      <c r="G8" s="389">
        <v>400</v>
      </c>
      <c r="H8" s="390">
        <v>400</v>
      </c>
      <c r="I8" s="389"/>
      <c r="J8" s="389"/>
      <c r="K8" s="389"/>
      <c r="L8" s="389"/>
      <c r="M8" s="390"/>
      <c r="N8" s="389">
        <v>100</v>
      </c>
      <c r="O8" s="389">
        <v>100</v>
      </c>
      <c r="P8" s="389">
        <v>100</v>
      </c>
      <c r="Q8" s="389">
        <v>100</v>
      </c>
      <c r="R8" s="390">
        <v>100</v>
      </c>
      <c r="S8" s="389"/>
      <c r="T8" s="389"/>
      <c r="U8" s="389"/>
      <c r="V8" s="389"/>
      <c r="W8" s="390"/>
      <c r="X8" s="389">
        <v>100</v>
      </c>
      <c r="Y8" s="389">
        <v>100</v>
      </c>
      <c r="Z8" s="389">
        <v>100</v>
      </c>
      <c r="AA8" s="389">
        <v>100</v>
      </c>
      <c r="AB8" s="390">
        <v>100</v>
      </c>
      <c r="AC8" s="391">
        <v>0.96</v>
      </c>
      <c r="AD8" s="391">
        <v>0.96</v>
      </c>
      <c r="AE8" s="391">
        <v>0.96</v>
      </c>
      <c r="AF8" s="391">
        <v>0.96</v>
      </c>
      <c r="AG8" s="392">
        <v>0.96</v>
      </c>
      <c r="AH8" s="391">
        <v>0</v>
      </c>
      <c r="AI8" s="391">
        <v>0</v>
      </c>
      <c r="AJ8" s="391">
        <v>0</v>
      </c>
      <c r="AK8" s="391">
        <v>0</v>
      </c>
      <c r="AL8" s="392">
        <v>0</v>
      </c>
      <c r="AM8" s="391">
        <v>0</v>
      </c>
      <c r="AN8" s="391">
        <v>0</v>
      </c>
      <c r="AO8" s="391">
        <v>0</v>
      </c>
      <c r="AP8" s="391">
        <v>0</v>
      </c>
      <c r="AQ8" s="392">
        <v>0</v>
      </c>
      <c r="AR8" s="389"/>
      <c r="AS8" s="389"/>
      <c r="AT8" s="389"/>
      <c r="AU8" s="389"/>
      <c r="AV8" s="390"/>
      <c r="AW8" s="389">
        <v>20</v>
      </c>
      <c r="AX8" s="389">
        <v>20</v>
      </c>
      <c r="AY8" s="389">
        <v>20</v>
      </c>
      <c r="AZ8" s="389">
        <v>20</v>
      </c>
      <c r="BA8" s="390">
        <v>20</v>
      </c>
      <c r="BB8" s="393">
        <v>32000</v>
      </c>
      <c r="BC8" s="393">
        <v>32000</v>
      </c>
      <c r="BD8" s="393">
        <v>32000</v>
      </c>
      <c r="BE8" s="393">
        <v>32000</v>
      </c>
      <c r="BF8" s="394">
        <v>32000</v>
      </c>
      <c r="BG8" s="393">
        <v>0</v>
      </c>
      <c r="BH8" s="393">
        <v>0</v>
      </c>
      <c r="BI8" s="393">
        <v>0</v>
      </c>
      <c r="BJ8" s="393">
        <v>0</v>
      </c>
      <c r="BK8" s="394">
        <v>0</v>
      </c>
      <c r="BL8" s="393">
        <v>500</v>
      </c>
      <c r="BM8" s="393">
        <v>500</v>
      </c>
      <c r="BN8" s="393">
        <v>500</v>
      </c>
      <c r="BO8" s="393">
        <v>500</v>
      </c>
      <c r="BP8" s="394">
        <v>500</v>
      </c>
      <c r="BQ8" s="395">
        <v>0</v>
      </c>
      <c r="BR8" s="393">
        <v>0</v>
      </c>
      <c r="BS8" s="393">
        <v>0</v>
      </c>
      <c r="BT8" s="393">
        <v>0</v>
      </c>
      <c r="BU8" s="394">
        <v>0</v>
      </c>
      <c r="BV8" s="396"/>
      <c r="BW8" s="393">
        <v>80</v>
      </c>
      <c r="BX8" s="393">
        <v>80</v>
      </c>
      <c r="BY8" s="393">
        <v>80</v>
      </c>
      <c r="BZ8" s="393">
        <v>80</v>
      </c>
      <c r="CA8" s="394">
        <v>80</v>
      </c>
      <c r="CB8" s="393">
        <v>0</v>
      </c>
      <c r="CC8" s="393">
        <v>0</v>
      </c>
      <c r="CD8" s="393">
        <v>0</v>
      </c>
      <c r="CE8" s="393">
        <v>0</v>
      </c>
      <c r="CF8" s="394">
        <v>0</v>
      </c>
      <c r="CG8" s="395">
        <v>1.25</v>
      </c>
      <c r="CH8" s="393">
        <v>1.25</v>
      </c>
      <c r="CI8" s="393">
        <v>1.25</v>
      </c>
      <c r="CJ8" s="393">
        <v>1.25</v>
      </c>
      <c r="CK8" s="394">
        <v>1.25</v>
      </c>
    </row>
    <row r="9" spans="1:89" s="384" customFormat="1" x14ac:dyDescent="0.2">
      <c r="A9" s="385" t="s">
        <v>791</v>
      </c>
      <c r="B9" s="386" t="s">
        <v>792</v>
      </c>
      <c r="C9" s="387" t="s">
        <v>792</v>
      </c>
      <c r="D9" s="388" t="s">
        <v>891</v>
      </c>
      <c r="E9" s="389" t="s">
        <v>892</v>
      </c>
      <c r="F9" s="389" t="s">
        <v>893</v>
      </c>
      <c r="G9" s="389" t="s">
        <v>893</v>
      </c>
      <c r="H9" s="390" t="s">
        <v>894</v>
      </c>
      <c r="I9" s="389"/>
      <c r="J9" s="389"/>
      <c r="K9" s="389"/>
      <c r="L9" s="389"/>
      <c r="M9" s="390"/>
      <c r="N9" s="389">
        <v>100</v>
      </c>
      <c r="O9" s="389">
        <v>100</v>
      </c>
      <c r="P9" s="389">
        <v>100</v>
      </c>
      <c r="Q9" s="389">
        <v>100</v>
      </c>
      <c r="R9" s="390">
        <v>100</v>
      </c>
      <c r="S9" s="389"/>
      <c r="T9" s="389"/>
      <c r="U9" s="389"/>
      <c r="V9" s="389"/>
      <c r="W9" s="390"/>
      <c r="X9" s="389">
        <v>100</v>
      </c>
      <c r="Y9" s="389">
        <v>100</v>
      </c>
      <c r="Z9" s="389">
        <v>100</v>
      </c>
      <c r="AA9" s="389">
        <v>100</v>
      </c>
      <c r="AB9" s="390">
        <v>100</v>
      </c>
      <c r="AC9" s="391">
        <v>1.02</v>
      </c>
      <c r="AD9" s="391">
        <v>1.02</v>
      </c>
      <c r="AE9" s="391">
        <v>1.02</v>
      </c>
      <c r="AF9" s="391">
        <v>1.02</v>
      </c>
      <c r="AG9" s="392">
        <v>1.02</v>
      </c>
      <c r="AH9" s="391">
        <v>0</v>
      </c>
      <c r="AI9" s="391">
        <v>0</v>
      </c>
      <c r="AJ9" s="391">
        <v>0</v>
      </c>
      <c r="AK9" s="391">
        <v>0</v>
      </c>
      <c r="AL9" s="392">
        <v>0</v>
      </c>
      <c r="AM9" s="391">
        <v>0</v>
      </c>
      <c r="AN9" s="391">
        <v>0</v>
      </c>
      <c r="AO9" s="391">
        <v>0</v>
      </c>
      <c r="AP9" s="391">
        <v>0</v>
      </c>
      <c r="AQ9" s="392">
        <v>0</v>
      </c>
      <c r="AR9" s="389" t="s">
        <v>895</v>
      </c>
      <c r="AS9" s="389" t="s">
        <v>896</v>
      </c>
      <c r="AT9" s="389" t="s">
        <v>897</v>
      </c>
      <c r="AU9" s="389" t="s">
        <v>898</v>
      </c>
      <c r="AV9" s="390" t="s">
        <v>898</v>
      </c>
      <c r="AW9" s="389">
        <v>22</v>
      </c>
      <c r="AX9" s="389">
        <v>22</v>
      </c>
      <c r="AY9" s="389">
        <v>22</v>
      </c>
      <c r="AZ9" s="389">
        <v>22</v>
      </c>
      <c r="BA9" s="390">
        <v>22</v>
      </c>
      <c r="BB9" s="389">
        <v>4000</v>
      </c>
      <c r="BC9" s="389">
        <v>4000</v>
      </c>
      <c r="BD9" s="389">
        <v>4000</v>
      </c>
      <c r="BE9" s="389">
        <v>4000</v>
      </c>
      <c r="BF9" s="390">
        <v>4000</v>
      </c>
      <c r="BG9" s="389">
        <v>2000</v>
      </c>
      <c r="BH9" s="389">
        <v>2000</v>
      </c>
      <c r="BI9" s="389">
        <v>2000</v>
      </c>
      <c r="BJ9" s="389">
        <v>2000</v>
      </c>
      <c r="BK9" s="390">
        <v>2000</v>
      </c>
      <c r="BL9" s="389">
        <v>235</v>
      </c>
      <c r="BM9" s="389">
        <v>235</v>
      </c>
      <c r="BN9" s="389">
        <v>235</v>
      </c>
      <c r="BO9" s="389">
        <v>235</v>
      </c>
      <c r="BP9" s="390">
        <v>235</v>
      </c>
      <c r="BQ9" s="388"/>
      <c r="BR9" s="389"/>
      <c r="BS9" s="389"/>
      <c r="BT9" s="389"/>
      <c r="BU9" s="390"/>
      <c r="BV9" s="396" t="s">
        <v>793</v>
      </c>
      <c r="BW9" s="397">
        <v>320</v>
      </c>
      <c r="BX9" s="397">
        <v>347.82608695652175</v>
      </c>
      <c r="BY9" s="397">
        <v>363.63636363636363</v>
      </c>
      <c r="BZ9" s="397">
        <v>363.63636363636363</v>
      </c>
      <c r="CA9" s="398">
        <v>380.95238095238096</v>
      </c>
      <c r="CB9" s="397">
        <v>160</v>
      </c>
      <c r="CC9" s="397">
        <v>173.91304347826087</v>
      </c>
      <c r="CD9" s="397">
        <v>181.81818181818181</v>
      </c>
      <c r="CE9" s="397">
        <v>181.81818181818181</v>
      </c>
      <c r="CF9" s="398">
        <v>190.47619047619048</v>
      </c>
      <c r="CG9" s="399">
        <v>18.8</v>
      </c>
      <c r="CH9" s="397">
        <v>20.434782608695652</v>
      </c>
      <c r="CI9" s="397">
        <v>21.363636363636363</v>
      </c>
      <c r="CJ9" s="397">
        <v>21.363636363636363</v>
      </c>
      <c r="CK9" s="398">
        <v>22.38095238095238</v>
      </c>
    </row>
    <row r="10" spans="1:89" s="384" customFormat="1" x14ac:dyDescent="0.2">
      <c r="A10" s="385" t="s">
        <v>794</v>
      </c>
      <c r="B10" s="386" t="s">
        <v>899</v>
      </c>
      <c r="C10" s="387" t="s">
        <v>795</v>
      </c>
      <c r="D10" s="388" t="s">
        <v>900</v>
      </c>
      <c r="E10" s="389" t="s">
        <v>900</v>
      </c>
      <c r="F10" s="389" t="s">
        <v>900</v>
      </c>
      <c r="G10" s="389" t="s">
        <v>900</v>
      </c>
      <c r="H10" s="390" t="s">
        <v>900</v>
      </c>
      <c r="I10" s="389"/>
      <c r="J10" s="389"/>
      <c r="K10" s="389"/>
      <c r="L10" s="389"/>
      <c r="M10" s="390"/>
      <c r="N10" s="389">
        <v>100</v>
      </c>
      <c r="O10" s="389">
        <v>100</v>
      </c>
      <c r="P10" s="389">
        <v>100</v>
      </c>
      <c r="Q10" s="389">
        <v>100</v>
      </c>
      <c r="R10" s="390">
        <v>100</v>
      </c>
      <c r="S10" s="389"/>
      <c r="T10" s="389"/>
      <c r="U10" s="389"/>
      <c r="V10" s="389"/>
      <c r="W10" s="390"/>
      <c r="X10" s="389">
        <v>100</v>
      </c>
      <c r="Y10" s="389">
        <v>100</v>
      </c>
      <c r="Z10" s="389">
        <v>100</v>
      </c>
      <c r="AA10" s="389">
        <v>100</v>
      </c>
      <c r="AB10" s="390">
        <v>100</v>
      </c>
      <c r="AC10" s="391">
        <v>1.02</v>
      </c>
      <c r="AD10" s="391">
        <v>1.02</v>
      </c>
      <c r="AE10" s="391">
        <v>1.02</v>
      </c>
      <c r="AF10" s="391">
        <v>1.02</v>
      </c>
      <c r="AG10" s="392">
        <v>1.02</v>
      </c>
      <c r="AH10" s="391">
        <v>0</v>
      </c>
      <c r="AI10" s="391">
        <v>0</v>
      </c>
      <c r="AJ10" s="391">
        <v>0</v>
      </c>
      <c r="AK10" s="391">
        <v>0</v>
      </c>
      <c r="AL10" s="392">
        <v>0</v>
      </c>
      <c r="AM10" s="391">
        <v>0</v>
      </c>
      <c r="AN10" s="391">
        <v>0</v>
      </c>
      <c r="AO10" s="391">
        <v>0</v>
      </c>
      <c r="AP10" s="391">
        <v>0</v>
      </c>
      <c r="AQ10" s="392">
        <v>0</v>
      </c>
      <c r="AR10" s="389">
        <v>400</v>
      </c>
      <c r="AS10" s="389">
        <v>300</v>
      </c>
      <c r="AT10" s="389">
        <v>200</v>
      </c>
      <c r="AU10" s="389">
        <v>100</v>
      </c>
      <c r="AV10" s="390">
        <v>100</v>
      </c>
      <c r="AW10" s="389">
        <v>25</v>
      </c>
      <c r="AX10" s="389">
        <v>25</v>
      </c>
      <c r="AY10" s="389">
        <v>25</v>
      </c>
      <c r="AZ10" s="389">
        <v>25</v>
      </c>
      <c r="BA10" s="390">
        <v>25</v>
      </c>
      <c r="BB10" s="389">
        <v>22500</v>
      </c>
      <c r="BC10" s="389">
        <v>20000</v>
      </c>
      <c r="BD10" s="389">
        <v>17500</v>
      </c>
      <c r="BE10" s="389">
        <v>17500</v>
      </c>
      <c r="BF10" s="390">
        <v>17500</v>
      </c>
      <c r="BG10" s="389">
        <v>2000</v>
      </c>
      <c r="BH10" s="389">
        <v>2000</v>
      </c>
      <c r="BI10" s="389">
        <v>2000</v>
      </c>
      <c r="BJ10" s="389">
        <v>2000</v>
      </c>
      <c r="BK10" s="390">
        <v>2000</v>
      </c>
      <c r="BL10" s="393">
        <v>1540</v>
      </c>
      <c r="BM10" s="389">
        <v>1540</v>
      </c>
      <c r="BN10" s="389">
        <v>1540</v>
      </c>
      <c r="BO10" s="389">
        <v>1540</v>
      </c>
      <c r="BP10" s="390">
        <v>1540</v>
      </c>
      <c r="BQ10" s="388">
        <v>2</v>
      </c>
      <c r="BR10" s="389">
        <v>2</v>
      </c>
      <c r="BS10" s="389">
        <v>2</v>
      </c>
      <c r="BT10" s="389">
        <v>2</v>
      </c>
      <c r="BU10" s="390">
        <v>2</v>
      </c>
      <c r="BV10" s="396" t="s">
        <v>793</v>
      </c>
      <c r="BW10" s="397">
        <v>58.441558441558442</v>
      </c>
      <c r="BX10" s="397">
        <v>51.948051948051948</v>
      </c>
      <c r="BY10" s="397">
        <v>45.454545454545453</v>
      </c>
      <c r="BZ10" s="397">
        <v>45.454545454545453</v>
      </c>
      <c r="CA10" s="398">
        <v>45.454545454545453</v>
      </c>
      <c r="CB10" s="397">
        <v>5.1948051948051948</v>
      </c>
      <c r="CC10" s="397">
        <v>5.1948051948051948</v>
      </c>
      <c r="CD10" s="397">
        <v>5.1948051948051948</v>
      </c>
      <c r="CE10" s="397">
        <v>5.1948051948051948</v>
      </c>
      <c r="CF10" s="398">
        <v>5.1948051948051948</v>
      </c>
      <c r="CG10" s="400">
        <v>4</v>
      </c>
      <c r="CH10" s="400">
        <v>4</v>
      </c>
      <c r="CI10" s="400">
        <v>4</v>
      </c>
      <c r="CJ10" s="400">
        <v>4</v>
      </c>
      <c r="CK10" s="401">
        <v>4</v>
      </c>
    </row>
    <row r="11" spans="1:89" s="384" customFormat="1" x14ac:dyDescent="0.2">
      <c r="A11" s="385" t="s">
        <v>796</v>
      </c>
      <c r="B11" s="386" t="s">
        <v>901</v>
      </c>
      <c r="C11" s="387" t="s">
        <v>797</v>
      </c>
      <c r="D11" s="388" t="s">
        <v>902</v>
      </c>
      <c r="E11" s="389" t="s">
        <v>891</v>
      </c>
      <c r="F11" s="389" t="s">
        <v>903</v>
      </c>
      <c r="G11" s="389" t="s">
        <v>903</v>
      </c>
      <c r="H11" s="390" t="s">
        <v>903</v>
      </c>
      <c r="I11" s="389"/>
      <c r="J11" s="389"/>
      <c r="K11" s="389"/>
      <c r="L11" s="389"/>
      <c r="M11" s="390"/>
      <c r="N11" s="389">
        <v>100</v>
      </c>
      <c r="O11" s="389">
        <v>100</v>
      </c>
      <c r="P11" s="389">
        <v>100</v>
      </c>
      <c r="Q11" s="389">
        <v>100</v>
      </c>
      <c r="R11" s="390">
        <v>100</v>
      </c>
      <c r="S11" s="389"/>
      <c r="T11" s="389"/>
      <c r="U11" s="389"/>
      <c r="V11" s="389"/>
      <c r="W11" s="390"/>
      <c r="X11" s="389">
        <v>100</v>
      </c>
      <c r="Y11" s="389">
        <v>100</v>
      </c>
      <c r="Z11" s="389">
        <v>100</v>
      </c>
      <c r="AA11" s="389">
        <v>100</v>
      </c>
      <c r="AB11" s="390">
        <v>100</v>
      </c>
      <c r="AC11" s="391">
        <v>0.8</v>
      </c>
      <c r="AD11" s="391">
        <v>0.87</v>
      </c>
      <c r="AE11" s="391">
        <v>0.91</v>
      </c>
      <c r="AF11" s="391">
        <v>0.95</v>
      </c>
      <c r="AG11" s="392">
        <v>0.95</v>
      </c>
      <c r="AH11" s="391">
        <v>0</v>
      </c>
      <c r="AI11" s="391">
        <v>0</v>
      </c>
      <c r="AJ11" s="391">
        <v>0</v>
      </c>
      <c r="AK11" s="391">
        <v>0</v>
      </c>
      <c r="AL11" s="392">
        <v>0</v>
      </c>
      <c r="AM11" s="391">
        <v>0</v>
      </c>
      <c r="AN11" s="391">
        <v>0</v>
      </c>
      <c r="AO11" s="391">
        <v>0</v>
      </c>
      <c r="AP11" s="391">
        <v>0</v>
      </c>
      <c r="AQ11" s="392">
        <v>0</v>
      </c>
      <c r="AR11" s="389"/>
      <c r="AS11" s="389"/>
      <c r="AT11" s="389"/>
      <c r="AU11" s="389"/>
      <c r="AV11" s="390"/>
      <c r="AW11" s="389">
        <v>20</v>
      </c>
      <c r="AX11" s="389">
        <v>20</v>
      </c>
      <c r="AY11" s="389">
        <v>20</v>
      </c>
      <c r="AZ11" s="389">
        <v>20</v>
      </c>
      <c r="BA11" s="390">
        <v>20</v>
      </c>
      <c r="BB11" s="393">
        <v>6750</v>
      </c>
      <c r="BC11" s="393">
        <v>6750</v>
      </c>
      <c r="BD11" s="393">
        <v>7500</v>
      </c>
      <c r="BE11" s="393">
        <v>7500</v>
      </c>
      <c r="BF11" s="394">
        <v>7500</v>
      </c>
      <c r="BG11" s="393">
        <v>1600</v>
      </c>
      <c r="BH11" s="393">
        <v>1600</v>
      </c>
      <c r="BI11" s="393">
        <v>1600</v>
      </c>
      <c r="BJ11" s="393">
        <v>1600</v>
      </c>
      <c r="BK11" s="394">
        <v>1600</v>
      </c>
      <c r="BL11" s="393">
        <v>26</v>
      </c>
      <c r="BM11" s="393">
        <v>25</v>
      </c>
      <c r="BN11" s="393">
        <v>36</v>
      </c>
      <c r="BO11" s="393">
        <v>36</v>
      </c>
      <c r="BP11" s="394">
        <v>36</v>
      </c>
      <c r="BQ11" s="395">
        <v>0</v>
      </c>
      <c r="BR11" s="393">
        <v>0</v>
      </c>
      <c r="BS11" s="393">
        <v>0</v>
      </c>
      <c r="BT11" s="393">
        <v>0</v>
      </c>
      <c r="BU11" s="394">
        <v>0</v>
      </c>
      <c r="BV11" s="396" t="s">
        <v>798</v>
      </c>
      <c r="BW11" s="397">
        <v>519.23076923076928</v>
      </c>
      <c r="BX11" s="397">
        <v>540</v>
      </c>
      <c r="BY11" s="397">
        <v>625</v>
      </c>
      <c r="BZ11" s="397">
        <v>625</v>
      </c>
      <c r="CA11" s="398">
        <v>625</v>
      </c>
      <c r="CB11" s="397">
        <v>123.07692307692308</v>
      </c>
      <c r="CC11" s="397">
        <v>128</v>
      </c>
      <c r="CD11" s="397">
        <v>133.33333333333334</v>
      </c>
      <c r="CE11" s="397">
        <v>133.33333333333334</v>
      </c>
      <c r="CF11" s="398">
        <v>133.33333333333334</v>
      </c>
      <c r="CG11" s="400">
        <v>2</v>
      </c>
      <c r="CH11" s="400">
        <v>2</v>
      </c>
      <c r="CI11" s="400">
        <v>3</v>
      </c>
      <c r="CJ11" s="400">
        <v>3</v>
      </c>
      <c r="CK11" s="401">
        <v>3</v>
      </c>
    </row>
    <row r="12" spans="1:89" s="384" customFormat="1" x14ac:dyDescent="0.2">
      <c r="A12" s="385" t="s">
        <v>799</v>
      </c>
      <c r="B12" s="386" t="s">
        <v>904</v>
      </c>
      <c r="C12" s="387" t="s">
        <v>800</v>
      </c>
      <c r="D12" s="388" t="s">
        <v>905</v>
      </c>
      <c r="E12" s="389" t="s">
        <v>905</v>
      </c>
      <c r="F12" s="389" t="s">
        <v>905</v>
      </c>
      <c r="G12" s="389" t="s">
        <v>905</v>
      </c>
      <c r="H12" s="390" t="s">
        <v>905</v>
      </c>
      <c r="I12" s="389"/>
      <c r="J12" s="389"/>
      <c r="K12" s="389"/>
      <c r="L12" s="389"/>
      <c r="M12" s="390"/>
      <c r="N12" s="389">
        <v>100</v>
      </c>
      <c r="O12" s="389">
        <v>100</v>
      </c>
      <c r="P12" s="389">
        <v>100</v>
      </c>
      <c r="Q12" s="389">
        <v>100</v>
      </c>
      <c r="R12" s="390">
        <v>100</v>
      </c>
      <c r="S12" s="389"/>
      <c r="T12" s="389"/>
      <c r="U12" s="389"/>
      <c r="V12" s="389"/>
      <c r="W12" s="390"/>
      <c r="X12" s="389">
        <v>100</v>
      </c>
      <c r="Y12" s="389">
        <v>100</v>
      </c>
      <c r="Z12" s="389">
        <v>100</v>
      </c>
      <c r="AA12" s="389">
        <v>100</v>
      </c>
      <c r="AB12" s="390">
        <v>100</v>
      </c>
      <c r="AC12" s="391">
        <v>0.85</v>
      </c>
      <c r="AD12" s="391">
        <v>0.87</v>
      </c>
      <c r="AE12" s="391">
        <v>0.91</v>
      </c>
      <c r="AF12" s="391">
        <v>0.95</v>
      </c>
      <c r="AG12" s="392">
        <v>0.95</v>
      </c>
      <c r="AH12" s="391">
        <v>0</v>
      </c>
      <c r="AI12" s="391">
        <v>0</v>
      </c>
      <c r="AJ12" s="391">
        <v>0</v>
      </c>
      <c r="AK12" s="391">
        <v>0</v>
      </c>
      <c r="AL12" s="392">
        <v>0</v>
      </c>
      <c r="AM12" s="391">
        <v>0</v>
      </c>
      <c r="AN12" s="391">
        <v>0</v>
      </c>
      <c r="AO12" s="391">
        <v>0</v>
      </c>
      <c r="AP12" s="391">
        <v>0</v>
      </c>
      <c r="AQ12" s="392">
        <v>0</v>
      </c>
      <c r="AR12" s="389"/>
      <c r="AS12" s="389"/>
      <c r="AT12" s="389"/>
      <c r="AU12" s="389"/>
      <c r="AV12" s="390"/>
      <c r="AW12" s="389">
        <v>20</v>
      </c>
      <c r="AX12" s="389">
        <v>20</v>
      </c>
      <c r="AY12" s="389">
        <v>20</v>
      </c>
      <c r="AZ12" s="389">
        <v>20</v>
      </c>
      <c r="BA12" s="390">
        <v>20</v>
      </c>
      <c r="BB12" s="393">
        <v>93500</v>
      </c>
      <c r="BC12" s="393">
        <v>93500</v>
      </c>
      <c r="BD12" s="393">
        <v>93500</v>
      </c>
      <c r="BE12" s="393">
        <v>93500</v>
      </c>
      <c r="BF12" s="394">
        <v>93500</v>
      </c>
      <c r="BG12" s="393">
        <v>15000</v>
      </c>
      <c r="BH12" s="393">
        <v>15000</v>
      </c>
      <c r="BI12" s="393">
        <v>18500</v>
      </c>
      <c r="BJ12" s="393">
        <v>18500</v>
      </c>
      <c r="BK12" s="394">
        <v>18500</v>
      </c>
      <c r="BL12" s="393">
        <v>31.5</v>
      </c>
      <c r="BM12" s="393">
        <v>31.5</v>
      </c>
      <c r="BN12" s="393">
        <v>35</v>
      </c>
      <c r="BO12" s="393">
        <v>40</v>
      </c>
      <c r="BP12" s="393">
        <v>40</v>
      </c>
      <c r="BQ12" s="395">
        <v>0</v>
      </c>
      <c r="BR12" s="393">
        <v>0</v>
      </c>
      <c r="BS12" s="393">
        <v>0</v>
      </c>
      <c r="BT12" s="393">
        <v>0</v>
      </c>
      <c r="BU12" s="394">
        <v>0</v>
      </c>
      <c r="BV12" s="396" t="s">
        <v>801</v>
      </c>
      <c r="BW12" s="402">
        <v>170</v>
      </c>
      <c r="BX12" s="402">
        <v>170</v>
      </c>
      <c r="BY12" s="402">
        <v>170</v>
      </c>
      <c r="BZ12" s="402">
        <v>170</v>
      </c>
      <c r="CA12" s="403">
        <v>170</v>
      </c>
      <c r="CB12" s="397">
        <v>27.272727272727273</v>
      </c>
      <c r="CC12" s="397">
        <v>27.272727272727273</v>
      </c>
      <c r="CD12" s="397">
        <v>33.636363636363633</v>
      </c>
      <c r="CE12" s="397">
        <v>33.636363636363633</v>
      </c>
      <c r="CF12" s="398">
        <v>33.636363636363633</v>
      </c>
      <c r="CG12" s="400">
        <v>6.3</v>
      </c>
      <c r="CH12" s="400">
        <v>6.3</v>
      </c>
      <c r="CI12" s="400">
        <v>7</v>
      </c>
      <c r="CJ12" s="400">
        <v>8</v>
      </c>
      <c r="CK12" s="401">
        <v>8</v>
      </c>
    </row>
    <row r="13" spans="1:89" s="384" customFormat="1" x14ac:dyDescent="0.2">
      <c r="A13" s="385" t="s">
        <v>802</v>
      </c>
      <c r="B13" s="386" t="s">
        <v>906</v>
      </c>
      <c r="C13" s="387" t="s">
        <v>803</v>
      </c>
      <c r="D13" s="388" t="s">
        <v>907</v>
      </c>
      <c r="E13" s="389" t="s">
        <v>908</v>
      </c>
      <c r="F13" s="389" t="s">
        <v>909</v>
      </c>
      <c r="G13" s="389" t="s">
        <v>910</v>
      </c>
      <c r="H13" s="390" t="s">
        <v>910</v>
      </c>
      <c r="I13" s="389"/>
      <c r="J13" s="389"/>
      <c r="K13" s="389"/>
      <c r="L13" s="389"/>
      <c r="M13" s="390"/>
      <c r="N13" s="404">
        <v>40</v>
      </c>
      <c r="O13" s="404">
        <v>40</v>
      </c>
      <c r="P13" s="404">
        <v>40</v>
      </c>
      <c r="Q13" s="404">
        <v>40</v>
      </c>
      <c r="R13" s="405">
        <v>40</v>
      </c>
      <c r="S13" s="389"/>
      <c r="T13" s="389"/>
      <c r="U13" s="389"/>
      <c r="V13" s="389"/>
      <c r="W13" s="390"/>
      <c r="X13" s="389">
        <v>0</v>
      </c>
      <c r="Y13" s="389">
        <v>0</v>
      </c>
      <c r="Z13" s="389">
        <v>0</v>
      </c>
      <c r="AA13" s="389">
        <v>0</v>
      </c>
      <c r="AB13" s="390">
        <v>0</v>
      </c>
      <c r="AC13" s="391">
        <v>0.65</v>
      </c>
      <c r="AD13" s="391">
        <v>0.7</v>
      </c>
      <c r="AE13" s="391">
        <v>0.75</v>
      </c>
      <c r="AF13" s="391">
        <v>0.75</v>
      </c>
      <c r="AG13" s="392">
        <v>0.75</v>
      </c>
      <c r="AH13" s="391">
        <v>0</v>
      </c>
      <c r="AI13" s="391">
        <v>0</v>
      </c>
      <c r="AJ13" s="391">
        <v>0</v>
      </c>
      <c r="AK13" s="391">
        <v>0</v>
      </c>
      <c r="AL13" s="392">
        <v>0</v>
      </c>
      <c r="AM13" s="391">
        <v>0</v>
      </c>
      <c r="AN13" s="391">
        <v>0</v>
      </c>
      <c r="AO13" s="391">
        <v>0</v>
      </c>
      <c r="AP13" s="391">
        <v>0</v>
      </c>
      <c r="AQ13" s="392">
        <v>0</v>
      </c>
      <c r="AR13" s="389"/>
      <c r="AS13" s="389"/>
      <c r="AT13" s="389"/>
      <c r="AU13" s="389"/>
      <c r="AV13" s="390"/>
      <c r="AW13" s="389">
        <v>24</v>
      </c>
      <c r="AX13" s="389">
        <v>24</v>
      </c>
      <c r="AY13" s="389">
        <v>24</v>
      </c>
      <c r="AZ13" s="389">
        <v>24</v>
      </c>
      <c r="BA13" s="390">
        <v>24</v>
      </c>
      <c r="BB13" s="393">
        <v>2600</v>
      </c>
      <c r="BC13" s="393">
        <v>2600</v>
      </c>
      <c r="BD13" s="393">
        <v>3500</v>
      </c>
      <c r="BE13" s="393">
        <v>3500</v>
      </c>
      <c r="BF13" s="394">
        <v>3500</v>
      </c>
      <c r="BG13" s="393">
        <v>1600</v>
      </c>
      <c r="BH13" s="393">
        <v>1600</v>
      </c>
      <c r="BI13" s="393">
        <v>1600</v>
      </c>
      <c r="BJ13" s="393">
        <v>1600</v>
      </c>
      <c r="BK13" s="394">
        <v>1600</v>
      </c>
      <c r="BL13" s="393">
        <v>0.75</v>
      </c>
      <c r="BM13" s="393">
        <v>0.70000000000000007</v>
      </c>
      <c r="BN13" s="393">
        <v>0.5</v>
      </c>
      <c r="BO13" s="393">
        <v>0.70000000000000007</v>
      </c>
      <c r="BP13" s="394">
        <v>0.70000000000000007</v>
      </c>
      <c r="BQ13" s="395">
        <v>0</v>
      </c>
      <c r="BR13" s="393">
        <v>0</v>
      </c>
      <c r="BS13" s="393">
        <v>0</v>
      </c>
      <c r="BT13" s="393">
        <v>0</v>
      </c>
      <c r="BU13" s="394">
        <v>0</v>
      </c>
      <c r="BV13" s="396" t="s">
        <v>804</v>
      </c>
      <c r="BW13" s="397">
        <v>346.66666666666669</v>
      </c>
      <c r="BX13" s="397">
        <v>371.42857142857144</v>
      </c>
      <c r="BY13" s="397">
        <v>666.66666666666663</v>
      </c>
      <c r="BZ13" s="397">
        <v>933.33333333333337</v>
      </c>
      <c r="CA13" s="398">
        <v>933.33333333333337</v>
      </c>
      <c r="CB13" s="397">
        <v>213.33333333333334</v>
      </c>
      <c r="CC13" s="397">
        <v>228.57142857142858</v>
      </c>
      <c r="CD13" s="397">
        <v>304.76190476190476</v>
      </c>
      <c r="CE13" s="397">
        <v>426.66666666666669</v>
      </c>
      <c r="CF13" s="398">
        <v>426.66666666666669</v>
      </c>
      <c r="CG13" s="400">
        <v>0.1</v>
      </c>
      <c r="CH13" s="400">
        <v>0.1</v>
      </c>
      <c r="CI13" s="400">
        <v>0.1</v>
      </c>
      <c r="CJ13" s="400">
        <v>0.2</v>
      </c>
      <c r="CK13" s="401">
        <v>0.2</v>
      </c>
    </row>
    <row r="14" spans="1:89" s="384" customFormat="1" x14ac:dyDescent="0.2">
      <c r="A14" s="385"/>
      <c r="B14" s="386"/>
      <c r="C14" s="387" t="s">
        <v>805</v>
      </c>
      <c r="D14" s="388"/>
      <c r="E14" s="389"/>
      <c r="F14" s="389"/>
      <c r="G14" s="389"/>
      <c r="H14" s="390"/>
      <c r="I14" s="389"/>
      <c r="J14" s="389"/>
      <c r="K14" s="389"/>
      <c r="L14" s="389"/>
      <c r="M14" s="390"/>
      <c r="N14" s="389"/>
      <c r="O14" s="389"/>
      <c r="P14" s="389"/>
      <c r="Q14" s="389"/>
      <c r="R14" s="390"/>
      <c r="S14" s="389"/>
      <c r="T14" s="389"/>
      <c r="U14" s="389"/>
      <c r="V14" s="389"/>
      <c r="W14" s="390"/>
      <c r="X14" s="389"/>
      <c r="Y14" s="389"/>
      <c r="Z14" s="389"/>
      <c r="AA14" s="389"/>
      <c r="AB14" s="390"/>
      <c r="AC14" s="391">
        <v>0</v>
      </c>
      <c r="AD14" s="391">
        <v>0</v>
      </c>
      <c r="AE14" s="391">
        <v>0</v>
      </c>
      <c r="AF14" s="391">
        <v>0</v>
      </c>
      <c r="AG14" s="392">
        <v>0</v>
      </c>
      <c r="AH14" s="391">
        <v>0</v>
      </c>
      <c r="AI14" s="391">
        <v>0</v>
      </c>
      <c r="AJ14" s="391">
        <v>0</v>
      </c>
      <c r="AK14" s="391">
        <v>0</v>
      </c>
      <c r="AL14" s="392">
        <v>0</v>
      </c>
      <c r="AM14" s="391">
        <v>0</v>
      </c>
      <c r="AN14" s="391">
        <v>0</v>
      </c>
      <c r="AO14" s="391">
        <v>0</v>
      </c>
      <c r="AP14" s="391">
        <v>0</v>
      </c>
      <c r="AQ14" s="392">
        <v>0</v>
      </c>
      <c r="AR14" s="389"/>
      <c r="AS14" s="389"/>
      <c r="AT14" s="389"/>
      <c r="AU14" s="389"/>
      <c r="AV14" s="390"/>
      <c r="AW14" s="389"/>
      <c r="AX14" s="389"/>
      <c r="AY14" s="389"/>
      <c r="AZ14" s="389"/>
      <c r="BA14" s="390"/>
      <c r="BB14" s="393">
        <v>0</v>
      </c>
      <c r="BC14" s="393">
        <v>0</v>
      </c>
      <c r="BD14" s="393">
        <v>0</v>
      </c>
      <c r="BE14" s="393">
        <v>0</v>
      </c>
      <c r="BF14" s="394">
        <v>0</v>
      </c>
      <c r="BG14" s="393">
        <v>0</v>
      </c>
      <c r="BH14" s="393">
        <v>0</v>
      </c>
      <c r="BI14" s="393">
        <v>0</v>
      </c>
      <c r="BJ14" s="393">
        <v>0</v>
      </c>
      <c r="BK14" s="394">
        <v>0</v>
      </c>
      <c r="BL14" s="393"/>
      <c r="BM14" s="393"/>
      <c r="BN14" s="393"/>
      <c r="BO14" s="393"/>
      <c r="BP14" s="394"/>
      <c r="BQ14" s="395"/>
      <c r="BR14" s="393"/>
      <c r="BS14" s="393"/>
      <c r="BT14" s="393"/>
      <c r="BU14" s="394"/>
      <c r="BV14" s="396"/>
      <c r="BW14" s="393"/>
      <c r="BX14" s="393"/>
      <c r="BY14" s="393"/>
      <c r="BZ14" s="393"/>
      <c r="CA14" s="394"/>
      <c r="CB14" s="393"/>
      <c r="CC14" s="393"/>
      <c r="CD14" s="393"/>
      <c r="CE14" s="393"/>
      <c r="CF14" s="394"/>
      <c r="CG14" s="395"/>
      <c r="CH14" s="393"/>
      <c r="CI14" s="393"/>
      <c r="CJ14" s="393"/>
      <c r="CK14" s="394"/>
    </row>
    <row r="15" spans="1:89" s="384" customFormat="1" x14ac:dyDescent="0.2">
      <c r="A15" s="377" t="s">
        <v>806</v>
      </c>
      <c r="B15" s="378"/>
      <c r="C15" s="379"/>
      <c r="D15" s="380"/>
      <c r="E15" s="381"/>
      <c r="F15" s="381"/>
      <c r="G15" s="381"/>
      <c r="H15" s="382"/>
      <c r="I15" s="381"/>
      <c r="J15" s="381"/>
      <c r="K15" s="381"/>
      <c r="L15" s="381"/>
      <c r="M15" s="382"/>
      <c r="N15" s="381"/>
      <c r="O15" s="381"/>
      <c r="P15" s="381"/>
      <c r="Q15" s="381"/>
      <c r="R15" s="382"/>
      <c r="S15" s="381"/>
      <c r="T15" s="381"/>
      <c r="U15" s="381"/>
      <c r="V15" s="381"/>
      <c r="W15" s="382"/>
      <c r="X15" s="381"/>
      <c r="Y15" s="381"/>
      <c r="Z15" s="381"/>
      <c r="AA15" s="381"/>
      <c r="AB15" s="382"/>
      <c r="AC15" s="406">
        <v>0</v>
      </c>
      <c r="AD15" s="406">
        <v>0</v>
      </c>
      <c r="AE15" s="406">
        <v>0</v>
      </c>
      <c r="AF15" s="406">
        <v>0</v>
      </c>
      <c r="AG15" s="407">
        <v>0</v>
      </c>
      <c r="AH15" s="406">
        <v>0</v>
      </c>
      <c r="AI15" s="406">
        <v>0</v>
      </c>
      <c r="AJ15" s="406">
        <v>0</v>
      </c>
      <c r="AK15" s="406">
        <v>0</v>
      </c>
      <c r="AL15" s="407">
        <v>0</v>
      </c>
      <c r="AM15" s="406">
        <v>0</v>
      </c>
      <c r="AN15" s="406">
        <v>0</v>
      </c>
      <c r="AO15" s="406">
        <v>0</v>
      </c>
      <c r="AP15" s="406">
        <v>0</v>
      </c>
      <c r="AQ15" s="407">
        <v>0</v>
      </c>
      <c r="AR15" s="381"/>
      <c r="AS15" s="381"/>
      <c r="AT15" s="381"/>
      <c r="AU15" s="381"/>
      <c r="AV15" s="382"/>
      <c r="AW15" s="381"/>
      <c r="AX15" s="381"/>
      <c r="AY15" s="381"/>
      <c r="AZ15" s="381"/>
      <c r="BA15" s="382"/>
      <c r="BB15" s="381">
        <v>0</v>
      </c>
      <c r="BC15" s="381">
        <v>0</v>
      </c>
      <c r="BD15" s="381">
        <v>0</v>
      </c>
      <c r="BE15" s="381">
        <v>0</v>
      </c>
      <c r="BF15" s="382">
        <v>0</v>
      </c>
      <c r="BG15" s="381">
        <v>0</v>
      </c>
      <c r="BH15" s="381">
        <v>0</v>
      </c>
      <c r="BI15" s="381">
        <v>0</v>
      </c>
      <c r="BJ15" s="381">
        <v>0</v>
      </c>
      <c r="BK15" s="382">
        <v>0</v>
      </c>
      <c r="BL15" s="381"/>
      <c r="BM15" s="381"/>
      <c r="BN15" s="381"/>
      <c r="BO15" s="381"/>
      <c r="BP15" s="382"/>
      <c r="BQ15" s="380"/>
      <c r="BR15" s="381"/>
      <c r="BS15" s="381"/>
      <c r="BT15" s="381"/>
      <c r="BU15" s="382"/>
      <c r="BV15" s="383"/>
      <c r="BW15" s="381"/>
      <c r="BX15" s="381"/>
      <c r="BY15" s="381"/>
      <c r="BZ15" s="381"/>
      <c r="CA15" s="382"/>
      <c r="CB15" s="381"/>
      <c r="CC15" s="381"/>
      <c r="CD15" s="381"/>
      <c r="CE15" s="381"/>
      <c r="CF15" s="382"/>
      <c r="CG15" s="380"/>
      <c r="CH15" s="381"/>
      <c r="CI15" s="381"/>
      <c r="CJ15" s="381"/>
      <c r="CK15" s="382"/>
    </row>
    <row r="16" spans="1:89" s="384" customFormat="1" x14ac:dyDescent="0.2">
      <c r="A16" s="385" t="s">
        <v>807</v>
      </c>
      <c r="B16" s="386" t="s">
        <v>911</v>
      </c>
      <c r="C16" s="387" t="s">
        <v>808</v>
      </c>
      <c r="D16" s="388" t="s">
        <v>912</v>
      </c>
      <c r="E16" s="389" t="s">
        <v>912</v>
      </c>
      <c r="F16" s="389" t="s">
        <v>912</v>
      </c>
      <c r="G16" s="389" t="s">
        <v>912</v>
      </c>
      <c r="H16" s="390" t="s">
        <v>912</v>
      </c>
      <c r="I16" s="389"/>
      <c r="J16" s="389"/>
      <c r="K16" s="389"/>
      <c r="L16" s="389"/>
      <c r="M16" s="390"/>
      <c r="N16" s="389">
        <v>60</v>
      </c>
      <c r="O16" s="389">
        <v>60</v>
      </c>
      <c r="P16" s="389">
        <v>60</v>
      </c>
      <c r="Q16" s="389">
        <v>60</v>
      </c>
      <c r="R16" s="390">
        <v>60</v>
      </c>
      <c r="S16" s="389"/>
      <c r="T16" s="389"/>
      <c r="U16" s="389"/>
      <c r="V16" s="389"/>
      <c r="W16" s="390"/>
      <c r="X16" s="389">
        <v>0</v>
      </c>
      <c r="Y16" s="389">
        <v>0</v>
      </c>
      <c r="Z16" s="389">
        <v>0</v>
      </c>
      <c r="AA16" s="389">
        <v>0</v>
      </c>
      <c r="AB16" s="390">
        <v>0</v>
      </c>
      <c r="AC16" s="391">
        <v>3</v>
      </c>
      <c r="AD16" s="391">
        <v>3.2</v>
      </c>
      <c r="AE16" s="391">
        <v>3.7</v>
      </c>
      <c r="AF16" s="391">
        <v>4</v>
      </c>
      <c r="AG16" s="392">
        <v>4</v>
      </c>
      <c r="AH16" s="391">
        <v>0</v>
      </c>
      <c r="AI16" s="391">
        <v>0</v>
      </c>
      <c r="AJ16" s="391">
        <v>0</v>
      </c>
      <c r="AK16" s="391">
        <v>0</v>
      </c>
      <c r="AL16" s="392">
        <v>0</v>
      </c>
      <c r="AM16" s="391">
        <v>0</v>
      </c>
      <c r="AN16" s="391">
        <v>0</v>
      </c>
      <c r="AO16" s="391">
        <v>0</v>
      </c>
      <c r="AP16" s="391">
        <v>0</v>
      </c>
      <c r="AQ16" s="392">
        <v>0</v>
      </c>
      <c r="AR16" s="389"/>
      <c r="AS16" s="389"/>
      <c r="AT16" s="389"/>
      <c r="AU16" s="389"/>
      <c r="AV16" s="390"/>
      <c r="AW16" s="389">
        <v>20</v>
      </c>
      <c r="AX16" s="389">
        <v>20</v>
      </c>
      <c r="AY16" s="389">
        <v>20</v>
      </c>
      <c r="AZ16" s="389">
        <v>20</v>
      </c>
      <c r="BA16" s="390">
        <v>20</v>
      </c>
      <c r="BB16" s="393">
        <v>2200</v>
      </c>
      <c r="BC16" s="393">
        <v>2100</v>
      </c>
      <c r="BD16" s="393">
        <v>1900</v>
      </c>
      <c r="BE16" s="393">
        <v>1800</v>
      </c>
      <c r="BF16" s="394">
        <v>1800</v>
      </c>
      <c r="BG16" s="393">
        <v>0</v>
      </c>
      <c r="BH16" s="393">
        <v>0</v>
      </c>
      <c r="BI16" s="393">
        <v>0</v>
      </c>
      <c r="BJ16" s="393">
        <v>0</v>
      </c>
      <c r="BK16" s="394">
        <v>0</v>
      </c>
      <c r="BL16" s="393">
        <v>34</v>
      </c>
      <c r="BM16" s="393">
        <v>34</v>
      </c>
      <c r="BN16" s="393">
        <v>34</v>
      </c>
      <c r="BO16" s="393">
        <v>34</v>
      </c>
      <c r="BP16" s="394">
        <v>34</v>
      </c>
      <c r="BQ16" s="395">
        <v>0</v>
      </c>
      <c r="BR16" s="393">
        <v>0</v>
      </c>
      <c r="BS16" s="393">
        <v>0</v>
      </c>
      <c r="BT16" s="393">
        <v>0</v>
      </c>
      <c r="BU16" s="394">
        <v>0</v>
      </c>
      <c r="BV16" s="396"/>
      <c r="BW16" s="397">
        <v>550</v>
      </c>
      <c r="BX16" s="397">
        <v>525</v>
      </c>
      <c r="BY16" s="397">
        <v>475</v>
      </c>
      <c r="BZ16" s="397">
        <v>450</v>
      </c>
      <c r="CA16" s="398">
        <v>450</v>
      </c>
      <c r="CB16" s="393">
        <v>0</v>
      </c>
      <c r="CC16" s="393">
        <v>0</v>
      </c>
      <c r="CD16" s="393">
        <v>0</v>
      </c>
      <c r="CE16" s="393">
        <v>0</v>
      </c>
      <c r="CF16" s="394">
        <v>0</v>
      </c>
      <c r="CG16" s="399">
        <v>8.5</v>
      </c>
      <c r="CH16" s="397">
        <v>8.5</v>
      </c>
      <c r="CI16" s="397">
        <v>8.5</v>
      </c>
      <c r="CJ16" s="397">
        <v>8.5</v>
      </c>
      <c r="CK16" s="398">
        <v>8.5</v>
      </c>
    </row>
    <row r="17" spans="1:89" s="384" customFormat="1" x14ac:dyDescent="0.2">
      <c r="A17" s="385"/>
      <c r="B17" s="386"/>
      <c r="C17" s="387" t="s">
        <v>809</v>
      </c>
      <c r="D17" s="408">
        <v>63.7</v>
      </c>
      <c r="E17" s="404">
        <v>63.7</v>
      </c>
      <c r="F17" s="404">
        <v>63.7</v>
      </c>
      <c r="G17" s="404">
        <v>63.7</v>
      </c>
      <c r="H17" s="405">
        <v>63.7</v>
      </c>
      <c r="I17" s="389"/>
      <c r="J17" s="389"/>
      <c r="K17" s="389"/>
      <c r="L17" s="389"/>
      <c r="M17" s="390"/>
      <c r="N17" s="389"/>
      <c r="O17" s="389"/>
      <c r="P17" s="389"/>
      <c r="Q17" s="389"/>
      <c r="R17" s="390"/>
      <c r="S17" s="389"/>
      <c r="T17" s="389"/>
      <c r="U17" s="389"/>
      <c r="V17" s="389"/>
      <c r="W17" s="390"/>
      <c r="X17" s="389"/>
      <c r="Y17" s="389"/>
      <c r="Z17" s="389"/>
      <c r="AA17" s="389"/>
      <c r="AB17" s="390"/>
      <c r="AC17" s="391">
        <v>0</v>
      </c>
      <c r="AD17" s="391">
        <v>0</v>
      </c>
      <c r="AE17" s="391">
        <v>0</v>
      </c>
      <c r="AF17" s="391">
        <v>0</v>
      </c>
      <c r="AG17" s="392">
        <v>0</v>
      </c>
      <c r="AH17" s="391">
        <v>0</v>
      </c>
      <c r="AI17" s="391">
        <v>0</v>
      </c>
      <c r="AJ17" s="391">
        <v>0</v>
      </c>
      <c r="AK17" s="391">
        <v>0</v>
      </c>
      <c r="AL17" s="392">
        <v>0</v>
      </c>
      <c r="AM17" s="391">
        <v>0</v>
      </c>
      <c r="AN17" s="391">
        <v>0</v>
      </c>
      <c r="AO17" s="391">
        <v>0</v>
      </c>
      <c r="AP17" s="391">
        <v>0</v>
      </c>
      <c r="AQ17" s="392">
        <v>0</v>
      </c>
      <c r="AR17" s="389"/>
      <c r="AS17" s="389"/>
      <c r="AT17" s="389"/>
      <c r="AU17" s="389"/>
      <c r="AV17" s="390"/>
      <c r="AW17" s="389"/>
      <c r="AX17" s="389"/>
      <c r="AY17" s="389"/>
      <c r="AZ17" s="389"/>
      <c r="BA17" s="390"/>
      <c r="BB17" s="409">
        <v>27140.2</v>
      </c>
      <c r="BC17" s="409">
        <v>25783.19</v>
      </c>
      <c r="BD17" s="409">
        <v>23340.571999999996</v>
      </c>
      <c r="BE17" s="409">
        <v>22254.963999999996</v>
      </c>
      <c r="BF17" s="410">
        <v>22254.963999999996</v>
      </c>
      <c r="BG17" s="393">
        <v>0</v>
      </c>
      <c r="BH17" s="393">
        <v>0</v>
      </c>
      <c r="BI17" s="393">
        <v>0</v>
      </c>
      <c r="BJ17" s="393">
        <v>0</v>
      </c>
      <c r="BK17" s="394">
        <v>0</v>
      </c>
      <c r="BL17" s="409">
        <v>650</v>
      </c>
      <c r="BM17" s="393"/>
      <c r="BN17" s="393"/>
      <c r="BO17" s="393"/>
      <c r="BP17" s="394"/>
      <c r="BQ17" s="395"/>
      <c r="BR17" s="393"/>
      <c r="BS17" s="393"/>
      <c r="BT17" s="393"/>
      <c r="BU17" s="394"/>
      <c r="BV17" s="396"/>
      <c r="BW17" s="393">
        <v>426.06279434850865</v>
      </c>
      <c r="BX17" s="393">
        <v>404.75965463108315</v>
      </c>
      <c r="BY17" s="393">
        <v>366.41400313971735</v>
      </c>
      <c r="BZ17" s="393">
        <v>349.37149136577699</v>
      </c>
      <c r="CA17" s="394">
        <v>349.37149136577699</v>
      </c>
      <c r="CB17" s="393">
        <v>0</v>
      </c>
      <c r="CC17" s="393">
        <v>0</v>
      </c>
      <c r="CD17" s="393">
        <v>0</v>
      </c>
      <c r="CE17" s="393">
        <v>0</v>
      </c>
      <c r="CF17" s="394">
        <v>0</v>
      </c>
      <c r="CG17" s="395">
        <v>10.204081632653061</v>
      </c>
      <c r="CH17" s="393">
        <v>0</v>
      </c>
      <c r="CI17" s="393">
        <v>0</v>
      </c>
      <c r="CJ17" s="393">
        <v>0</v>
      </c>
      <c r="CK17" s="394">
        <v>0</v>
      </c>
    </row>
    <row r="18" spans="1:89" s="384" customFormat="1" x14ac:dyDescent="0.2">
      <c r="A18" s="385" t="s">
        <v>810</v>
      </c>
      <c r="B18" s="386" t="s">
        <v>913</v>
      </c>
      <c r="C18" s="387" t="s">
        <v>811</v>
      </c>
      <c r="D18" s="388">
        <v>10</v>
      </c>
      <c r="E18" s="389">
        <v>10</v>
      </c>
      <c r="F18" s="389">
        <v>10</v>
      </c>
      <c r="G18" s="389">
        <v>10</v>
      </c>
      <c r="H18" s="390">
        <v>10</v>
      </c>
      <c r="I18" s="389"/>
      <c r="J18" s="389"/>
      <c r="K18" s="389"/>
      <c r="L18" s="389"/>
      <c r="M18" s="390"/>
      <c r="N18" s="389">
        <v>100</v>
      </c>
      <c r="O18" s="389">
        <v>100</v>
      </c>
      <c r="P18" s="389">
        <v>100</v>
      </c>
      <c r="Q18" s="389">
        <v>100</v>
      </c>
      <c r="R18" s="390">
        <v>100</v>
      </c>
      <c r="S18" s="389"/>
      <c r="T18" s="389"/>
      <c r="U18" s="389"/>
      <c r="V18" s="389"/>
      <c r="W18" s="390"/>
      <c r="X18" s="389">
        <v>100</v>
      </c>
      <c r="Y18" s="389">
        <v>100</v>
      </c>
      <c r="Z18" s="389">
        <v>100</v>
      </c>
      <c r="AA18" s="389">
        <v>100</v>
      </c>
      <c r="AB18" s="390">
        <v>100</v>
      </c>
      <c r="AC18" s="391">
        <v>3</v>
      </c>
      <c r="AD18" s="391">
        <v>3.3</v>
      </c>
      <c r="AE18" s="391">
        <v>3.7</v>
      </c>
      <c r="AF18" s="391">
        <v>4</v>
      </c>
      <c r="AG18" s="392">
        <v>4</v>
      </c>
      <c r="AH18" s="391">
        <v>0</v>
      </c>
      <c r="AI18" s="391">
        <v>0</v>
      </c>
      <c r="AJ18" s="391">
        <v>0</v>
      </c>
      <c r="AK18" s="391">
        <v>0</v>
      </c>
      <c r="AL18" s="392">
        <v>0</v>
      </c>
      <c r="AM18" s="391">
        <v>0</v>
      </c>
      <c r="AN18" s="391">
        <v>0</v>
      </c>
      <c r="AO18" s="391">
        <v>0</v>
      </c>
      <c r="AP18" s="391">
        <v>0</v>
      </c>
      <c r="AQ18" s="392">
        <v>0</v>
      </c>
      <c r="AR18" s="389"/>
      <c r="AS18" s="389"/>
      <c r="AT18" s="389"/>
      <c r="AU18" s="389"/>
      <c r="AV18" s="390"/>
      <c r="AW18" s="389">
        <v>20</v>
      </c>
      <c r="AX18" s="389">
        <v>20</v>
      </c>
      <c r="AY18" s="389">
        <v>20</v>
      </c>
      <c r="AZ18" s="389">
        <v>20</v>
      </c>
      <c r="BA18" s="390">
        <v>20</v>
      </c>
      <c r="BB18" s="393">
        <v>11000</v>
      </c>
      <c r="BC18" s="393">
        <v>10000</v>
      </c>
      <c r="BD18" s="393">
        <v>10000</v>
      </c>
      <c r="BE18" s="393">
        <v>9000</v>
      </c>
      <c r="BF18" s="394">
        <v>9000</v>
      </c>
      <c r="BG18" s="393">
        <v>0</v>
      </c>
      <c r="BH18" s="393">
        <v>0</v>
      </c>
      <c r="BI18" s="393">
        <v>0</v>
      </c>
      <c r="BJ18" s="393">
        <v>0</v>
      </c>
      <c r="BK18" s="394">
        <v>0</v>
      </c>
      <c r="BL18" s="393">
        <v>150</v>
      </c>
      <c r="BM18" s="393">
        <v>150</v>
      </c>
      <c r="BN18" s="393">
        <v>150</v>
      </c>
      <c r="BO18" s="393">
        <v>150</v>
      </c>
      <c r="BP18" s="394">
        <v>150</v>
      </c>
      <c r="BQ18" s="395">
        <v>0</v>
      </c>
      <c r="BR18" s="393">
        <v>0</v>
      </c>
      <c r="BS18" s="393">
        <v>0</v>
      </c>
      <c r="BT18" s="393">
        <v>0</v>
      </c>
      <c r="BU18" s="394">
        <v>0</v>
      </c>
      <c r="BV18" s="396" t="s">
        <v>812</v>
      </c>
      <c r="BW18" s="393">
        <v>1100</v>
      </c>
      <c r="BX18" s="393">
        <v>1000</v>
      </c>
      <c r="BY18" s="393">
        <v>1000</v>
      </c>
      <c r="BZ18" s="393">
        <v>900</v>
      </c>
      <c r="CA18" s="394">
        <v>900</v>
      </c>
      <c r="CB18" s="393">
        <v>0</v>
      </c>
      <c r="CC18" s="393">
        <v>0</v>
      </c>
      <c r="CD18" s="393">
        <v>0</v>
      </c>
      <c r="CE18" s="393">
        <v>0</v>
      </c>
      <c r="CF18" s="394">
        <v>0</v>
      </c>
      <c r="CG18" s="395">
        <v>15</v>
      </c>
      <c r="CH18" s="393">
        <v>15</v>
      </c>
      <c r="CI18" s="393">
        <v>15</v>
      </c>
      <c r="CJ18" s="393">
        <v>15</v>
      </c>
      <c r="CK18" s="394">
        <v>15</v>
      </c>
    </row>
    <row r="19" spans="1:89" s="384" customFormat="1" x14ac:dyDescent="0.2">
      <c r="A19" s="385" t="s">
        <v>813</v>
      </c>
      <c r="B19" s="386" t="s">
        <v>914</v>
      </c>
      <c r="C19" s="387" t="s">
        <v>814</v>
      </c>
      <c r="D19" s="388" t="s">
        <v>915</v>
      </c>
      <c r="E19" s="389" t="s">
        <v>915</v>
      </c>
      <c r="F19" s="389" t="s">
        <v>915</v>
      </c>
      <c r="G19" s="389" t="s">
        <v>915</v>
      </c>
      <c r="H19" s="390" t="s">
        <v>915</v>
      </c>
      <c r="I19" s="389"/>
      <c r="J19" s="389"/>
      <c r="K19" s="389"/>
      <c r="L19" s="389"/>
      <c r="M19" s="390"/>
      <c r="N19" s="389">
        <v>100</v>
      </c>
      <c r="O19" s="389">
        <v>100</v>
      </c>
      <c r="P19" s="389">
        <v>100</v>
      </c>
      <c r="Q19" s="389">
        <v>100</v>
      </c>
      <c r="R19" s="390">
        <v>100</v>
      </c>
      <c r="S19" s="389"/>
      <c r="T19" s="389"/>
      <c r="U19" s="389"/>
      <c r="V19" s="389"/>
      <c r="W19" s="390"/>
      <c r="X19" s="389">
        <v>100</v>
      </c>
      <c r="Y19" s="389">
        <v>100</v>
      </c>
      <c r="Z19" s="389">
        <v>100</v>
      </c>
      <c r="AA19" s="389">
        <v>100</v>
      </c>
      <c r="AB19" s="390">
        <v>100</v>
      </c>
      <c r="AC19" s="391">
        <v>3</v>
      </c>
      <c r="AD19" s="391">
        <v>3.3</v>
      </c>
      <c r="AE19" s="391">
        <v>3.7</v>
      </c>
      <c r="AF19" s="391">
        <v>4</v>
      </c>
      <c r="AG19" s="392">
        <v>4</v>
      </c>
      <c r="AH19" s="391">
        <v>0</v>
      </c>
      <c r="AI19" s="391">
        <v>0</v>
      </c>
      <c r="AJ19" s="391">
        <v>0</v>
      </c>
      <c r="AK19" s="391">
        <v>0</v>
      </c>
      <c r="AL19" s="392">
        <v>0</v>
      </c>
      <c r="AM19" s="391">
        <v>0</v>
      </c>
      <c r="AN19" s="391">
        <v>0</v>
      </c>
      <c r="AO19" s="391">
        <v>0</v>
      </c>
      <c r="AP19" s="391">
        <v>0</v>
      </c>
      <c r="AQ19" s="392">
        <v>0</v>
      </c>
      <c r="AR19" s="389"/>
      <c r="AS19" s="389"/>
      <c r="AT19" s="389"/>
      <c r="AU19" s="389"/>
      <c r="AV19" s="390"/>
      <c r="AW19" s="389">
        <v>20</v>
      </c>
      <c r="AX19" s="389">
        <v>20</v>
      </c>
      <c r="AY19" s="389">
        <v>20</v>
      </c>
      <c r="AZ19" s="389">
        <v>20</v>
      </c>
      <c r="BA19" s="390">
        <v>20</v>
      </c>
      <c r="BB19" s="393">
        <v>320000</v>
      </c>
      <c r="BC19" s="393">
        <v>320000</v>
      </c>
      <c r="BD19" s="393">
        <v>280000</v>
      </c>
      <c r="BE19" s="393">
        <v>280000</v>
      </c>
      <c r="BF19" s="394">
        <v>280000</v>
      </c>
      <c r="BG19" s="393">
        <v>0</v>
      </c>
      <c r="BH19" s="393">
        <v>0</v>
      </c>
      <c r="BI19" s="393">
        <v>0</v>
      </c>
      <c r="BJ19" s="393">
        <v>0</v>
      </c>
      <c r="BK19" s="394">
        <v>0</v>
      </c>
      <c r="BL19" s="393">
        <v>450</v>
      </c>
      <c r="BM19" s="393">
        <v>450</v>
      </c>
      <c r="BN19" s="393">
        <v>450</v>
      </c>
      <c r="BO19" s="393">
        <v>450</v>
      </c>
      <c r="BP19" s="394">
        <v>450</v>
      </c>
      <c r="BQ19" s="395">
        <v>0</v>
      </c>
      <c r="BR19" s="393">
        <v>0</v>
      </c>
      <c r="BS19" s="393">
        <v>0</v>
      </c>
      <c r="BT19" s="393">
        <v>0</v>
      </c>
      <c r="BU19" s="394">
        <v>0</v>
      </c>
      <c r="BV19" s="396"/>
      <c r="BW19" s="402">
        <v>800</v>
      </c>
      <c r="BX19" s="402">
        <v>800</v>
      </c>
      <c r="BY19" s="402">
        <v>700</v>
      </c>
      <c r="BZ19" s="402">
        <v>700</v>
      </c>
      <c r="CA19" s="403">
        <v>700</v>
      </c>
      <c r="CB19" s="393" t="s">
        <v>916</v>
      </c>
      <c r="CC19" s="393" t="s">
        <v>916</v>
      </c>
      <c r="CD19" s="393" t="s">
        <v>916</v>
      </c>
      <c r="CE19" s="393" t="s">
        <v>916</v>
      </c>
      <c r="CF19" s="394" t="s">
        <v>916</v>
      </c>
      <c r="CG19" s="399">
        <v>1.125</v>
      </c>
      <c r="CH19" s="397">
        <v>1.125</v>
      </c>
      <c r="CI19" s="397">
        <v>1.125</v>
      </c>
      <c r="CJ19" s="397">
        <v>1.125</v>
      </c>
      <c r="CK19" s="398">
        <v>1.125</v>
      </c>
    </row>
    <row r="20" spans="1:89" s="384" customFormat="1" x14ac:dyDescent="0.2">
      <c r="A20" s="385" t="s">
        <v>815</v>
      </c>
      <c r="B20" s="386" t="s">
        <v>917</v>
      </c>
      <c r="C20" s="387" t="s">
        <v>816</v>
      </c>
      <c r="D20" s="388">
        <v>10</v>
      </c>
      <c r="E20" s="389">
        <v>10</v>
      </c>
      <c r="F20" s="389">
        <v>10</v>
      </c>
      <c r="G20" s="389">
        <v>10</v>
      </c>
      <c r="H20" s="390">
        <v>10</v>
      </c>
      <c r="I20" s="389"/>
      <c r="J20" s="389"/>
      <c r="K20" s="389"/>
      <c r="L20" s="389"/>
      <c r="M20" s="390"/>
      <c r="N20" s="389">
        <v>100</v>
      </c>
      <c r="O20" s="389">
        <v>100</v>
      </c>
      <c r="P20" s="389">
        <v>100</v>
      </c>
      <c r="Q20" s="389">
        <v>100</v>
      </c>
      <c r="R20" s="390">
        <v>100</v>
      </c>
      <c r="S20" s="389"/>
      <c r="T20" s="389"/>
      <c r="U20" s="389"/>
      <c r="V20" s="389"/>
      <c r="W20" s="390"/>
      <c r="X20" s="389">
        <v>100</v>
      </c>
      <c r="Y20" s="389">
        <v>100</v>
      </c>
      <c r="Z20" s="389">
        <v>100</v>
      </c>
      <c r="AA20" s="389">
        <v>100</v>
      </c>
      <c r="AB20" s="390">
        <v>100</v>
      </c>
      <c r="AC20" s="391">
        <v>3.3</v>
      </c>
      <c r="AD20" s="391">
        <v>3.5</v>
      </c>
      <c r="AE20" s="391">
        <v>4</v>
      </c>
      <c r="AF20" s="391">
        <v>4.5</v>
      </c>
      <c r="AG20" s="392">
        <v>4.5</v>
      </c>
      <c r="AH20" s="391">
        <v>0</v>
      </c>
      <c r="AI20" s="391">
        <v>0</v>
      </c>
      <c r="AJ20" s="391">
        <v>0</v>
      </c>
      <c r="AK20" s="391">
        <v>0</v>
      </c>
      <c r="AL20" s="392">
        <v>0</v>
      </c>
      <c r="AM20" s="391">
        <v>0</v>
      </c>
      <c r="AN20" s="391">
        <v>0</v>
      </c>
      <c r="AO20" s="391">
        <v>0</v>
      </c>
      <c r="AP20" s="391">
        <v>0</v>
      </c>
      <c r="AQ20" s="392">
        <v>0</v>
      </c>
      <c r="AR20" s="389"/>
      <c r="AS20" s="389"/>
      <c r="AT20" s="389"/>
      <c r="AU20" s="389"/>
      <c r="AV20" s="390"/>
      <c r="AW20" s="389">
        <v>20</v>
      </c>
      <c r="AX20" s="389">
        <v>20</v>
      </c>
      <c r="AY20" s="389">
        <v>20</v>
      </c>
      <c r="AZ20" s="389">
        <v>20</v>
      </c>
      <c r="BA20" s="390">
        <v>20</v>
      </c>
      <c r="BB20" s="393">
        <v>14000</v>
      </c>
      <c r="BC20" s="393">
        <v>13000</v>
      </c>
      <c r="BD20" s="393">
        <v>12000</v>
      </c>
      <c r="BE20" s="393">
        <v>11000</v>
      </c>
      <c r="BF20" s="394">
        <v>11000</v>
      </c>
      <c r="BG20" s="393">
        <v>5000</v>
      </c>
      <c r="BH20" s="393">
        <v>5000</v>
      </c>
      <c r="BI20" s="393">
        <v>5000</v>
      </c>
      <c r="BJ20" s="393">
        <v>5000</v>
      </c>
      <c r="BK20" s="394">
        <v>5000</v>
      </c>
      <c r="BL20" s="393">
        <v>200</v>
      </c>
      <c r="BM20" s="393">
        <v>200</v>
      </c>
      <c r="BN20" s="393">
        <v>200</v>
      </c>
      <c r="BO20" s="393">
        <v>200</v>
      </c>
      <c r="BP20" s="394">
        <v>200</v>
      </c>
      <c r="BQ20" s="395">
        <v>0</v>
      </c>
      <c r="BR20" s="393">
        <v>0</v>
      </c>
      <c r="BS20" s="393">
        <v>0</v>
      </c>
      <c r="BT20" s="393">
        <v>0</v>
      </c>
      <c r="BU20" s="394">
        <v>0</v>
      </c>
      <c r="BV20" s="396" t="s">
        <v>817</v>
      </c>
      <c r="BW20" s="393">
        <v>1400</v>
      </c>
      <c r="BX20" s="393">
        <v>1300</v>
      </c>
      <c r="BY20" s="393">
        <v>1200</v>
      </c>
      <c r="BZ20" s="393">
        <v>1100</v>
      </c>
      <c r="CA20" s="394">
        <v>1100</v>
      </c>
      <c r="CB20" s="393">
        <v>500</v>
      </c>
      <c r="CC20" s="393">
        <v>500</v>
      </c>
      <c r="CD20" s="393">
        <v>500</v>
      </c>
      <c r="CE20" s="393">
        <v>500</v>
      </c>
      <c r="CF20" s="394">
        <v>500</v>
      </c>
      <c r="CG20" s="395">
        <v>20</v>
      </c>
      <c r="CH20" s="393">
        <v>20</v>
      </c>
      <c r="CI20" s="393">
        <v>20</v>
      </c>
      <c r="CJ20" s="393">
        <v>20</v>
      </c>
      <c r="CK20" s="394">
        <v>20</v>
      </c>
    </row>
    <row r="21" spans="1:89" s="384" customFormat="1" x14ac:dyDescent="0.2">
      <c r="A21" s="385" t="s">
        <v>818</v>
      </c>
      <c r="B21" s="386" t="s">
        <v>918</v>
      </c>
      <c r="C21" s="387" t="s">
        <v>819</v>
      </c>
      <c r="D21" s="388" t="s">
        <v>915</v>
      </c>
      <c r="E21" s="389" t="s">
        <v>915</v>
      </c>
      <c r="F21" s="389" t="s">
        <v>915</v>
      </c>
      <c r="G21" s="389" t="s">
        <v>915</v>
      </c>
      <c r="H21" s="390" t="s">
        <v>915</v>
      </c>
      <c r="I21" s="389"/>
      <c r="J21" s="389"/>
      <c r="K21" s="389"/>
      <c r="L21" s="389"/>
      <c r="M21" s="390"/>
      <c r="N21" s="389">
        <v>100</v>
      </c>
      <c r="O21" s="389">
        <v>100</v>
      </c>
      <c r="P21" s="389">
        <v>100</v>
      </c>
      <c r="Q21" s="389">
        <v>100</v>
      </c>
      <c r="R21" s="390">
        <v>100</v>
      </c>
      <c r="S21" s="389"/>
      <c r="T21" s="389"/>
      <c r="U21" s="389"/>
      <c r="V21" s="389"/>
      <c r="W21" s="390"/>
      <c r="X21" s="389">
        <v>100</v>
      </c>
      <c r="Y21" s="389">
        <v>100</v>
      </c>
      <c r="Z21" s="389">
        <v>100</v>
      </c>
      <c r="AA21" s="389">
        <v>100</v>
      </c>
      <c r="AB21" s="390">
        <v>100</v>
      </c>
      <c r="AC21" s="391">
        <v>3.3</v>
      </c>
      <c r="AD21" s="391">
        <v>3.5</v>
      </c>
      <c r="AE21" s="391">
        <v>4</v>
      </c>
      <c r="AF21" s="391">
        <v>4.5</v>
      </c>
      <c r="AG21" s="392">
        <v>4.5</v>
      </c>
      <c r="AH21" s="391">
        <v>0</v>
      </c>
      <c r="AI21" s="391">
        <v>0</v>
      </c>
      <c r="AJ21" s="391">
        <v>0</v>
      </c>
      <c r="AK21" s="391">
        <v>0</v>
      </c>
      <c r="AL21" s="392">
        <v>0</v>
      </c>
      <c r="AM21" s="391">
        <v>0</v>
      </c>
      <c r="AN21" s="391">
        <v>0</v>
      </c>
      <c r="AO21" s="391">
        <v>0</v>
      </c>
      <c r="AP21" s="391">
        <v>0</v>
      </c>
      <c r="AQ21" s="392">
        <v>0</v>
      </c>
      <c r="AR21" s="389"/>
      <c r="AS21" s="389"/>
      <c r="AT21" s="389"/>
      <c r="AU21" s="389"/>
      <c r="AV21" s="390"/>
      <c r="AW21" s="389">
        <v>20</v>
      </c>
      <c r="AX21" s="389">
        <v>20</v>
      </c>
      <c r="AY21" s="389">
        <v>20</v>
      </c>
      <c r="AZ21" s="389">
        <v>20</v>
      </c>
      <c r="BA21" s="390">
        <v>20</v>
      </c>
      <c r="BB21" s="393">
        <v>360000</v>
      </c>
      <c r="BC21" s="393">
        <v>360000</v>
      </c>
      <c r="BD21" s="393">
        <v>320000</v>
      </c>
      <c r="BE21" s="393">
        <v>280000</v>
      </c>
      <c r="BF21" s="394">
        <v>280000</v>
      </c>
      <c r="BG21" s="393">
        <v>540</v>
      </c>
      <c r="BH21" s="393">
        <v>540</v>
      </c>
      <c r="BI21" s="393">
        <v>540</v>
      </c>
      <c r="BJ21" s="393">
        <v>540</v>
      </c>
      <c r="BK21" s="394">
        <v>540</v>
      </c>
      <c r="BL21" s="393">
        <v>600</v>
      </c>
      <c r="BM21" s="393">
        <v>600</v>
      </c>
      <c r="BN21" s="393">
        <v>600</v>
      </c>
      <c r="BO21" s="393">
        <v>600</v>
      </c>
      <c r="BP21" s="394">
        <v>600</v>
      </c>
      <c r="BQ21" s="395">
        <v>0</v>
      </c>
      <c r="BR21" s="393">
        <v>0</v>
      </c>
      <c r="BS21" s="393">
        <v>0</v>
      </c>
      <c r="BT21" s="393">
        <v>0</v>
      </c>
      <c r="BU21" s="394">
        <v>0</v>
      </c>
      <c r="BV21" s="396" t="s">
        <v>817</v>
      </c>
      <c r="BW21" s="402">
        <v>900</v>
      </c>
      <c r="BX21" s="402">
        <v>900</v>
      </c>
      <c r="BY21" s="402">
        <v>800</v>
      </c>
      <c r="BZ21" s="402">
        <v>700</v>
      </c>
      <c r="CA21" s="403">
        <v>700</v>
      </c>
      <c r="CB21" s="411">
        <v>1.35</v>
      </c>
      <c r="CC21" s="397">
        <v>1.35</v>
      </c>
      <c r="CD21" s="397">
        <v>1.35</v>
      </c>
      <c r="CE21" s="397">
        <v>1.35</v>
      </c>
      <c r="CF21" s="398">
        <v>1.35</v>
      </c>
      <c r="CG21" s="399">
        <v>1.5</v>
      </c>
      <c r="CH21" s="397">
        <v>1.5</v>
      </c>
      <c r="CI21" s="397">
        <v>1.5</v>
      </c>
      <c r="CJ21" s="397">
        <v>1.5</v>
      </c>
      <c r="CK21" s="398">
        <v>1.5</v>
      </c>
    </row>
    <row r="22" spans="1:89" s="384" customFormat="1" x14ac:dyDescent="0.2">
      <c r="A22" s="385" t="s">
        <v>820</v>
      </c>
      <c r="B22" s="386" t="s">
        <v>919</v>
      </c>
      <c r="C22" s="387" t="s">
        <v>820</v>
      </c>
      <c r="D22" s="408">
        <v>15</v>
      </c>
      <c r="E22" s="404">
        <v>15</v>
      </c>
      <c r="F22" s="404">
        <v>15</v>
      </c>
      <c r="G22" s="404">
        <v>15</v>
      </c>
      <c r="H22" s="405">
        <v>15</v>
      </c>
      <c r="I22" s="389"/>
      <c r="J22" s="389"/>
      <c r="K22" s="389"/>
      <c r="L22" s="389"/>
      <c r="M22" s="390"/>
      <c r="N22" s="389">
        <v>0</v>
      </c>
      <c r="O22" s="389">
        <v>0</v>
      </c>
      <c r="P22" s="389">
        <v>0</v>
      </c>
      <c r="Q22" s="389">
        <v>0</v>
      </c>
      <c r="R22" s="390">
        <v>0</v>
      </c>
      <c r="S22" s="389"/>
      <c r="T22" s="389"/>
      <c r="U22" s="389"/>
      <c r="V22" s="389"/>
      <c r="W22" s="390"/>
      <c r="X22" s="389">
        <v>0</v>
      </c>
      <c r="Y22" s="389">
        <v>0</v>
      </c>
      <c r="Z22" s="389">
        <v>0</v>
      </c>
      <c r="AA22" s="389">
        <v>0</v>
      </c>
      <c r="AB22" s="390">
        <v>0</v>
      </c>
      <c r="AC22" s="391">
        <v>0</v>
      </c>
      <c r="AD22" s="391">
        <v>0</v>
      </c>
      <c r="AE22" s="391">
        <v>0</v>
      </c>
      <c r="AF22" s="391">
        <v>0</v>
      </c>
      <c r="AG22" s="392">
        <v>0</v>
      </c>
      <c r="AH22" s="391">
        <v>0</v>
      </c>
      <c r="AI22" s="391">
        <v>0</v>
      </c>
      <c r="AJ22" s="391">
        <v>0</v>
      </c>
      <c r="AK22" s="391">
        <v>0</v>
      </c>
      <c r="AL22" s="392">
        <v>0</v>
      </c>
      <c r="AM22" s="391">
        <v>0</v>
      </c>
      <c r="AN22" s="391">
        <v>0</v>
      </c>
      <c r="AO22" s="391">
        <v>0</v>
      </c>
      <c r="AP22" s="391">
        <v>0</v>
      </c>
      <c r="AQ22" s="392">
        <v>0</v>
      </c>
      <c r="AR22" s="389"/>
      <c r="AS22" s="389"/>
      <c r="AT22" s="389"/>
      <c r="AU22" s="389"/>
      <c r="AV22" s="390"/>
      <c r="AW22" s="389">
        <v>0</v>
      </c>
      <c r="AX22" s="389">
        <v>0</v>
      </c>
      <c r="AY22" s="389">
        <v>0</v>
      </c>
      <c r="AZ22" s="389">
        <v>0</v>
      </c>
      <c r="BA22" s="390">
        <v>0</v>
      </c>
      <c r="BB22" s="397">
        <v>16350</v>
      </c>
      <c r="BC22" s="397">
        <v>16350</v>
      </c>
      <c r="BD22" s="397">
        <v>12262.5</v>
      </c>
      <c r="BE22" s="397">
        <v>12262.5</v>
      </c>
      <c r="BF22" s="398">
        <v>10627.5</v>
      </c>
      <c r="BG22" s="397">
        <v>9385</v>
      </c>
      <c r="BH22" s="397">
        <v>9385</v>
      </c>
      <c r="BI22" s="397">
        <v>9385</v>
      </c>
      <c r="BJ22" s="397">
        <v>9385</v>
      </c>
      <c r="BK22" s="398">
        <v>9385</v>
      </c>
      <c r="BL22" s="397">
        <v>300</v>
      </c>
      <c r="BM22" s="397">
        <v>300</v>
      </c>
      <c r="BN22" s="397">
        <v>300</v>
      </c>
      <c r="BO22" s="397">
        <v>300</v>
      </c>
      <c r="BP22" s="398">
        <v>300</v>
      </c>
      <c r="BQ22" s="395">
        <v>0</v>
      </c>
      <c r="BR22" s="393">
        <v>0</v>
      </c>
      <c r="BS22" s="393">
        <v>0</v>
      </c>
      <c r="BT22" s="393">
        <v>0</v>
      </c>
      <c r="BU22" s="394">
        <v>0</v>
      </c>
      <c r="BV22" s="396" t="s">
        <v>821</v>
      </c>
      <c r="BW22" s="393">
        <v>1090</v>
      </c>
      <c r="BX22" s="393">
        <v>1090</v>
      </c>
      <c r="BY22" s="393">
        <v>817.5</v>
      </c>
      <c r="BZ22" s="393">
        <v>817.5</v>
      </c>
      <c r="CA22" s="394">
        <v>708.5</v>
      </c>
      <c r="CB22" s="393">
        <v>625.66666666666663</v>
      </c>
      <c r="CC22" s="393">
        <v>625.66666666666663</v>
      </c>
      <c r="CD22" s="393">
        <v>625.66666666666663</v>
      </c>
      <c r="CE22" s="393">
        <v>625.66666666666663</v>
      </c>
      <c r="CF22" s="394">
        <v>625.66666666666663</v>
      </c>
      <c r="CG22" s="395">
        <v>20</v>
      </c>
      <c r="CH22" s="393">
        <v>20</v>
      </c>
      <c r="CI22" s="393">
        <v>20</v>
      </c>
      <c r="CJ22" s="393">
        <v>20</v>
      </c>
      <c r="CK22" s="394">
        <v>20</v>
      </c>
    </row>
    <row r="23" spans="1:89" s="384" customFormat="1" x14ac:dyDescent="0.2">
      <c r="A23" s="385"/>
      <c r="B23" s="386"/>
      <c r="C23" s="387" t="s">
        <v>822</v>
      </c>
      <c r="D23" s="408">
        <v>290</v>
      </c>
      <c r="E23" s="404">
        <v>290</v>
      </c>
      <c r="F23" s="404">
        <v>290</v>
      </c>
      <c r="G23" s="404">
        <v>290</v>
      </c>
      <c r="H23" s="405">
        <v>290</v>
      </c>
      <c r="I23" s="389"/>
      <c r="J23" s="389"/>
      <c r="K23" s="389"/>
      <c r="L23" s="389"/>
      <c r="M23" s="390"/>
      <c r="N23" s="389"/>
      <c r="O23" s="389"/>
      <c r="P23" s="389"/>
      <c r="Q23" s="389"/>
      <c r="R23" s="390"/>
      <c r="S23" s="389"/>
      <c r="T23" s="389"/>
      <c r="U23" s="389"/>
      <c r="V23" s="389"/>
      <c r="W23" s="390"/>
      <c r="X23" s="389"/>
      <c r="Y23" s="389"/>
      <c r="Z23" s="389"/>
      <c r="AA23" s="389"/>
      <c r="AB23" s="390"/>
      <c r="AC23" s="391">
        <v>0</v>
      </c>
      <c r="AD23" s="391">
        <v>0</v>
      </c>
      <c r="AE23" s="391">
        <v>0</v>
      </c>
      <c r="AF23" s="391">
        <v>0</v>
      </c>
      <c r="AG23" s="392">
        <v>0</v>
      </c>
      <c r="AH23" s="391">
        <v>0</v>
      </c>
      <c r="AI23" s="391">
        <v>0</v>
      </c>
      <c r="AJ23" s="391">
        <v>0</v>
      </c>
      <c r="AK23" s="391">
        <v>0</v>
      </c>
      <c r="AL23" s="392">
        <v>0</v>
      </c>
      <c r="AM23" s="391">
        <v>0</v>
      </c>
      <c r="AN23" s="391">
        <v>0</v>
      </c>
      <c r="AO23" s="391">
        <v>0</v>
      </c>
      <c r="AP23" s="391">
        <v>0</v>
      </c>
      <c r="AQ23" s="392">
        <v>0</v>
      </c>
      <c r="AR23" s="389"/>
      <c r="AS23" s="389"/>
      <c r="AT23" s="389"/>
      <c r="AU23" s="389"/>
      <c r="AV23" s="390"/>
      <c r="AW23" s="389"/>
      <c r="AX23" s="389"/>
      <c r="AY23" s="389"/>
      <c r="AZ23" s="389"/>
      <c r="BA23" s="390"/>
      <c r="BB23" s="397">
        <v>87000</v>
      </c>
      <c r="BC23" s="397">
        <v>87000</v>
      </c>
      <c r="BD23" s="397">
        <v>65250</v>
      </c>
      <c r="BE23" s="397">
        <v>65250</v>
      </c>
      <c r="BF23" s="398">
        <v>56550</v>
      </c>
      <c r="BG23" s="397">
        <v>18770</v>
      </c>
      <c r="BH23" s="397">
        <v>18770</v>
      </c>
      <c r="BI23" s="397">
        <v>18770</v>
      </c>
      <c r="BJ23" s="397">
        <v>18770</v>
      </c>
      <c r="BK23" s="398">
        <v>18770</v>
      </c>
      <c r="BL23" s="397">
        <v>300</v>
      </c>
      <c r="BM23" s="397">
        <v>300</v>
      </c>
      <c r="BN23" s="397">
        <v>300</v>
      </c>
      <c r="BO23" s="397">
        <v>300</v>
      </c>
      <c r="BP23" s="398">
        <v>300</v>
      </c>
      <c r="BQ23" s="395"/>
      <c r="BR23" s="393"/>
      <c r="BS23" s="393"/>
      <c r="BT23" s="393"/>
      <c r="BU23" s="394"/>
      <c r="BV23" s="396"/>
      <c r="BW23" s="393">
        <v>300</v>
      </c>
      <c r="BX23" s="393">
        <v>300</v>
      </c>
      <c r="BY23" s="393">
        <v>225</v>
      </c>
      <c r="BZ23" s="393">
        <v>225</v>
      </c>
      <c r="CA23" s="394">
        <v>195</v>
      </c>
      <c r="CB23" s="393">
        <v>64.724137931034477</v>
      </c>
      <c r="CC23" s="393">
        <v>64.724137931034477</v>
      </c>
      <c r="CD23" s="393">
        <v>64.724137931034477</v>
      </c>
      <c r="CE23" s="393">
        <v>64.724137931034477</v>
      </c>
      <c r="CF23" s="394">
        <v>64.724137931034477</v>
      </c>
      <c r="CG23" s="395">
        <v>1.0344827586206897</v>
      </c>
      <c r="CH23" s="393">
        <v>1.0344827586206897</v>
      </c>
      <c r="CI23" s="393">
        <v>1.0344827586206897</v>
      </c>
      <c r="CJ23" s="393">
        <v>1.0344827586206897</v>
      </c>
      <c r="CK23" s="394">
        <v>1.0344827586206897</v>
      </c>
    </row>
    <row r="24" spans="1:89" s="384" customFormat="1" x14ac:dyDescent="0.2">
      <c r="A24" s="385" t="s">
        <v>823</v>
      </c>
      <c r="B24" s="386" t="s">
        <v>920</v>
      </c>
      <c r="C24" s="387" t="s">
        <v>824</v>
      </c>
      <c r="D24" s="388">
        <v>2</v>
      </c>
      <c r="E24" s="389">
        <v>2</v>
      </c>
      <c r="F24" s="389">
        <v>2</v>
      </c>
      <c r="G24" s="389">
        <v>2</v>
      </c>
      <c r="H24" s="390">
        <v>2</v>
      </c>
      <c r="I24" s="389"/>
      <c r="J24" s="389"/>
      <c r="K24" s="389"/>
      <c r="L24" s="389"/>
      <c r="M24" s="390"/>
      <c r="N24" s="389">
        <v>40</v>
      </c>
      <c r="O24" s="389">
        <v>40</v>
      </c>
      <c r="P24" s="389">
        <v>40</v>
      </c>
      <c r="Q24" s="389">
        <v>40</v>
      </c>
      <c r="R24" s="390">
        <v>40</v>
      </c>
      <c r="S24" s="389"/>
      <c r="T24" s="389"/>
      <c r="U24" s="389"/>
      <c r="V24" s="389"/>
      <c r="W24" s="390"/>
      <c r="X24" s="389">
        <v>0</v>
      </c>
      <c r="Y24" s="389">
        <v>0</v>
      </c>
      <c r="Z24" s="389">
        <v>0</v>
      </c>
      <c r="AA24" s="389">
        <v>0</v>
      </c>
      <c r="AB24" s="390">
        <v>0</v>
      </c>
      <c r="AC24" s="391">
        <v>3</v>
      </c>
      <c r="AD24" s="391">
        <v>3.1</v>
      </c>
      <c r="AE24" s="391">
        <v>3.4</v>
      </c>
      <c r="AF24" s="391">
        <v>3.5</v>
      </c>
      <c r="AG24" s="392">
        <v>3.5</v>
      </c>
      <c r="AH24" s="391">
        <v>0</v>
      </c>
      <c r="AI24" s="391">
        <v>0</v>
      </c>
      <c r="AJ24" s="391">
        <v>0</v>
      </c>
      <c r="AK24" s="391">
        <v>0</v>
      </c>
      <c r="AL24" s="392">
        <v>0</v>
      </c>
      <c r="AM24" s="391">
        <v>0</v>
      </c>
      <c r="AN24" s="391">
        <v>0</v>
      </c>
      <c r="AO24" s="391">
        <v>0</v>
      </c>
      <c r="AP24" s="391">
        <v>0</v>
      </c>
      <c r="AQ24" s="392">
        <v>0</v>
      </c>
      <c r="AR24" s="389"/>
      <c r="AS24" s="389"/>
      <c r="AT24" s="389"/>
      <c r="AU24" s="389"/>
      <c r="AV24" s="390"/>
      <c r="AW24" s="389">
        <v>20</v>
      </c>
      <c r="AX24" s="389">
        <v>20</v>
      </c>
      <c r="AY24" s="389">
        <v>20</v>
      </c>
      <c r="AZ24" s="389">
        <v>20</v>
      </c>
      <c r="BA24" s="390">
        <v>20</v>
      </c>
      <c r="BB24" s="393">
        <v>2000</v>
      </c>
      <c r="BC24" s="393">
        <v>1900</v>
      </c>
      <c r="BD24" s="393">
        <v>1800</v>
      </c>
      <c r="BE24" s="393">
        <v>1700</v>
      </c>
      <c r="BF24" s="394">
        <v>1700</v>
      </c>
      <c r="BG24" s="393">
        <v>0</v>
      </c>
      <c r="BH24" s="393">
        <v>0</v>
      </c>
      <c r="BI24" s="393">
        <v>0</v>
      </c>
      <c r="BJ24" s="393">
        <v>0</v>
      </c>
      <c r="BK24" s="394">
        <v>0</v>
      </c>
      <c r="BL24" s="393">
        <v>150</v>
      </c>
      <c r="BM24" s="393">
        <v>150</v>
      </c>
      <c r="BN24" s="393">
        <v>150</v>
      </c>
      <c r="BO24" s="393">
        <v>150</v>
      </c>
      <c r="BP24" s="394">
        <v>150</v>
      </c>
      <c r="BQ24" s="395">
        <v>0</v>
      </c>
      <c r="BR24" s="393">
        <v>0</v>
      </c>
      <c r="BS24" s="393">
        <v>0</v>
      </c>
      <c r="BT24" s="393">
        <v>0</v>
      </c>
      <c r="BU24" s="394">
        <v>0</v>
      </c>
      <c r="BV24" s="412"/>
      <c r="BW24" s="393">
        <v>1000</v>
      </c>
      <c r="BX24" s="393">
        <v>950</v>
      </c>
      <c r="BY24" s="393">
        <v>900</v>
      </c>
      <c r="BZ24" s="393">
        <v>850</v>
      </c>
      <c r="CA24" s="394">
        <v>850</v>
      </c>
      <c r="CB24" s="393">
        <v>0</v>
      </c>
      <c r="CC24" s="393">
        <v>0</v>
      </c>
      <c r="CD24" s="393">
        <v>0</v>
      </c>
      <c r="CE24" s="393">
        <v>0</v>
      </c>
      <c r="CF24" s="394">
        <v>0</v>
      </c>
      <c r="CG24" s="395">
        <v>75</v>
      </c>
      <c r="CH24" s="393">
        <v>75</v>
      </c>
      <c r="CI24" s="393">
        <v>75</v>
      </c>
      <c r="CJ24" s="393">
        <v>75</v>
      </c>
      <c r="CK24" s="394">
        <v>75</v>
      </c>
    </row>
    <row r="25" spans="1:89" s="384" customFormat="1" x14ac:dyDescent="0.2">
      <c r="A25" s="385" t="s">
        <v>825</v>
      </c>
      <c r="B25" s="386" t="s">
        <v>921</v>
      </c>
      <c r="C25" s="387" t="s">
        <v>826</v>
      </c>
      <c r="D25" s="388" t="s">
        <v>922</v>
      </c>
      <c r="E25" s="389" t="s">
        <v>922</v>
      </c>
      <c r="F25" s="389" t="s">
        <v>922</v>
      </c>
      <c r="G25" s="389" t="s">
        <v>922</v>
      </c>
      <c r="H25" s="390" t="s">
        <v>922</v>
      </c>
      <c r="I25" s="389"/>
      <c r="J25" s="389"/>
      <c r="K25" s="389"/>
      <c r="L25" s="389"/>
      <c r="M25" s="390"/>
      <c r="N25" s="389">
        <v>40</v>
      </c>
      <c r="O25" s="389">
        <v>40</v>
      </c>
      <c r="P25" s="389">
        <v>40</v>
      </c>
      <c r="Q25" s="389">
        <v>40</v>
      </c>
      <c r="R25" s="390">
        <v>40</v>
      </c>
      <c r="S25" s="389"/>
      <c r="T25" s="389"/>
      <c r="U25" s="389"/>
      <c r="V25" s="389"/>
      <c r="W25" s="390"/>
      <c r="X25" s="389">
        <v>0</v>
      </c>
      <c r="Y25" s="389">
        <v>0</v>
      </c>
      <c r="Z25" s="389">
        <v>0</v>
      </c>
      <c r="AA25" s="389">
        <v>0</v>
      </c>
      <c r="AB25" s="390">
        <v>0</v>
      </c>
      <c r="AC25" s="391">
        <v>3</v>
      </c>
      <c r="AD25" s="391">
        <v>3.1</v>
      </c>
      <c r="AE25" s="391">
        <v>3.4</v>
      </c>
      <c r="AF25" s="391">
        <v>3.5</v>
      </c>
      <c r="AG25" s="392">
        <v>3.5</v>
      </c>
      <c r="AH25" s="391">
        <v>0</v>
      </c>
      <c r="AI25" s="391">
        <v>0</v>
      </c>
      <c r="AJ25" s="391">
        <v>0</v>
      </c>
      <c r="AK25" s="391">
        <v>0</v>
      </c>
      <c r="AL25" s="392">
        <v>0</v>
      </c>
      <c r="AM25" s="391">
        <v>0</v>
      </c>
      <c r="AN25" s="391">
        <v>0</v>
      </c>
      <c r="AO25" s="391">
        <v>0</v>
      </c>
      <c r="AP25" s="391">
        <v>0</v>
      </c>
      <c r="AQ25" s="392">
        <v>0</v>
      </c>
      <c r="AR25" s="389"/>
      <c r="AS25" s="389"/>
      <c r="AT25" s="389"/>
      <c r="AU25" s="389"/>
      <c r="AV25" s="390"/>
      <c r="AW25" s="389">
        <v>20</v>
      </c>
      <c r="AX25" s="389">
        <v>20</v>
      </c>
      <c r="AY25" s="389">
        <v>20</v>
      </c>
      <c r="AZ25" s="389">
        <v>20</v>
      </c>
      <c r="BA25" s="390">
        <v>20</v>
      </c>
      <c r="BB25" s="393">
        <v>85600</v>
      </c>
      <c r="BC25" s="393">
        <v>85600</v>
      </c>
      <c r="BD25" s="393">
        <v>74900</v>
      </c>
      <c r="BE25" s="393">
        <v>74900</v>
      </c>
      <c r="BF25" s="394">
        <v>74900</v>
      </c>
      <c r="BG25" s="393">
        <v>0</v>
      </c>
      <c r="BH25" s="393">
        <v>0</v>
      </c>
      <c r="BI25" s="393">
        <v>0</v>
      </c>
      <c r="BJ25" s="393">
        <v>0</v>
      </c>
      <c r="BK25" s="394">
        <v>0</v>
      </c>
      <c r="BL25" s="393">
        <v>450</v>
      </c>
      <c r="BM25" s="393">
        <v>450</v>
      </c>
      <c r="BN25" s="393">
        <v>450</v>
      </c>
      <c r="BO25" s="393">
        <v>450</v>
      </c>
      <c r="BP25" s="394">
        <v>450</v>
      </c>
      <c r="BQ25" s="395">
        <v>0</v>
      </c>
      <c r="BR25" s="393">
        <v>0</v>
      </c>
      <c r="BS25" s="393">
        <v>0</v>
      </c>
      <c r="BT25" s="393">
        <v>0</v>
      </c>
      <c r="BU25" s="394">
        <v>0</v>
      </c>
      <c r="BV25" s="412"/>
      <c r="BW25" s="402">
        <v>800</v>
      </c>
      <c r="BX25" s="402">
        <v>800</v>
      </c>
      <c r="BY25" s="402">
        <v>700</v>
      </c>
      <c r="BZ25" s="402">
        <v>700</v>
      </c>
      <c r="CA25" s="403">
        <v>700</v>
      </c>
      <c r="CB25" s="393" t="s">
        <v>916</v>
      </c>
      <c r="CC25" s="393" t="s">
        <v>916</v>
      </c>
      <c r="CD25" s="393" t="s">
        <v>916</v>
      </c>
      <c r="CE25" s="393" t="s">
        <v>916</v>
      </c>
      <c r="CF25" s="394" t="s">
        <v>916</v>
      </c>
      <c r="CG25" s="399">
        <v>4.2056074766355138</v>
      </c>
      <c r="CH25" s="397">
        <v>4.2056074766355138</v>
      </c>
      <c r="CI25" s="397">
        <v>4.2056074766355138</v>
      </c>
      <c r="CJ25" s="397">
        <v>4.2056074766355138</v>
      </c>
      <c r="CK25" s="398">
        <v>4.2056074766355138</v>
      </c>
    </row>
    <row r="26" spans="1:89" s="384" customFormat="1" x14ac:dyDescent="0.2">
      <c r="A26" s="386" t="s">
        <v>990</v>
      </c>
      <c r="B26" s="386" t="s">
        <v>991</v>
      </c>
      <c r="C26" s="386" t="s">
        <v>824</v>
      </c>
      <c r="D26" s="388">
        <v>3.6</v>
      </c>
      <c r="E26" s="389">
        <v>3.6</v>
      </c>
      <c r="F26" s="389">
        <v>3.6</v>
      </c>
      <c r="G26" s="389">
        <v>3.6</v>
      </c>
      <c r="H26" s="390">
        <v>3.6</v>
      </c>
      <c r="I26" s="389">
        <v>2.5</v>
      </c>
      <c r="J26" s="389">
        <v>2.5</v>
      </c>
      <c r="K26" s="389">
        <v>2.5</v>
      </c>
      <c r="L26" s="389">
        <v>2.5</v>
      </c>
      <c r="M26" s="390">
        <v>2.5</v>
      </c>
      <c r="N26" s="389">
        <v>100</v>
      </c>
      <c r="O26" s="389">
        <v>100</v>
      </c>
      <c r="P26" s="389">
        <v>100</v>
      </c>
      <c r="Q26" s="389">
        <v>100</v>
      </c>
      <c r="R26" s="390">
        <v>100</v>
      </c>
      <c r="S26" s="389">
        <v>100</v>
      </c>
      <c r="T26" s="389">
        <v>100</v>
      </c>
      <c r="U26" s="389">
        <v>100</v>
      </c>
      <c r="V26" s="389">
        <v>100</v>
      </c>
      <c r="W26" s="390">
        <v>100</v>
      </c>
      <c r="X26" s="389">
        <v>0</v>
      </c>
      <c r="Y26" s="389">
        <v>0</v>
      </c>
      <c r="Z26" s="389">
        <v>0</v>
      </c>
      <c r="AA26" s="389">
        <v>0</v>
      </c>
      <c r="AB26" s="390">
        <v>0</v>
      </c>
      <c r="AC26" s="453">
        <v>0</v>
      </c>
      <c r="AD26" s="453">
        <v>0</v>
      </c>
      <c r="AE26" s="453">
        <v>0</v>
      </c>
      <c r="AF26" s="453">
        <v>0</v>
      </c>
      <c r="AG26" s="454">
        <v>0</v>
      </c>
      <c r="AH26" s="420">
        <v>3</v>
      </c>
      <c r="AI26" s="420">
        <v>3.1</v>
      </c>
      <c r="AJ26" s="420">
        <v>3.4</v>
      </c>
      <c r="AK26" s="420">
        <v>3.5</v>
      </c>
      <c r="AL26" s="455">
        <v>3.5</v>
      </c>
      <c r="AM26" s="420">
        <v>3</v>
      </c>
      <c r="AN26" s="420">
        <v>3.1</v>
      </c>
      <c r="AO26" s="420">
        <v>3.4</v>
      </c>
      <c r="AP26" s="420">
        <v>3.5</v>
      </c>
      <c r="AQ26" s="455">
        <v>3.5</v>
      </c>
      <c r="AR26" s="389">
        <v>0</v>
      </c>
      <c r="AS26" s="389">
        <v>0</v>
      </c>
      <c r="AT26" s="389">
        <v>0</v>
      </c>
      <c r="AU26" s="389">
        <v>0</v>
      </c>
      <c r="AV26" s="390">
        <v>0</v>
      </c>
      <c r="AW26" s="404">
        <v>20</v>
      </c>
      <c r="AX26" s="404">
        <v>20</v>
      </c>
      <c r="AY26" s="404">
        <v>20</v>
      </c>
      <c r="AZ26" s="404">
        <v>20</v>
      </c>
      <c r="BA26" s="405">
        <v>20</v>
      </c>
      <c r="BB26" s="393">
        <v>1875</v>
      </c>
      <c r="BC26" s="393">
        <v>1781.25</v>
      </c>
      <c r="BD26" s="393">
        <v>1593.75</v>
      </c>
      <c r="BE26" s="393">
        <v>1500</v>
      </c>
      <c r="BF26" s="394">
        <v>1406.25</v>
      </c>
      <c r="BG26" s="397">
        <v>1500</v>
      </c>
      <c r="BH26" s="397">
        <v>1500</v>
      </c>
      <c r="BI26" s="397">
        <v>1500</v>
      </c>
      <c r="BJ26" s="397">
        <v>1500</v>
      </c>
      <c r="BK26" s="398">
        <v>1500</v>
      </c>
      <c r="BL26" s="393">
        <v>294.44</v>
      </c>
      <c r="BM26" s="393">
        <v>294.44</v>
      </c>
      <c r="BN26" s="393">
        <v>294.44</v>
      </c>
      <c r="BO26" s="393">
        <v>294.44</v>
      </c>
      <c r="BP26" s="394">
        <v>294.44</v>
      </c>
      <c r="BQ26" s="393"/>
      <c r="BR26" s="393"/>
      <c r="BS26" s="393"/>
      <c r="BT26" s="393"/>
      <c r="BU26" s="394"/>
      <c r="BV26" s="396"/>
      <c r="BW26" s="395">
        <v>520.83333333333337</v>
      </c>
      <c r="BX26" s="393">
        <v>494.79166666666663</v>
      </c>
      <c r="BY26" s="393">
        <v>442.70833333333331</v>
      </c>
      <c r="BZ26" s="393">
        <v>416.66666666666663</v>
      </c>
      <c r="CA26" s="394">
        <v>390.625</v>
      </c>
      <c r="CB26" s="395">
        <v>416.66666666666663</v>
      </c>
      <c r="CC26" s="393">
        <v>416.66666666666663</v>
      </c>
      <c r="CD26" s="393">
        <v>416.66666666666663</v>
      </c>
      <c r="CE26" s="393">
        <v>416.66666666666663</v>
      </c>
      <c r="CF26" s="394">
        <v>416.66666666666663</v>
      </c>
      <c r="CG26" s="395">
        <v>81.788888888888891</v>
      </c>
      <c r="CH26" s="393">
        <v>81.788888888888891</v>
      </c>
      <c r="CI26" s="393">
        <v>81.788888888888891</v>
      </c>
      <c r="CJ26" s="393">
        <v>81.788888888888891</v>
      </c>
      <c r="CK26" s="394">
        <v>81.788888888888891</v>
      </c>
    </row>
    <row r="27" spans="1:89" s="384" customFormat="1" x14ac:dyDescent="0.2">
      <c r="A27" s="377" t="s">
        <v>827</v>
      </c>
      <c r="B27" s="378"/>
      <c r="C27" s="379"/>
      <c r="D27" s="380"/>
      <c r="E27" s="381"/>
      <c r="F27" s="381"/>
      <c r="G27" s="381"/>
      <c r="H27" s="382"/>
      <c r="I27" s="381"/>
      <c r="J27" s="381"/>
      <c r="K27" s="381"/>
      <c r="L27" s="381"/>
      <c r="M27" s="382"/>
      <c r="N27" s="381"/>
      <c r="O27" s="381"/>
      <c r="P27" s="381"/>
      <c r="Q27" s="381"/>
      <c r="R27" s="382"/>
      <c r="S27" s="381"/>
      <c r="T27" s="381"/>
      <c r="U27" s="381"/>
      <c r="V27" s="381"/>
      <c r="W27" s="382"/>
      <c r="X27" s="381"/>
      <c r="Y27" s="381"/>
      <c r="Z27" s="381"/>
      <c r="AA27" s="381"/>
      <c r="AB27" s="382"/>
      <c r="AC27" s="406">
        <v>0</v>
      </c>
      <c r="AD27" s="406">
        <v>0</v>
      </c>
      <c r="AE27" s="406">
        <v>0</v>
      </c>
      <c r="AF27" s="406">
        <v>0</v>
      </c>
      <c r="AG27" s="407">
        <v>0</v>
      </c>
      <c r="AH27" s="406">
        <v>0</v>
      </c>
      <c r="AI27" s="406">
        <v>0</v>
      </c>
      <c r="AJ27" s="406">
        <v>0</v>
      </c>
      <c r="AK27" s="406">
        <v>0</v>
      </c>
      <c r="AL27" s="407">
        <v>0</v>
      </c>
      <c r="AM27" s="406">
        <v>0</v>
      </c>
      <c r="AN27" s="406">
        <v>0</v>
      </c>
      <c r="AO27" s="406">
        <v>0</v>
      </c>
      <c r="AP27" s="406">
        <v>0</v>
      </c>
      <c r="AQ27" s="407">
        <v>0</v>
      </c>
      <c r="AR27" s="381"/>
      <c r="AS27" s="381"/>
      <c r="AT27" s="381"/>
      <c r="AU27" s="381"/>
      <c r="AV27" s="382"/>
      <c r="AW27" s="381"/>
      <c r="AX27" s="381"/>
      <c r="AY27" s="381"/>
      <c r="AZ27" s="381"/>
      <c r="BA27" s="382"/>
      <c r="BB27" s="381">
        <v>0</v>
      </c>
      <c r="BC27" s="381">
        <v>0</v>
      </c>
      <c r="BD27" s="381">
        <v>0</v>
      </c>
      <c r="BE27" s="381">
        <v>0</v>
      </c>
      <c r="BF27" s="382">
        <v>0</v>
      </c>
      <c r="BG27" s="381">
        <v>0</v>
      </c>
      <c r="BH27" s="381">
        <v>0</v>
      </c>
      <c r="BI27" s="381">
        <v>0</v>
      </c>
      <c r="BJ27" s="381">
        <v>0</v>
      </c>
      <c r="BK27" s="382">
        <v>0</v>
      </c>
      <c r="BL27" s="381"/>
      <c r="BM27" s="381"/>
      <c r="BN27" s="381"/>
      <c r="BO27" s="381"/>
      <c r="BP27" s="382"/>
      <c r="BQ27" s="380"/>
      <c r="BR27" s="381"/>
      <c r="BS27" s="381"/>
      <c r="BT27" s="381"/>
      <c r="BU27" s="382"/>
      <c r="BV27" s="383"/>
      <c r="BW27" s="381"/>
      <c r="BX27" s="381"/>
      <c r="BY27" s="381"/>
      <c r="BZ27" s="381"/>
      <c r="CA27" s="382"/>
      <c r="CB27" s="381"/>
      <c r="CC27" s="381"/>
      <c r="CD27" s="381"/>
      <c r="CE27" s="381"/>
      <c r="CF27" s="382"/>
      <c r="CG27" s="380"/>
      <c r="CH27" s="381"/>
      <c r="CI27" s="381"/>
      <c r="CJ27" s="381"/>
      <c r="CK27" s="382"/>
    </row>
    <row r="28" spans="1:89" s="384" customFormat="1" x14ac:dyDescent="0.2">
      <c r="A28" s="385" t="s">
        <v>828</v>
      </c>
      <c r="B28" s="386" t="s">
        <v>923</v>
      </c>
      <c r="C28" s="387" t="s">
        <v>829</v>
      </c>
      <c r="D28" s="388">
        <v>18</v>
      </c>
      <c r="E28" s="389">
        <v>30</v>
      </c>
      <c r="F28" s="389">
        <v>30</v>
      </c>
      <c r="G28" s="389">
        <v>30</v>
      </c>
      <c r="H28" s="390">
        <v>30</v>
      </c>
      <c r="I28" s="389"/>
      <c r="J28" s="389"/>
      <c r="K28" s="389"/>
      <c r="L28" s="389"/>
      <c r="M28" s="390"/>
      <c r="N28" s="389">
        <v>100</v>
      </c>
      <c r="O28" s="389">
        <v>100</v>
      </c>
      <c r="P28" s="389">
        <v>100</v>
      </c>
      <c r="Q28" s="389">
        <v>100</v>
      </c>
      <c r="R28" s="390">
        <v>100</v>
      </c>
      <c r="S28" s="389"/>
      <c r="T28" s="389"/>
      <c r="U28" s="389"/>
      <c r="V28" s="389"/>
      <c r="W28" s="390"/>
      <c r="X28" s="389">
        <v>100</v>
      </c>
      <c r="Y28" s="389">
        <v>100</v>
      </c>
      <c r="Z28" s="389">
        <v>100</v>
      </c>
      <c r="AA28" s="389">
        <v>100</v>
      </c>
      <c r="AB28" s="390">
        <v>100</v>
      </c>
      <c r="AC28" s="391">
        <v>1.35</v>
      </c>
      <c r="AD28" s="391">
        <v>1.45</v>
      </c>
      <c r="AE28" s="391">
        <v>1.7</v>
      </c>
      <c r="AF28" s="391">
        <v>1.7</v>
      </c>
      <c r="AG28" s="392">
        <v>1.7</v>
      </c>
      <c r="AH28" s="391">
        <v>0</v>
      </c>
      <c r="AI28" s="391">
        <v>0</v>
      </c>
      <c r="AJ28" s="391">
        <v>0</v>
      </c>
      <c r="AK28" s="391">
        <v>0</v>
      </c>
      <c r="AL28" s="392">
        <v>0</v>
      </c>
      <c r="AM28" s="391">
        <v>0</v>
      </c>
      <c r="AN28" s="391">
        <v>0</v>
      </c>
      <c r="AO28" s="391">
        <v>0</v>
      </c>
      <c r="AP28" s="391">
        <v>0</v>
      </c>
      <c r="AQ28" s="392">
        <v>0</v>
      </c>
      <c r="AR28" s="389"/>
      <c r="AS28" s="389"/>
      <c r="AT28" s="389"/>
      <c r="AU28" s="389"/>
      <c r="AV28" s="390"/>
      <c r="AW28" s="389">
        <v>22</v>
      </c>
      <c r="AX28" s="389">
        <v>22</v>
      </c>
      <c r="AY28" s="389">
        <v>22</v>
      </c>
      <c r="AZ28" s="389">
        <v>22</v>
      </c>
      <c r="BA28" s="390">
        <v>22</v>
      </c>
      <c r="BB28" s="393">
        <v>15600</v>
      </c>
      <c r="BC28" s="393">
        <v>14600</v>
      </c>
      <c r="BD28" s="393">
        <v>12600</v>
      </c>
      <c r="BE28" s="393">
        <v>12600</v>
      </c>
      <c r="BF28" s="394">
        <v>12600</v>
      </c>
      <c r="BG28" s="393">
        <v>6400</v>
      </c>
      <c r="BH28" s="393">
        <v>6400</v>
      </c>
      <c r="BI28" s="393">
        <v>6400</v>
      </c>
      <c r="BJ28" s="393">
        <v>6400</v>
      </c>
      <c r="BK28" s="394">
        <v>6400</v>
      </c>
      <c r="BL28" s="389">
        <v>235</v>
      </c>
      <c r="BM28" s="389">
        <v>235</v>
      </c>
      <c r="BN28" s="389">
        <v>235</v>
      </c>
      <c r="BO28" s="389">
        <v>235</v>
      </c>
      <c r="BP28" s="390">
        <v>235</v>
      </c>
      <c r="BQ28" s="388"/>
      <c r="BR28" s="389"/>
      <c r="BS28" s="389"/>
      <c r="BT28" s="389"/>
      <c r="BU28" s="390"/>
      <c r="BV28" s="396" t="s">
        <v>830</v>
      </c>
      <c r="BW28" s="393">
        <v>866.66666666666663</v>
      </c>
      <c r="BX28" s="393">
        <v>811.11111111111109</v>
      </c>
      <c r="BY28" s="393">
        <v>700</v>
      </c>
      <c r="BZ28" s="393">
        <v>700</v>
      </c>
      <c r="CA28" s="394">
        <v>700</v>
      </c>
      <c r="CB28" s="393">
        <v>355.55555555555554</v>
      </c>
      <c r="CC28" s="393">
        <v>355.55555555555554</v>
      </c>
      <c r="CD28" s="393">
        <v>355.55555555555554</v>
      </c>
      <c r="CE28" s="393">
        <v>355.55555555555554</v>
      </c>
      <c r="CF28" s="394">
        <v>355.55555555555554</v>
      </c>
      <c r="CG28" s="395">
        <v>13.055555555555555</v>
      </c>
      <c r="CH28" s="393">
        <v>13.055555555555555</v>
      </c>
      <c r="CI28" s="393">
        <v>13.055555555555555</v>
      </c>
      <c r="CJ28" s="393">
        <v>13.055555555555555</v>
      </c>
      <c r="CK28" s="394">
        <v>13.055555555555555</v>
      </c>
    </row>
    <row r="29" spans="1:89" s="384" customFormat="1" x14ac:dyDescent="0.2">
      <c r="A29" s="385" t="s">
        <v>831</v>
      </c>
      <c r="B29" s="386" t="s">
        <v>924</v>
      </c>
      <c r="C29" s="387" t="s">
        <v>832</v>
      </c>
      <c r="D29" s="388">
        <v>44</v>
      </c>
      <c r="E29" s="389">
        <v>80</v>
      </c>
      <c r="F29" s="389">
        <v>80</v>
      </c>
      <c r="G29" s="389">
        <v>80</v>
      </c>
      <c r="H29" s="390">
        <v>80</v>
      </c>
      <c r="I29" s="389"/>
      <c r="J29" s="389"/>
      <c r="K29" s="389"/>
      <c r="L29" s="389"/>
      <c r="M29" s="390"/>
      <c r="N29" s="389">
        <v>100</v>
      </c>
      <c r="O29" s="389">
        <v>100</v>
      </c>
      <c r="P29" s="389">
        <v>100</v>
      </c>
      <c r="Q29" s="389">
        <v>100</v>
      </c>
      <c r="R29" s="390">
        <v>100</v>
      </c>
      <c r="S29" s="389"/>
      <c r="T29" s="389"/>
      <c r="U29" s="389"/>
      <c r="V29" s="389"/>
      <c r="W29" s="390"/>
      <c r="X29" s="389">
        <v>100</v>
      </c>
      <c r="Y29" s="389">
        <v>100</v>
      </c>
      <c r="Z29" s="389">
        <v>100</v>
      </c>
      <c r="AA29" s="389">
        <v>100</v>
      </c>
      <c r="AB29" s="390">
        <v>100</v>
      </c>
      <c r="AC29" s="391">
        <v>1.35</v>
      </c>
      <c r="AD29" s="391">
        <v>1.45</v>
      </c>
      <c r="AE29" s="391">
        <v>1.7</v>
      </c>
      <c r="AF29" s="391">
        <v>1.7</v>
      </c>
      <c r="AG29" s="392">
        <v>1.7</v>
      </c>
      <c r="AH29" s="391">
        <v>0</v>
      </c>
      <c r="AI29" s="391">
        <v>0</v>
      </c>
      <c r="AJ29" s="391">
        <v>0</v>
      </c>
      <c r="AK29" s="391">
        <v>0</v>
      </c>
      <c r="AL29" s="392">
        <v>0</v>
      </c>
      <c r="AM29" s="391">
        <v>0</v>
      </c>
      <c r="AN29" s="391">
        <v>0</v>
      </c>
      <c r="AO29" s="391">
        <v>0</v>
      </c>
      <c r="AP29" s="391">
        <v>0</v>
      </c>
      <c r="AQ29" s="392">
        <v>0</v>
      </c>
      <c r="AR29" s="389"/>
      <c r="AS29" s="389"/>
      <c r="AT29" s="389"/>
      <c r="AU29" s="389"/>
      <c r="AV29" s="390"/>
      <c r="AW29" s="389">
        <v>22</v>
      </c>
      <c r="AX29" s="389">
        <v>22</v>
      </c>
      <c r="AY29" s="389">
        <v>22</v>
      </c>
      <c r="AZ29" s="389">
        <v>22</v>
      </c>
      <c r="BA29" s="390">
        <v>22</v>
      </c>
      <c r="BB29" s="393">
        <v>33000</v>
      </c>
      <c r="BC29" s="393">
        <v>33000</v>
      </c>
      <c r="BD29" s="393">
        <v>32000</v>
      </c>
      <c r="BE29" s="393">
        <v>32000</v>
      </c>
      <c r="BF29" s="394">
        <v>32000</v>
      </c>
      <c r="BG29" s="393">
        <v>24600</v>
      </c>
      <c r="BH29" s="393">
        <v>24600</v>
      </c>
      <c r="BI29" s="393">
        <v>24600</v>
      </c>
      <c r="BJ29" s="393">
        <v>24600</v>
      </c>
      <c r="BK29" s="394">
        <v>24600</v>
      </c>
      <c r="BL29" s="389">
        <v>235</v>
      </c>
      <c r="BM29" s="389">
        <v>235</v>
      </c>
      <c r="BN29" s="389">
        <v>235</v>
      </c>
      <c r="BO29" s="389">
        <v>235</v>
      </c>
      <c r="BP29" s="390">
        <v>235</v>
      </c>
      <c r="BQ29" s="388"/>
      <c r="BR29" s="389"/>
      <c r="BS29" s="389"/>
      <c r="BT29" s="389"/>
      <c r="BU29" s="390"/>
      <c r="BV29" s="396" t="s">
        <v>830</v>
      </c>
      <c r="BW29" s="393">
        <v>750</v>
      </c>
      <c r="BX29" s="393">
        <v>750</v>
      </c>
      <c r="BY29" s="393">
        <v>727.27272727272725</v>
      </c>
      <c r="BZ29" s="393">
        <v>727.27272727272725</v>
      </c>
      <c r="CA29" s="394">
        <v>727.27272727272725</v>
      </c>
      <c r="CB29" s="393">
        <v>559.09090909090912</v>
      </c>
      <c r="CC29" s="393">
        <v>559.09090909090912</v>
      </c>
      <c r="CD29" s="393">
        <v>559.09090909090912</v>
      </c>
      <c r="CE29" s="393">
        <v>559.09090909090912</v>
      </c>
      <c r="CF29" s="394">
        <v>559.09090909090912</v>
      </c>
      <c r="CG29" s="395">
        <v>5.3409090909090908</v>
      </c>
      <c r="CH29" s="393">
        <v>5.3409090909090908</v>
      </c>
      <c r="CI29" s="393">
        <v>5.3409090909090908</v>
      </c>
      <c r="CJ29" s="393">
        <v>5.3409090909090908</v>
      </c>
      <c r="CK29" s="394">
        <v>5.3409090909090908</v>
      </c>
    </row>
    <row r="30" spans="1:89" s="384" customFormat="1" x14ac:dyDescent="0.2">
      <c r="A30" s="385" t="s">
        <v>833</v>
      </c>
      <c r="B30" s="386" t="s">
        <v>925</v>
      </c>
      <c r="C30" s="387" t="s">
        <v>834</v>
      </c>
      <c r="D30" s="388" t="s">
        <v>897</v>
      </c>
      <c r="E30" s="389" t="s">
        <v>897</v>
      </c>
      <c r="F30" s="389" t="s">
        <v>897</v>
      </c>
      <c r="G30" s="389" t="s">
        <v>897</v>
      </c>
      <c r="H30" s="390" t="s">
        <v>897</v>
      </c>
      <c r="I30" s="389"/>
      <c r="J30" s="389"/>
      <c r="K30" s="389"/>
      <c r="L30" s="389"/>
      <c r="M30" s="390"/>
      <c r="N30" s="389">
        <v>100</v>
      </c>
      <c r="O30" s="389">
        <v>100</v>
      </c>
      <c r="P30" s="389">
        <v>100</v>
      </c>
      <c r="Q30" s="389">
        <v>100</v>
      </c>
      <c r="R30" s="390">
        <v>100</v>
      </c>
      <c r="S30" s="389"/>
      <c r="T30" s="389"/>
      <c r="U30" s="389"/>
      <c r="V30" s="389"/>
      <c r="W30" s="390"/>
      <c r="X30" s="389">
        <v>100</v>
      </c>
      <c r="Y30" s="389">
        <v>100</v>
      </c>
      <c r="Z30" s="389">
        <v>100</v>
      </c>
      <c r="AA30" s="389">
        <v>100</v>
      </c>
      <c r="AB30" s="390">
        <v>100</v>
      </c>
      <c r="AC30" s="391">
        <v>1.5</v>
      </c>
      <c r="AD30" s="391">
        <v>1.55</v>
      </c>
      <c r="AE30" s="391">
        <v>1.55</v>
      </c>
      <c r="AF30" s="391">
        <v>1.6</v>
      </c>
      <c r="AG30" s="392">
        <v>1.6</v>
      </c>
      <c r="AH30" s="391">
        <v>0</v>
      </c>
      <c r="AI30" s="391">
        <v>0</v>
      </c>
      <c r="AJ30" s="391">
        <v>0</v>
      </c>
      <c r="AK30" s="391">
        <v>0</v>
      </c>
      <c r="AL30" s="392">
        <v>0</v>
      </c>
      <c r="AM30" s="391">
        <v>0</v>
      </c>
      <c r="AN30" s="391">
        <v>0</v>
      </c>
      <c r="AO30" s="391">
        <v>0</v>
      </c>
      <c r="AP30" s="391">
        <v>0</v>
      </c>
      <c r="AQ30" s="392">
        <v>0</v>
      </c>
      <c r="AR30" s="389"/>
      <c r="AS30" s="389"/>
      <c r="AT30" s="389"/>
      <c r="AU30" s="389"/>
      <c r="AV30" s="390"/>
      <c r="AW30" s="389" t="s">
        <v>926</v>
      </c>
      <c r="AX30" s="389" t="s">
        <v>927</v>
      </c>
      <c r="AY30" s="389" t="s">
        <v>927</v>
      </c>
      <c r="AZ30" s="389" t="s">
        <v>927</v>
      </c>
      <c r="BA30" s="390" t="s">
        <v>927</v>
      </c>
      <c r="BB30" s="393">
        <v>47500</v>
      </c>
      <c r="BC30" s="393">
        <v>47500</v>
      </c>
      <c r="BD30" s="393">
        <v>47500</v>
      </c>
      <c r="BE30" s="393">
        <v>47500</v>
      </c>
      <c r="BF30" s="394">
        <v>47500</v>
      </c>
      <c r="BG30" s="393">
        <v>1600</v>
      </c>
      <c r="BH30" s="393">
        <v>1600</v>
      </c>
      <c r="BI30" s="393">
        <v>1600</v>
      </c>
      <c r="BJ30" s="393">
        <v>1600</v>
      </c>
      <c r="BK30" s="394">
        <v>1600</v>
      </c>
      <c r="BL30" s="389">
        <v>235</v>
      </c>
      <c r="BM30" s="389">
        <v>235</v>
      </c>
      <c r="BN30" s="389">
        <v>235</v>
      </c>
      <c r="BO30" s="389">
        <v>235</v>
      </c>
      <c r="BP30" s="390">
        <v>235</v>
      </c>
      <c r="BQ30" s="388"/>
      <c r="BR30" s="389"/>
      <c r="BS30" s="389"/>
      <c r="BT30" s="389"/>
      <c r="BU30" s="390"/>
      <c r="BV30" s="396" t="s">
        <v>835</v>
      </c>
      <c r="BW30" s="402">
        <v>950</v>
      </c>
      <c r="BX30" s="402">
        <v>950</v>
      </c>
      <c r="BY30" s="402">
        <v>950</v>
      </c>
      <c r="BZ30" s="402">
        <v>950</v>
      </c>
      <c r="CA30" s="403">
        <v>950</v>
      </c>
      <c r="CB30" s="397">
        <v>32</v>
      </c>
      <c r="CC30" s="397">
        <v>32</v>
      </c>
      <c r="CD30" s="397">
        <v>32</v>
      </c>
      <c r="CE30" s="397">
        <v>32</v>
      </c>
      <c r="CF30" s="398">
        <v>32</v>
      </c>
      <c r="CG30" s="399">
        <v>4.7</v>
      </c>
      <c r="CH30" s="397">
        <v>4.7</v>
      </c>
      <c r="CI30" s="397">
        <v>4.7</v>
      </c>
      <c r="CJ30" s="397">
        <v>4.7</v>
      </c>
      <c r="CK30" s="398">
        <v>4.7</v>
      </c>
    </row>
    <row r="31" spans="1:89" s="384" customFormat="1" x14ac:dyDescent="0.2">
      <c r="A31" s="385" t="s">
        <v>836</v>
      </c>
      <c r="B31" s="386" t="s">
        <v>928</v>
      </c>
      <c r="C31" s="413" t="s">
        <v>837</v>
      </c>
      <c r="D31" s="388" t="s">
        <v>929</v>
      </c>
      <c r="E31" s="389" t="s">
        <v>929</v>
      </c>
      <c r="F31" s="389" t="s">
        <v>929</v>
      </c>
      <c r="G31" s="389" t="s">
        <v>929</v>
      </c>
      <c r="H31" s="390" t="s">
        <v>929</v>
      </c>
      <c r="I31" s="389"/>
      <c r="J31" s="389"/>
      <c r="K31" s="389"/>
      <c r="L31" s="389"/>
      <c r="M31" s="390"/>
      <c r="N31" s="389">
        <v>100</v>
      </c>
      <c r="O31" s="389">
        <v>100</v>
      </c>
      <c r="P31" s="389">
        <v>100</v>
      </c>
      <c r="Q31" s="389">
        <v>100</v>
      </c>
      <c r="R31" s="390">
        <v>100</v>
      </c>
      <c r="S31" s="389"/>
      <c r="T31" s="389"/>
      <c r="U31" s="389"/>
      <c r="V31" s="389"/>
      <c r="W31" s="390"/>
      <c r="X31" s="389">
        <v>100</v>
      </c>
      <c r="Y31" s="389">
        <v>100</v>
      </c>
      <c r="Z31" s="389">
        <v>100</v>
      </c>
      <c r="AA31" s="389">
        <v>100</v>
      </c>
      <c r="AB31" s="390">
        <v>100</v>
      </c>
      <c r="AC31" s="391">
        <v>1.35</v>
      </c>
      <c r="AD31" s="391">
        <v>1.35</v>
      </c>
      <c r="AE31" s="391">
        <v>1.35</v>
      </c>
      <c r="AF31" s="391">
        <v>1.35</v>
      </c>
      <c r="AG31" s="392">
        <v>1.35</v>
      </c>
      <c r="AH31" s="391">
        <v>0</v>
      </c>
      <c r="AI31" s="391">
        <v>0</v>
      </c>
      <c r="AJ31" s="391">
        <v>0</v>
      </c>
      <c r="AK31" s="391">
        <v>0</v>
      </c>
      <c r="AL31" s="392">
        <v>0</v>
      </c>
      <c r="AM31" s="391">
        <v>0</v>
      </c>
      <c r="AN31" s="391">
        <v>0</v>
      </c>
      <c r="AO31" s="391">
        <v>0</v>
      </c>
      <c r="AP31" s="391">
        <v>0</v>
      </c>
      <c r="AQ31" s="392">
        <v>0</v>
      </c>
      <c r="AR31" s="389"/>
      <c r="AS31" s="389"/>
      <c r="AT31" s="389"/>
      <c r="AU31" s="389"/>
      <c r="AV31" s="390"/>
      <c r="AW31" s="389">
        <v>20</v>
      </c>
      <c r="AX31" s="389">
        <v>20</v>
      </c>
      <c r="AY31" s="389">
        <v>20</v>
      </c>
      <c r="AZ31" s="389">
        <v>20</v>
      </c>
      <c r="BA31" s="390">
        <v>20</v>
      </c>
      <c r="BB31" s="393">
        <v>14000</v>
      </c>
      <c r="BC31" s="393">
        <v>14000</v>
      </c>
      <c r="BD31" s="393">
        <v>14000</v>
      </c>
      <c r="BE31" s="393">
        <v>14000</v>
      </c>
      <c r="BF31" s="394">
        <v>14000</v>
      </c>
      <c r="BG31" s="393">
        <v>1600</v>
      </c>
      <c r="BH31" s="393">
        <v>1600</v>
      </c>
      <c r="BI31" s="393">
        <v>1600</v>
      </c>
      <c r="BJ31" s="393">
        <v>1600</v>
      </c>
      <c r="BK31" s="394">
        <v>1600</v>
      </c>
      <c r="BL31" s="389">
        <v>235</v>
      </c>
      <c r="BM31" s="389">
        <v>235</v>
      </c>
      <c r="BN31" s="389">
        <v>235</v>
      </c>
      <c r="BO31" s="389">
        <v>235</v>
      </c>
      <c r="BP31" s="390">
        <v>235</v>
      </c>
      <c r="BQ31" s="388"/>
      <c r="BR31" s="389"/>
      <c r="BS31" s="389"/>
      <c r="BT31" s="389"/>
      <c r="BU31" s="390"/>
      <c r="BV31" s="396" t="s">
        <v>838</v>
      </c>
      <c r="BW31" s="397">
        <v>1696.969696969697</v>
      </c>
      <c r="BX31" s="397">
        <v>1696.969696969697</v>
      </c>
      <c r="BY31" s="397">
        <v>1696.969696969697</v>
      </c>
      <c r="BZ31" s="397">
        <v>1696.969696969697</v>
      </c>
      <c r="CA31" s="398">
        <v>1696.969696969697</v>
      </c>
      <c r="CB31" s="397">
        <v>193.93939393939394</v>
      </c>
      <c r="CC31" s="397">
        <v>193.93939393939394</v>
      </c>
      <c r="CD31" s="397">
        <v>193.93939393939394</v>
      </c>
      <c r="CE31" s="397">
        <v>193.93939393939394</v>
      </c>
      <c r="CF31" s="398">
        <v>193.93939393939394</v>
      </c>
      <c r="CG31" s="399">
        <v>28.484848484848484</v>
      </c>
      <c r="CH31" s="397">
        <v>28.484848484848484</v>
      </c>
      <c r="CI31" s="397">
        <v>28.484848484848484</v>
      </c>
      <c r="CJ31" s="397">
        <v>28.484848484848484</v>
      </c>
      <c r="CK31" s="398">
        <v>28.484848484848484</v>
      </c>
    </row>
    <row r="32" spans="1:89" s="384" customFormat="1" x14ac:dyDescent="0.2">
      <c r="A32" s="385" t="s">
        <v>839</v>
      </c>
      <c r="B32" s="386" t="s">
        <v>919</v>
      </c>
      <c r="C32" s="387" t="s">
        <v>840</v>
      </c>
      <c r="D32" s="388">
        <v>0</v>
      </c>
      <c r="E32" s="389">
        <v>0</v>
      </c>
      <c r="F32" s="389">
        <v>0</v>
      </c>
      <c r="G32" s="389">
        <v>0</v>
      </c>
      <c r="H32" s="390">
        <v>0</v>
      </c>
      <c r="I32" s="389"/>
      <c r="J32" s="389"/>
      <c r="K32" s="389"/>
      <c r="L32" s="389"/>
      <c r="M32" s="390"/>
      <c r="N32" s="389">
        <v>0</v>
      </c>
      <c r="O32" s="389">
        <v>0</v>
      </c>
      <c r="P32" s="389">
        <v>0</v>
      </c>
      <c r="Q32" s="389">
        <v>0</v>
      </c>
      <c r="R32" s="390">
        <v>0</v>
      </c>
      <c r="S32" s="389"/>
      <c r="T32" s="389"/>
      <c r="U32" s="389"/>
      <c r="V32" s="389"/>
      <c r="W32" s="390"/>
      <c r="X32" s="389">
        <v>0</v>
      </c>
      <c r="Y32" s="389">
        <v>0</v>
      </c>
      <c r="Z32" s="389">
        <v>0</v>
      </c>
      <c r="AA32" s="389">
        <v>0</v>
      </c>
      <c r="AB32" s="390">
        <v>0</v>
      </c>
      <c r="AC32" s="391">
        <v>0</v>
      </c>
      <c r="AD32" s="391">
        <v>0</v>
      </c>
      <c r="AE32" s="391">
        <v>0</v>
      </c>
      <c r="AF32" s="391">
        <v>0</v>
      </c>
      <c r="AG32" s="392">
        <v>0</v>
      </c>
      <c r="AH32" s="391">
        <v>0</v>
      </c>
      <c r="AI32" s="391">
        <v>0</v>
      </c>
      <c r="AJ32" s="391">
        <v>0</v>
      </c>
      <c r="AK32" s="391">
        <v>0</v>
      </c>
      <c r="AL32" s="392">
        <v>0</v>
      </c>
      <c r="AM32" s="391">
        <v>0</v>
      </c>
      <c r="AN32" s="391">
        <v>0</v>
      </c>
      <c r="AO32" s="391">
        <v>0</v>
      </c>
      <c r="AP32" s="391">
        <v>0</v>
      </c>
      <c r="AQ32" s="392">
        <v>0</v>
      </c>
      <c r="AR32" s="389"/>
      <c r="AS32" s="389"/>
      <c r="AT32" s="389"/>
      <c r="AU32" s="389"/>
      <c r="AV32" s="390"/>
      <c r="AW32" s="389">
        <v>0</v>
      </c>
      <c r="AX32" s="389">
        <v>0</v>
      </c>
      <c r="AY32" s="389">
        <v>0</v>
      </c>
      <c r="AZ32" s="389">
        <v>0</v>
      </c>
      <c r="BA32" s="390">
        <v>0</v>
      </c>
      <c r="BB32" s="393">
        <v>0</v>
      </c>
      <c r="BC32" s="393">
        <v>0</v>
      </c>
      <c r="BD32" s="393">
        <v>0</v>
      </c>
      <c r="BE32" s="393">
        <v>0</v>
      </c>
      <c r="BF32" s="394">
        <v>0</v>
      </c>
      <c r="BG32" s="393">
        <v>0</v>
      </c>
      <c r="BH32" s="393">
        <v>0</v>
      </c>
      <c r="BI32" s="393">
        <v>0</v>
      </c>
      <c r="BJ32" s="393">
        <v>0</v>
      </c>
      <c r="BK32" s="394">
        <v>0</v>
      </c>
      <c r="BL32" s="389">
        <v>0</v>
      </c>
      <c r="BM32" s="389">
        <v>0</v>
      </c>
      <c r="BN32" s="389">
        <v>0</v>
      </c>
      <c r="BO32" s="389">
        <v>0</v>
      </c>
      <c r="BP32" s="390">
        <v>0</v>
      </c>
      <c r="BQ32" s="388">
        <v>0</v>
      </c>
      <c r="BR32" s="389">
        <v>0</v>
      </c>
      <c r="BS32" s="389">
        <v>0</v>
      </c>
      <c r="BT32" s="389">
        <v>0</v>
      </c>
      <c r="BU32" s="390">
        <v>0</v>
      </c>
      <c r="BV32" s="396"/>
      <c r="BW32" s="393" t="s">
        <v>916</v>
      </c>
      <c r="BX32" s="393" t="s">
        <v>916</v>
      </c>
      <c r="BY32" s="393" t="s">
        <v>916</v>
      </c>
      <c r="BZ32" s="393" t="s">
        <v>916</v>
      </c>
      <c r="CA32" s="394" t="s">
        <v>916</v>
      </c>
      <c r="CB32" s="393" t="s">
        <v>916</v>
      </c>
      <c r="CC32" s="393" t="s">
        <v>916</v>
      </c>
      <c r="CD32" s="393" t="s">
        <v>916</v>
      </c>
      <c r="CE32" s="393" t="s">
        <v>916</v>
      </c>
      <c r="CF32" s="394" t="s">
        <v>916</v>
      </c>
      <c r="CG32" s="395" t="s">
        <v>916</v>
      </c>
      <c r="CH32" s="393" t="s">
        <v>916</v>
      </c>
      <c r="CI32" s="393" t="s">
        <v>916</v>
      </c>
      <c r="CJ32" s="393" t="s">
        <v>916</v>
      </c>
      <c r="CK32" s="394" t="s">
        <v>916</v>
      </c>
    </row>
    <row r="33" spans="1:89" s="384" customFormat="1" x14ac:dyDescent="0.2">
      <c r="A33" s="377" t="s">
        <v>841</v>
      </c>
      <c r="B33" s="378"/>
      <c r="C33" s="379"/>
      <c r="D33" s="380"/>
      <c r="E33" s="381"/>
      <c r="F33" s="381"/>
      <c r="G33" s="381"/>
      <c r="H33" s="382"/>
      <c r="I33" s="381"/>
      <c r="J33" s="381"/>
      <c r="K33" s="381"/>
      <c r="L33" s="381"/>
      <c r="M33" s="382"/>
      <c r="N33" s="381"/>
      <c r="O33" s="381"/>
      <c r="P33" s="381"/>
      <c r="Q33" s="381"/>
      <c r="R33" s="382"/>
      <c r="S33" s="381"/>
      <c r="T33" s="381"/>
      <c r="U33" s="381"/>
      <c r="V33" s="381"/>
      <c r="W33" s="382"/>
      <c r="X33" s="381"/>
      <c r="Y33" s="381"/>
      <c r="Z33" s="381"/>
      <c r="AA33" s="381"/>
      <c r="AB33" s="382"/>
      <c r="AC33" s="406">
        <v>0</v>
      </c>
      <c r="AD33" s="406">
        <v>0</v>
      </c>
      <c r="AE33" s="406">
        <v>0</v>
      </c>
      <c r="AF33" s="406">
        <v>0</v>
      </c>
      <c r="AG33" s="407">
        <v>0</v>
      </c>
      <c r="AH33" s="406">
        <v>0</v>
      </c>
      <c r="AI33" s="406">
        <v>0</v>
      </c>
      <c r="AJ33" s="406">
        <v>0</v>
      </c>
      <c r="AK33" s="406">
        <v>0</v>
      </c>
      <c r="AL33" s="407">
        <v>0</v>
      </c>
      <c r="AM33" s="406">
        <v>0</v>
      </c>
      <c r="AN33" s="406">
        <v>0</v>
      </c>
      <c r="AO33" s="406">
        <v>0</v>
      </c>
      <c r="AP33" s="406">
        <v>0</v>
      </c>
      <c r="AQ33" s="407">
        <v>0</v>
      </c>
      <c r="AR33" s="381"/>
      <c r="AS33" s="381"/>
      <c r="AT33" s="381"/>
      <c r="AU33" s="381"/>
      <c r="AV33" s="382"/>
      <c r="AW33" s="381"/>
      <c r="AX33" s="381"/>
      <c r="AY33" s="381"/>
      <c r="AZ33" s="381"/>
      <c r="BA33" s="382"/>
      <c r="BB33" s="381"/>
      <c r="BC33" s="381"/>
      <c r="BD33" s="381"/>
      <c r="BE33" s="381"/>
      <c r="BF33" s="382"/>
      <c r="BG33" s="381">
        <v>0</v>
      </c>
      <c r="BH33" s="381">
        <v>0</v>
      </c>
      <c r="BI33" s="381">
        <v>0</v>
      </c>
      <c r="BJ33" s="381">
        <v>0</v>
      </c>
      <c r="BK33" s="382">
        <v>0</v>
      </c>
      <c r="BL33" s="381"/>
      <c r="BM33" s="381"/>
      <c r="BN33" s="381"/>
      <c r="BO33" s="381"/>
      <c r="BP33" s="382"/>
      <c r="BQ33" s="380"/>
      <c r="BR33" s="381"/>
      <c r="BS33" s="381"/>
      <c r="BT33" s="381"/>
      <c r="BU33" s="382"/>
      <c r="BV33" s="383"/>
      <c r="BW33" s="381"/>
      <c r="BX33" s="381"/>
      <c r="BY33" s="381"/>
      <c r="BZ33" s="381"/>
      <c r="CA33" s="382"/>
      <c r="CB33" s="381"/>
      <c r="CC33" s="381"/>
      <c r="CD33" s="381"/>
      <c r="CE33" s="381"/>
      <c r="CF33" s="382"/>
      <c r="CG33" s="380"/>
      <c r="CH33" s="381"/>
      <c r="CI33" s="381"/>
      <c r="CJ33" s="381"/>
      <c r="CK33" s="382"/>
    </row>
    <row r="34" spans="1:89" s="384" customFormat="1" x14ac:dyDescent="0.2">
      <c r="A34" s="385" t="s">
        <v>842</v>
      </c>
      <c r="B34" s="386" t="s">
        <v>919</v>
      </c>
      <c r="C34" s="387" t="s">
        <v>843</v>
      </c>
      <c r="D34" s="408">
        <v>30</v>
      </c>
      <c r="E34" s="404">
        <v>30</v>
      </c>
      <c r="F34" s="404">
        <v>30</v>
      </c>
      <c r="G34" s="404">
        <v>30</v>
      </c>
      <c r="H34" s="405">
        <v>30</v>
      </c>
      <c r="I34" s="389"/>
      <c r="J34" s="389"/>
      <c r="K34" s="389"/>
      <c r="L34" s="389"/>
      <c r="M34" s="390"/>
      <c r="N34" s="389">
        <v>0</v>
      </c>
      <c r="O34" s="389">
        <v>0</v>
      </c>
      <c r="P34" s="389">
        <v>0</v>
      </c>
      <c r="Q34" s="389">
        <v>0</v>
      </c>
      <c r="R34" s="390">
        <v>0</v>
      </c>
      <c r="S34" s="389"/>
      <c r="T34" s="389"/>
      <c r="U34" s="389"/>
      <c r="V34" s="389"/>
      <c r="W34" s="390"/>
      <c r="X34" s="389">
        <v>0</v>
      </c>
      <c r="Y34" s="389">
        <v>0</v>
      </c>
      <c r="Z34" s="389">
        <v>0</v>
      </c>
      <c r="AA34" s="389">
        <v>0</v>
      </c>
      <c r="AB34" s="390">
        <v>0</v>
      </c>
      <c r="AC34" s="414">
        <v>0.9</v>
      </c>
      <c r="AD34" s="414">
        <v>0.9</v>
      </c>
      <c r="AE34" s="414">
        <v>0.9</v>
      </c>
      <c r="AF34" s="414">
        <v>0.9</v>
      </c>
      <c r="AG34" s="415">
        <v>0.9</v>
      </c>
      <c r="AH34" s="391">
        <v>0</v>
      </c>
      <c r="AI34" s="391">
        <v>0</v>
      </c>
      <c r="AJ34" s="391">
        <v>0</v>
      </c>
      <c r="AK34" s="391">
        <v>0</v>
      </c>
      <c r="AL34" s="392">
        <v>0</v>
      </c>
      <c r="AM34" s="416">
        <v>0.26</v>
      </c>
      <c r="AN34" s="414">
        <v>0.26</v>
      </c>
      <c r="AO34" s="414">
        <v>0.26</v>
      </c>
      <c r="AP34" s="414">
        <v>0.26</v>
      </c>
      <c r="AQ34" s="415">
        <v>0.26</v>
      </c>
      <c r="AR34" s="389"/>
      <c r="AS34" s="389"/>
      <c r="AT34" s="389"/>
      <c r="AU34" s="389"/>
      <c r="AV34" s="390"/>
      <c r="AW34" s="389">
        <v>0</v>
      </c>
      <c r="AX34" s="389">
        <v>0</v>
      </c>
      <c r="AY34" s="389">
        <v>0</v>
      </c>
      <c r="AZ34" s="389">
        <v>0</v>
      </c>
      <c r="BA34" s="390">
        <v>0</v>
      </c>
      <c r="BB34" s="397">
        <v>103980</v>
      </c>
      <c r="BC34" s="397">
        <v>103980</v>
      </c>
      <c r="BD34" s="397">
        <v>77985</v>
      </c>
      <c r="BE34" s="397">
        <v>77985</v>
      </c>
      <c r="BF34" s="398">
        <v>62388</v>
      </c>
      <c r="BG34" s="397">
        <v>0</v>
      </c>
      <c r="BH34" s="397">
        <v>0</v>
      </c>
      <c r="BI34" s="397">
        <v>0</v>
      </c>
      <c r="BJ34" s="397">
        <v>0</v>
      </c>
      <c r="BK34" s="398">
        <v>0</v>
      </c>
      <c r="BL34" s="397">
        <v>310</v>
      </c>
      <c r="BM34" s="393">
        <v>0</v>
      </c>
      <c r="BN34" s="393">
        <v>0</v>
      </c>
      <c r="BO34" s="393">
        <v>0</v>
      </c>
      <c r="BP34" s="394">
        <v>0</v>
      </c>
      <c r="BQ34" s="395">
        <v>0</v>
      </c>
      <c r="BR34" s="393">
        <v>0</v>
      </c>
      <c r="BS34" s="393">
        <v>0</v>
      </c>
      <c r="BT34" s="393">
        <v>0</v>
      </c>
      <c r="BU34" s="394">
        <v>0</v>
      </c>
      <c r="BV34" s="396" t="s">
        <v>821</v>
      </c>
      <c r="BW34" s="393">
        <v>3466</v>
      </c>
      <c r="BX34" s="393">
        <v>3466</v>
      </c>
      <c r="BY34" s="393">
        <v>2599.5</v>
      </c>
      <c r="BZ34" s="393">
        <v>2599.5</v>
      </c>
      <c r="CA34" s="394">
        <v>2079.6</v>
      </c>
      <c r="CB34" s="393">
        <v>0</v>
      </c>
      <c r="CC34" s="393">
        <v>0</v>
      </c>
      <c r="CD34" s="393">
        <v>0</v>
      </c>
      <c r="CE34" s="393">
        <v>0</v>
      </c>
      <c r="CF34" s="394">
        <v>0</v>
      </c>
      <c r="CG34" s="395">
        <v>10.333333333333334</v>
      </c>
      <c r="CH34" s="393">
        <v>0</v>
      </c>
      <c r="CI34" s="393">
        <v>0</v>
      </c>
      <c r="CJ34" s="393">
        <v>0</v>
      </c>
      <c r="CK34" s="394">
        <v>0</v>
      </c>
    </row>
    <row r="35" spans="1:89" s="384" customFormat="1" x14ac:dyDescent="0.2">
      <c r="A35" s="385"/>
      <c r="B35" s="386"/>
      <c r="C35" s="387" t="s">
        <v>844</v>
      </c>
      <c r="D35" s="408">
        <v>200</v>
      </c>
      <c r="E35" s="404">
        <v>200</v>
      </c>
      <c r="F35" s="404">
        <v>200</v>
      </c>
      <c r="G35" s="404">
        <v>200</v>
      </c>
      <c r="H35" s="405">
        <v>200</v>
      </c>
      <c r="I35" s="389"/>
      <c r="J35" s="389"/>
      <c r="K35" s="389"/>
      <c r="L35" s="389"/>
      <c r="M35" s="390"/>
      <c r="N35" s="389"/>
      <c r="O35" s="389"/>
      <c r="P35" s="389"/>
      <c r="Q35" s="389"/>
      <c r="R35" s="390"/>
      <c r="S35" s="389"/>
      <c r="T35" s="389"/>
      <c r="U35" s="389"/>
      <c r="V35" s="389"/>
      <c r="W35" s="390"/>
      <c r="X35" s="389"/>
      <c r="Y35" s="389"/>
      <c r="Z35" s="389"/>
      <c r="AA35" s="389"/>
      <c r="AB35" s="390"/>
      <c r="AC35" s="414">
        <v>0.9</v>
      </c>
      <c r="AD35" s="414">
        <v>0.9</v>
      </c>
      <c r="AE35" s="414">
        <v>0.9</v>
      </c>
      <c r="AF35" s="414">
        <v>0.9</v>
      </c>
      <c r="AG35" s="415">
        <v>0.9</v>
      </c>
      <c r="AH35" s="391">
        <v>0</v>
      </c>
      <c r="AI35" s="391">
        <v>0</v>
      </c>
      <c r="AJ35" s="391">
        <v>0</v>
      </c>
      <c r="AK35" s="391">
        <v>0</v>
      </c>
      <c r="AL35" s="392">
        <v>0</v>
      </c>
      <c r="AM35" s="416">
        <v>0.33</v>
      </c>
      <c r="AN35" s="414">
        <v>0.33</v>
      </c>
      <c r="AO35" s="414">
        <v>0.33</v>
      </c>
      <c r="AP35" s="414">
        <v>0.33</v>
      </c>
      <c r="AQ35" s="415">
        <v>0.33</v>
      </c>
      <c r="AR35" s="389"/>
      <c r="AS35" s="389"/>
      <c r="AT35" s="389"/>
      <c r="AU35" s="389"/>
      <c r="AV35" s="390"/>
      <c r="AW35" s="389"/>
      <c r="AX35" s="389"/>
      <c r="AY35" s="389"/>
      <c r="AZ35" s="389"/>
      <c r="BA35" s="390"/>
      <c r="BB35" s="397">
        <v>275000</v>
      </c>
      <c r="BC35" s="397">
        <v>275000</v>
      </c>
      <c r="BD35" s="397">
        <v>206250</v>
      </c>
      <c r="BE35" s="397">
        <v>206250</v>
      </c>
      <c r="BF35" s="398">
        <v>165000</v>
      </c>
      <c r="BG35" s="397">
        <v>0</v>
      </c>
      <c r="BH35" s="397">
        <v>0</v>
      </c>
      <c r="BI35" s="397">
        <v>0</v>
      </c>
      <c r="BJ35" s="397">
        <v>0</v>
      </c>
      <c r="BK35" s="398">
        <v>0</v>
      </c>
      <c r="BL35" s="397">
        <v>310</v>
      </c>
      <c r="BM35" s="393"/>
      <c r="BN35" s="393"/>
      <c r="BO35" s="393"/>
      <c r="BP35" s="394"/>
      <c r="BQ35" s="395"/>
      <c r="BR35" s="393"/>
      <c r="BS35" s="393"/>
      <c r="BT35" s="393"/>
      <c r="BU35" s="394"/>
      <c r="BV35" s="396"/>
      <c r="BW35" s="393">
        <v>1375</v>
      </c>
      <c r="BX35" s="393">
        <v>1375</v>
      </c>
      <c r="BY35" s="393">
        <v>1031.25</v>
      </c>
      <c r="BZ35" s="393">
        <v>1031.25</v>
      </c>
      <c r="CA35" s="394">
        <v>825</v>
      </c>
      <c r="CB35" s="393"/>
      <c r="CC35" s="393"/>
      <c r="CD35" s="393"/>
      <c r="CE35" s="393"/>
      <c r="CF35" s="394"/>
      <c r="CG35" s="395">
        <v>1.55</v>
      </c>
      <c r="CH35" s="393"/>
      <c r="CI35" s="393"/>
      <c r="CJ35" s="393"/>
      <c r="CK35" s="394"/>
    </row>
    <row r="36" spans="1:89" s="384" customFormat="1" x14ac:dyDescent="0.2">
      <c r="A36" s="385" t="s">
        <v>845</v>
      </c>
      <c r="B36" s="386" t="s">
        <v>930</v>
      </c>
      <c r="C36" s="387" t="s">
        <v>846</v>
      </c>
      <c r="D36" s="388">
        <v>3.2</v>
      </c>
      <c r="E36" s="389">
        <v>3.2</v>
      </c>
      <c r="F36" s="389">
        <v>3.2</v>
      </c>
      <c r="G36" s="389">
        <v>0</v>
      </c>
      <c r="H36" s="390">
        <v>0</v>
      </c>
      <c r="I36" s="389">
        <v>1</v>
      </c>
      <c r="J36" s="389">
        <v>1</v>
      </c>
      <c r="K36" s="389">
        <v>1</v>
      </c>
      <c r="L36" s="389">
        <v>0</v>
      </c>
      <c r="M36" s="390">
        <v>0</v>
      </c>
      <c r="N36" s="389" t="s">
        <v>931</v>
      </c>
      <c r="O36" s="389" t="s">
        <v>932</v>
      </c>
      <c r="P36" s="389" t="s">
        <v>932</v>
      </c>
      <c r="Q36" s="389">
        <v>0</v>
      </c>
      <c r="R36" s="390">
        <v>0</v>
      </c>
      <c r="S36" s="389"/>
      <c r="T36" s="389"/>
      <c r="U36" s="389"/>
      <c r="V36" s="389"/>
      <c r="W36" s="390"/>
      <c r="X36" s="389" t="s">
        <v>933</v>
      </c>
      <c r="Y36" s="389" t="s">
        <v>933</v>
      </c>
      <c r="Z36" s="389" t="s">
        <v>934</v>
      </c>
      <c r="AA36" s="389">
        <v>0</v>
      </c>
      <c r="AB36" s="390">
        <v>0</v>
      </c>
      <c r="AC36" s="417">
        <v>0.85</v>
      </c>
      <c r="AD36" s="417">
        <v>0.92</v>
      </c>
      <c r="AE36" s="418">
        <v>0.97499999999999998</v>
      </c>
      <c r="AF36" s="391">
        <v>0</v>
      </c>
      <c r="AG36" s="392">
        <v>0</v>
      </c>
      <c r="AH36" s="391">
        <v>0.65</v>
      </c>
      <c r="AI36" s="391">
        <v>0.7</v>
      </c>
      <c r="AJ36" s="391">
        <v>0.72499999999999998</v>
      </c>
      <c r="AK36" s="391">
        <v>0</v>
      </c>
      <c r="AL36" s="392">
        <v>0</v>
      </c>
      <c r="AM36" s="391">
        <v>0.2</v>
      </c>
      <c r="AN36" s="391">
        <v>0.22</v>
      </c>
      <c r="AO36" s="391">
        <v>0.25</v>
      </c>
      <c r="AP36" s="391">
        <v>0</v>
      </c>
      <c r="AQ36" s="392">
        <v>0</v>
      </c>
      <c r="AR36" s="389"/>
      <c r="AS36" s="389"/>
      <c r="AT36" s="389"/>
      <c r="AU36" s="389"/>
      <c r="AV36" s="390"/>
      <c r="AW36" s="389">
        <v>10</v>
      </c>
      <c r="AX36" s="389" t="s">
        <v>935</v>
      </c>
      <c r="AY36" s="389" t="s">
        <v>935</v>
      </c>
      <c r="AZ36" s="389">
        <v>0</v>
      </c>
      <c r="BA36" s="390">
        <v>0</v>
      </c>
      <c r="BB36" s="393">
        <v>15000</v>
      </c>
      <c r="BC36" s="393">
        <v>12000</v>
      </c>
      <c r="BD36" s="393">
        <v>10000</v>
      </c>
      <c r="BE36" s="393">
        <v>0</v>
      </c>
      <c r="BF36" s="394">
        <v>0</v>
      </c>
      <c r="BG36" s="393">
        <v>2500</v>
      </c>
      <c r="BH36" s="393">
        <v>2500</v>
      </c>
      <c r="BI36" s="393">
        <v>2500</v>
      </c>
      <c r="BJ36" s="393">
        <v>0</v>
      </c>
      <c r="BK36" s="394">
        <v>0</v>
      </c>
      <c r="BL36" s="389">
        <v>0</v>
      </c>
      <c r="BM36" s="389">
        <v>0</v>
      </c>
      <c r="BN36" s="389">
        <v>0</v>
      </c>
      <c r="BO36" s="389">
        <v>0</v>
      </c>
      <c r="BP36" s="390">
        <v>0</v>
      </c>
      <c r="BQ36" s="419">
        <v>1.1000000000000001</v>
      </c>
      <c r="BR36" s="420">
        <v>1.1000000000000001</v>
      </c>
      <c r="BS36" s="420">
        <v>1.1000000000000001</v>
      </c>
      <c r="BT36" s="389">
        <v>0</v>
      </c>
      <c r="BU36" s="390">
        <v>0</v>
      </c>
      <c r="BV36" s="396" t="s">
        <v>847</v>
      </c>
      <c r="BW36" s="393">
        <v>4687.5</v>
      </c>
      <c r="BX36" s="393">
        <v>3750</v>
      </c>
      <c r="BY36" s="393">
        <v>3125</v>
      </c>
      <c r="BZ36" s="393">
        <v>0</v>
      </c>
      <c r="CA36" s="394">
        <v>0</v>
      </c>
      <c r="CB36" s="421">
        <v>781.25</v>
      </c>
      <c r="CC36" s="421">
        <v>781.25</v>
      </c>
      <c r="CD36" s="421">
        <v>781.25</v>
      </c>
      <c r="CE36" s="421" t="s">
        <v>916</v>
      </c>
      <c r="CF36" s="421" t="s">
        <v>916</v>
      </c>
      <c r="CG36" s="395">
        <v>0</v>
      </c>
      <c r="CH36" s="393">
        <v>0</v>
      </c>
      <c r="CI36" s="393">
        <v>0</v>
      </c>
      <c r="CJ36" s="393">
        <v>0</v>
      </c>
      <c r="CK36" s="394">
        <v>0</v>
      </c>
    </row>
    <row r="37" spans="1:89" s="384" customFormat="1" x14ac:dyDescent="0.2">
      <c r="A37" s="385" t="s">
        <v>848</v>
      </c>
      <c r="B37" s="386" t="s">
        <v>936</v>
      </c>
      <c r="C37" s="387" t="s">
        <v>849</v>
      </c>
      <c r="D37" s="388" t="s">
        <v>937</v>
      </c>
      <c r="E37" s="389" t="s">
        <v>937</v>
      </c>
      <c r="F37" s="389" t="s">
        <v>937</v>
      </c>
      <c r="G37" s="389">
        <v>0</v>
      </c>
      <c r="H37" s="390">
        <v>0</v>
      </c>
      <c r="I37" s="389" t="s">
        <v>938</v>
      </c>
      <c r="J37" s="389" t="s">
        <v>939</v>
      </c>
      <c r="K37" s="389" t="s">
        <v>940</v>
      </c>
      <c r="L37" s="389">
        <v>0</v>
      </c>
      <c r="M37" s="390">
        <v>0</v>
      </c>
      <c r="N37" s="389" t="s">
        <v>941</v>
      </c>
      <c r="O37" s="389" t="s">
        <v>941</v>
      </c>
      <c r="P37" s="389" t="s">
        <v>941</v>
      </c>
      <c r="Q37" s="389">
        <v>0</v>
      </c>
      <c r="R37" s="390">
        <v>0</v>
      </c>
      <c r="S37" s="389"/>
      <c r="T37" s="389"/>
      <c r="U37" s="389"/>
      <c r="V37" s="389"/>
      <c r="W37" s="390"/>
      <c r="X37" s="389" t="s">
        <v>942</v>
      </c>
      <c r="Y37" s="389" t="s">
        <v>942</v>
      </c>
      <c r="Z37" s="389" t="s">
        <v>942</v>
      </c>
      <c r="AA37" s="389">
        <v>0</v>
      </c>
      <c r="AB37" s="390">
        <v>0</v>
      </c>
      <c r="AC37" s="418">
        <v>0.89500000000000002</v>
      </c>
      <c r="AD37" s="418">
        <v>0.93</v>
      </c>
      <c r="AE37" s="418">
        <v>0.95499999999999996</v>
      </c>
      <c r="AF37" s="391">
        <v>0</v>
      </c>
      <c r="AG37" s="392">
        <v>0</v>
      </c>
      <c r="AH37" s="391">
        <v>0.57499999999999996</v>
      </c>
      <c r="AI37" s="391">
        <v>0.58499999999999996</v>
      </c>
      <c r="AJ37" s="391">
        <v>0.59499999999999997</v>
      </c>
      <c r="AK37" s="391">
        <v>0</v>
      </c>
      <c r="AL37" s="392">
        <v>0</v>
      </c>
      <c r="AM37" s="391">
        <v>0.32</v>
      </c>
      <c r="AN37" s="391">
        <v>0.34</v>
      </c>
      <c r="AO37" s="391">
        <v>0.36</v>
      </c>
      <c r="AP37" s="391">
        <v>0</v>
      </c>
      <c r="AQ37" s="392">
        <v>0</v>
      </c>
      <c r="AR37" s="389"/>
      <c r="AS37" s="389"/>
      <c r="AT37" s="389"/>
      <c r="AU37" s="389"/>
      <c r="AV37" s="390"/>
      <c r="AW37" s="389" t="s">
        <v>926</v>
      </c>
      <c r="AX37" s="389" t="s">
        <v>926</v>
      </c>
      <c r="AY37" s="389" t="s">
        <v>926</v>
      </c>
      <c r="AZ37" s="389">
        <v>0</v>
      </c>
      <c r="BA37" s="390">
        <v>0</v>
      </c>
      <c r="BB37" s="393">
        <v>72500</v>
      </c>
      <c r="BC37" s="393">
        <v>72500</v>
      </c>
      <c r="BD37" s="393">
        <v>72500</v>
      </c>
      <c r="BE37" s="393">
        <v>0</v>
      </c>
      <c r="BF37" s="394">
        <v>0</v>
      </c>
      <c r="BG37" s="393">
        <v>200</v>
      </c>
      <c r="BH37" s="393">
        <v>200</v>
      </c>
      <c r="BI37" s="393">
        <v>200</v>
      </c>
      <c r="BJ37" s="393">
        <v>0</v>
      </c>
      <c r="BK37" s="394">
        <v>0</v>
      </c>
      <c r="BL37" s="389">
        <v>0</v>
      </c>
      <c r="BM37" s="389">
        <v>0</v>
      </c>
      <c r="BN37" s="389">
        <v>0</v>
      </c>
      <c r="BO37" s="389">
        <v>0</v>
      </c>
      <c r="BP37" s="390">
        <v>0</v>
      </c>
      <c r="BQ37" s="419">
        <v>0.85</v>
      </c>
      <c r="BR37" s="420">
        <v>0.85</v>
      </c>
      <c r="BS37" s="420">
        <v>0.85</v>
      </c>
      <c r="BT37" s="389">
        <v>0</v>
      </c>
      <c r="BU37" s="390">
        <v>0</v>
      </c>
      <c r="BV37" s="396" t="s">
        <v>847</v>
      </c>
      <c r="BW37" s="397">
        <v>446.15384615384613</v>
      </c>
      <c r="BX37" s="397">
        <v>446.15384615384613</v>
      </c>
      <c r="BY37" s="397">
        <v>446.15384615384613</v>
      </c>
      <c r="BZ37" s="397" t="s">
        <v>916</v>
      </c>
      <c r="CA37" s="398" t="s">
        <v>916</v>
      </c>
      <c r="CB37" s="411">
        <v>1.2307692307692308</v>
      </c>
      <c r="CC37" s="422">
        <v>1.2307692307692308</v>
      </c>
      <c r="CD37" s="422">
        <v>1.2307692307692308</v>
      </c>
      <c r="CE37" s="422" t="s">
        <v>916</v>
      </c>
      <c r="CF37" s="423" t="s">
        <v>916</v>
      </c>
      <c r="CG37" s="395">
        <v>0</v>
      </c>
      <c r="CH37" s="393">
        <v>0</v>
      </c>
      <c r="CI37" s="393">
        <v>0</v>
      </c>
      <c r="CJ37" s="393" t="s">
        <v>916</v>
      </c>
      <c r="CK37" s="394" t="s">
        <v>916</v>
      </c>
    </row>
    <row r="38" spans="1:89" s="384" customFormat="1" x14ac:dyDescent="0.2">
      <c r="A38" s="385" t="s">
        <v>850</v>
      </c>
      <c r="B38" s="386" t="s">
        <v>919</v>
      </c>
      <c r="C38" s="387" t="s">
        <v>851</v>
      </c>
      <c r="D38" s="408" t="s">
        <v>852</v>
      </c>
      <c r="E38" s="404">
        <v>10</v>
      </c>
      <c r="F38" s="404">
        <v>10</v>
      </c>
      <c r="G38" s="404">
        <v>10</v>
      </c>
      <c r="H38" s="405">
        <v>10</v>
      </c>
      <c r="I38" s="389"/>
      <c r="J38" s="389"/>
      <c r="K38" s="389"/>
      <c r="L38" s="389"/>
      <c r="M38" s="390"/>
      <c r="N38" s="389">
        <v>0</v>
      </c>
      <c r="O38" s="389">
        <v>0</v>
      </c>
      <c r="P38" s="389">
        <v>0</v>
      </c>
      <c r="Q38" s="389">
        <v>0</v>
      </c>
      <c r="R38" s="390">
        <v>0</v>
      </c>
      <c r="S38" s="389"/>
      <c r="T38" s="389"/>
      <c r="U38" s="389"/>
      <c r="V38" s="389"/>
      <c r="W38" s="390"/>
      <c r="X38" s="389">
        <v>0</v>
      </c>
      <c r="Y38" s="389">
        <v>0</v>
      </c>
      <c r="Z38" s="389">
        <v>0</v>
      </c>
      <c r="AA38" s="389">
        <v>0</v>
      </c>
      <c r="AB38" s="390">
        <v>0</v>
      </c>
      <c r="AC38" s="424">
        <v>0.65</v>
      </c>
      <c r="AD38" s="424">
        <v>0.7</v>
      </c>
      <c r="AE38" s="424">
        <v>0.72499999999999998</v>
      </c>
      <c r="AF38" s="391">
        <v>0</v>
      </c>
      <c r="AG38" s="392">
        <v>0</v>
      </c>
      <c r="AH38" s="391">
        <v>0</v>
      </c>
      <c r="AI38" s="391">
        <v>0</v>
      </c>
      <c r="AJ38" s="391">
        <v>0</v>
      </c>
      <c r="AK38" s="391">
        <v>0</v>
      </c>
      <c r="AL38" s="392">
        <v>0</v>
      </c>
      <c r="AM38" s="425">
        <v>0.2</v>
      </c>
      <c r="AN38" s="425">
        <v>0.22</v>
      </c>
      <c r="AO38" s="425">
        <v>0.25</v>
      </c>
      <c r="AP38" s="389">
        <v>0</v>
      </c>
      <c r="AQ38" s="392">
        <v>0</v>
      </c>
      <c r="AR38" s="389"/>
      <c r="AS38" s="389"/>
      <c r="AT38" s="389"/>
      <c r="AU38" s="389"/>
      <c r="AV38" s="390"/>
      <c r="AW38" s="389">
        <v>0</v>
      </c>
      <c r="AX38" s="389">
        <v>0</v>
      </c>
      <c r="AY38" s="389">
        <v>0</v>
      </c>
      <c r="AZ38" s="389">
        <v>0</v>
      </c>
      <c r="BA38" s="390">
        <v>0</v>
      </c>
      <c r="BB38" s="397">
        <v>21450</v>
      </c>
      <c r="BC38" s="397">
        <v>17160</v>
      </c>
      <c r="BD38" s="397">
        <v>14371.5</v>
      </c>
      <c r="BE38" s="397">
        <v>14371.5</v>
      </c>
      <c r="BF38" s="398">
        <v>14371.5</v>
      </c>
      <c r="BG38" s="397">
        <v>2550</v>
      </c>
      <c r="BH38" s="397">
        <v>2550</v>
      </c>
      <c r="BI38" s="397">
        <v>2550</v>
      </c>
      <c r="BJ38" s="397">
        <v>2550</v>
      </c>
      <c r="BK38" s="398">
        <v>2550</v>
      </c>
      <c r="BL38" s="397">
        <v>310</v>
      </c>
      <c r="BM38" s="393">
        <v>0</v>
      </c>
      <c r="BN38" s="393">
        <v>0</v>
      </c>
      <c r="BO38" s="393">
        <v>0</v>
      </c>
      <c r="BP38" s="394">
        <v>0</v>
      </c>
      <c r="BQ38" s="426">
        <v>0</v>
      </c>
      <c r="BR38" s="391">
        <v>0</v>
      </c>
      <c r="BS38" s="391">
        <v>0</v>
      </c>
      <c r="BT38" s="393">
        <v>0</v>
      </c>
      <c r="BU38" s="394">
        <v>0</v>
      </c>
      <c r="BV38" s="396" t="s">
        <v>821</v>
      </c>
      <c r="BW38" s="393">
        <v>2145</v>
      </c>
      <c r="BX38" s="393">
        <v>1716</v>
      </c>
      <c r="BY38" s="393">
        <v>1437.15</v>
      </c>
      <c r="BZ38" s="393">
        <v>1437.15</v>
      </c>
      <c r="CA38" s="394">
        <v>1437.15</v>
      </c>
      <c r="CB38" s="393">
        <v>255</v>
      </c>
      <c r="CC38" s="393">
        <v>255</v>
      </c>
      <c r="CD38" s="393">
        <v>255</v>
      </c>
      <c r="CE38" s="393">
        <v>255</v>
      </c>
      <c r="CF38" s="394">
        <v>255</v>
      </c>
      <c r="CG38" s="395">
        <v>31</v>
      </c>
      <c r="CH38" s="393">
        <v>0</v>
      </c>
      <c r="CI38" s="393">
        <v>0</v>
      </c>
      <c r="CJ38" s="393">
        <v>0</v>
      </c>
      <c r="CK38" s="394">
        <v>0</v>
      </c>
    </row>
    <row r="39" spans="1:89" s="384" customFormat="1" x14ac:dyDescent="0.2">
      <c r="A39" s="385" t="s">
        <v>853</v>
      </c>
      <c r="B39" s="386" t="s">
        <v>943</v>
      </c>
      <c r="C39" s="387" t="s">
        <v>854</v>
      </c>
      <c r="D39" s="388" t="s">
        <v>944</v>
      </c>
      <c r="E39" s="389" t="s">
        <v>945</v>
      </c>
      <c r="F39" s="389" t="s">
        <v>946</v>
      </c>
      <c r="G39" s="389">
        <v>0</v>
      </c>
      <c r="H39" s="390">
        <v>0</v>
      </c>
      <c r="I39" s="389">
        <v>1</v>
      </c>
      <c r="J39" s="389">
        <v>1</v>
      </c>
      <c r="K39" s="389">
        <v>1</v>
      </c>
      <c r="L39" s="389">
        <v>0</v>
      </c>
      <c r="M39" s="390">
        <v>0</v>
      </c>
      <c r="N39" s="389" t="s">
        <v>947</v>
      </c>
      <c r="O39" s="389" t="s">
        <v>947</v>
      </c>
      <c r="P39" s="389" t="s">
        <v>947</v>
      </c>
      <c r="Q39" s="389">
        <v>0</v>
      </c>
      <c r="R39" s="390">
        <v>0</v>
      </c>
      <c r="S39" s="389"/>
      <c r="T39" s="389"/>
      <c r="U39" s="389"/>
      <c r="V39" s="389"/>
      <c r="W39" s="390"/>
      <c r="X39" s="389" t="s">
        <v>942</v>
      </c>
      <c r="Y39" s="389" t="s">
        <v>942</v>
      </c>
      <c r="Z39" s="389" t="s">
        <v>942</v>
      </c>
      <c r="AA39" s="389">
        <v>0</v>
      </c>
      <c r="AB39" s="390">
        <v>0</v>
      </c>
      <c r="AC39" s="391">
        <v>0.89500000000000002</v>
      </c>
      <c r="AD39" s="391">
        <v>0.94</v>
      </c>
      <c r="AE39" s="391">
        <v>0.98499999999999999</v>
      </c>
      <c r="AF39" s="391">
        <v>0</v>
      </c>
      <c r="AG39" s="392">
        <v>0</v>
      </c>
      <c r="AH39" s="391">
        <v>0.77500000000000002</v>
      </c>
      <c r="AI39" s="391">
        <v>0.8</v>
      </c>
      <c r="AJ39" s="391">
        <v>0.82499999999999996</v>
      </c>
      <c r="AK39" s="391">
        <v>0</v>
      </c>
      <c r="AL39" s="392">
        <v>0</v>
      </c>
      <c r="AM39" s="391">
        <v>0.12</v>
      </c>
      <c r="AN39" s="391">
        <v>0.14000000000000001</v>
      </c>
      <c r="AO39" s="391">
        <v>0.16</v>
      </c>
      <c r="AP39" s="391">
        <v>0</v>
      </c>
      <c r="AQ39" s="392">
        <v>0</v>
      </c>
      <c r="AR39" s="389"/>
      <c r="AS39" s="389"/>
      <c r="AT39" s="389"/>
      <c r="AU39" s="389"/>
      <c r="AV39" s="390"/>
      <c r="AW39" s="389">
        <v>10</v>
      </c>
      <c r="AX39" s="389" t="s">
        <v>935</v>
      </c>
      <c r="AY39" s="389" t="s">
        <v>935</v>
      </c>
      <c r="AZ39" s="389">
        <v>0</v>
      </c>
      <c r="BA39" s="390">
        <v>0</v>
      </c>
      <c r="BB39" s="393">
        <v>12000</v>
      </c>
      <c r="BC39" s="393">
        <v>7000</v>
      </c>
      <c r="BD39" s="393">
        <v>5000</v>
      </c>
      <c r="BE39" s="393">
        <v>0</v>
      </c>
      <c r="BF39" s="394">
        <v>0</v>
      </c>
      <c r="BG39" s="393">
        <v>2500</v>
      </c>
      <c r="BH39" s="393">
        <v>2500</v>
      </c>
      <c r="BI39" s="393">
        <v>2500</v>
      </c>
      <c r="BJ39" s="393">
        <v>0</v>
      </c>
      <c r="BK39" s="394">
        <v>0</v>
      </c>
      <c r="BL39" s="389">
        <v>0</v>
      </c>
      <c r="BM39" s="389">
        <v>0</v>
      </c>
      <c r="BN39" s="389">
        <v>0</v>
      </c>
      <c r="BO39" s="389">
        <v>0</v>
      </c>
      <c r="BP39" s="390">
        <v>0</v>
      </c>
      <c r="BQ39" s="419">
        <v>0.75</v>
      </c>
      <c r="BR39" s="420">
        <v>0.75</v>
      </c>
      <c r="BS39" s="420">
        <v>0.75</v>
      </c>
      <c r="BT39" s="389">
        <v>0</v>
      </c>
      <c r="BU39" s="390">
        <v>0</v>
      </c>
      <c r="BV39" s="396" t="s">
        <v>855</v>
      </c>
      <c r="BW39" s="397">
        <v>1263.1578947368421</v>
      </c>
      <c r="BX39" s="397">
        <v>875</v>
      </c>
      <c r="BY39" s="397">
        <v>909.09090909090912</v>
      </c>
      <c r="BZ39" s="397" t="s">
        <v>916</v>
      </c>
      <c r="CA39" s="398" t="s">
        <v>916</v>
      </c>
      <c r="CB39" s="397">
        <v>263.15789473684208</v>
      </c>
      <c r="CC39" s="397">
        <v>312.5</v>
      </c>
      <c r="CD39" s="397">
        <v>454.54545454545456</v>
      </c>
      <c r="CE39" s="397" t="s">
        <v>916</v>
      </c>
      <c r="CF39" s="398" t="s">
        <v>916</v>
      </c>
      <c r="CG39" s="395">
        <v>0</v>
      </c>
      <c r="CH39" s="393">
        <v>0</v>
      </c>
      <c r="CI39" s="393">
        <v>0</v>
      </c>
      <c r="CJ39" s="393">
        <v>0</v>
      </c>
      <c r="CK39" s="394">
        <v>0</v>
      </c>
    </row>
    <row r="40" spans="1:89" s="384" customFormat="1" x14ac:dyDescent="0.2">
      <c r="A40" s="385" t="s">
        <v>856</v>
      </c>
      <c r="B40" s="386" t="s">
        <v>948</v>
      </c>
      <c r="C40" s="387" t="s">
        <v>857</v>
      </c>
      <c r="D40" s="388">
        <v>15</v>
      </c>
      <c r="E40" s="389">
        <v>14</v>
      </c>
      <c r="F40" s="389">
        <v>13</v>
      </c>
      <c r="G40" s="389">
        <v>0</v>
      </c>
      <c r="H40" s="390">
        <v>0</v>
      </c>
      <c r="I40" s="389">
        <v>7</v>
      </c>
      <c r="J40" s="389">
        <v>7</v>
      </c>
      <c r="K40" s="389">
        <v>7</v>
      </c>
      <c r="L40" s="389">
        <v>0</v>
      </c>
      <c r="M40" s="390">
        <v>0</v>
      </c>
      <c r="N40" s="389" t="s">
        <v>947</v>
      </c>
      <c r="O40" s="389" t="s">
        <v>947</v>
      </c>
      <c r="P40" s="389" t="s">
        <v>947</v>
      </c>
      <c r="Q40" s="389">
        <v>0</v>
      </c>
      <c r="R40" s="390">
        <v>0</v>
      </c>
      <c r="S40" s="389"/>
      <c r="T40" s="389"/>
      <c r="U40" s="389"/>
      <c r="V40" s="389"/>
      <c r="W40" s="390"/>
      <c r="X40" s="389" t="s">
        <v>949</v>
      </c>
      <c r="Y40" s="389" t="s">
        <v>949</v>
      </c>
      <c r="Z40" s="389" t="s">
        <v>949</v>
      </c>
      <c r="AA40" s="389">
        <v>0</v>
      </c>
      <c r="AB40" s="390">
        <v>0</v>
      </c>
      <c r="AC40" s="391">
        <v>0.8</v>
      </c>
      <c r="AD40" s="391">
        <v>0.82</v>
      </c>
      <c r="AE40" s="391">
        <v>0.85</v>
      </c>
      <c r="AF40" s="391">
        <v>0</v>
      </c>
      <c r="AG40" s="392">
        <v>0</v>
      </c>
      <c r="AH40" s="391">
        <v>0.55000000000000004</v>
      </c>
      <c r="AI40" s="391">
        <v>0.55000000000000004</v>
      </c>
      <c r="AJ40" s="391">
        <v>0.55000000000000004</v>
      </c>
      <c r="AK40" s="391">
        <v>0</v>
      </c>
      <c r="AL40" s="392">
        <v>0</v>
      </c>
      <c r="AM40" s="391">
        <v>0.25</v>
      </c>
      <c r="AN40" s="391">
        <v>0.27</v>
      </c>
      <c r="AO40" s="391">
        <v>0.3</v>
      </c>
      <c r="AP40" s="391">
        <v>0</v>
      </c>
      <c r="AQ40" s="392">
        <v>0</v>
      </c>
      <c r="AR40" s="389"/>
      <c r="AS40" s="389"/>
      <c r="AT40" s="389"/>
      <c r="AU40" s="389"/>
      <c r="AV40" s="390"/>
      <c r="AW40" s="389">
        <v>10</v>
      </c>
      <c r="AX40" s="389" t="s">
        <v>935</v>
      </c>
      <c r="AY40" s="389" t="s">
        <v>935</v>
      </c>
      <c r="AZ40" s="389">
        <v>0</v>
      </c>
      <c r="BA40" s="390">
        <v>0</v>
      </c>
      <c r="BB40" s="393">
        <v>20000</v>
      </c>
      <c r="BC40" s="393">
        <v>18000</v>
      </c>
      <c r="BD40" s="393">
        <v>15000</v>
      </c>
      <c r="BE40" s="393">
        <v>0</v>
      </c>
      <c r="BF40" s="394">
        <v>0</v>
      </c>
      <c r="BG40" s="393">
        <v>200</v>
      </c>
      <c r="BH40" s="393">
        <v>200</v>
      </c>
      <c r="BI40" s="393">
        <v>200</v>
      </c>
      <c r="BJ40" s="393">
        <v>0</v>
      </c>
      <c r="BK40" s="394">
        <v>0</v>
      </c>
      <c r="BL40" s="389">
        <v>0</v>
      </c>
      <c r="BM40" s="389">
        <v>0</v>
      </c>
      <c r="BN40" s="389">
        <v>0</v>
      </c>
      <c r="BO40" s="389">
        <v>0</v>
      </c>
      <c r="BP40" s="390">
        <v>0</v>
      </c>
      <c r="BQ40" s="419">
        <v>0.7</v>
      </c>
      <c r="BR40" s="420">
        <v>0.7</v>
      </c>
      <c r="BS40" s="420">
        <v>0.7</v>
      </c>
      <c r="BT40" s="389">
        <v>0</v>
      </c>
      <c r="BU40" s="390">
        <v>0</v>
      </c>
      <c r="BV40" s="396" t="s">
        <v>855</v>
      </c>
      <c r="BW40" s="393">
        <v>1333.3333333333333</v>
      </c>
      <c r="BX40" s="393">
        <v>1200</v>
      </c>
      <c r="BY40" s="393">
        <v>1000</v>
      </c>
      <c r="BZ40" s="393">
        <v>0</v>
      </c>
      <c r="CA40" s="394">
        <v>0</v>
      </c>
      <c r="CB40" s="393">
        <v>13.333333333333334</v>
      </c>
      <c r="CC40" s="393">
        <v>13.333333333333334</v>
      </c>
      <c r="CD40" s="393">
        <v>13.333333333333334</v>
      </c>
      <c r="CE40" s="393">
        <v>0</v>
      </c>
      <c r="CF40" s="394">
        <v>0</v>
      </c>
      <c r="CG40" s="395">
        <v>0</v>
      </c>
      <c r="CH40" s="393">
        <v>0</v>
      </c>
      <c r="CI40" s="393">
        <v>0</v>
      </c>
      <c r="CJ40" s="393">
        <v>0</v>
      </c>
      <c r="CK40" s="394">
        <v>0</v>
      </c>
    </row>
    <row r="41" spans="1:89" s="384" customFormat="1" x14ac:dyDescent="0.2">
      <c r="A41" s="385" t="s">
        <v>858</v>
      </c>
      <c r="B41" s="386" t="s">
        <v>950</v>
      </c>
      <c r="C41" s="387" t="s">
        <v>859</v>
      </c>
      <c r="D41" s="388" t="s">
        <v>951</v>
      </c>
      <c r="E41" s="389" t="s">
        <v>951</v>
      </c>
      <c r="F41" s="389" t="s">
        <v>951</v>
      </c>
      <c r="G41" s="389" t="s">
        <v>916</v>
      </c>
      <c r="H41" s="390" t="s">
        <v>916</v>
      </c>
      <c r="I41" s="389" t="s">
        <v>952</v>
      </c>
      <c r="J41" s="389" t="s">
        <v>952</v>
      </c>
      <c r="K41" s="389" t="s">
        <v>952</v>
      </c>
      <c r="L41" s="389">
        <v>0</v>
      </c>
      <c r="M41" s="390">
        <v>0</v>
      </c>
      <c r="N41" s="389" t="s">
        <v>953</v>
      </c>
      <c r="O41" s="389" t="s">
        <v>953</v>
      </c>
      <c r="P41" s="389" t="s">
        <v>953</v>
      </c>
      <c r="Q41" s="389">
        <v>0</v>
      </c>
      <c r="R41" s="390">
        <v>0</v>
      </c>
      <c r="S41" s="389"/>
      <c r="T41" s="389"/>
      <c r="U41" s="389"/>
      <c r="V41" s="389"/>
      <c r="W41" s="390"/>
      <c r="X41" s="389" t="s">
        <v>954</v>
      </c>
      <c r="Y41" s="389" t="s">
        <v>954</v>
      </c>
      <c r="Z41" s="389" t="s">
        <v>954</v>
      </c>
      <c r="AA41" s="389">
        <v>0</v>
      </c>
      <c r="AB41" s="390">
        <v>0</v>
      </c>
      <c r="AC41" s="391">
        <v>0.875</v>
      </c>
      <c r="AD41" s="391">
        <v>0.47499999999999998</v>
      </c>
      <c r="AE41" s="391">
        <v>0.98499999999999999</v>
      </c>
      <c r="AF41" s="391">
        <v>0</v>
      </c>
      <c r="AG41" s="392">
        <v>0</v>
      </c>
      <c r="AH41" s="391">
        <v>0.55000000000000004</v>
      </c>
      <c r="AI41" s="391">
        <v>0.52500000000000002</v>
      </c>
      <c r="AJ41" s="391">
        <v>0.52500000000000002</v>
      </c>
      <c r="AK41" s="391">
        <v>0</v>
      </c>
      <c r="AL41" s="392">
        <v>0</v>
      </c>
      <c r="AM41" s="391">
        <v>0.375</v>
      </c>
      <c r="AN41" s="391">
        <v>0.45</v>
      </c>
      <c r="AO41" s="391">
        <v>0.47499999999999998</v>
      </c>
      <c r="AP41" s="391">
        <v>0</v>
      </c>
      <c r="AQ41" s="392">
        <v>0</v>
      </c>
      <c r="AR41" s="389"/>
      <c r="AS41" s="389"/>
      <c r="AT41" s="389"/>
      <c r="AU41" s="389"/>
      <c r="AV41" s="390"/>
      <c r="AW41" s="389" t="s">
        <v>955</v>
      </c>
      <c r="AX41" s="389" t="s">
        <v>956</v>
      </c>
      <c r="AY41" s="389" t="s">
        <v>956</v>
      </c>
      <c r="AZ41" s="389">
        <v>0</v>
      </c>
      <c r="BA41" s="390">
        <v>0</v>
      </c>
      <c r="BB41" s="393">
        <v>21000</v>
      </c>
      <c r="BC41" s="397">
        <v>18900</v>
      </c>
      <c r="BD41" s="397">
        <v>15750</v>
      </c>
      <c r="BE41" s="393">
        <v>0</v>
      </c>
      <c r="BF41" s="394">
        <v>0</v>
      </c>
      <c r="BG41" s="393">
        <v>2500</v>
      </c>
      <c r="BH41" s="393">
        <v>2500</v>
      </c>
      <c r="BI41" s="393">
        <v>2500</v>
      </c>
      <c r="BJ41" s="393">
        <v>0</v>
      </c>
      <c r="BK41" s="394">
        <v>0</v>
      </c>
      <c r="BL41" s="404">
        <v>500</v>
      </c>
      <c r="BM41" s="389">
        <v>0</v>
      </c>
      <c r="BN41" s="389">
        <v>0</v>
      </c>
      <c r="BO41" s="389">
        <v>0</v>
      </c>
      <c r="BP41" s="390">
        <v>0</v>
      </c>
      <c r="BQ41" s="388">
        <v>0</v>
      </c>
      <c r="BR41" s="389">
        <v>0</v>
      </c>
      <c r="BS41" s="389">
        <v>0</v>
      </c>
      <c r="BT41" s="389">
        <v>0</v>
      </c>
      <c r="BU41" s="390">
        <v>0</v>
      </c>
      <c r="BV41" s="396" t="s">
        <v>855</v>
      </c>
      <c r="BW41" s="393">
        <v>14000</v>
      </c>
      <c r="BX41" s="393">
        <v>12600</v>
      </c>
      <c r="BY41" s="393">
        <v>10500</v>
      </c>
      <c r="BZ41" s="393">
        <v>0</v>
      </c>
      <c r="CA41" s="394">
        <v>0</v>
      </c>
      <c r="CB41" s="393">
        <v>1666.6666666666667</v>
      </c>
      <c r="CC41" s="393">
        <v>1666.6666666666667</v>
      </c>
      <c r="CD41" s="393">
        <v>1666.6666666666667</v>
      </c>
      <c r="CE41" s="393">
        <v>0</v>
      </c>
      <c r="CF41" s="394">
        <v>0</v>
      </c>
      <c r="CG41" s="395">
        <v>333.33333333333331</v>
      </c>
      <c r="CH41" s="393">
        <v>0</v>
      </c>
      <c r="CI41" s="393">
        <v>0</v>
      </c>
      <c r="CJ41" s="393">
        <v>0</v>
      </c>
      <c r="CK41" s="394">
        <v>0</v>
      </c>
    </row>
    <row r="42" spans="1:89" s="384" customFormat="1" x14ac:dyDescent="0.2">
      <c r="A42" s="385" t="s">
        <v>860</v>
      </c>
      <c r="B42" s="386" t="s">
        <v>957</v>
      </c>
      <c r="C42" s="387" t="s">
        <v>861</v>
      </c>
      <c r="D42" s="388">
        <v>1.6</v>
      </c>
      <c r="E42" s="389">
        <v>1.6</v>
      </c>
      <c r="F42" s="389">
        <v>1.6</v>
      </c>
      <c r="G42" s="389">
        <v>0</v>
      </c>
      <c r="H42" s="390">
        <v>0</v>
      </c>
      <c r="I42" s="389">
        <v>1.4</v>
      </c>
      <c r="J42" s="389">
        <v>1.4</v>
      </c>
      <c r="K42" s="389">
        <v>1.4</v>
      </c>
      <c r="L42" s="389">
        <v>0</v>
      </c>
      <c r="M42" s="390">
        <v>0</v>
      </c>
      <c r="N42" s="389" t="s">
        <v>942</v>
      </c>
      <c r="O42" s="389" t="s">
        <v>942</v>
      </c>
      <c r="P42" s="389" t="s">
        <v>942</v>
      </c>
      <c r="Q42" s="389">
        <v>0</v>
      </c>
      <c r="R42" s="390">
        <v>0</v>
      </c>
      <c r="S42" s="389"/>
      <c r="T42" s="389"/>
      <c r="U42" s="389"/>
      <c r="V42" s="389"/>
      <c r="W42" s="390"/>
      <c r="X42" s="389" t="s">
        <v>942</v>
      </c>
      <c r="Y42" s="389" t="s">
        <v>942</v>
      </c>
      <c r="Z42" s="389" t="s">
        <v>942</v>
      </c>
      <c r="AA42" s="389">
        <v>0</v>
      </c>
      <c r="AB42" s="390">
        <v>0</v>
      </c>
      <c r="AC42" s="391">
        <v>0.875</v>
      </c>
      <c r="AD42" s="391">
        <v>0.94</v>
      </c>
      <c r="AE42" s="391">
        <v>0.98499999999999999</v>
      </c>
      <c r="AF42" s="391">
        <v>0</v>
      </c>
      <c r="AG42" s="392">
        <v>0</v>
      </c>
      <c r="AH42" s="391">
        <v>0.4</v>
      </c>
      <c r="AI42" s="391">
        <v>0.44</v>
      </c>
      <c r="AJ42" s="391">
        <v>0.45</v>
      </c>
      <c r="AK42" s="391">
        <v>0</v>
      </c>
      <c r="AL42" s="392">
        <v>0</v>
      </c>
      <c r="AM42" s="391">
        <v>0.47499999999999998</v>
      </c>
      <c r="AN42" s="391">
        <v>0.505</v>
      </c>
      <c r="AO42" s="391">
        <v>0.54500000000000004</v>
      </c>
      <c r="AP42" s="391">
        <v>0</v>
      </c>
      <c r="AQ42" s="392">
        <v>0</v>
      </c>
      <c r="AR42" s="389"/>
      <c r="AS42" s="389"/>
      <c r="AT42" s="389"/>
      <c r="AU42" s="389"/>
      <c r="AV42" s="390"/>
      <c r="AW42" s="389">
        <v>7</v>
      </c>
      <c r="AX42" s="389" t="s">
        <v>935</v>
      </c>
      <c r="AY42" s="389" t="s">
        <v>935</v>
      </c>
      <c r="AZ42" s="389">
        <v>0</v>
      </c>
      <c r="BA42" s="390">
        <v>0</v>
      </c>
      <c r="BB42" s="393">
        <v>10500</v>
      </c>
      <c r="BC42" s="397">
        <v>9450</v>
      </c>
      <c r="BD42" s="397">
        <v>7875</v>
      </c>
      <c r="BE42" s="393">
        <v>0</v>
      </c>
      <c r="BF42" s="394">
        <v>0</v>
      </c>
      <c r="BG42" s="393">
        <v>2500</v>
      </c>
      <c r="BH42" s="393">
        <v>2500</v>
      </c>
      <c r="BI42" s="393">
        <v>2500</v>
      </c>
      <c r="BJ42" s="393">
        <v>0</v>
      </c>
      <c r="BK42" s="394">
        <v>0</v>
      </c>
      <c r="BL42" s="404">
        <v>500</v>
      </c>
      <c r="BM42" s="389">
        <v>0</v>
      </c>
      <c r="BN42" s="389">
        <v>0</v>
      </c>
      <c r="BO42" s="389">
        <v>0</v>
      </c>
      <c r="BP42" s="390">
        <v>0</v>
      </c>
      <c r="BQ42" s="388">
        <v>0</v>
      </c>
      <c r="BR42" s="389">
        <v>0</v>
      </c>
      <c r="BS42" s="389">
        <v>0</v>
      </c>
      <c r="BT42" s="389">
        <v>0</v>
      </c>
      <c r="BU42" s="390">
        <v>0</v>
      </c>
      <c r="BV42" s="396" t="s">
        <v>855</v>
      </c>
      <c r="BW42" s="393">
        <v>6562.5</v>
      </c>
      <c r="BX42" s="393">
        <v>5906.25</v>
      </c>
      <c r="BY42" s="393">
        <v>4921.875</v>
      </c>
      <c r="BZ42" s="393">
        <v>0</v>
      </c>
      <c r="CA42" s="394">
        <v>0</v>
      </c>
      <c r="CB42" s="393">
        <v>1562.5</v>
      </c>
      <c r="CC42" s="393">
        <v>1562.5</v>
      </c>
      <c r="CD42" s="393">
        <v>1562.5</v>
      </c>
      <c r="CE42" s="393">
        <v>0</v>
      </c>
      <c r="CF42" s="394">
        <v>0</v>
      </c>
      <c r="CG42" s="395">
        <v>312.5</v>
      </c>
      <c r="CH42" s="393">
        <v>0</v>
      </c>
      <c r="CI42" s="393">
        <v>0</v>
      </c>
      <c r="CJ42" s="393">
        <v>0</v>
      </c>
      <c r="CK42" s="394">
        <v>0</v>
      </c>
    </row>
    <row r="43" spans="1:89" s="384" customFormat="1" x14ac:dyDescent="0.2">
      <c r="A43" s="377" t="s">
        <v>862</v>
      </c>
      <c r="B43" s="378"/>
      <c r="C43" s="379"/>
      <c r="D43" s="380"/>
      <c r="E43" s="381"/>
      <c r="F43" s="381"/>
      <c r="G43" s="381"/>
      <c r="H43" s="382"/>
      <c r="I43" s="381"/>
      <c r="J43" s="381"/>
      <c r="K43" s="381"/>
      <c r="L43" s="381"/>
      <c r="M43" s="382"/>
      <c r="N43" s="381"/>
      <c r="O43" s="381"/>
      <c r="P43" s="381"/>
      <c r="Q43" s="381"/>
      <c r="R43" s="382"/>
      <c r="S43" s="381"/>
      <c r="T43" s="381"/>
      <c r="U43" s="381"/>
      <c r="V43" s="381"/>
      <c r="W43" s="382"/>
      <c r="X43" s="381"/>
      <c r="Y43" s="381"/>
      <c r="Z43" s="381"/>
      <c r="AA43" s="381"/>
      <c r="AB43" s="382"/>
      <c r="AC43" s="406">
        <v>0</v>
      </c>
      <c r="AD43" s="406">
        <v>0</v>
      </c>
      <c r="AE43" s="406">
        <v>0</v>
      </c>
      <c r="AF43" s="406">
        <v>0</v>
      </c>
      <c r="AG43" s="407">
        <v>0</v>
      </c>
      <c r="AH43" s="406">
        <v>0</v>
      </c>
      <c r="AI43" s="406">
        <v>0</v>
      </c>
      <c r="AJ43" s="406">
        <v>0</v>
      </c>
      <c r="AK43" s="406">
        <v>0</v>
      </c>
      <c r="AL43" s="407">
        <v>0</v>
      </c>
      <c r="AM43" s="406">
        <v>0</v>
      </c>
      <c r="AN43" s="406">
        <v>0</v>
      </c>
      <c r="AO43" s="406">
        <v>0</v>
      </c>
      <c r="AP43" s="406">
        <v>0</v>
      </c>
      <c r="AQ43" s="407">
        <v>0</v>
      </c>
      <c r="AR43" s="381"/>
      <c r="AS43" s="381"/>
      <c r="AT43" s="381"/>
      <c r="AU43" s="381"/>
      <c r="AV43" s="382"/>
      <c r="AW43" s="381"/>
      <c r="AX43" s="381"/>
      <c r="AY43" s="381"/>
      <c r="AZ43" s="381"/>
      <c r="BA43" s="382"/>
      <c r="BB43" s="381"/>
      <c r="BC43" s="381"/>
      <c r="BD43" s="381"/>
      <c r="BE43" s="381"/>
      <c r="BF43" s="382"/>
      <c r="BG43" s="381"/>
      <c r="BH43" s="381"/>
      <c r="BI43" s="381"/>
      <c r="BJ43" s="381"/>
      <c r="BK43" s="382"/>
      <c r="BL43" s="381"/>
      <c r="BM43" s="381"/>
      <c r="BN43" s="381"/>
      <c r="BO43" s="381"/>
      <c r="BP43" s="382"/>
      <c r="BQ43" s="380"/>
      <c r="BR43" s="381"/>
      <c r="BS43" s="381"/>
      <c r="BT43" s="381"/>
      <c r="BU43" s="382"/>
      <c r="BV43" s="383"/>
      <c r="BW43" s="381"/>
      <c r="BX43" s="381"/>
      <c r="BY43" s="381"/>
      <c r="BZ43" s="381"/>
      <c r="CA43" s="382"/>
      <c r="CB43" s="381"/>
      <c r="CC43" s="381"/>
      <c r="CD43" s="381"/>
      <c r="CE43" s="381"/>
      <c r="CF43" s="382"/>
      <c r="CG43" s="380"/>
      <c r="CH43" s="381"/>
      <c r="CI43" s="381"/>
      <c r="CJ43" s="381"/>
      <c r="CK43" s="382"/>
    </row>
    <row r="44" spans="1:89" s="384" customFormat="1" x14ac:dyDescent="0.2">
      <c r="A44" s="385"/>
      <c r="B44" s="386"/>
      <c r="C44" s="387" t="s">
        <v>863</v>
      </c>
      <c r="D44" s="388"/>
      <c r="E44" s="389"/>
      <c r="F44" s="389"/>
      <c r="G44" s="389"/>
      <c r="H44" s="390"/>
      <c r="I44" s="389"/>
      <c r="J44" s="389"/>
      <c r="K44" s="389"/>
      <c r="L44" s="389"/>
      <c r="M44" s="390"/>
      <c r="N44" s="389"/>
      <c r="O44" s="389"/>
      <c r="P44" s="389"/>
      <c r="Q44" s="389"/>
      <c r="R44" s="390"/>
      <c r="S44" s="389"/>
      <c r="T44" s="389"/>
      <c r="U44" s="389"/>
      <c r="V44" s="389"/>
      <c r="W44" s="390"/>
      <c r="X44" s="389"/>
      <c r="Y44" s="389"/>
      <c r="Z44" s="389"/>
      <c r="AA44" s="389"/>
      <c r="AB44" s="390"/>
      <c r="AC44" s="391">
        <v>0</v>
      </c>
      <c r="AD44" s="391">
        <v>0</v>
      </c>
      <c r="AE44" s="391">
        <v>0</v>
      </c>
      <c r="AF44" s="391">
        <v>0</v>
      </c>
      <c r="AG44" s="392">
        <v>0</v>
      </c>
      <c r="AH44" s="391">
        <v>0</v>
      </c>
      <c r="AI44" s="391">
        <v>0</v>
      </c>
      <c r="AJ44" s="391">
        <v>0</v>
      </c>
      <c r="AK44" s="391">
        <v>0</v>
      </c>
      <c r="AL44" s="392">
        <v>0</v>
      </c>
      <c r="AM44" s="391">
        <v>0</v>
      </c>
      <c r="AN44" s="391">
        <v>0</v>
      </c>
      <c r="AO44" s="391">
        <v>0</v>
      </c>
      <c r="AP44" s="391">
        <v>0</v>
      </c>
      <c r="AQ44" s="392">
        <v>0</v>
      </c>
      <c r="AR44" s="389"/>
      <c r="AS44" s="389"/>
      <c r="AT44" s="389"/>
      <c r="AU44" s="389"/>
      <c r="AV44" s="390"/>
      <c r="AW44" s="389"/>
      <c r="AX44" s="389"/>
      <c r="AY44" s="389"/>
      <c r="AZ44" s="389"/>
      <c r="BA44" s="390"/>
      <c r="BB44" s="393">
        <v>0</v>
      </c>
      <c r="BC44" s="393">
        <v>0</v>
      </c>
      <c r="BD44" s="393">
        <v>0</v>
      </c>
      <c r="BE44" s="393">
        <v>0</v>
      </c>
      <c r="BF44" s="394">
        <v>0</v>
      </c>
      <c r="BG44" s="389"/>
      <c r="BH44" s="389"/>
      <c r="BI44" s="389"/>
      <c r="BJ44" s="389"/>
      <c r="BK44" s="390"/>
      <c r="BL44" s="389"/>
      <c r="BM44" s="389"/>
      <c r="BN44" s="389"/>
      <c r="BO44" s="389"/>
      <c r="BP44" s="390"/>
      <c r="BQ44" s="388"/>
      <c r="BR44" s="389"/>
      <c r="BS44" s="389"/>
      <c r="BT44" s="389"/>
      <c r="BU44" s="390"/>
      <c r="BV44" s="396"/>
      <c r="BW44" s="393"/>
      <c r="BX44" s="393"/>
      <c r="BY44" s="393"/>
      <c r="BZ44" s="393"/>
      <c r="CA44" s="394"/>
      <c r="CB44" s="393"/>
      <c r="CC44" s="393"/>
      <c r="CD44" s="393"/>
      <c r="CE44" s="393"/>
      <c r="CF44" s="394"/>
      <c r="CG44" s="395"/>
      <c r="CH44" s="393"/>
      <c r="CI44" s="393"/>
      <c r="CJ44" s="393"/>
      <c r="CK44" s="394"/>
    </row>
    <row r="45" spans="1:89" s="384" customFormat="1" x14ac:dyDescent="0.2">
      <c r="A45" s="385" t="s">
        <v>864</v>
      </c>
      <c r="B45" s="386" t="s">
        <v>958</v>
      </c>
      <c r="C45" s="387" t="s">
        <v>865</v>
      </c>
      <c r="D45" s="388">
        <v>4.2</v>
      </c>
      <c r="E45" s="389">
        <v>4.2</v>
      </c>
      <c r="F45" s="389">
        <v>4.2</v>
      </c>
      <c r="G45" s="389">
        <v>4.2</v>
      </c>
      <c r="H45" s="390">
        <v>4.2</v>
      </c>
      <c r="I45" s="389"/>
      <c r="J45" s="389"/>
      <c r="K45" s="389"/>
      <c r="L45" s="389"/>
      <c r="M45" s="390"/>
      <c r="N45" s="389">
        <v>10</v>
      </c>
      <c r="O45" s="389">
        <v>10</v>
      </c>
      <c r="P45" s="389">
        <v>12</v>
      </c>
      <c r="Q45" s="389">
        <v>12</v>
      </c>
      <c r="R45" s="390">
        <v>12</v>
      </c>
      <c r="S45" s="389"/>
      <c r="T45" s="389"/>
      <c r="U45" s="389"/>
      <c r="V45" s="389"/>
      <c r="W45" s="390"/>
      <c r="X45" s="389">
        <v>65</v>
      </c>
      <c r="Y45" s="389">
        <v>65</v>
      </c>
      <c r="Z45" s="389">
        <v>70</v>
      </c>
      <c r="AA45" s="389">
        <v>70</v>
      </c>
      <c r="AB45" s="390">
        <v>70</v>
      </c>
      <c r="AC45" s="391">
        <v>0</v>
      </c>
      <c r="AD45" s="391">
        <v>0</v>
      </c>
      <c r="AE45" s="391">
        <v>0</v>
      </c>
      <c r="AF45" s="391">
        <v>0</v>
      </c>
      <c r="AG45" s="392">
        <v>0</v>
      </c>
      <c r="AH45" s="391">
        <v>0</v>
      </c>
      <c r="AI45" s="391">
        <v>0</v>
      </c>
      <c r="AJ45" s="391">
        <v>0</v>
      </c>
      <c r="AK45" s="391">
        <v>0</v>
      </c>
      <c r="AL45" s="392">
        <v>0</v>
      </c>
      <c r="AM45" s="391">
        <v>0</v>
      </c>
      <c r="AN45" s="391">
        <v>0</v>
      </c>
      <c r="AO45" s="391">
        <v>0</v>
      </c>
      <c r="AP45" s="391">
        <v>0</v>
      </c>
      <c r="AQ45" s="392">
        <v>0</v>
      </c>
      <c r="AR45" s="389"/>
      <c r="AS45" s="389"/>
      <c r="AT45" s="389"/>
      <c r="AU45" s="389"/>
      <c r="AV45" s="390"/>
      <c r="AW45" s="389">
        <v>20</v>
      </c>
      <c r="AX45" s="389">
        <v>25</v>
      </c>
      <c r="AY45" s="389">
        <v>30</v>
      </c>
      <c r="AZ45" s="389">
        <v>30</v>
      </c>
      <c r="BA45" s="390">
        <v>30</v>
      </c>
      <c r="BB45" s="393">
        <v>5400</v>
      </c>
      <c r="BC45" s="393">
        <v>5100</v>
      </c>
      <c r="BD45" s="393">
        <v>4600</v>
      </c>
      <c r="BE45" s="393">
        <v>3700</v>
      </c>
      <c r="BF45" s="394">
        <v>3700</v>
      </c>
      <c r="BG45" s="389">
        <v>0</v>
      </c>
      <c r="BH45" s="389">
        <v>0</v>
      </c>
      <c r="BI45" s="389">
        <v>0</v>
      </c>
      <c r="BJ45" s="389">
        <v>0</v>
      </c>
      <c r="BK45" s="390">
        <v>0</v>
      </c>
      <c r="BL45" s="389">
        <v>62</v>
      </c>
      <c r="BM45" s="389">
        <v>62</v>
      </c>
      <c r="BN45" s="389">
        <v>62</v>
      </c>
      <c r="BO45" s="389">
        <v>62</v>
      </c>
      <c r="BP45" s="390">
        <v>62</v>
      </c>
      <c r="BQ45" s="388"/>
      <c r="BR45" s="389"/>
      <c r="BS45" s="389"/>
      <c r="BT45" s="389"/>
      <c r="BU45" s="390"/>
      <c r="BV45" s="396"/>
      <c r="BW45" s="393">
        <v>1285.7142857142856</v>
      </c>
      <c r="BX45" s="393">
        <v>1214.2857142857142</v>
      </c>
      <c r="BY45" s="393">
        <v>1095.2380952380952</v>
      </c>
      <c r="BZ45" s="393">
        <v>880.95238095238096</v>
      </c>
      <c r="CA45" s="394">
        <v>880.95238095238096</v>
      </c>
      <c r="CB45" s="393">
        <v>0</v>
      </c>
      <c r="CC45" s="393">
        <v>0</v>
      </c>
      <c r="CD45" s="393">
        <v>0</v>
      </c>
      <c r="CE45" s="393">
        <v>0</v>
      </c>
      <c r="CF45" s="394">
        <v>0</v>
      </c>
      <c r="CG45" s="395">
        <v>14.761904761904761</v>
      </c>
      <c r="CH45" s="393">
        <v>14.761904761904761</v>
      </c>
      <c r="CI45" s="393">
        <v>14.761904761904761</v>
      </c>
      <c r="CJ45" s="393">
        <v>14.761904761904761</v>
      </c>
      <c r="CK45" s="394">
        <v>14.761904761904761</v>
      </c>
    </row>
    <row r="46" spans="1:89" s="384" customFormat="1" x14ac:dyDescent="0.2">
      <c r="A46" s="385" t="s">
        <v>866</v>
      </c>
      <c r="B46" s="386" t="s">
        <v>959</v>
      </c>
      <c r="C46" s="387" t="s">
        <v>867</v>
      </c>
      <c r="D46" s="388">
        <v>140</v>
      </c>
      <c r="E46" s="389">
        <v>140</v>
      </c>
      <c r="F46" s="389">
        <v>140</v>
      </c>
      <c r="G46" s="389">
        <v>140</v>
      </c>
      <c r="H46" s="390">
        <v>140</v>
      </c>
      <c r="I46" s="389"/>
      <c r="J46" s="389"/>
      <c r="K46" s="389"/>
      <c r="L46" s="389"/>
      <c r="M46" s="390"/>
      <c r="N46" s="389">
        <v>10</v>
      </c>
      <c r="O46" s="389">
        <v>10</v>
      </c>
      <c r="P46" s="389">
        <v>12</v>
      </c>
      <c r="Q46" s="389">
        <v>12</v>
      </c>
      <c r="R46" s="390">
        <v>12</v>
      </c>
      <c r="S46" s="389"/>
      <c r="T46" s="389"/>
      <c r="U46" s="389"/>
      <c r="V46" s="389"/>
      <c r="W46" s="390"/>
      <c r="X46" s="389">
        <v>65</v>
      </c>
      <c r="Y46" s="389">
        <v>65</v>
      </c>
      <c r="Z46" s="389">
        <v>70</v>
      </c>
      <c r="AA46" s="389">
        <v>70</v>
      </c>
      <c r="AB46" s="390">
        <v>70</v>
      </c>
      <c r="AC46" s="391">
        <v>0</v>
      </c>
      <c r="AD46" s="391">
        <v>0</v>
      </c>
      <c r="AE46" s="391">
        <v>0</v>
      </c>
      <c r="AF46" s="391">
        <v>0</v>
      </c>
      <c r="AG46" s="392">
        <v>0</v>
      </c>
      <c r="AH46" s="391">
        <v>0</v>
      </c>
      <c r="AI46" s="391">
        <v>0</v>
      </c>
      <c r="AJ46" s="391">
        <v>0</v>
      </c>
      <c r="AK46" s="391">
        <v>0</v>
      </c>
      <c r="AL46" s="392">
        <v>0</v>
      </c>
      <c r="AM46" s="391">
        <v>0</v>
      </c>
      <c r="AN46" s="391">
        <v>0</v>
      </c>
      <c r="AO46" s="391">
        <v>0</v>
      </c>
      <c r="AP46" s="391">
        <v>0</v>
      </c>
      <c r="AQ46" s="392">
        <v>0</v>
      </c>
      <c r="AR46" s="389"/>
      <c r="AS46" s="389"/>
      <c r="AT46" s="389"/>
      <c r="AU46" s="389"/>
      <c r="AV46" s="390"/>
      <c r="AW46" s="389">
        <v>20</v>
      </c>
      <c r="AX46" s="389">
        <v>25</v>
      </c>
      <c r="AY46" s="389">
        <v>30</v>
      </c>
      <c r="AZ46" s="389">
        <v>30</v>
      </c>
      <c r="BA46" s="390">
        <v>30</v>
      </c>
      <c r="BB46" s="393">
        <v>90000</v>
      </c>
      <c r="BC46" s="393">
        <v>90000</v>
      </c>
      <c r="BD46" s="393">
        <v>90000</v>
      </c>
      <c r="BE46" s="393">
        <v>90000</v>
      </c>
      <c r="BF46" s="394">
        <v>90000</v>
      </c>
      <c r="BG46" s="389">
        <v>0</v>
      </c>
      <c r="BH46" s="389">
        <v>0</v>
      </c>
      <c r="BI46" s="389">
        <v>0</v>
      </c>
      <c r="BJ46" s="389">
        <v>0</v>
      </c>
      <c r="BK46" s="390">
        <v>0</v>
      </c>
      <c r="BL46" s="389">
        <v>600</v>
      </c>
      <c r="BM46" s="389">
        <v>600</v>
      </c>
      <c r="BN46" s="389">
        <v>600</v>
      </c>
      <c r="BO46" s="389">
        <v>600</v>
      </c>
      <c r="BP46" s="390">
        <v>600</v>
      </c>
      <c r="BQ46" s="388"/>
      <c r="BR46" s="389"/>
      <c r="BS46" s="389"/>
      <c r="BT46" s="389"/>
      <c r="BU46" s="390"/>
      <c r="BV46" s="396"/>
      <c r="BW46" s="393">
        <v>642.85714285714289</v>
      </c>
      <c r="BX46" s="393">
        <v>642.85714285714289</v>
      </c>
      <c r="BY46" s="393">
        <v>642.85714285714289</v>
      </c>
      <c r="BZ46" s="393">
        <v>642.85714285714289</v>
      </c>
      <c r="CA46" s="394">
        <v>642.85714285714289</v>
      </c>
      <c r="CB46" s="393">
        <v>0</v>
      </c>
      <c r="CC46" s="393">
        <v>0</v>
      </c>
      <c r="CD46" s="393">
        <v>0</v>
      </c>
      <c r="CE46" s="393">
        <v>0</v>
      </c>
      <c r="CF46" s="394">
        <v>0</v>
      </c>
      <c r="CG46" s="395">
        <v>4.2857142857142856</v>
      </c>
      <c r="CH46" s="393">
        <v>4.2857142857142856</v>
      </c>
      <c r="CI46" s="393">
        <v>4.2857142857142856</v>
      </c>
      <c r="CJ46" s="393">
        <v>4.2857142857142856</v>
      </c>
      <c r="CK46" s="394">
        <v>4.2857142857142856</v>
      </c>
    </row>
    <row r="47" spans="1:89" s="384" customFormat="1" x14ac:dyDescent="0.2">
      <c r="A47" s="385"/>
      <c r="B47" s="386"/>
      <c r="C47" s="387" t="s">
        <v>868</v>
      </c>
      <c r="D47" s="388"/>
      <c r="E47" s="389"/>
      <c r="F47" s="389"/>
      <c r="G47" s="389"/>
      <c r="H47" s="390"/>
      <c r="I47" s="389"/>
      <c r="J47" s="389"/>
      <c r="K47" s="389"/>
      <c r="L47" s="389"/>
      <c r="M47" s="390"/>
      <c r="N47" s="389"/>
      <c r="O47" s="389"/>
      <c r="P47" s="389"/>
      <c r="Q47" s="389"/>
      <c r="R47" s="390"/>
      <c r="S47" s="389"/>
      <c r="T47" s="389"/>
      <c r="U47" s="389"/>
      <c r="V47" s="389"/>
      <c r="W47" s="390"/>
      <c r="X47" s="389"/>
      <c r="Y47" s="389"/>
      <c r="Z47" s="389"/>
      <c r="AA47" s="389"/>
      <c r="AB47" s="390"/>
      <c r="AC47" s="391">
        <v>0</v>
      </c>
      <c r="AD47" s="391">
        <v>0</v>
      </c>
      <c r="AE47" s="391">
        <v>0</v>
      </c>
      <c r="AF47" s="391">
        <v>0</v>
      </c>
      <c r="AG47" s="392">
        <v>0</v>
      </c>
      <c r="AH47" s="391">
        <v>0</v>
      </c>
      <c r="AI47" s="391">
        <v>0</v>
      </c>
      <c r="AJ47" s="391">
        <v>0</v>
      </c>
      <c r="AK47" s="391">
        <v>0</v>
      </c>
      <c r="AL47" s="392">
        <v>0</v>
      </c>
      <c r="AM47" s="391">
        <v>0</v>
      </c>
      <c r="AN47" s="391">
        <v>0</v>
      </c>
      <c r="AO47" s="391">
        <v>0</v>
      </c>
      <c r="AP47" s="391">
        <v>0</v>
      </c>
      <c r="AQ47" s="392">
        <v>0</v>
      </c>
      <c r="AR47" s="389"/>
      <c r="AS47" s="389"/>
      <c r="AT47" s="389"/>
      <c r="AU47" s="389"/>
      <c r="AV47" s="390"/>
      <c r="AW47" s="389"/>
      <c r="AX47" s="389"/>
      <c r="AY47" s="389"/>
      <c r="AZ47" s="389"/>
      <c r="BA47" s="390"/>
      <c r="BB47" s="393">
        <v>0</v>
      </c>
      <c r="BC47" s="393">
        <v>0</v>
      </c>
      <c r="BD47" s="393">
        <v>0</v>
      </c>
      <c r="BE47" s="393">
        <v>0</v>
      </c>
      <c r="BF47" s="394">
        <v>0</v>
      </c>
      <c r="BG47" s="389"/>
      <c r="BH47" s="389"/>
      <c r="BI47" s="389"/>
      <c r="BJ47" s="389"/>
      <c r="BK47" s="390"/>
      <c r="BL47" s="389"/>
      <c r="BM47" s="389"/>
      <c r="BN47" s="389"/>
      <c r="BO47" s="389"/>
      <c r="BP47" s="390"/>
      <c r="BQ47" s="388"/>
      <c r="BR47" s="389"/>
      <c r="BS47" s="389"/>
      <c r="BT47" s="389"/>
      <c r="BU47" s="390"/>
      <c r="BV47" s="396"/>
      <c r="BW47" s="393"/>
      <c r="BX47" s="393"/>
      <c r="BY47" s="393"/>
      <c r="BZ47" s="393"/>
      <c r="CA47" s="394"/>
      <c r="CB47" s="393"/>
      <c r="CC47" s="393"/>
      <c r="CD47" s="393"/>
      <c r="CE47" s="393"/>
      <c r="CF47" s="394"/>
      <c r="CG47" s="395"/>
      <c r="CH47" s="393"/>
      <c r="CI47" s="393"/>
      <c r="CJ47" s="393"/>
      <c r="CK47" s="394"/>
    </row>
    <row r="48" spans="1:89" s="384" customFormat="1" x14ac:dyDescent="0.2">
      <c r="A48" s="385" t="s">
        <v>869</v>
      </c>
      <c r="B48" s="386" t="s">
        <v>960</v>
      </c>
      <c r="C48" s="387" t="s">
        <v>870</v>
      </c>
      <c r="D48" s="388">
        <v>5</v>
      </c>
      <c r="E48" s="389">
        <v>5</v>
      </c>
      <c r="F48" s="389">
        <v>5</v>
      </c>
      <c r="G48" s="389">
        <v>5</v>
      </c>
      <c r="H48" s="390">
        <v>5</v>
      </c>
      <c r="I48" s="389"/>
      <c r="J48" s="389"/>
      <c r="K48" s="389"/>
      <c r="L48" s="389"/>
      <c r="M48" s="390"/>
      <c r="N48" s="389">
        <v>100</v>
      </c>
      <c r="O48" s="389">
        <v>100</v>
      </c>
      <c r="P48" s="389">
        <v>100</v>
      </c>
      <c r="Q48" s="389">
        <v>100</v>
      </c>
      <c r="R48" s="390">
        <v>100</v>
      </c>
      <c r="S48" s="389"/>
      <c r="T48" s="389"/>
      <c r="U48" s="389"/>
      <c r="V48" s="389"/>
      <c r="W48" s="390"/>
      <c r="X48" s="389">
        <v>100</v>
      </c>
      <c r="Y48" s="389">
        <v>100</v>
      </c>
      <c r="Z48" s="389">
        <v>100</v>
      </c>
      <c r="AA48" s="389">
        <v>100</v>
      </c>
      <c r="AB48" s="390">
        <v>100</v>
      </c>
      <c r="AC48" s="391">
        <v>1</v>
      </c>
      <c r="AD48" s="391">
        <v>1</v>
      </c>
      <c r="AE48" s="391">
        <v>1</v>
      </c>
      <c r="AF48" s="391">
        <v>1</v>
      </c>
      <c r="AG48" s="392">
        <v>1</v>
      </c>
      <c r="AH48" s="391">
        <v>0</v>
      </c>
      <c r="AI48" s="391">
        <v>0</v>
      </c>
      <c r="AJ48" s="391">
        <v>0</v>
      </c>
      <c r="AK48" s="391">
        <v>0</v>
      </c>
      <c r="AL48" s="392">
        <v>0</v>
      </c>
      <c r="AM48" s="391">
        <v>0</v>
      </c>
      <c r="AN48" s="391">
        <v>0</v>
      </c>
      <c r="AO48" s="391">
        <v>0</v>
      </c>
      <c r="AP48" s="391">
        <v>0</v>
      </c>
      <c r="AQ48" s="392">
        <v>0</v>
      </c>
      <c r="AR48" s="389"/>
      <c r="AS48" s="389"/>
      <c r="AT48" s="389"/>
      <c r="AU48" s="389"/>
      <c r="AV48" s="390"/>
      <c r="AW48" s="389">
        <v>30</v>
      </c>
      <c r="AX48" s="389">
        <v>30</v>
      </c>
      <c r="AY48" s="389">
        <v>30</v>
      </c>
      <c r="AZ48" s="389">
        <v>30</v>
      </c>
      <c r="BA48" s="390">
        <v>30</v>
      </c>
      <c r="BB48" s="393">
        <v>4000</v>
      </c>
      <c r="BC48" s="393">
        <v>4000</v>
      </c>
      <c r="BD48" s="393">
        <v>4000</v>
      </c>
      <c r="BE48" s="393">
        <v>4000</v>
      </c>
      <c r="BF48" s="394">
        <v>4000</v>
      </c>
      <c r="BG48" s="389">
        <v>0</v>
      </c>
      <c r="BH48" s="389">
        <v>0</v>
      </c>
      <c r="BI48" s="389">
        <v>0</v>
      </c>
      <c r="BJ48" s="389">
        <v>0</v>
      </c>
      <c r="BK48" s="390">
        <v>0</v>
      </c>
      <c r="BL48" s="389">
        <v>50</v>
      </c>
      <c r="BM48" s="389">
        <v>50</v>
      </c>
      <c r="BN48" s="389">
        <v>50</v>
      </c>
      <c r="BO48" s="389">
        <v>50</v>
      </c>
      <c r="BP48" s="390">
        <v>50</v>
      </c>
      <c r="BQ48" s="388">
        <v>0</v>
      </c>
      <c r="BR48" s="389">
        <v>0</v>
      </c>
      <c r="BS48" s="389">
        <v>0</v>
      </c>
      <c r="BT48" s="389">
        <v>0</v>
      </c>
      <c r="BU48" s="390">
        <v>0</v>
      </c>
      <c r="BV48" s="396" t="s">
        <v>871</v>
      </c>
      <c r="BW48" s="393">
        <v>800</v>
      </c>
      <c r="BX48" s="393">
        <v>800</v>
      </c>
      <c r="BY48" s="393">
        <v>800</v>
      </c>
      <c r="BZ48" s="393">
        <v>800</v>
      </c>
      <c r="CA48" s="394">
        <v>800</v>
      </c>
      <c r="CB48" s="393">
        <v>0</v>
      </c>
      <c r="CC48" s="393">
        <v>0</v>
      </c>
      <c r="CD48" s="393">
        <v>0</v>
      </c>
      <c r="CE48" s="393">
        <v>0</v>
      </c>
      <c r="CF48" s="394">
        <v>0</v>
      </c>
      <c r="CG48" s="395">
        <v>10</v>
      </c>
      <c r="CH48" s="393">
        <v>10</v>
      </c>
      <c r="CI48" s="393">
        <v>10</v>
      </c>
      <c r="CJ48" s="393">
        <v>10</v>
      </c>
      <c r="CK48" s="394">
        <v>10</v>
      </c>
    </row>
    <row r="49" spans="1:89" s="384" customFormat="1" x14ac:dyDescent="0.2">
      <c r="A49" s="385" t="s">
        <v>872</v>
      </c>
      <c r="B49" s="386" t="s">
        <v>961</v>
      </c>
      <c r="C49" s="387" t="s">
        <v>873</v>
      </c>
      <c r="D49" s="388">
        <v>400</v>
      </c>
      <c r="E49" s="389">
        <v>400</v>
      </c>
      <c r="F49" s="389">
        <v>400</v>
      </c>
      <c r="G49" s="389">
        <v>400</v>
      </c>
      <c r="H49" s="390">
        <v>400</v>
      </c>
      <c r="I49" s="389"/>
      <c r="J49" s="389"/>
      <c r="K49" s="389"/>
      <c r="L49" s="389"/>
      <c r="M49" s="390"/>
      <c r="N49" s="389">
        <v>100</v>
      </c>
      <c r="O49" s="389">
        <v>100</v>
      </c>
      <c r="P49" s="389">
        <v>100</v>
      </c>
      <c r="Q49" s="389">
        <v>100</v>
      </c>
      <c r="R49" s="390">
        <v>100</v>
      </c>
      <c r="S49" s="389"/>
      <c r="T49" s="389"/>
      <c r="U49" s="389"/>
      <c r="V49" s="389"/>
      <c r="W49" s="390"/>
      <c r="X49" s="389">
        <v>100</v>
      </c>
      <c r="Y49" s="389">
        <v>100</v>
      </c>
      <c r="Z49" s="389">
        <v>100</v>
      </c>
      <c r="AA49" s="389">
        <v>100</v>
      </c>
      <c r="AB49" s="390">
        <v>100</v>
      </c>
      <c r="AC49" s="391">
        <v>0.95</v>
      </c>
      <c r="AD49" s="391">
        <v>0.95</v>
      </c>
      <c r="AE49" s="391">
        <v>0.95</v>
      </c>
      <c r="AF49" s="391">
        <v>0.95</v>
      </c>
      <c r="AG49" s="392">
        <v>0.95</v>
      </c>
      <c r="AH49" s="391">
        <v>0</v>
      </c>
      <c r="AI49" s="391">
        <v>0</v>
      </c>
      <c r="AJ49" s="391">
        <v>0</v>
      </c>
      <c r="AK49" s="391">
        <v>0</v>
      </c>
      <c r="AL49" s="392">
        <v>0</v>
      </c>
      <c r="AM49" s="391">
        <v>0</v>
      </c>
      <c r="AN49" s="391">
        <v>0</v>
      </c>
      <c r="AO49" s="391">
        <v>0</v>
      </c>
      <c r="AP49" s="391">
        <v>0</v>
      </c>
      <c r="AQ49" s="392">
        <v>0</v>
      </c>
      <c r="AR49" s="389"/>
      <c r="AS49" s="389"/>
      <c r="AT49" s="389"/>
      <c r="AU49" s="389"/>
      <c r="AV49" s="390"/>
      <c r="AW49" s="389">
        <v>30</v>
      </c>
      <c r="AX49" s="389">
        <v>30</v>
      </c>
      <c r="AY49" s="389">
        <v>30</v>
      </c>
      <c r="AZ49" s="389">
        <v>30</v>
      </c>
      <c r="BA49" s="390">
        <v>30</v>
      </c>
      <c r="BB49" s="393">
        <v>266000</v>
      </c>
      <c r="BC49" s="393">
        <v>266000</v>
      </c>
      <c r="BD49" s="393">
        <v>266000</v>
      </c>
      <c r="BE49" s="393">
        <v>266000</v>
      </c>
      <c r="BF49" s="394">
        <v>266000</v>
      </c>
      <c r="BG49" s="389">
        <v>0</v>
      </c>
      <c r="BH49" s="389">
        <v>0</v>
      </c>
      <c r="BI49" s="389">
        <v>0</v>
      </c>
      <c r="BJ49" s="389">
        <v>0</v>
      </c>
      <c r="BK49" s="390">
        <v>0</v>
      </c>
      <c r="BL49" s="389">
        <v>4000</v>
      </c>
      <c r="BM49" s="389">
        <v>4000</v>
      </c>
      <c r="BN49" s="389">
        <v>4000</v>
      </c>
      <c r="BO49" s="389">
        <v>4000</v>
      </c>
      <c r="BP49" s="390">
        <v>4000</v>
      </c>
      <c r="BQ49" s="388">
        <v>0</v>
      </c>
      <c r="BR49" s="389">
        <v>0</v>
      </c>
      <c r="BS49" s="389">
        <v>0</v>
      </c>
      <c r="BT49" s="389">
        <v>0</v>
      </c>
      <c r="BU49" s="390">
        <v>0</v>
      </c>
      <c r="BV49" s="396" t="s">
        <v>871</v>
      </c>
      <c r="BW49" s="393">
        <v>665</v>
      </c>
      <c r="BX49" s="393">
        <v>665</v>
      </c>
      <c r="BY49" s="393">
        <v>665</v>
      </c>
      <c r="BZ49" s="393">
        <v>665</v>
      </c>
      <c r="CA49" s="394">
        <v>665</v>
      </c>
      <c r="CB49" s="393">
        <v>0</v>
      </c>
      <c r="CC49" s="393">
        <v>0</v>
      </c>
      <c r="CD49" s="393">
        <v>0</v>
      </c>
      <c r="CE49" s="393">
        <v>0</v>
      </c>
      <c r="CF49" s="394">
        <v>0</v>
      </c>
      <c r="CG49" s="395">
        <v>10</v>
      </c>
      <c r="CH49" s="393">
        <v>10</v>
      </c>
      <c r="CI49" s="393">
        <v>10</v>
      </c>
      <c r="CJ49" s="393">
        <v>10</v>
      </c>
      <c r="CK49" s="394">
        <v>10</v>
      </c>
    </row>
    <row r="50" spans="1:89" s="384" customFormat="1" x14ac:dyDescent="0.2">
      <c r="A50" s="385" t="s">
        <v>874</v>
      </c>
      <c r="B50" s="386" t="s">
        <v>919</v>
      </c>
      <c r="C50" s="387" t="s">
        <v>874</v>
      </c>
      <c r="D50" s="388">
        <v>0</v>
      </c>
      <c r="E50" s="389">
        <v>0</v>
      </c>
      <c r="F50" s="389">
        <v>0</v>
      </c>
      <c r="G50" s="389">
        <v>0</v>
      </c>
      <c r="H50" s="390">
        <v>0</v>
      </c>
      <c r="I50" s="389"/>
      <c r="J50" s="389"/>
      <c r="K50" s="389"/>
      <c r="L50" s="389"/>
      <c r="M50" s="390"/>
      <c r="N50" s="389">
        <v>0</v>
      </c>
      <c r="O50" s="389">
        <v>0</v>
      </c>
      <c r="P50" s="389">
        <v>0</v>
      </c>
      <c r="Q50" s="389">
        <v>0</v>
      </c>
      <c r="R50" s="390">
        <v>0</v>
      </c>
      <c r="S50" s="389"/>
      <c r="T50" s="389"/>
      <c r="U50" s="389"/>
      <c r="V50" s="389"/>
      <c r="W50" s="390"/>
      <c r="X50" s="389">
        <v>0</v>
      </c>
      <c r="Y50" s="389">
        <v>0</v>
      </c>
      <c r="Z50" s="389">
        <v>0</v>
      </c>
      <c r="AA50" s="389">
        <v>0</v>
      </c>
      <c r="AB50" s="390">
        <v>0</v>
      </c>
      <c r="AC50" s="391">
        <v>0</v>
      </c>
      <c r="AD50" s="391">
        <v>0</v>
      </c>
      <c r="AE50" s="391">
        <v>0</v>
      </c>
      <c r="AF50" s="391">
        <v>0</v>
      </c>
      <c r="AG50" s="392">
        <v>0</v>
      </c>
      <c r="AH50" s="391">
        <v>0</v>
      </c>
      <c r="AI50" s="391">
        <v>0</v>
      </c>
      <c r="AJ50" s="391">
        <v>0</v>
      </c>
      <c r="AK50" s="391">
        <v>0</v>
      </c>
      <c r="AL50" s="392">
        <v>0</v>
      </c>
      <c r="AM50" s="391">
        <v>0</v>
      </c>
      <c r="AN50" s="391">
        <v>0</v>
      </c>
      <c r="AO50" s="391">
        <v>0</v>
      </c>
      <c r="AP50" s="391">
        <v>0</v>
      </c>
      <c r="AQ50" s="392">
        <v>0</v>
      </c>
      <c r="AR50" s="389"/>
      <c r="AS50" s="389"/>
      <c r="AT50" s="389"/>
      <c r="AU50" s="389"/>
      <c r="AV50" s="390"/>
      <c r="AW50" s="389">
        <v>0</v>
      </c>
      <c r="AX50" s="389">
        <v>0</v>
      </c>
      <c r="AY50" s="389">
        <v>0</v>
      </c>
      <c r="AZ50" s="389">
        <v>0</v>
      </c>
      <c r="BA50" s="390">
        <v>0</v>
      </c>
      <c r="BB50" s="393">
        <v>0</v>
      </c>
      <c r="BC50" s="393">
        <v>0</v>
      </c>
      <c r="BD50" s="393">
        <v>0</v>
      </c>
      <c r="BE50" s="393">
        <v>0</v>
      </c>
      <c r="BF50" s="394">
        <v>0</v>
      </c>
      <c r="BG50" s="393">
        <v>0</v>
      </c>
      <c r="BH50" s="393">
        <v>0</v>
      </c>
      <c r="BI50" s="393">
        <v>0</v>
      </c>
      <c r="BJ50" s="393">
        <v>0</v>
      </c>
      <c r="BK50" s="394">
        <v>0</v>
      </c>
      <c r="BL50" s="393">
        <v>0</v>
      </c>
      <c r="BM50" s="393">
        <v>0</v>
      </c>
      <c r="BN50" s="393">
        <v>0</v>
      </c>
      <c r="BO50" s="393">
        <v>0</v>
      </c>
      <c r="BP50" s="394">
        <v>0</v>
      </c>
      <c r="BQ50" s="395">
        <v>0</v>
      </c>
      <c r="BR50" s="393">
        <v>0</v>
      </c>
      <c r="BS50" s="393">
        <v>0</v>
      </c>
      <c r="BT50" s="393">
        <v>0</v>
      </c>
      <c r="BU50" s="394">
        <v>0</v>
      </c>
      <c r="BV50" s="396" t="s">
        <v>821</v>
      </c>
      <c r="BW50" s="393" t="s">
        <v>916</v>
      </c>
      <c r="BX50" s="393" t="s">
        <v>916</v>
      </c>
      <c r="BY50" s="393" t="s">
        <v>916</v>
      </c>
      <c r="BZ50" s="393" t="s">
        <v>916</v>
      </c>
      <c r="CA50" s="394" t="s">
        <v>916</v>
      </c>
      <c r="CB50" s="393" t="s">
        <v>916</v>
      </c>
      <c r="CC50" s="393" t="s">
        <v>916</v>
      </c>
      <c r="CD50" s="393" t="s">
        <v>916</v>
      </c>
      <c r="CE50" s="393" t="s">
        <v>916</v>
      </c>
      <c r="CF50" s="394" t="s">
        <v>916</v>
      </c>
      <c r="CG50" s="395" t="s">
        <v>916</v>
      </c>
      <c r="CH50" s="393" t="s">
        <v>916</v>
      </c>
      <c r="CI50" s="393" t="s">
        <v>916</v>
      </c>
      <c r="CJ50" s="393" t="s">
        <v>916</v>
      </c>
      <c r="CK50" s="394" t="s">
        <v>916</v>
      </c>
    </row>
    <row r="51" spans="1:89" s="384" customFormat="1" x14ac:dyDescent="0.2">
      <c r="A51" s="385"/>
      <c r="B51" s="386"/>
      <c r="C51" s="387" t="s">
        <v>875</v>
      </c>
      <c r="D51" s="388"/>
      <c r="E51" s="389"/>
      <c r="F51" s="389"/>
      <c r="G51" s="389"/>
      <c r="H51" s="390"/>
      <c r="I51" s="389"/>
      <c r="J51" s="389"/>
      <c r="K51" s="389"/>
      <c r="L51" s="389"/>
      <c r="M51" s="390"/>
      <c r="N51" s="389"/>
      <c r="O51" s="389"/>
      <c r="P51" s="389"/>
      <c r="Q51" s="389"/>
      <c r="R51" s="390"/>
      <c r="S51" s="389"/>
      <c r="T51" s="389"/>
      <c r="U51" s="389"/>
      <c r="V51" s="389"/>
      <c r="W51" s="390"/>
      <c r="X51" s="389"/>
      <c r="Y51" s="389"/>
      <c r="Z51" s="389"/>
      <c r="AA51" s="389"/>
      <c r="AB51" s="390"/>
      <c r="AC51" s="391">
        <v>0</v>
      </c>
      <c r="AD51" s="391">
        <v>0</v>
      </c>
      <c r="AE51" s="391">
        <v>0</v>
      </c>
      <c r="AF51" s="391">
        <v>0</v>
      </c>
      <c r="AG51" s="392">
        <v>0</v>
      </c>
      <c r="AH51" s="391">
        <v>0</v>
      </c>
      <c r="AI51" s="391">
        <v>0</v>
      </c>
      <c r="AJ51" s="391">
        <v>0</v>
      </c>
      <c r="AK51" s="391">
        <v>0</v>
      </c>
      <c r="AL51" s="392">
        <v>0</v>
      </c>
      <c r="AM51" s="391">
        <v>0</v>
      </c>
      <c r="AN51" s="391">
        <v>0</v>
      </c>
      <c r="AO51" s="391">
        <v>0</v>
      </c>
      <c r="AP51" s="391">
        <v>0</v>
      </c>
      <c r="AQ51" s="392">
        <v>0</v>
      </c>
      <c r="AR51" s="389"/>
      <c r="AS51" s="389"/>
      <c r="AT51" s="389"/>
      <c r="AU51" s="389"/>
      <c r="AV51" s="390"/>
      <c r="AW51" s="389"/>
      <c r="AX51" s="389"/>
      <c r="AY51" s="389"/>
      <c r="AZ51" s="389"/>
      <c r="BA51" s="390"/>
      <c r="BB51" s="393">
        <v>0</v>
      </c>
      <c r="BC51" s="393">
        <v>0</v>
      </c>
      <c r="BD51" s="393">
        <v>0</v>
      </c>
      <c r="BE51" s="393">
        <v>0</v>
      </c>
      <c r="BF51" s="394">
        <v>0</v>
      </c>
      <c r="BG51" s="393"/>
      <c r="BH51" s="393"/>
      <c r="BI51" s="393"/>
      <c r="BJ51" s="393"/>
      <c r="BK51" s="394"/>
      <c r="BL51" s="393"/>
      <c r="BM51" s="393"/>
      <c r="BN51" s="393"/>
      <c r="BO51" s="393"/>
      <c r="BP51" s="394"/>
      <c r="BQ51" s="395"/>
      <c r="BR51" s="393"/>
      <c r="BS51" s="393"/>
      <c r="BT51" s="393"/>
      <c r="BU51" s="394"/>
      <c r="BV51" s="396"/>
      <c r="BW51" s="393"/>
      <c r="BX51" s="393"/>
      <c r="BY51" s="393"/>
      <c r="BZ51" s="393"/>
      <c r="CA51" s="394"/>
      <c r="CB51" s="393"/>
      <c r="CC51" s="393"/>
      <c r="CD51" s="393"/>
      <c r="CE51" s="393"/>
      <c r="CF51" s="394"/>
      <c r="CG51" s="395"/>
      <c r="CH51" s="393"/>
      <c r="CI51" s="393"/>
      <c r="CJ51" s="393"/>
      <c r="CK51" s="394"/>
    </row>
    <row r="52" spans="1:89" s="384" customFormat="1" x14ac:dyDescent="0.2">
      <c r="A52" s="427" t="s">
        <v>876</v>
      </c>
      <c r="B52" s="428" t="s">
        <v>919</v>
      </c>
      <c r="C52" s="429"/>
      <c r="D52" s="430">
        <v>0</v>
      </c>
      <c r="E52" s="431">
        <v>0</v>
      </c>
      <c r="F52" s="431">
        <v>0</v>
      </c>
      <c r="G52" s="431">
        <v>0</v>
      </c>
      <c r="H52" s="432">
        <v>0</v>
      </c>
      <c r="I52" s="431"/>
      <c r="J52" s="431"/>
      <c r="K52" s="431"/>
      <c r="L52" s="431"/>
      <c r="M52" s="432"/>
      <c r="N52" s="431">
        <v>0</v>
      </c>
      <c r="O52" s="431">
        <v>0</v>
      </c>
      <c r="P52" s="431">
        <v>0</v>
      </c>
      <c r="Q52" s="431">
        <v>0</v>
      </c>
      <c r="R52" s="432">
        <v>0</v>
      </c>
      <c r="S52" s="431"/>
      <c r="T52" s="431"/>
      <c r="U52" s="431"/>
      <c r="V52" s="431"/>
      <c r="W52" s="432"/>
      <c r="X52" s="431">
        <v>0</v>
      </c>
      <c r="Y52" s="431">
        <v>0</v>
      </c>
      <c r="Z52" s="431">
        <v>0</v>
      </c>
      <c r="AA52" s="431">
        <v>0</v>
      </c>
      <c r="AB52" s="432">
        <v>0</v>
      </c>
      <c r="AC52" s="433">
        <v>0</v>
      </c>
      <c r="AD52" s="433">
        <v>0</v>
      </c>
      <c r="AE52" s="433">
        <v>0</v>
      </c>
      <c r="AF52" s="433">
        <v>0</v>
      </c>
      <c r="AG52" s="434">
        <v>0</v>
      </c>
      <c r="AH52" s="433">
        <v>0</v>
      </c>
      <c r="AI52" s="433">
        <v>0</v>
      </c>
      <c r="AJ52" s="433">
        <v>0</v>
      </c>
      <c r="AK52" s="433">
        <v>0</v>
      </c>
      <c r="AL52" s="434">
        <v>0</v>
      </c>
      <c r="AM52" s="433">
        <v>0</v>
      </c>
      <c r="AN52" s="433">
        <v>0</v>
      </c>
      <c r="AO52" s="433">
        <v>0</v>
      </c>
      <c r="AP52" s="433">
        <v>0</v>
      </c>
      <c r="AQ52" s="434">
        <v>0</v>
      </c>
      <c r="AR52" s="431"/>
      <c r="AS52" s="431"/>
      <c r="AT52" s="431"/>
      <c r="AU52" s="431"/>
      <c r="AV52" s="432"/>
      <c r="AW52" s="431">
        <v>0</v>
      </c>
      <c r="AX52" s="431">
        <v>0</v>
      </c>
      <c r="AY52" s="431">
        <v>0</v>
      </c>
      <c r="AZ52" s="431">
        <v>0</v>
      </c>
      <c r="BA52" s="432">
        <v>0</v>
      </c>
      <c r="BB52" s="435">
        <v>0</v>
      </c>
      <c r="BC52" s="436">
        <v>0</v>
      </c>
      <c r="BD52" s="436">
        <v>0</v>
      </c>
      <c r="BE52" s="436">
        <v>0</v>
      </c>
      <c r="BF52" s="437">
        <v>0</v>
      </c>
      <c r="BG52" s="436">
        <v>0</v>
      </c>
      <c r="BH52" s="436">
        <v>0</v>
      </c>
      <c r="BI52" s="436">
        <v>0</v>
      </c>
      <c r="BJ52" s="436">
        <v>0</v>
      </c>
      <c r="BK52" s="437">
        <v>0</v>
      </c>
      <c r="BL52" s="436">
        <v>0</v>
      </c>
      <c r="BM52" s="436">
        <v>0</v>
      </c>
      <c r="BN52" s="436">
        <v>0</v>
      </c>
      <c r="BO52" s="436">
        <v>0</v>
      </c>
      <c r="BP52" s="437">
        <v>0</v>
      </c>
      <c r="BQ52" s="435">
        <v>0</v>
      </c>
      <c r="BR52" s="436">
        <v>0</v>
      </c>
      <c r="BS52" s="436">
        <v>0</v>
      </c>
      <c r="BT52" s="436">
        <v>0</v>
      </c>
      <c r="BU52" s="437">
        <v>0</v>
      </c>
      <c r="BV52" s="438" t="s">
        <v>821</v>
      </c>
      <c r="BW52" s="436" t="s">
        <v>916</v>
      </c>
      <c r="BX52" s="436" t="s">
        <v>916</v>
      </c>
      <c r="BY52" s="436" t="s">
        <v>916</v>
      </c>
      <c r="BZ52" s="436" t="s">
        <v>916</v>
      </c>
      <c r="CA52" s="437" t="s">
        <v>916</v>
      </c>
      <c r="CB52" s="436" t="s">
        <v>916</v>
      </c>
      <c r="CC52" s="436" t="s">
        <v>916</v>
      </c>
      <c r="CD52" s="436" t="s">
        <v>916</v>
      </c>
      <c r="CE52" s="436" t="s">
        <v>916</v>
      </c>
      <c r="CF52" s="437" t="s">
        <v>916</v>
      </c>
      <c r="CG52" s="436" t="s">
        <v>916</v>
      </c>
      <c r="CH52" s="436" t="s">
        <v>916</v>
      </c>
      <c r="CI52" s="436" t="s">
        <v>916</v>
      </c>
      <c r="CJ52" s="436" t="s">
        <v>916</v>
      </c>
      <c r="CK52" s="437" t="s">
        <v>916</v>
      </c>
    </row>
    <row r="53" spans="1:89" s="384" customFormat="1" x14ac:dyDescent="0.2">
      <c r="A53" s="427" t="s">
        <v>877</v>
      </c>
      <c r="B53" s="428" t="s">
        <v>919</v>
      </c>
      <c r="C53" s="429"/>
      <c r="D53" s="430">
        <v>0</v>
      </c>
      <c r="E53" s="431">
        <v>0</v>
      </c>
      <c r="F53" s="431">
        <v>0</v>
      </c>
      <c r="G53" s="431">
        <v>0</v>
      </c>
      <c r="H53" s="432">
        <v>0</v>
      </c>
      <c r="I53" s="431"/>
      <c r="J53" s="431"/>
      <c r="K53" s="431"/>
      <c r="L53" s="431"/>
      <c r="M53" s="432"/>
      <c r="N53" s="431">
        <v>0</v>
      </c>
      <c r="O53" s="431">
        <v>0</v>
      </c>
      <c r="P53" s="431">
        <v>0</v>
      </c>
      <c r="Q53" s="431">
        <v>0</v>
      </c>
      <c r="R53" s="432">
        <v>0</v>
      </c>
      <c r="S53" s="431"/>
      <c r="T53" s="431"/>
      <c r="U53" s="431"/>
      <c r="V53" s="431"/>
      <c r="W53" s="432"/>
      <c r="X53" s="431">
        <v>0</v>
      </c>
      <c r="Y53" s="431">
        <v>0</v>
      </c>
      <c r="Z53" s="431">
        <v>0</v>
      </c>
      <c r="AA53" s="431">
        <v>0</v>
      </c>
      <c r="AB53" s="432">
        <v>0</v>
      </c>
      <c r="AC53" s="433">
        <v>0</v>
      </c>
      <c r="AD53" s="433">
        <v>0</v>
      </c>
      <c r="AE53" s="433">
        <v>0</v>
      </c>
      <c r="AF53" s="433">
        <v>0</v>
      </c>
      <c r="AG53" s="434">
        <v>0</v>
      </c>
      <c r="AH53" s="433">
        <v>0</v>
      </c>
      <c r="AI53" s="433">
        <v>0</v>
      </c>
      <c r="AJ53" s="433">
        <v>0</v>
      </c>
      <c r="AK53" s="433">
        <v>0</v>
      </c>
      <c r="AL53" s="434">
        <v>0</v>
      </c>
      <c r="AM53" s="433">
        <v>0</v>
      </c>
      <c r="AN53" s="433">
        <v>0</v>
      </c>
      <c r="AO53" s="433">
        <v>0</v>
      </c>
      <c r="AP53" s="433">
        <v>0</v>
      </c>
      <c r="AQ53" s="434">
        <v>0</v>
      </c>
      <c r="AR53" s="431"/>
      <c r="AS53" s="431"/>
      <c r="AT53" s="431"/>
      <c r="AU53" s="431"/>
      <c r="AV53" s="432"/>
      <c r="AW53" s="431">
        <v>0</v>
      </c>
      <c r="AX53" s="431">
        <v>0</v>
      </c>
      <c r="AY53" s="431">
        <v>0</v>
      </c>
      <c r="AZ53" s="431">
        <v>0</v>
      </c>
      <c r="BA53" s="432">
        <v>0</v>
      </c>
      <c r="BB53" s="435">
        <v>0</v>
      </c>
      <c r="BC53" s="436">
        <v>0</v>
      </c>
      <c r="BD53" s="436">
        <v>0</v>
      </c>
      <c r="BE53" s="436">
        <v>0</v>
      </c>
      <c r="BF53" s="437">
        <v>0</v>
      </c>
      <c r="BG53" s="436">
        <v>0</v>
      </c>
      <c r="BH53" s="436">
        <v>0</v>
      </c>
      <c r="BI53" s="436">
        <v>0</v>
      </c>
      <c r="BJ53" s="436">
        <v>0</v>
      </c>
      <c r="BK53" s="437">
        <v>0</v>
      </c>
      <c r="BL53" s="436">
        <v>0</v>
      </c>
      <c r="BM53" s="436">
        <v>0</v>
      </c>
      <c r="BN53" s="436">
        <v>0</v>
      </c>
      <c r="BO53" s="436">
        <v>0</v>
      </c>
      <c r="BP53" s="437">
        <v>0</v>
      </c>
      <c r="BQ53" s="435">
        <v>0</v>
      </c>
      <c r="BR53" s="436">
        <v>0</v>
      </c>
      <c r="BS53" s="436">
        <v>0</v>
      </c>
      <c r="BT53" s="436">
        <v>0</v>
      </c>
      <c r="BU53" s="437">
        <v>0</v>
      </c>
      <c r="BV53" s="438" t="s">
        <v>821</v>
      </c>
      <c r="BW53" s="436" t="s">
        <v>916</v>
      </c>
      <c r="BX53" s="436" t="s">
        <v>916</v>
      </c>
      <c r="BY53" s="436" t="s">
        <v>916</v>
      </c>
      <c r="BZ53" s="436" t="s">
        <v>916</v>
      </c>
      <c r="CA53" s="437" t="s">
        <v>916</v>
      </c>
      <c r="CB53" s="436" t="s">
        <v>916</v>
      </c>
      <c r="CC53" s="436" t="s">
        <v>916</v>
      </c>
      <c r="CD53" s="436" t="s">
        <v>916</v>
      </c>
      <c r="CE53" s="436" t="s">
        <v>916</v>
      </c>
      <c r="CF53" s="437" t="s">
        <v>916</v>
      </c>
      <c r="CG53" s="436" t="s">
        <v>916</v>
      </c>
      <c r="CH53" s="436" t="s">
        <v>916</v>
      </c>
      <c r="CI53" s="436" t="s">
        <v>916</v>
      </c>
      <c r="CJ53" s="436" t="s">
        <v>916</v>
      </c>
      <c r="CK53" s="437" t="s">
        <v>916</v>
      </c>
    </row>
    <row r="54" spans="1:89" s="384" customFormat="1" x14ac:dyDescent="0.2">
      <c r="A54" s="427" t="s">
        <v>878</v>
      </c>
      <c r="B54" s="428" t="s">
        <v>919</v>
      </c>
      <c r="C54" s="429"/>
      <c r="D54" s="430">
        <v>0</v>
      </c>
      <c r="E54" s="431">
        <v>0</v>
      </c>
      <c r="F54" s="431">
        <v>0</v>
      </c>
      <c r="G54" s="431">
        <v>0</v>
      </c>
      <c r="H54" s="432">
        <v>0</v>
      </c>
      <c r="I54" s="431"/>
      <c r="J54" s="431"/>
      <c r="K54" s="431"/>
      <c r="L54" s="431"/>
      <c r="M54" s="432"/>
      <c r="N54" s="431">
        <v>0</v>
      </c>
      <c r="O54" s="431">
        <v>0</v>
      </c>
      <c r="P54" s="431">
        <v>0</v>
      </c>
      <c r="Q54" s="431">
        <v>0</v>
      </c>
      <c r="R54" s="432">
        <v>0</v>
      </c>
      <c r="S54" s="431"/>
      <c r="T54" s="431"/>
      <c r="U54" s="431"/>
      <c r="V54" s="431"/>
      <c r="W54" s="432"/>
      <c r="X54" s="431">
        <v>0</v>
      </c>
      <c r="Y54" s="431">
        <v>0</v>
      </c>
      <c r="Z54" s="431">
        <v>0</v>
      </c>
      <c r="AA54" s="431">
        <v>0</v>
      </c>
      <c r="AB54" s="432">
        <v>0</v>
      </c>
      <c r="AC54" s="433">
        <v>0</v>
      </c>
      <c r="AD54" s="433">
        <v>0</v>
      </c>
      <c r="AE54" s="433">
        <v>0</v>
      </c>
      <c r="AF54" s="433">
        <v>0</v>
      </c>
      <c r="AG54" s="434">
        <v>0</v>
      </c>
      <c r="AH54" s="433">
        <v>0</v>
      </c>
      <c r="AI54" s="433">
        <v>0</v>
      </c>
      <c r="AJ54" s="433">
        <v>0</v>
      </c>
      <c r="AK54" s="433">
        <v>0</v>
      </c>
      <c r="AL54" s="434">
        <v>0</v>
      </c>
      <c r="AM54" s="433">
        <v>0</v>
      </c>
      <c r="AN54" s="433">
        <v>0</v>
      </c>
      <c r="AO54" s="433">
        <v>0</v>
      </c>
      <c r="AP54" s="433">
        <v>0</v>
      </c>
      <c r="AQ54" s="434">
        <v>0</v>
      </c>
      <c r="AR54" s="431"/>
      <c r="AS54" s="431"/>
      <c r="AT54" s="431"/>
      <c r="AU54" s="431"/>
      <c r="AV54" s="432"/>
      <c r="AW54" s="431">
        <v>0</v>
      </c>
      <c r="AX54" s="431">
        <v>0</v>
      </c>
      <c r="AY54" s="431">
        <v>0</v>
      </c>
      <c r="AZ54" s="431">
        <v>0</v>
      </c>
      <c r="BA54" s="432">
        <v>0</v>
      </c>
      <c r="BB54" s="435">
        <v>0</v>
      </c>
      <c r="BC54" s="436">
        <v>0</v>
      </c>
      <c r="BD54" s="436">
        <v>0</v>
      </c>
      <c r="BE54" s="436">
        <v>0</v>
      </c>
      <c r="BF54" s="437">
        <v>0</v>
      </c>
      <c r="BG54" s="436">
        <v>0</v>
      </c>
      <c r="BH54" s="436">
        <v>0</v>
      </c>
      <c r="BI54" s="436">
        <v>0</v>
      </c>
      <c r="BJ54" s="436">
        <v>0</v>
      </c>
      <c r="BK54" s="437">
        <v>0</v>
      </c>
      <c r="BL54" s="436">
        <v>0</v>
      </c>
      <c r="BM54" s="436">
        <v>0</v>
      </c>
      <c r="BN54" s="436">
        <v>0</v>
      </c>
      <c r="BO54" s="436">
        <v>0</v>
      </c>
      <c r="BP54" s="437">
        <v>0</v>
      </c>
      <c r="BQ54" s="435">
        <v>0</v>
      </c>
      <c r="BR54" s="436">
        <v>0</v>
      </c>
      <c r="BS54" s="436">
        <v>0</v>
      </c>
      <c r="BT54" s="436">
        <v>0</v>
      </c>
      <c r="BU54" s="437">
        <v>0</v>
      </c>
      <c r="BV54" s="438" t="s">
        <v>821</v>
      </c>
      <c r="BW54" s="436" t="s">
        <v>916</v>
      </c>
      <c r="BX54" s="436" t="s">
        <v>916</v>
      </c>
      <c r="BY54" s="436" t="s">
        <v>916</v>
      </c>
      <c r="BZ54" s="436" t="s">
        <v>916</v>
      </c>
      <c r="CA54" s="437" t="s">
        <v>916</v>
      </c>
      <c r="CB54" s="436" t="s">
        <v>916</v>
      </c>
      <c r="CC54" s="436" t="s">
        <v>916</v>
      </c>
      <c r="CD54" s="436" t="s">
        <v>916</v>
      </c>
      <c r="CE54" s="436" t="s">
        <v>916</v>
      </c>
      <c r="CF54" s="437" t="s">
        <v>916</v>
      </c>
      <c r="CG54" s="436" t="s">
        <v>916</v>
      </c>
      <c r="CH54" s="436" t="s">
        <v>916</v>
      </c>
      <c r="CI54" s="436" t="s">
        <v>916</v>
      </c>
      <c r="CJ54" s="436" t="s">
        <v>916</v>
      </c>
      <c r="CK54" s="437" t="s">
        <v>916</v>
      </c>
    </row>
    <row r="55" spans="1:89" s="384" customFormat="1" x14ac:dyDescent="0.2">
      <c r="A55" s="427" t="s">
        <v>879</v>
      </c>
      <c r="B55" s="428" t="s">
        <v>919</v>
      </c>
      <c r="C55" s="429"/>
      <c r="D55" s="430">
        <v>0</v>
      </c>
      <c r="E55" s="431">
        <v>0</v>
      </c>
      <c r="F55" s="431">
        <v>0</v>
      </c>
      <c r="G55" s="431">
        <v>0</v>
      </c>
      <c r="H55" s="432">
        <v>0</v>
      </c>
      <c r="I55" s="431"/>
      <c r="J55" s="431"/>
      <c r="K55" s="431"/>
      <c r="L55" s="431"/>
      <c r="M55" s="432"/>
      <c r="N55" s="431">
        <v>0</v>
      </c>
      <c r="O55" s="431">
        <v>0</v>
      </c>
      <c r="P55" s="431">
        <v>0</v>
      </c>
      <c r="Q55" s="431">
        <v>0</v>
      </c>
      <c r="R55" s="432">
        <v>0</v>
      </c>
      <c r="S55" s="431"/>
      <c r="T55" s="431"/>
      <c r="U55" s="431"/>
      <c r="V55" s="431"/>
      <c r="W55" s="432"/>
      <c r="X55" s="431">
        <v>0</v>
      </c>
      <c r="Y55" s="431">
        <v>0</v>
      </c>
      <c r="Z55" s="431">
        <v>0</v>
      </c>
      <c r="AA55" s="431">
        <v>0</v>
      </c>
      <c r="AB55" s="432">
        <v>0</v>
      </c>
      <c r="AC55" s="433">
        <v>0</v>
      </c>
      <c r="AD55" s="433">
        <v>0</v>
      </c>
      <c r="AE55" s="433">
        <v>0</v>
      </c>
      <c r="AF55" s="433">
        <v>0</v>
      </c>
      <c r="AG55" s="434">
        <v>0</v>
      </c>
      <c r="AH55" s="433">
        <v>0</v>
      </c>
      <c r="AI55" s="433">
        <v>0</v>
      </c>
      <c r="AJ55" s="433">
        <v>0</v>
      </c>
      <c r="AK55" s="433">
        <v>0</v>
      </c>
      <c r="AL55" s="434">
        <v>0</v>
      </c>
      <c r="AM55" s="433">
        <v>0</v>
      </c>
      <c r="AN55" s="433">
        <v>0</v>
      </c>
      <c r="AO55" s="433">
        <v>0</v>
      </c>
      <c r="AP55" s="433">
        <v>0</v>
      </c>
      <c r="AQ55" s="434">
        <v>0</v>
      </c>
      <c r="AR55" s="431"/>
      <c r="AS55" s="431"/>
      <c r="AT55" s="431"/>
      <c r="AU55" s="431"/>
      <c r="AV55" s="432"/>
      <c r="AW55" s="431">
        <v>0</v>
      </c>
      <c r="AX55" s="431">
        <v>0</v>
      </c>
      <c r="AY55" s="431">
        <v>0</v>
      </c>
      <c r="AZ55" s="431">
        <v>0</v>
      </c>
      <c r="BA55" s="432">
        <v>0</v>
      </c>
      <c r="BB55" s="435">
        <v>0</v>
      </c>
      <c r="BC55" s="436">
        <v>0</v>
      </c>
      <c r="BD55" s="436">
        <v>0</v>
      </c>
      <c r="BE55" s="436">
        <v>0</v>
      </c>
      <c r="BF55" s="437">
        <v>0</v>
      </c>
      <c r="BG55" s="436">
        <v>0</v>
      </c>
      <c r="BH55" s="436">
        <v>0</v>
      </c>
      <c r="BI55" s="436">
        <v>0</v>
      </c>
      <c r="BJ55" s="436">
        <v>0</v>
      </c>
      <c r="BK55" s="437">
        <v>0</v>
      </c>
      <c r="BL55" s="436">
        <v>0</v>
      </c>
      <c r="BM55" s="436">
        <v>0</v>
      </c>
      <c r="BN55" s="436">
        <v>0</v>
      </c>
      <c r="BO55" s="436">
        <v>0</v>
      </c>
      <c r="BP55" s="437">
        <v>0</v>
      </c>
      <c r="BQ55" s="435">
        <v>0</v>
      </c>
      <c r="BR55" s="436">
        <v>0</v>
      </c>
      <c r="BS55" s="436">
        <v>0</v>
      </c>
      <c r="BT55" s="436">
        <v>0</v>
      </c>
      <c r="BU55" s="437">
        <v>0</v>
      </c>
      <c r="BV55" s="438" t="s">
        <v>821</v>
      </c>
      <c r="BW55" s="436" t="s">
        <v>916</v>
      </c>
      <c r="BX55" s="436" t="s">
        <v>916</v>
      </c>
      <c r="BY55" s="436" t="s">
        <v>916</v>
      </c>
      <c r="BZ55" s="436" t="s">
        <v>916</v>
      </c>
      <c r="CA55" s="437" t="s">
        <v>916</v>
      </c>
      <c r="CB55" s="436" t="s">
        <v>916</v>
      </c>
      <c r="CC55" s="436" t="s">
        <v>916</v>
      </c>
      <c r="CD55" s="436" t="s">
        <v>916</v>
      </c>
      <c r="CE55" s="436" t="s">
        <v>916</v>
      </c>
      <c r="CF55" s="437" t="s">
        <v>916</v>
      </c>
      <c r="CG55" s="436" t="s">
        <v>916</v>
      </c>
      <c r="CH55" s="436" t="s">
        <v>916</v>
      </c>
      <c r="CI55" s="436" t="s">
        <v>916</v>
      </c>
      <c r="CJ55" s="436" t="s">
        <v>916</v>
      </c>
      <c r="CK55" s="437" t="s">
        <v>916</v>
      </c>
    </row>
    <row r="56" spans="1:89" s="384" customFormat="1" x14ac:dyDescent="0.2">
      <c r="A56" s="427" t="s">
        <v>880</v>
      </c>
      <c r="B56" s="428" t="s">
        <v>919</v>
      </c>
      <c r="C56" s="429"/>
      <c r="D56" s="430">
        <v>0</v>
      </c>
      <c r="E56" s="431">
        <v>0</v>
      </c>
      <c r="F56" s="431">
        <v>0</v>
      </c>
      <c r="G56" s="431">
        <v>0</v>
      </c>
      <c r="H56" s="432">
        <v>0</v>
      </c>
      <c r="I56" s="431"/>
      <c r="J56" s="431"/>
      <c r="K56" s="431"/>
      <c r="L56" s="431"/>
      <c r="M56" s="432"/>
      <c r="N56" s="431">
        <v>0</v>
      </c>
      <c r="O56" s="431">
        <v>0</v>
      </c>
      <c r="P56" s="431">
        <v>0</v>
      </c>
      <c r="Q56" s="431">
        <v>0</v>
      </c>
      <c r="R56" s="432">
        <v>0</v>
      </c>
      <c r="S56" s="431"/>
      <c r="T56" s="431"/>
      <c r="U56" s="431"/>
      <c r="V56" s="431"/>
      <c r="W56" s="432"/>
      <c r="X56" s="431">
        <v>0</v>
      </c>
      <c r="Y56" s="431">
        <v>0</v>
      </c>
      <c r="Z56" s="431">
        <v>0</v>
      </c>
      <c r="AA56" s="431">
        <v>0</v>
      </c>
      <c r="AB56" s="432">
        <v>0</v>
      </c>
      <c r="AC56" s="433">
        <v>0</v>
      </c>
      <c r="AD56" s="433">
        <v>0</v>
      </c>
      <c r="AE56" s="433">
        <v>0</v>
      </c>
      <c r="AF56" s="433">
        <v>0</v>
      </c>
      <c r="AG56" s="434">
        <v>0</v>
      </c>
      <c r="AH56" s="433">
        <v>0</v>
      </c>
      <c r="AI56" s="433">
        <v>0</v>
      </c>
      <c r="AJ56" s="433">
        <v>0</v>
      </c>
      <c r="AK56" s="433">
        <v>0</v>
      </c>
      <c r="AL56" s="434">
        <v>0</v>
      </c>
      <c r="AM56" s="433">
        <v>0</v>
      </c>
      <c r="AN56" s="433">
        <v>0</v>
      </c>
      <c r="AO56" s="433">
        <v>0</v>
      </c>
      <c r="AP56" s="433">
        <v>0</v>
      </c>
      <c r="AQ56" s="434">
        <v>0</v>
      </c>
      <c r="AR56" s="431"/>
      <c r="AS56" s="431"/>
      <c r="AT56" s="431"/>
      <c r="AU56" s="431"/>
      <c r="AV56" s="432"/>
      <c r="AW56" s="431">
        <v>0</v>
      </c>
      <c r="AX56" s="431">
        <v>0</v>
      </c>
      <c r="AY56" s="431">
        <v>0</v>
      </c>
      <c r="AZ56" s="431">
        <v>0</v>
      </c>
      <c r="BA56" s="432">
        <v>0</v>
      </c>
      <c r="BB56" s="435">
        <v>0</v>
      </c>
      <c r="BC56" s="436">
        <v>0</v>
      </c>
      <c r="BD56" s="436">
        <v>0</v>
      </c>
      <c r="BE56" s="436">
        <v>0</v>
      </c>
      <c r="BF56" s="437">
        <v>0</v>
      </c>
      <c r="BG56" s="436">
        <v>0</v>
      </c>
      <c r="BH56" s="436">
        <v>0</v>
      </c>
      <c r="BI56" s="436">
        <v>0</v>
      </c>
      <c r="BJ56" s="436">
        <v>0</v>
      </c>
      <c r="BK56" s="437">
        <v>0</v>
      </c>
      <c r="BL56" s="436">
        <v>0</v>
      </c>
      <c r="BM56" s="436">
        <v>0</v>
      </c>
      <c r="BN56" s="436">
        <v>0</v>
      </c>
      <c r="BO56" s="436">
        <v>0</v>
      </c>
      <c r="BP56" s="437">
        <v>0</v>
      </c>
      <c r="BQ56" s="435">
        <v>0</v>
      </c>
      <c r="BR56" s="436">
        <v>0</v>
      </c>
      <c r="BS56" s="436">
        <v>0</v>
      </c>
      <c r="BT56" s="436">
        <v>0</v>
      </c>
      <c r="BU56" s="437">
        <v>0</v>
      </c>
      <c r="BV56" s="438" t="s">
        <v>821</v>
      </c>
      <c r="BW56" s="436" t="s">
        <v>916</v>
      </c>
      <c r="BX56" s="436" t="s">
        <v>916</v>
      </c>
      <c r="BY56" s="436" t="s">
        <v>916</v>
      </c>
      <c r="BZ56" s="436" t="s">
        <v>916</v>
      </c>
      <c r="CA56" s="437" t="s">
        <v>916</v>
      </c>
      <c r="CB56" s="436" t="s">
        <v>916</v>
      </c>
      <c r="CC56" s="436" t="s">
        <v>916</v>
      </c>
      <c r="CD56" s="436" t="s">
        <v>916</v>
      </c>
      <c r="CE56" s="436" t="s">
        <v>916</v>
      </c>
      <c r="CF56" s="437" t="s">
        <v>916</v>
      </c>
      <c r="CG56" s="436" t="s">
        <v>916</v>
      </c>
      <c r="CH56" s="436" t="s">
        <v>916</v>
      </c>
      <c r="CI56" s="436" t="s">
        <v>916</v>
      </c>
      <c r="CJ56" s="436" t="s">
        <v>916</v>
      </c>
      <c r="CK56" s="437" t="s">
        <v>916</v>
      </c>
    </row>
    <row r="57" spans="1:89" s="384" customFormat="1" x14ac:dyDescent="0.2">
      <c r="A57" s="427" t="s">
        <v>881</v>
      </c>
      <c r="B57" s="428" t="s">
        <v>919</v>
      </c>
      <c r="C57" s="429"/>
      <c r="D57" s="430">
        <v>0</v>
      </c>
      <c r="E57" s="431">
        <v>0</v>
      </c>
      <c r="F57" s="431">
        <v>0</v>
      </c>
      <c r="G57" s="431">
        <v>0</v>
      </c>
      <c r="H57" s="432">
        <v>0</v>
      </c>
      <c r="I57" s="431"/>
      <c r="J57" s="431"/>
      <c r="K57" s="431"/>
      <c r="L57" s="431"/>
      <c r="M57" s="432"/>
      <c r="N57" s="431">
        <v>0</v>
      </c>
      <c r="O57" s="431">
        <v>0</v>
      </c>
      <c r="P57" s="431">
        <v>0</v>
      </c>
      <c r="Q57" s="431">
        <v>0</v>
      </c>
      <c r="R57" s="432">
        <v>0</v>
      </c>
      <c r="S57" s="431"/>
      <c r="T57" s="431"/>
      <c r="U57" s="431"/>
      <c r="V57" s="431"/>
      <c r="W57" s="432"/>
      <c r="X57" s="431">
        <v>0</v>
      </c>
      <c r="Y57" s="431">
        <v>0</v>
      </c>
      <c r="Z57" s="431">
        <v>0</v>
      </c>
      <c r="AA57" s="431">
        <v>0</v>
      </c>
      <c r="AB57" s="432">
        <v>0</v>
      </c>
      <c r="AC57" s="433">
        <v>0</v>
      </c>
      <c r="AD57" s="433">
        <v>0</v>
      </c>
      <c r="AE57" s="433">
        <v>0</v>
      </c>
      <c r="AF57" s="433">
        <v>0</v>
      </c>
      <c r="AG57" s="434">
        <v>0</v>
      </c>
      <c r="AH57" s="433">
        <v>0</v>
      </c>
      <c r="AI57" s="433">
        <v>0</v>
      </c>
      <c r="AJ57" s="433">
        <v>0</v>
      </c>
      <c r="AK57" s="433">
        <v>0</v>
      </c>
      <c r="AL57" s="434">
        <v>0</v>
      </c>
      <c r="AM57" s="433">
        <v>0</v>
      </c>
      <c r="AN57" s="433">
        <v>0</v>
      </c>
      <c r="AO57" s="433">
        <v>0</v>
      </c>
      <c r="AP57" s="433">
        <v>0</v>
      </c>
      <c r="AQ57" s="434">
        <v>0</v>
      </c>
      <c r="AR57" s="431"/>
      <c r="AS57" s="431"/>
      <c r="AT57" s="431"/>
      <c r="AU57" s="431"/>
      <c r="AV57" s="432"/>
      <c r="AW57" s="431">
        <v>0</v>
      </c>
      <c r="AX57" s="431">
        <v>0</v>
      </c>
      <c r="AY57" s="431">
        <v>0</v>
      </c>
      <c r="AZ57" s="431">
        <v>0</v>
      </c>
      <c r="BA57" s="432">
        <v>0</v>
      </c>
      <c r="BB57" s="435">
        <v>0</v>
      </c>
      <c r="BC57" s="436">
        <v>0</v>
      </c>
      <c r="BD57" s="436">
        <v>0</v>
      </c>
      <c r="BE57" s="436">
        <v>0</v>
      </c>
      <c r="BF57" s="437">
        <v>0</v>
      </c>
      <c r="BG57" s="436">
        <v>0</v>
      </c>
      <c r="BH57" s="436">
        <v>0</v>
      </c>
      <c r="BI57" s="436">
        <v>0</v>
      </c>
      <c r="BJ57" s="436">
        <v>0</v>
      </c>
      <c r="BK57" s="437">
        <v>0</v>
      </c>
      <c r="BL57" s="436">
        <v>0</v>
      </c>
      <c r="BM57" s="436">
        <v>0</v>
      </c>
      <c r="BN57" s="436">
        <v>0</v>
      </c>
      <c r="BO57" s="436">
        <v>0</v>
      </c>
      <c r="BP57" s="437">
        <v>0</v>
      </c>
      <c r="BQ57" s="435">
        <v>0</v>
      </c>
      <c r="BR57" s="436">
        <v>0</v>
      </c>
      <c r="BS57" s="436">
        <v>0</v>
      </c>
      <c r="BT57" s="436">
        <v>0</v>
      </c>
      <c r="BU57" s="437">
        <v>0</v>
      </c>
      <c r="BV57" s="438" t="s">
        <v>821</v>
      </c>
      <c r="BW57" s="436" t="s">
        <v>916</v>
      </c>
      <c r="BX57" s="436" t="s">
        <v>916</v>
      </c>
      <c r="BY57" s="436" t="s">
        <v>916</v>
      </c>
      <c r="BZ57" s="436" t="s">
        <v>916</v>
      </c>
      <c r="CA57" s="437" t="s">
        <v>916</v>
      </c>
      <c r="CB57" s="436" t="s">
        <v>916</v>
      </c>
      <c r="CC57" s="436" t="s">
        <v>916</v>
      </c>
      <c r="CD57" s="436" t="s">
        <v>916</v>
      </c>
      <c r="CE57" s="436" t="s">
        <v>916</v>
      </c>
      <c r="CF57" s="437" t="s">
        <v>916</v>
      </c>
      <c r="CG57" s="436" t="s">
        <v>916</v>
      </c>
      <c r="CH57" s="436" t="s">
        <v>916</v>
      </c>
      <c r="CI57" s="436" t="s">
        <v>916</v>
      </c>
      <c r="CJ57" s="436" t="s">
        <v>916</v>
      </c>
      <c r="CK57" s="437" t="s">
        <v>916</v>
      </c>
    </row>
    <row r="58" spans="1:89" s="384" customFormat="1" x14ac:dyDescent="0.2">
      <c r="A58" s="427" t="s">
        <v>882</v>
      </c>
      <c r="B58" s="428" t="s">
        <v>919</v>
      </c>
      <c r="C58" s="429"/>
      <c r="D58" s="430">
        <v>0</v>
      </c>
      <c r="E58" s="431">
        <v>0</v>
      </c>
      <c r="F58" s="431">
        <v>0</v>
      </c>
      <c r="G58" s="431">
        <v>0</v>
      </c>
      <c r="H58" s="432">
        <v>0</v>
      </c>
      <c r="I58" s="431"/>
      <c r="J58" s="431"/>
      <c r="K58" s="431"/>
      <c r="L58" s="431"/>
      <c r="M58" s="432"/>
      <c r="N58" s="431">
        <v>0</v>
      </c>
      <c r="O58" s="431">
        <v>0</v>
      </c>
      <c r="P58" s="431">
        <v>0</v>
      </c>
      <c r="Q58" s="431">
        <v>0</v>
      </c>
      <c r="R58" s="432">
        <v>0</v>
      </c>
      <c r="S58" s="431"/>
      <c r="T58" s="431"/>
      <c r="U58" s="431"/>
      <c r="V58" s="431"/>
      <c r="W58" s="432"/>
      <c r="X58" s="431">
        <v>0</v>
      </c>
      <c r="Y58" s="431">
        <v>0</v>
      </c>
      <c r="Z58" s="431">
        <v>0</v>
      </c>
      <c r="AA58" s="431">
        <v>0</v>
      </c>
      <c r="AB58" s="432">
        <v>0</v>
      </c>
      <c r="AC58" s="433">
        <v>0</v>
      </c>
      <c r="AD58" s="433">
        <v>0</v>
      </c>
      <c r="AE58" s="433">
        <v>0</v>
      </c>
      <c r="AF58" s="433">
        <v>0</v>
      </c>
      <c r="AG58" s="434">
        <v>0</v>
      </c>
      <c r="AH58" s="433">
        <v>0</v>
      </c>
      <c r="AI58" s="433">
        <v>0</v>
      </c>
      <c r="AJ58" s="433">
        <v>0</v>
      </c>
      <c r="AK58" s="433">
        <v>0</v>
      </c>
      <c r="AL58" s="434">
        <v>0</v>
      </c>
      <c r="AM58" s="433">
        <v>0</v>
      </c>
      <c r="AN58" s="433">
        <v>0</v>
      </c>
      <c r="AO58" s="433">
        <v>0</v>
      </c>
      <c r="AP58" s="433">
        <v>0</v>
      </c>
      <c r="AQ58" s="434">
        <v>0</v>
      </c>
      <c r="AR58" s="431"/>
      <c r="AS58" s="431"/>
      <c r="AT58" s="431"/>
      <c r="AU58" s="431"/>
      <c r="AV58" s="432"/>
      <c r="AW58" s="431">
        <v>0</v>
      </c>
      <c r="AX58" s="431">
        <v>0</v>
      </c>
      <c r="AY58" s="431">
        <v>0</v>
      </c>
      <c r="AZ58" s="431">
        <v>0</v>
      </c>
      <c r="BA58" s="432">
        <v>0</v>
      </c>
      <c r="BB58" s="435">
        <v>0</v>
      </c>
      <c r="BC58" s="436">
        <v>0</v>
      </c>
      <c r="BD58" s="436">
        <v>0</v>
      </c>
      <c r="BE58" s="436">
        <v>0</v>
      </c>
      <c r="BF58" s="437">
        <v>0</v>
      </c>
      <c r="BG58" s="436">
        <v>0</v>
      </c>
      <c r="BH58" s="436">
        <v>0</v>
      </c>
      <c r="BI58" s="436">
        <v>0</v>
      </c>
      <c r="BJ58" s="436">
        <v>0</v>
      </c>
      <c r="BK58" s="437">
        <v>0</v>
      </c>
      <c r="BL58" s="436">
        <v>0</v>
      </c>
      <c r="BM58" s="436">
        <v>0</v>
      </c>
      <c r="BN58" s="436">
        <v>0</v>
      </c>
      <c r="BO58" s="436">
        <v>0</v>
      </c>
      <c r="BP58" s="437">
        <v>0</v>
      </c>
      <c r="BQ58" s="435">
        <v>0</v>
      </c>
      <c r="BR58" s="436">
        <v>0</v>
      </c>
      <c r="BS58" s="436">
        <v>0</v>
      </c>
      <c r="BT58" s="436">
        <v>0</v>
      </c>
      <c r="BU58" s="437">
        <v>0</v>
      </c>
      <c r="BV58" s="438" t="s">
        <v>821</v>
      </c>
      <c r="BW58" s="436" t="s">
        <v>916</v>
      </c>
      <c r="BX58" s="436" t="s">
        <v>916</v>
      </c>
      <c r="BY58" s="436" t="s">
        <v>916</v>
      </c>
      <c r="BZ58" s="436" t="s">
        <v>916</v>
      </c>
      <c r="CA58" s="437" t="s">
        <v>916</v>
      </c>
      <c r="CB58" s="436" t="s">
        <v>916</v>
      </c>
      <c r="CC58" s="436" t="s">
        <v>916</v>
      </c>
      <c r="CD58" s="436" t="s">
        <v>916</v>
      </c>
      <c r="CE58" s="436" t="s">
        <v>916</v>
      </c>
      <c r="CF58" s="437" t="s">
        <v>916</v>
      </c>
      <c r="CG58" s="436" t="s">
        <v>916</v>
      </c>
      <c r="CH58" s="436" t="s">
        <v>916</v>
      </c>
      <c r="CI58" s="436" t="s">
        <v>916</v>
      </c>
      <c r="CJ58" s="436" t="s">
        <v>916</v>
      </c>
      <c r="CK58" s="437" t="s">
        <v>916</v>
      </c>
    </row>
    <row r="59" spans="1:89" s="384" customFormat="1" x14ac:dyDescent="0.2">
      <c r="A59" s="427" t="s">
        <v>883</v>
      </c>
      <c r="B59" s="428" t="s">
        <v>919</v>
      </c>
      <c r="C59" s="429"/>
      <c r="D59" s="430">
        <v>0</v>
      </c>
      <c r="E59" s="431">
        <v>0</v>
      </c>
      <c r="F59" s="431">
        <v>0</v>
      </c>
      <c r="G59" s="431">
        <v>0</v>
      </c>
      <c r="H59" s="432">
        <v>0</v>
      </c>
      <c r="I59" s="431"/>
      <c r="J59" s="431"/>
      <c r="K59" s="431"/>
      <c r="L59" s="431"/>
      <c r="M59" s="432"/>
      <c r="N59" s="431">
        <v>0</v>
      </c>
      <c r="O59" s="431">
        <v>0</v>
      </c>
      <c r="P59" s="431">
        <v>0</v>
      </c>
      <c r="Q59" s="431">
        <v>0</v>
      </c>
      <c r="R59" s="432">
        <v>0</v>
      </c>
      <c r="S59" s="431"/>
      <c r="T59" s="431"/>
      <c r="U59" s="431"/>
      <c r="V59" s="431"/>
      <c r="W59" s="432"/>
      <c r="X59" s="431">
        <v>0</v>
      </c>
      <c r="Y59" s="431">
        <v>0</v>
      </c>
      <c r="Z59" s="431">
        <v>0</v>
      </c>
      <c r="AA59" s="431">
        <v>0</v>
      </c>
      <c r="AB59" s="432">
        <v>0</v>
      </c>
      <c r="AC59" s="433">
        <v>0</v>
      </c>
      <c r="AD59" s="433">
        <v>0</v>
      </c>
      <c r="AE59" s="433">
        <v>0</v>
      </c>
      <c r="AF59" s="433">
        <v>0</v>
      </c>
      <c r="AG59" s="434">
        <v>0</v>
      </c>
      <c r="AH59" s="433">
        <v>0</v>
      </c>
      <c r="AI59" s="433">
        <v>0</v>
      </c>
      <c r="AJ59" s="433">
        <v>0</v>
      </c>
      <c r="AK59" s="433">
        <v>0</v>
      </c>
      <c r="AL59" s="434">
        <v>0</v>
      </c>
      <c r="AM59" s="433">
        <v>0</v>
      </c>
      <c r="AN59" s="433">
        <v>0</v>
      </c>
      <c r="AO59" s="433">
        <v>0</v>
      </c>
      <c r="AP59" s="433">
        <v>0</v>
      </c>
      <c r="AQ59" s="434">
        <v>0</v>
      </c>
      <c r="AR59" s="431"/>
      <c r="AS59" s="431"/>
      <c r="AT59" s="431"/>
      <c r="AU59" s="431"/>
      <c r="AV59" s="432"/>
      <c r="AW59" s="431">
        <v>0</v>
      </c>
      <c r="AX59" s="431">
        <v>0</v>
      </c>
      <c r="AY59" s="431">
        <v>0</v>
      </c>
      <c r="AZ59" s="431">
        <v>0</v>
      </c>
      <c r="BA59" s="432">
        <v>0</v>
      </c>
      <c r="BB59" s="435">
        <v>0</v>
      </c>
      <c r="BC59" s="436">
        <v>0</v>
      </c>
      <c r="BD59" s="436">
        <v>0</v>
      </c>
      <c r="BE59" s="436">
        <v>0</v>
      </c>
      <c r="BF59" s="437">
        <v>0</v>
      </c>
      <c r="BG59" s="436">
        <v>0</v>
      </c>
      <c r="BH59" s="436">
        <v>0</v>
      </c>
      <c r="BI59" s="436">
        <v>0</v>
      </c>
      <c r="BJ59" s="436">
        <v>0</v>
      </c>
      <c r="BK59" s="437">
        <v>0</v>
      </c>
      <c r="BL59" s="436">
        <v>0</v>
      </c>
      <c r="BM59" s="436">
        <v>0</v>
      </c>
      <c r="BN59" s="436">
        <v>0</v>
      </c>
      <c r="BO59" s="436">
        <v>0</v>
      </c>
      <c r="BP59" s="437">
        <v>0</v>
      </c>
      <c r="BQ59" s="435">
        <v>0</v>
      </c>
      <c r="BR59" s="436">
        <v>0</v>
      </c>
      <c r="BS59" s="436">
        <v>0</v>
      </c>
      <c r="BT59" s="436">
        <v>0</v>
      </c>
      <c r="BU59" s="437">
        <v>0</v>
      </c>
      <c r="BV59" s="438" t="s">
        <v>821</v>
      </c>
      <c r="BW59" s="436" t="s">
        <v>916</v>
      </c>
      <c r="BX59" s="436" t="s">
        <v>916</v>
      </c>
      <c r="BY59" s="436" t="s">
        <v>916</v>
      </c>
      <c r="BZ59" s="436" t="s">
        <v>916</v>
      </c>
      <c r="CA59" s="437" t="s">
        <v>916</v>
      </c>
      <c r="CB59" s="436" t="s">
        <v>916</v>
      </c>
      <c r="CC59" s="436" t="s">
        <v>916</v>
      </c>
      <c r="CD59" s="436" t="s">
        <v>916</v>
      </c>
      <c r="CE59" s="436" t="s">
        <v>916</v>
      </c>
      <c r="CF59" s="437" t="s">
        <v>916</v>
      </c>
      <c r="CG59" s="436" t="s">
        <v>916</v>
      </c>
      <c r="CH59" s="436" t="s">
        <v>916</v>
      </c>
      <c r="CI59" s="436" t="s">
        <v>916</v>
      </c>
      <c r="CJ59" s="436" t="s">
        <v>916</v>
      </c>
      <c r="CK59" s="437" t="s">
        <v>916</v>
      </c>
    </row>
    <row r="60" spans="1:89" s="384" customFormat="1" x14ac:dyDescent="0.2">
      <c r="A60" s="427" t="s">
        <v>884</v>
      </c>
      <c r="B60" s="428" t="s">
        <v>962</v>
      </c>
      <c r="C60" s="429"/>
      <c r="D60" s="430"/>
      <c r="E60" s="431"/>
      <c r="F60" s="431"/>
      <c r="G60" s="431"/>
      <c r="H60" s="432"/>
      <c r="I60" s="431"/>
      <c r="J60" s="431"/>
      <c r="K60" s="431"/>
      <c r="L60" s="431"/>
      <c r="M60" s="432"/>
      <c r="N60" s="431"/>
      <c r="O60" s="431"/>
      <c r="P60" s="431"/>
      <c r="Q60" s="431"/>
      <c r="R60" s="432"/>
      <c r="S60" s="431"/>
      <c r="T60" s="431"/>
      <c r="U60" s="431"/>
      <c r="V60" s="431"/>
      <c r="W60" s="432"/>
      <c r="X60" s="431"/>
      <c r="Y60" s="431"/>
      <c r="Z60" s="431"/>
      <c r="AA60" s="431"/>
      <c r="AB60" s="432"/>
      <c r="AC60" s="433">
        <v>0.85</v>
      </c>
      <c r="AD60" s="433">
        <v>0.85</v>
      </c>
      <c r="AE60" s="433">
        <v>0.85</v>
      </c>
      <c r="AF60" s="433">
        <v>0.85</v>
      </c>
      <c r="AG60" s="434">
        <v>0.85</v>
      </c>
      <c r="AH60" s="433">
        <v>0</v>
      </c>
      <c r="AI60" s="433">
        <v>0</v>
      </c>
      <c r="AJ60" s="433">
        <v>0</v>
      </c>
      <c r="AK60" s="433">
        <v>0</v>
      </c>
      <c r="AL60" s="434">
        <v>0</v>
      </c>
      <c r="AM60" s="433">
        <v>0</v>
      </c>
      <c r="AN60" s="433">
        <v>0</v>
      </c>
      <c r="AO60" s="433">
        <v>0</v>
      </c>
      <c r="AP60" s="433">
        <v>0</v>
      </c>
      <c r="AQ60" s="434">
        <v>0</v>
      </c>
      <c r="AR60" s="431"/>
      <c r="AS60" s="431"/>
      <c r="AT60" s="431"/>
      <c r="AU60" s="431"/>
      <c r="AV60" s="432"/>
      <c r="AW60" s="431" t="s">
        <v>949</v>
      </c>
      <c r="AX60" s="431" t="s">
        <v>949</v>
      </c>
      <c r="AY60" s="431" t="s">
        <v>949</v>
      </c>
      <c r="AZ60" s="431" t="s">
        <v>949</v>
      </c>
      <c r="BA60" s="432" t="s">
        <v>949</v>
      </c>
      <c r="BB60" s="430" t="s">
        <v>963</v>
      </c>
      <c r="BC60" s="431" t="s">
        <v>963</v>
      </c>
      <c r="BD60" s="431" t="s">
        <v>963</v>
      </c>
      <c r="BE60" s="431" t="s">
        <v>963</v>
      </c>
      <c r="BF60" s="432" t="s">
        <v>963</v>
      </c>
      <c r="BG60" s="431">
        <v>0</v>
      </c>
      <c r="BH60" s="431">
        <v>0</v>
      </c>
      <c r="BI60" s="431">
        <v>0</v>
      </c>
      <c r="BJ60" s="431">
        <v>0</v>
      </c>
      <c r="BK60" s="432">
        <v>0</v>
      </c>
      <c r="BL60" s="431">
        <v>250</v>
      </c>
      <c r="BM60" s="431">
        <v>250</v>
      </c>
      <c r="BN60" s="431">
        <v>250</v>
      </c>
      <c r="BO60" s="431">
        <v>250</v>
      </c>
      <c r="BP60" s="432">
        <v>250</v>
      </c>
      <c r="BQ60" s="430">
        <v>0</v>
      </c>
      <c r="BR60" s="431">
        <v>0</v>
      </c>
      <c r="BS60" s="431">
        <v>0</v>
      </c>
      <c r="BT60" s="431">
        <v>0</v>
      </c>
      <c r="BU60" s="432">
        <v>0</v>
      </c>
      <c r="BV60" s="438"/>
      <c r="BW60" s="436" t="s">
        <v>916</v>
      </c>
      <c r="BX60" s="436" t="s">
        <v>916</v>
      </c>
      <c r="BY60" s="436" t="s">
        <v>916</v>
      </c>
      <c r="BZ60" s="436" t="s">
        <v>916</v>
      </c>
      <c r="CA60" s="437" t="s">
        <v>916</v>
      </c>
      <c r="CB60" s="436" t="s">
        <v>916</v>
      </c>
      <c r="CC60" s="436" t="s">
        <v>916</v>
      </c>
      <c r="CD60" s="436" t="s">
        <v>916</v>
      </c>
      <c r="CE60" s="436" t="s">
        <v>916</v>
      </c>
      <c r="CF60" s="437" t="s">
        <v>916</v>
      </c>
      <c r="CG60" s="436" t="s">
        <v>916</v>
      </c>
      <c r="CH60" s="436" t="s">
        <v>916</v>
      </c>
      <c r="CI60" s="436" t="s">
        <v>916</v>
      </c>
      <c r="CJ60" s="436" t="s">
        <v>916</v>
      </c>
      <c r="CK60" s="437" t="s">
        <v>916</v>
      </c>
    </row>
    <row r="61" spans="1:89" s="384" customFormat="1" x14ac:dyDescent="0.2">
      <c r="A61" s="427" t="s">
        <v>885</v>
      </c>
      <c r="B61" s="428" t="s">
        <v>964</v>
      </c>
      <c r="C61" s="429"/>
      <c r="D61" s="430"/>
      <c r="E61" s="431"/>
      <c r="F61" s="431"/>
      <c r="G61" s="431"/>
      <c r="H61" s="432"/>
      <c r="I61" s="431"/>
      <c r="J61" s="431"/>
      <c r="K61" s="431"/>
      <c r="L61" s="431"/>
      <c r="M61" s="432"/>
      <c r="N61" s="431"/>
      <c r="O61" s="431"/>
      <c r="P61" s="431"/>
      <c r="Q61" s="431"/>
      <c r="R61" s="432"/>
      <c r="S61" s="431"/>
      <c r="T61" s="431"/>
      <c r="U61" s="431"/>
      <c r="V61" s="431"/>
      <c r="W61" s="432"/>
      <c r="X61" s="431"/>
      <c r="Y61" s="431"/>
      <c r="Z61" s="431"/>
      <c r="AA61" s="431"/>
      <c r="AB61" s="432"/>
      <c r="AC61" s="433">
        <v>0.85499999999999998</v>
      </c>
      <c r="AD61" s="433">
        <v>0.85499999999999998</v>
      </c>
      <c r="AE61" s="433">
        <v>0.85499999999999998</v>
      </c>
      <c r="AF61" s="433">
        <v>0.85499999999999998</v>
      </c>
      <c r="AG61" s="434">
        <v>0.85499999999999998</v>
      </c>
      <c r="AH61" s="433">
        <v>0</v>
      </c>
      <c r="AI61" s="433">
        <v>0</v>
      </c>
      <c r="AJ61" s="433">
        <v>0</v>
      </c>
      <c r="AK61" s="433">
        <v>0</v>
      </c>
      <c r="AL61" s="434">
        <v>0</v>
      </c>
      <c r="AM61" s="433">
        <v>0</v>
      </c>
      <c r="AN61" s="433">
        <v>0</v>
      </c>
      <c r="AO61" s="433">
        <v>0</v>
      </c>
      <c r="AP61" s="433">
        <v>0</v>
      </c>
      <c r="AQ61" s="434">
        <v>0</v>
      </c>
      <c r="AR61" s="431"/>
      <c r="AS61" s="431"/>
      <c r="AT61" s="431"/>
      <c r="AU61" s="431"/>
      <c r="AV61" s="432"/>
      <c r="AW61" s="431" t="s">
        <v>949</v>
      </c>
      <c r="AX61" s="431" t="s">
        <v>949</v>
      </c>
      <c r="AY61" s="431" t="s">
        <v>949</v>
      </c>
      <c r="AZ61" s="431" t="s">
        <v>949</v>
      </c>
      <c r="BA61" s="432" t="s">
        <v>949</v>
      </c>
      <c r="BB61" s="430" t="s">
        <v>965</v>
      </c>
      <c r="BC61" s="431" t="s">
        <v>965</v>
      </c>
      <c r="BD61" s="431" t="s">
        <v>965</v>
      </c>
      <c r="BE61" s="431" t="s">
        <v>965</v>
      </c>
      <c r="BF61" s="432" t="s">
        <v>965</v>
      </c>
      <c r="BG61" s="431">
        <v>0</v>
      </c>
      <c r="BH61" s="431">
        <v>0</v>
      </c>
      <c r="BI61" s="431">
        <v>0</v>
      </c>
      <c r="BJ61" s="431">
        <v>0</v>
      </c>
      <c r="BK61" s="432">
        <v>0</v>
      </c>
      <c r="BL61" s="431" t="s">
        <v>966</v>
      </c>
      <c r="BM61" s="431" t="s">
        <v>966</v>
      </c>
      <c r="BN61" s="431" t="s">
        <v>966</v>
      </c>
      <c r="BO61" s="431" t="s">
        <v>966</v>
      </c>
      <c r="BP61" s="432" t="s">
        <v>966</v>
      </c>
      <c r="BQ61" s="430">
        <v>0</v>
      </c>
      <c r="BR61" s="431">
        <v>0</v>
      </c>
      <c r="BS61" s="431">
        <v>0</v>
      </c>
      <c r="BT61" s="431">
        <v>0</v>
      </c>
      <c r="BU61" s="432">
        <v>0</v>
      </c>
      <c r="BV61" s="438"/>
      <c r="BW61" s="436" t="s">
        <v>916</v>
      </c>
      <c r="BX61" s="436" t="s">
        <v>916</v>
      </c>
      <c r="BY61" s="436" t="s">
        <v>916</v>
      </c>
      <c r="BZ61" s="436" t="s">
        <v>916</v>
      </c>
      <c r="CA61" s="437" t="s">
        <v>916</v>
      </c>
      <c r="CB61" s="436" t="s">
        <v>916</v>
      </c>
      <c r="CC61" s="436" t="s">
        <v>916</v>
      </c>
      <c r="CD61" s="436" t="s">
        <v>916</v>
      </c>
      <c r="CE61" s="436" t="s">
        <v>916</v>
      </c>
      <c r="CF61" s="437" t="s">
        <v>916</v>
      </c>
      <c r="CG61" s="436" t="s">
        <v>916</v>
      </c>
      <c r="CH61" s="436" t="s">
        <v>916</v>
      </c>
      <c r="CI61" s="436" t="s">
        <v>916</v>
      </c>
      <c r="CJ61" s="436" t="s">
        <v>916</v>
      </c>
      <c r="CK61" s="437" t="s">
        <v>916</v>
      </c>
    </row>
    <row r="62" spans="1:89" s="384" customFormat="1" x14ac:dyDescent="0.2">
      <c r="A62" s="385" t="s">
        <v>886</v>
      </c>
      <c r="B62" s="386" t="s">
        <v>967</v>
      </c>
      <c r="C62" s="387" t="s">
        <v>887</v>
      </c>
      <c r="D62" s="388">
        <v>10</v>
      </c>
      <c r="E62" s="389">
        <v>10</v>
      </c>
      <c r="F62" s="389">
        <v>10</v>
      </c>
      <c r="G62" s="389">
        <v>10</v>
      </c>
      <c r="H62" s="390">
        <v>10</v>
      </c>
      <c r="I62" s="389"/>
      <c r="J62" s="389"/>
      <c r="K62" s="389"/>
      <c r="L62" s="389"/>
      <c r="M62" s="390"/>
      <c r="N62" s="389">
        <v>100</v>
      </c>
      <c r="O62" s="389">
        <v>100</v>
      </c>
      <c r="P62" s="389">
        <v>100</v>
      </c>
      <c r="Q62" s="389">
        <v>100</v>
      </c>
      <c r="R62" s="390">
        <v>100</v>
      </c>
      <c r="S62" s="389"/>
      <c r="T62" s="389"/>
      <c r="U62" s="389"/>
      <c r="V62" s="389"/>
      <c r="W62" s="390"/>
      <c r="X62" s="389">
        <v>100</v>
      </c>
      <c r="Y62" s="389">
        <v>100</v>
      </c>
      <c r="Z62" s="389">
        <v>100</v>
      </c>
      <c r="AA62" s="389">
        <v>100</v>
      </c>
      <c r="AB62" s="390">
        <v>100</v>
      </c>
      <c r="AC62" s="391">
        <v>0.98</v>
      </c>
      <c r="AD62" s="391">
        <v>0.98</v>
      </c>
      <c r="AE62" s="391">
        <v>0.98</v>
      </c>
      <c r="AF62" s="391">
        <v>0.98</v>
      </c>
      <c r="AG62" s="392">
        <v>0.98</v>
      </c>
      <c r="AH62" s="391">
        <v>0</v>
      </c>
      <c r="AI62" s="391">
        <v>0</v>
      </c>
      <c r="AJ62" s="391">
        <v>0</v>
      </c>
      <c r="AK62" s="391">
        <v>0</v>
      </c>
      <c r="AL62" s="392">
        <v>0</v>
      </c>
      <c r="AM62" s="391">
        <v>0</v>
      </c>
      <c r="AN62" s="391">
        <v>0</v>
      </c>
      <c r="AO62" s="391">
        <v>0</v>
      </c>
      <c r="AP62" s="391">
        <v>0</v>
      </c>
      <c r="AQ62" s="392">
        <v>0</v>
      </c>
      <c r="AR62" s="389"/>
      <c r="AS62" s="389"/>
      <c r="AT62" s="389"/>
      <c r="AU62" s="389"/>
      <c r="AV62" s="390"/>
      <c r="AW62" s="389">
        <v>20</v>
      </c>
      <c r="AX62" s="389">
        <v>20</v>
      </c>
      <c r="AY62" s="389">
        <v>20</v>
      </c>
      <c r="AZ62" s="389">
        <v>20</v>
      </c>
      <c r="BA62" s="390">
        <v>20</v>
      </c>
      <c r="BB62" s="399">
        <v>2500</v>
      </c>
      <c r="BC62" s="397">
        <v>2500</v>
      </c>
      <c r="BD62" s="397">
        <v>2500</v>
      </c>
      <c r="BE62" s="397">
        <v>2500</v>
      </c>
      <c r="BF62" s="398">
        <v>2500</v>
      </c>
      <c r="BG62" s="393">
        <v>3000</v>
      </c>
      <c r="BH62" s="393">
        <v>3000</v>
      </c>
      <c r="BI62" s="393">
        <v>3000</v>
      </c>
      <c r="BJ62" s="393">
        <v>3000</v>
      </c>
      <c r="BK62" s="394">
        <v>3000</v>
      </c>
      <c r="BL62" s="393">
        <v>150</v>
      </c>
      <c r="BM62" s="393">
        <v>150</v>
      </c>
      <c r="BN62" s="393">
        <v>150</v>
      </c>
      <c r="BO62" s="393">
        <v>150</v>
      </c>
      <c r="BP62" s="394">
        <v>150</v>
      </c>
      <c r="BQ62" s="395">
        <v>0</v>
      </c>
      <c r="BR62" s="393">
        <v>0</v>
      </c>
      <c r="BS62" s="393">
        <v>0</v>
      </c>
      <c r="BT62" s="393">
        <v>0</v>
      </c>
      <c r="BU62" s="394">
        <v>0</v>
      </c>
      <c r="BV62" s="396"/>
      <c r="BW62" s="393">
        <v>250</v>
      </c>
      <c r="BX62" s="393">
        <v>250</v>
      </c>
      <c r="BY62" s="393">
        <v>250</v>
      </c>
      <c r="BZ62" s="393">
        <v>250</v>
      </c>
      <c r="CA62" s="394">
        <v>250</v>
      </c>
      <c r="CB62" s="393">
        <v>300</v>
      </c>
      <c r="CC62" s="393">
        <v>300</v>
      </c>
      <c r="CD62" s="393">
        <v>300</v>
      </c>
      <c r="CE62" s="393">
        <v>300</v>
      </c>
      <c r="CF62" s="394">
        <v>300</v>
      </c>
      <c r="CG62" s="393">
        <v>15</v>
      </c>
      <c r="CH62" s="393">
        <v>15</v>
      </c>
      <c r="CI62" s="393">
        <v>15</v>
      </c>
      <c r="CJ62" s="393">
        <v>15</v>
      </c>
      <c r="CK62" s="394">
        <v>15</v>
      </c>
    </row>
    <row r="63" spans="1:89" s="384" customFormat="1" x14ac:dyDescent="0.2">
      <c r="A63" s="439" t="s">
        <v>888</v>
      </c>
      <c r="B63" s="440" t="s">
        <v>919</v>
      </c>
      <c r="C63" s="441"/>
      <c r="D63" s="442">
        <v>0</v>
      </c>
      <c r="E63" s="443">
        <v>0</v>
      </c>
      <c r="F63" s="443">
        <v>0</v>
      </c>
      <c r="G63" s="443">
        <v>0</v>
      </c>
      <c r="H63" s="444">
        <v>0</v>
      </c>
      <c r="I63" s="443"/>
      <c r="J63" s="443"/>
      <c r="K63" s="443"/>
      <c r="L63" s="443"/>
      <c r="M63" s="444"/>
      <c r="N63" s="443">
        <v>0</v>
      </c>
      <c r="O63" s="443">
        <v>0</v>
      </c>
      <c r="P63" s="443">
        <v>0</v>
      </c>
      <c r="Q63" s="443">
        <v>0</v>
      </c>
      <c r="R63" s="444">
        <v>0</v>
      </c>
      <c r="S63" s="443"/>
      <c r="T63" s="443"/>
      <c r="U63" s="443"/>
      <c r="V63" s="443"/>
      <c r="W63" s="444"/>
      <c r="X63" s="443">
        <v>0</v>
      </c>
      <c r="Y63" s="443">
        <v>0</v>
      </c>
      <c r="Z63" s="443">
        <v>0</v>
      </c>
      <c r="AA63" s="443">
        <v>0</v>
      </c>
      <c r="AB63" s="444">
        <v>0</v>
      </c>
      <c r="AC63" s="445">
        <v>0</v>
      </c>
      <c r="AD63" s="445">
        <v>0</v>
      </c>
      <c r="AE63" s="445">
        <v>0</v>
      </c>
      <c r="AF63" s="445">
        <v>0</v>
      </c>
      <c r="AG63" s="446">
        <v>0</v>
      </c>
      <c r="AH63" s="445">
        <v>0</v>
      </c>
      <c r="AI63" s="445">
        <v>0</v>
      </c>
      <c r="AJ63" s="445">
        <v>0</v>
      </c>
      <c r="AK63" s="445">
        <v>0</v>
      </c>
      <c r="AL63" s="446">
        <v>0</v>
      </c>
      <c r="AM63" s="445">
        <v>0</v>
      </c>
      <c r="AN63" s="445">
        <v>0</v>
      </c>
      <c r="AO63" s="445">
        <v>0</v>
      </c>
      <c r="AP63" s="445">
        <v>0</v>
      </c>
      <c r="AQ63" s="446">
        <v>0</v>
      </c>
      <c r="AR63" s="443"/>
      <c r="AS63" s="443"/>
      <c r="AT63" s="443"/>
      <c r="AU63" s="443"/>
      <c r="AV63" s="444"/>
      <c r="AW63" s="443">
        <v>0</v>
      </c>
      <c r="AX63" s="443">
        <v>0</v>
      </c>
      <c r="AY63" s="443">
        <v>0</v>
      </c>
      <c r="AZ63" s="443">
        <v>0</v>
      </c>
      <c r="BA63" s="444">
        <v>0</v>
      </c>
      <c r="BB63" s="442">
        <v>0</v>
      </c>
      <c r="BC63" s="443">
        <v>0</v>
      </c>
      <c r="BD63" s="443">
        <v>0</v>
      </c>
      <c r="BE63" s="443">
        <v>0</v>
      </c>
      <c r="BF63" s="444">
        <v>0</v>
      </c>
      <c r="BG63" s="443">
        <v>0</v>
      </c>
      <c r="BH63" s="443">
        <v>0</v>
      </c>
      <c r="BI63" s="443">
        <v>0</v>
      </c>
      <c r="BJ63" s="443">
        <v>0</v>
      </c>
      <c r="BK63" s="444">
        <v>0</v>
      </c>
      <c r="BL63" s="443">
        <v>0</v>
      </c>
      <c r="BM63" s="443">
        <v>0</v>
      </c>
      <c r="BN63" s="443">
        <v>0</v>
      </c>
      <c r="BO63" s="443">
        <v>0</v>
      </c>
      <c r="BP63" s="444">
        <v>0</v>
      </c>
      <c r="BQ63" s="442">
        <v>0</v>
      </c>
      <c r="BR63" s="443">
        <v>0</v>
      </c>
      <c r="BS63" s="443">
        <v>0</v>
      </c>
      <c r="BT63" s="443">
        <v>0</v>
      </c>
      <c r="BU63" s="444">
        <v>0</v>
      </c>
      <c r="BV63" s="447" t="s">
        <v>821</v>
      </c>
      <c r="BW63" s="448" t="s">
        <v>916</v>
      </c>
      <c r="BX63" s="448" t="s">
        <v>916</v>
      </c>
      <c r="BY63" s="448" t="s">
        <v>916</v>
      </c>
      <c r="BZ63" s="448" t="s">
        <v>916</v>
      </c>
      <c r="CA63" s="449" t="s">
        <v>916</v>
      </c>
      <c r="CB63" s="448" t="s">
        <v>916</v>
      </c>
      <c r="CC63" s="448" t="s">
        <v>916</v>
      </c>
      <c r="CD63" s="448" t="s">
        <v>916</v>
      </c>
      <c r="CE63" s="448" t="s">
        <v>916</v>
      </c>
      <c r="CF63" s="449" t="s">
        <v>916</v>
      </c>
      <c r="CG63" s="448" t="s">
        <v>916</v>
      </c>
      <c r="CH63" s="448" t="s">
        <v>916</v>
      </c>
      <c r="CI63" s="448" t="s">
        <v>916</v>
      </c>
      <c r="CJ63" s="448" t="s">
        <v>916</v>
      </c>
      <c r="CK63" s="449" t="s">
        <v>916</v>
      </c>
    </row>
    <row r="66" spans="1:74" x14ac:dyDescent="0.2">
      <c r="BB66" s="450" t="e">
        <f ca="1">LEFT(INDIRECT("'"&amp;$A62&amp;"'!"&amp;BB$3&amp;"21"),3)</f>
        <v>#REF!</v>
      </c>
    </row>
    <row r="79" spans="1:74" s="355" customFormat="1" x14ac:dyDescent="0.2">
      <c r="A79" s="354"/>
      <c r="B79" s="354"/>
      <c r="C79" s="354"/>
      <c r="BV79" s="354"/>
    </row>
    <row r="80" spans="1:74" s="355" customFormat="1" x14ac:dyDescent="0.2">
      <c r="A80" s="354"/>
      <c r="B80" s="354"/>
      <c r="C80" s="354"/>
      <c r="BV80" s="354"/>
    </row>
    <row r="81" spans="1:74" s="355" customFormat="1" x14ac:dyDescent="0.2">
      <c r="A81" s="354"/>
      <c r="B81" s="354"/>
      <c r="C81" s="354"/>
      <c r="BV81" s="354"/>
    </row>
    <row r="82" spans="1:74" s="355" customFormat="1" x14ac:dyDescent="0.2">
      <c r="A82" s="354"/>
      <c r="B82" s="354"/>
      <c r="C82" s="354"/>
      <c r="BV82" s="354"/>
    </row>
    <row r="83" spans="1:74" s="355" customFormat="1" x14ac:dyDescent="0.2">
      <c r="A83" s="354"/>
      <c r="B83" s="354"/>
      <c r="C83" s="354"/>
      <c r="BV83" s="354"/>
    </row>
    <row r="84" spans="1:74" s="355" customFormat="1" x14ac:dyDescent="0.2">
      <c r="A84" s="354"/>
      <c r="B84" s="354"/>
      <c r="C84" s="354"/>
      <c r="BV84" s="354"/>
    </row>
    <row r="85" spans="1:74" s="355" customFormat="1" x14ac:dyDescent="0.2">
      <c r="A85" s="354"/>
      <c r="B85" s="354"/>
      <c r="C85" s="354"/>
      <c r="BV85" s="354"/>
    </row>
    <row r="86" spans="1:74" s="355" customFormat="1" x14ac:dyDescent="0.2">
      <c r="A86" s="354"/>
      <c r="B86" s="354"/>
      <c r="C86" s="354"/>
      <c r="BV86" s="354"/>
    </row>
    <row r="87" spans="1:74" s="355" customFormat="1" x14ac:dyDescent="0.2">
      <c r="A87" s="354"/>
      <c r="B87" s="354"/>
      <c r="C87" s="354"/>
      <c r="BV87" s="354"/>
    </row>
    <row r="88" spans="1:74" s="355" customFormat="1" x14ac:dyDescent="0.2">
      <c r="A88" s="354"/>
      <c r="B88" s="354"/>
      <c r="C88" s="354"/>
      <c r="BV88" s="354"/>
    </row>
    <row r="89" spans="1:74" s="355" customFormat="1" x14ac:dyDescent="0.2">
      <c r="A89" s="354"/>
      <c r="B89" s="354"/>
      <c r="C89" s="354"/>
      <c r="BV89" s="354"/>
    </row>
    <row r="90" spans="1:74" s="355" customFormat="1" x14ac:dyDescent="0.2">
      <c r="A90" s="354"/>
      <c r="B90" s="354"/>
      <c r="C90" s="354"/>
      <c r="BV90" s="354"/>
    </row>
    <row r="91" spans="1:74" s="355" customFormat="1" x14ac:dyDescent="0.2">
      <c r="A91" s="354"/>
      <c r="B91" s="354"/>
      <c r="C91" s="354"/>
      <c r="BV91" s="354"/>
    </row>
    <row r="92" spans="1:74" s="355" customFormat="1" x14ac:dyDescent="0.2">
      <c r="A92" s="354"/>
      <c r="B92" s="354"/>
      <c r="C92" s="354"/>
      <c r="BV92" s="354"/>
    </row>
    <row r="93" spans="1:74" s="355" customFormat="1" x14ac:dyDescent="0.2">
      <c r="A93" s="354"/>
      <c r="B93" s="354"/>
      <c r="C93" s="354"/>
      <c r="BV93" s="354"/>
    </row>
    <row r="94" spans="1:74" s="355" customFormat="1" x14ac:dyDescent="0.2">
      <c r="A94" s="354"/>
      <c r="B94" s="354"/>
      <c r="C94" s="354"/>
      <c r="BV94" s="354"/>
    </row>
    <row r="95" spans="1:74" s="355" customFormat="1" x14ac:dyDescent="0.2">
      <c r="A95" s="354"/>
      <c r="B95" s="354"/>
      <c r="C95" s="354"/>
      <c r="BV95" s="354"/>
    </row>
    <row r="96" spans="1:74" s="355" customFormat="1" x14ac:dyDescent="0.2">
      <c r="A96" s="354"/>
      <c r="B96" s="354"/>
      <c r="C96" s="354"/>
      <c r="BV96" s="354"/>
    </row>
    <row r="97" spans="1:74" s="355" customFormat="1" x14ac:dyDescent="0.2">
      <c r="A97" s="354"/>
      <c r="B97" s="354"/>
      <c r="C97" s="354"/>
      <c r="BV97" s="354"/>
    </row>
    <row r="98" spans="1:74" s="355" customFormat="1" x14ac:dyDescent="0.2">
      <c r="A98" s="354"/>
      <c r="B98" s="354"/>
      <c r="C98" s="354"/>
      <c r="BV98" s="354"/>
    </row>
    <row r="99" spans="1:74" s="355" customFormat="1" x14ac:dyDescent="0.2">
      <c r="A99" s="354"/>
      <c r="B99" s="354"/>
      <c r="C99" s="354"/>
      <c r="BV99" s="354"/>
    </row>
    <row r="100" spans="1:74" s="355" customFormat="1" x14ac:dyDescent="0.2">
      <c r="A100" s="354"/>
      <c r="B100" s="354"/>
      <c r="C100" s="354"/>
      <c r="BV100" s="354"/>
    </row>
    <row r="101" spans="1:74" s="355" customFormat="1" x14ac:dyDescent="0.2">
      <c r="A101" s="354"/>
      <c r="B101" s="354"/>
      <c r="C101" s="354"/>
      <c r="BV101" s="354"/>
    </row>
    <row r="102" spans="1:74" s="355" customFormat="1" x14ac:dyDescent="0.2">
      <c r="A102" s="354"/>
      <c r="B102" s="354"/>
      <c r="C102" s="354"/>
      <c r="BV102" s="354"/>
    </row>
    <row r="103" spans="1:74" s="355" customFormat="1" x14ac:dyDescent="0.2">
      <c r="A103" s="354"/>
      <c r="B103" s="354"/>
      <c r="C103" s="354"/>
      <c r="BV103" s="354"/>
    </row>
    <row r="104" spans="1:74" s="355" customFormat="1" x14ac:dyDescent="0.2">
      <c r="A104" s="354"/>
      <c r="B104" s="354"/>
      <c r="C104" s="354"/>
      <c r="BV104" s="354"/>
    </row>
    <row r="105" spans="1:74" s="355" customFormat="1" x14ac:dyDescent="0.2">
      <c r="A105" s="354"/>
      <c r="B105" s="354"/>
      <c r="C105" s="354"/>
      <c r="BV105" s="354"/>
    </row>
    <row r="106" spans="1:74" s="355" customFormat="1" x14ac:dyDescent="0.2">
      <c r="A106" s="354"/>
      <c r="B106" s="354"/>
      <c r="C106" s="354"/>
      <c r="BV106" s="354"/>
    </row>
    <row r="107" spans="1:74" s="355" customFormat="1" x14ac:dyDescent="0.2">
      <c r="A107" s="354"/>
      <c r="B107" s="354"/>
      <c r="C107" s="354"/>
      <c r="BV107" s="354"/>
    </row>
    <row r="108" spans="1:74" s="355" customFormat="1" x14ac:dyDescent="0.2">
      <c r="A108" s="354"/>
      <c r="B108" s="354"/>
      <c r="C108" s="354"/>
      <c r="BV108" s="354"/>
    </row>
    <row r="109" spans="1:74" s="355" customFormat="1" x14ac:dyDescent="0.2">
      <c r="A109" s="354"/>
      <c r="B109" s="354"/>
      <c r="C109" s="354"/>
      <c r="BV109" s="354"/>
    </row>
    <row r="110" spans="1:74" s="355" customFormat="1" x14ac:dyDescent="0.2">
      <c r="A110" s="354"/>
      <c r="B110" s="354"/>
      <c r="C110" s="354"/>
      <c r="BV110" s="354"/>
    </row>
    <row r="111" spans="1:74" s="355" customFormat="1" x14ac:dyDescent="0.2">
      <c r="A111" s="354"/>
      <c r="B111" s="354"/>
      <c r="C111" s="354"/>
      <c r="BV111" s="354"/>
    </row>
    <row r="112" spans="1:74" s="355" customFormat="1" x14ac:dyDescent="0.2">
      <c r="A112" s="354"/>
      <c r="B112" s="354"/>
      <c r="C112" s="354"/>
      <c r="BV112" s="354"/>
    </row>
    <row r="113" spans="1:74" s="355" customFormat="1" x14ac:dyDescent="0.2">
      <c r="A113" s="354"/>
      <c r="B113" s="354"/>
      <c r="C113" s="354"/>
      <c r="BV113" s="354"/>
    </row>
    <row r="114" spans="1:74" s="355" customFormat="1" x14ac:dyDescent="0.2">
      <c r="A114" s="354"/>
      <c r="B114" s="354"/>
      <c r="C114" s="354"/>
      <c r="BV114" s="354"/>
    </row>
    <row r="115" spans="1:74" s="355" customFormat="1" x14ac:dyDescent="0.2">
      <c r="A115" s="354"/>
      <c r="B115" s="354"/>
      <c r="C115" s="354"/>
      <c r="BV115" s="354"/>
    </row>
    <row r="116" spans="1:74" s="355" customFormat="1" x14ac:dyDescent="0.2">
      <c r="A116" s="354"/>
      <c r="B116" s="354"/>
      <c r="C116" s="354"/>
      <c r="BV116" s="354"/>
    </row>
    <row r="117" spans="1:74" s="355" customFormat="1" x14ac:dyDescent="0.2">
      <c r="A117" s="354"/>
      <c r="B117" s="354"/>
      <c r="C117" s="354"/>
      <c r="BV117" s="354"/>
    </row>
    <row r="118" spans="1:74" s="355" customFormat="1" x14ac:dyDescent="0.2">
      <c r="A118" s="354"/>
      <c r="B118" s="354"/>
      <c r="C118" s="354"/>
      <c r="BV118" s="354"/>
    </row>
    <row r="119" spans="1:74" s="355" customFormat="1" x14ac:dyDescent="0.2">
      <c r="A119" s="354"/>
      <c r="B119" s="354"/>
      <c r="C119" s="354"/>
      <c r="BV119" s="354"/>
    </row>
    <row r="120" spans="1:74" s="355" customFormat="1" x14ac:dyDescent="0.2">
      <c r="A120" s="354"/>
      <c r="B120" s="354"/>
      <c r="C120" s="354"/>
      <c r="BV120" s="354"/>
    </row>
    <row r="121" spans="1:74" s="355" customFormat="1" x14ac:dyDescent="0.2">
      <c r="A121" s="354"/>
      <c r="B121" s="354"/>
      <c r="C121" s="354"/>
      <c r="BV121" s="354"/>
    </row>
    <row r="122" spans="1:74" s="355" customFormat="1" x14ac:dyDescent="0.2">
      <c r="A122" s="354"/>
      <c r="B122" s="354"/>
      <c r="C122" s="354"/>
      <c r="BV122" s="354"/>
    </row>
    <row r="123" spans="1:74" s="355" customFormat="1" x14ac:dyDescent="0.2">
      <c r="A123" s="354"/>
      <c r="B123" s="354"/>
      <c r="C123" s="354"/>
      <c r="BV123" s="354"/>
    </row>
    <row r="124" spans="1:74" s="355" customFormat="1" x14ac:dyDescent="0.2">
      <c r="A124" s="354"/>
      <c r="B124" s="354"/>
      <c r="C124" s="354"/>
      <c r="BV124" s="354"/>
    </row>
    <row r="125" spans="1:74" s="355" customFormat="1" x14ac:dyDescent="0.2">
      <c r="A125" s="354"/>
      <c r="B125" s="354"/>
      <c r="C125" s="354"/>
      <c r="BV125" s="354"/>
    </row>
    <row r="126" spans="1:74" s="355" customFormat="1" x14ac:dyDescent="0.2">
      <c r="A126" s="354"/>
      <c r="B126" s="354"/>
      <c r="C126" s="354"/>
      <c r="BV126" s="354"/>
    </row>
    <row r="127" spans="1:74" s="355" customFormat="1" x14ac:dyDescent="0.2">
      <c r="A127" s="354"/>
      <c r="B127" s="354"/>
      <c r="C127" s="354"/>
      <c r="BV127" s="354"/>
    </row>
    <row r="128" spans="1:74" s="355" customFormat="1" x14ac:dyDescent="0.2">
      <c r="A128" s="354"/>
      <c r="B128" s="354"/>
      <c r="C128" s="354"/>
      <c r="BV128" s="354"/>
    </row>
    <row r="129" spans="1:74" s="355" customFormat="1" x14ac:dyDescent="0.2">
      <c r="A129" s="354"/>
      <c r="B129" s="354"/>
      <c r="C129" s="354"/>
      <c r="BV129" s="354"/>
    </row>
    <row r="130" spans="1:74" s="355" customFormat="1" x14ac:dyDescent="0.2">
      <c r="A130" s="354"/>
      <c r="B130" s="354"/>
      <c r="C130" s="354"/>
      <c r="BV130" s="354"/>
    </row>
    <row r="131" spans="1:74" s="355" customFormat="1" x14ac:dyDescent="0.2">
      <c r="A131" s="354"/>
      <c r="B131" s="354"/>
      <c r="C131" s="354"/>
      <c r="BV131" s="354"/>
    </row>
    <row r="132" spans="1:74" s="355" customFormat="1" x14ac:dyDescent="0.2">
      <c r="A132" s="354"/>
      <c r="B132" s="354"/>
      <c r="C132" s="354"/>
      <c r="BV132" s="354"/>
    </row>
    <row r="133" spans="1:74" s="355" customFormat="1" x14ac:dyDescent="0.2">
      <c r="A133" s="354"/>
      <c r="B133" s="354"/>
      <c r="C133" s="354"/>
      <c r="BV133" s="354"/>
    </row>
    <row r="134" spans="1:74" s="355" customFormat="1" x14ac:dyDescent="0.2">
      <c r="A134" s="354"/>
      <c r="B134" s="354"/>
      <c r="C134" s="354"/>
      <c r="BV134" s="354"/>
    </row>
    <row r="135" spans="1:74" s="355" customFormat="1" x14ac:dyDescent="0.2">
      <c r="A135" s="354"/>
      <c r="B135" s="354"/>
      <c r="C135" s="354"/>
      <c r="BV135" s="354"/>
    </row>
    <row r="136" spans="1:74" s="355" customFormat="1" x14ac:dyDescent="0.2">
      <c r="A136" s="354"/>
      <c r="B136" s="354"/>
      <c r="C136" s="354"/>
      <c r="BV136" s="354"/>
    </row>
    <row r="137" spans="1:74" s="355" customFormat="1" x14ac:dyDescent="0.2">
      <c r="A137" s="354"/>
      <c r="B137" s="354"/>
      <c r="C137" s="354"/>
      <c r="BV137" s="354"/>
    </row>
    <row r="138" spans="1:74" s="355" customFormat="1" x14ac:dyDescent="0.2">
      <c r="A138" s="354"/>
      <c r="B138" s="354"/>
      <c r="C138" s="354"/>
      <c r="BV138" s="354"/>
    </row>
    <row r="139" spans="1:74" s="355" customFormat="1" x14ac:dyDescent="0.2">
      <c r="A139" s="354"/>
      <c r="B139" s="354"/>
      <c r="C139" s="354"/>
      <c r="BV139" s="354"/>
    </row>
    <row r="140" spans="1:74" s="355" customFormat="1" x14ac:dyDescent="0.2">
      <c r="A140" s="354"/>
      <c r="B140" s="354"/>
      <c r="C140" s="354"/>
      <c r="BV140" s="354"/>
    </row>
    <row r="141" spans="1:74" s="355" customFormat="1" x14ac:dyDescent="0.2">
      <c r="A141" s="354"/>
      <c r="B141" s="354"/>
      <c r="C141" s="354"/>
      <c r="BV141" s="354"/>
    </row>
    <row r="142" spans="1:74" s="355" customFormat="1" x14ac:dyDescent="0.2">
      <c r="A142" s="354"/>
      <c r="B142" s="354"/>
      <c r="C142" s="354"/>
      <c r="BV142" s="354"/>
    </row>
    <row r="143" spans="1:74" s="355" customFormat="1" x14ac:dyDescent="0.2">
      <c r="A143" s="354"/>
      <c r="B143" s="354"/>
      <c r="C143" s="354"/>
      <c r="BV143" s="354"/>
    </row>
    <row r="144" spans="1:74" s="355" customFormat="1" x14ac:dyDescent="0.2">
      <c r="A144" s="354"/>
      <c r="B144" s="354"/>
      <c r="C144" s="354"/>
      <c r="BV144" s="354"/>
    </row>
    <row r="145" spans="1:74" s="355" customFormat="1" x14ac:dyDescent="0.2">
      <c r="A145" s="354"/>
      <c r="B145" s="354"/>
      <c r="C145" s="354"/>
      <c r="BV145" s="354"/>
    </row>
    <row r="146" spans="1:74" s="355" customFormat="1" x14ac:dyDescent="0.2">
      <c r="A146" s="354"/>
      <c r="B146" s="354"/>
      <c r="C146" s="354"/>
      <c r="BV146" s="354"/>
    </row>
    <row r="147" spans="1:74" s="355" customFormat="1" x14ac:dyDescent="0.2">
      <c r="A147" s="354"/>
      <c r="B147" s="354"/>
      <c r="C147" s="354"/>
      <c r="BV147" s="354"/>
    </row>
    <row r="148" spans="1:74" s="355" customFormat="1" x14ac:dyDescent="0.2">
      <c r="A148" s="354"/>
      <c r="B148" s="354"/>
      <c r="C148" s="354"/>
      <c r="BV148" s="354"/>
    </row>
    <row r="149" spans="1:74" s="355" customFormat="1" x14ac:dyDescent="0.2">
      <c r="A149" s="354"/>
      <c r="B149" s="354"/>
      <c r="C149" s="354"/>
      <c r="BV149" s="354"/>
    </row>
    <row r="150" spans="1:74" s="355" customFormat="1" x14ac:dyDescent="0.2">
      <c r="A150" s="354"/>
      <c r="B150" s="354"/>
      <c r="C150" s="354"/>
      <c r="BV150" s="354"/>
    </row>
    <row r="151" spans="1:74" s="355" customFormat="1" x14ac:dyDescent="0.2">
      <c r="A151" s="354"/>
      <c r="B151" s="354"/>
      <c r="C151" s="354"/>
      <c r="BV151" s="354"/>
    </row>
    <row r="152" spans="1:74" s="355" customFormat="1" x14ac:dyDescent="0.2">
      <c r="A152" s="354"/>
      <c r="B152" s="354"/>
      <c r="C152" s="354"/>
      <c r="BV152" s="354"/>
    </row>
    <row r="153" spans="1:74" s="355" customFormat="1" x14ac:dyDescent="0.2">
      <c r="A153" s="354"/>
      <c r="B153" s="354"/>
      <c r="C153" s="354"/>
      <c r="BV153" s="354"/>
    </row>
    <row r="154" spans="1:74" s="355" customFormat="1" x14ac:dyDescent="0.2">
      <c r="A154" s="354"/>
      <c r="B154" s="354"/>
      <c r="C154" s="354"/>
      <c r="BV154" s="354"/>
    </row>
    <row r="155" spans="1:74" s="355" customFormat="1" x14ac:dyDescent="0.2">
      <c r="A155" s="354"/>
      <c r="B155" s="354"/>
      <c r="C155" s="354"/>
      <c r="BV155" s="354"/>
    </row>
    <row r="156" spans="1:74" s="355" customFormat="1" x14ac:dyDescent="0.2">
      <c r="A156" s="354"/>
      <c r="B156" s="354"/>
      <c r="C156" s="354"/>
      <c r="BV156" s="354"/>
    </row>
    <row r="157" spans="1:74" s="355" customFormat="1" x14ac:dyDescent="0.2">
      <c r="A157" s="354"/>
      <c r="B157" s="354"/>
      <c r="C157" s="354"/>
      <c r="BV157" s="354"/>
    </row>
    <row r="158" spans="1:74" s="355" customFormat="1" x14ac:dyDescent="0.2">
      <c r="A158" s="354"/>
      <c r="B158" s="354"/>
      <c r="C158" s="354"/>
      <c r="BV158" s="354"/>
    </row>
    <row r="159" spans="1:74" s="355" customFormat="1" x14ac:dyDescent="0.2">
      <c r="A159" s="354"/>
      <c r="B159" s="354"/>
      <c r="C159" s="354"/>
      <c r="BV159" s="354"/>
    </row>
    <row r="160" spans="1:74" s="355" customFormat="1" x14ac:dyDescent="0.2">
      <c r="A160" s="354"/>
      <c r="B160" s="354"/>
      <c r="C160" s="354"/>
      <c r="BV160" s="354"/>
    </row>
    <row r="161" spans="1:74" s="355" customFormat="1" x14ac:dyDescent="0.2">
      <c r="A161" s="354"/>
      <c r="B161" s="354"/>
      <c r="C161" s="354"/>
      <c r="BV161" s="354"/>
    </row>
    <row r="162" spans="1:74" s="355" customFormat="1" x14ac:dyDescent="0.2">
      <c r="A162" s="354"/>
      <c r="B162" s="354"/>
      <c r="C162" s="354"/>
      <c r="BV162" s="354"/>
    </row>
    <row r="163" spans="1:74" s="355" customFormat="1" x14ac:dyDescent="0.2">
      <c r="A163" s="354"/>
      <c r="B163" s="354"/>
      <c r="C163" s="354"/>
      <c r="BV163" s="354"/>
    </row>
    <row r="164" spans="1:74" s="355" customFormat="1" x14ac:dyDescent="0.2">
      <c r="A164" s="354"/>
      <c r="B164" s="354"/>
      <c r="C164" s="354"/>
      <c r="BV164" s="354"/>
    </row>
    <row r="165" spans="1:74" s="355" customFormat="1" x14ac:dyDescent="0.2">
      <c r="A165" s="354"/>
      <c r="B165" s="354"/>
      <c r="C165" s="354"/>
      <c r="BV165" s="354"/>
    </row>
    <row r="166" spans="1:74" s="355" customFormat="1" x14ac:dyDescent="0.2">
      <c r="A166" s="354"/>
      <c r="B166" s="354"/>
      <c r="C166" s="354"/>
      <c r="BV166" s="354"/>
    </row>
    <row r="167" spans="1:74" s="355" customFormat="1" x14ac:dyDescent="0.2">
      <c r="A167" s="354"/>
      <c r="B167" s="354"/>
      <c r="C167" s="354"/>
      <c r="BV167" s="354"/>
    </row>
    <row r="168" spans="1:74" s="355" customFormat="1" x14ac:dyDescent="0.2">
      <c r="A168" s="354"/>
      <c r="B168" s="354"/>
      <c r="C168" s="354"/>
      <c r="BV168" s="354"/>
    </row>
    <row r="169" spans="1:74" s="355" customFormat="1" x14ac:dyDescent="0.2">
      <c r="A169" s="354"/>
      <c r="B169" s="354"/>
      <c r="C169" s="354"/>
      <c r="BV169" s="354"/>
    </row>
    <row r="170" spans="1:74" s="355" customFormat="1" x14ac:dyDescent="0.2">
      <c r="A170" s="354"/>
      <c r="B170" s="354"/>
      <c r="C170" s="354"/>
      <c r="BV170" s="354"/>
    </row>
    <row r="171" spans="1:74" s="355" customFormat="1" x14ac:dyDescent="0.2">
      <c r="A171" s="354"/>
      <c r="B171" s="354"/>
      <c r="C171" s="354"/>
      <c r="BV171" s="354"/>
    </row>
    <row r="172" spans="1:74" s="355" customFormat="1" x14ac:dyDescent="0.2">
      <c r="A172" s="354"/>
      <c r="B172" s="354"/>
      <c r="C172" s="354"/>
      <c r="BV172" s="354"/>
    </row>
    <row r="173" spans="1:74" s="355" customFormat="1" x14ac:dyDescent="0.2">
      <c r="A173" s="354"/>
      <c r="B173" s="354"/>
      <c r="C173" s="354"/>
      <c r="BV173" s="354"/>
    </row>
    <row r="174" spans="1:74" s="355" customFormat="1" x14ac:dyDescent="0.2">
      <c r="A174" s="354"/>
      <c r="B174" s="354"/>
      <c r="C174" s="354"/>
      <c r="BV174" s="354"/>
    </row>
    <row r="175" spans="1:74" s="355" customFormat="1" x14ac:dyDescent="0.2">
      <c r="A175" s="354"/>
      <c r="B175" s="354"/>
      <c r="C175" s="354"/>
      <c r="BV175" s="354"/>
    </row>
    <row r="176" spans="1:74" s="355" customFormat="1" x14ac:dyDescent="0.2">
      <c r="A176" s="354"/>
      <c r="B176" s="354"/>
      <c r="C176" s="354"/>
      <c r="BV176" s="354"/>
    </row>
    <row r="177" spans="1:74" s="355" customFormat="1" x14ac:dyDescent="0.2">
      <c r="A177" s="354"/>
      <c r="B177" s="354"/>
      <c r="C177" s="354"/>
      <c r="BV177" s="354"/>
    </row>
    <row r="178" spans="1:74" s="355" customFormat="1" x14ac:dyDescent="0.2">
      <c r="A178" s="354"/>
      <c r="B178" s="354"/>
      <c r="C178" s="354"/>
      <c r="BV178" s="354"/>
    </row>
    <row r="179" spans="1:74" s="355" customFormat="1" x14ac:dyDescent="0.2">
      <c r="A179" s="354"/>
      <c r="B179" s="354"/>
      <c r="C179" s="354"/>
      <c r="BV179" s="354"/>
    </row>
    <row r="180" spans="1:74" s="355" customFormat="1" x14ac:dyDescent="0.2">
      <c r="A180" s="354"/>
      <c r="B180" s="354"/>
      <c r="C180" s="354"/>
      <c r="BV180" s="354"/>
    </row>
    <row r="181" spans="1:74" s="355" customFormat="1" x14ac:dyDescent="0.2">
      <c r="A181" s="354"/>
      <c r="B181" s="354"/>
      <c r="C181" s="354"/>
      <c r="BV181" s="354"/>
    </row>
    <row r="182" spans="1:74" s="355" customFormat="1" x14ac:dyDescent="0.2">
      <c r="A182" s="354"/>
      <c r="B182" s="354"/>
      <c r="C182" s="354"/>
      <c r="BV182" s="354"/>
    </row>
    <row r="183" spans="1:74" s="355" customFormat="1" x14ac:dyDescent="0.2">
      <c r="A183" s="354"/>
      <c r="B183" s="354"/>
      <c r="C183" s="354"/>
      <c r="BV183" s="354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2021-03-08T14:34:59Z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522649109363555</vt:r8>
  </property>
</Properties>
</file>