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7AE33750-6887-4D0A-A33C-640077B4E862}" xr6:coauthVersionLast="47" xr6:coauthVersionMax="47" xr10:uidLastSave="{00000000-0000-0000-0000-000000000000}"/>
  <bookViews>
    <workbookView xWindow="-120" yWindow="-120" windowWidth="29040" windowHeight="15840" tabRatio="789" activeTab="2" xr2:uid="{00000000-000D-0000-FFFF-FFFF00000000}"/>
  </bookViews>
  <sheets>
    <sheet name="Legend" sheetId="70" r:id="rId1"/>
    <sheet name="Regions" sheetId="75" r:id="rId2"/>
    <sheet name="SRV_TH" sheetId="72" r:id="rId3"/>
    <sheet name="SRV_CK" sheetId="76" r:id="rId4"/>
    <sheet name="SRV_EAP" sheetId="77" r:id="rId5"/>
    <sheet name="JRC data" sheetId="7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0">#REF!,#REF!,#REF!</definedName>
    <definedName name="All_TP" localSheetId="2">#REF!,#REF!,#REF!</definedName>
    <definedName name="All_TP">#REF!,#REF!,#REF!</definedName>
    <definedName name="All_US" localSheetId="0">#REF!,#REF!,#REF!</definedName>
    <definedName name="All_US" localSheetId="2">#REF!,#REF!,#REF!</definedName>
    <definedName name="All_US">#REF!,#REF!,#REF!</definedName>
    <definedName name="Annual_Fuel_Consumption" localSheetId="2">#REF!</definedName>
    <definedName name="Annual_Fuel_Consumption">#REF!</definedName>
    <definedName name="Beta" localSheetId="2">#REF!</definedName>
    <definedName name="Beta">#REF!</definedName>
    <definedName name="body1ea" localSheetId="0">#REF!</definedName>
    <definedName name="body1ea" localSheetId="2">#REF!</definedName>
    <definedName name="body1ea">#REF!</definedName>
    <definedName name="body1eb" localSheetId="0">#REF!</definedName>
    <definedName name="body1eb" localSheetId="2">#REF!</definedName>
    <definedName name="body1eb">#REF!</definedName>
    <definedName name="body1fa" localSheetId="0">#REF!</definedName>
    <definedName name="body1fa" localSheetId="2">#REF!</definedName>
    <definedName name="body1fa">#REF!</definedName>
    <definedName name="body1fb" localSheetId="0">#REF!</definedName>
    <definedName name="body1fb" localSheetId="2">#REF!</definedName>
    <definedName name="body1fb">#REF!</definedName>
    <definedName name="body1ga" localSheetId="0">#REF!</definedName>
    <definedName name="body1ga" localSheetId="2">#REF!</definedName>
    <definedName name="body1ga">#REF!</definedName>
    <definedName name="body1gb" localSheetId="0">#REF!</definedName>
    <definedName name="body1gb" localSheetId="2">#REF!</definedName>
    <definedName name="body1gb">#REF!</definedName>
    <definedName name="body2ea" localSheetId="0">#REF!</definedName>
    <definedName name="body2ea" localSheetId="2">#REF!</definedName>
    <definedName name="body2ea">#REF!</definedName>
    <definedName name="body2eb" localSheetId="0">#REF!</definedName>
    <definedName name="body2eb" localSheetId="2">#REF!</definedName>
    <definedName name="body2eb">#REF!</definedName>
    <definedName name="body2f" localSheetId="0">#REF!</definedName>
    <definedName name="body2f" localSheetId="2">#REF!</definedName>
    <definedName name="body2f">#REF!</definedName>
    <definedName name="body2fa" localSheetId="0">#REF!</definedName>
    <definedName name="body2fa" localSheetId="2">#REF!</definedName>
    <definedName name="body2fa">#REF!</definedName>
    <definedName name="body2fb" localSheetId="0">#REF!</definedName>
    <definedName name="body2fb" localSheetId="2">#REF!</definedName>
    <definedName name="body2fb">#REF!</definedName>
    <definedName name="body2ga" localSheetId="0">#REF!</definedName>
    <definedName name="body2ga" localSheetId="2">#REF!</definedName>
    <definedName name="body2ga">#REF!</definedName>
    <definedName name="body2gb" localSheetId="0">#REF!</definedName>
    <definedName name="body2gb" localSheetId="2">#REF!</definedName>
    <definedName name="body2gb">#REF!</definedName>
    <definedName name="body3ea" localSheetId="0">#REF!</definedName>
    <definedName name="body3ea" localSheetId="2">#REF!</definedName>
    <definedName name="body3ea">#REF!</definedName>
    <definedName name="body3eb" localSheetId="0">#REF!</definedName>
    <definedName name="body3eb" localSheetId="2">#REF!</definedName>
    <definedName name="body3eb">#REF!</definedName>
    <definedName name="body3fa" localSheetId="0">#REF!</definedName>
    <definedName name="body3fa" localSheetId="2">#REF!</definedName>
    <definedName name="body3fa">#REF!</definedName>
    <definedName name="body3fb" localSheetId="0">#REF!</definedName>
    <definedName name="body3fb" localSheetId="2">#REF!</definedName>
    <definedName name="body3fb">#REF!</definedName>
    <definedName name="body3ga" localSheetId="0">#REF!</definedName>
    <definedName name="body3ga" localSheetId="2">#REF!</definedName>
    <definedName name="body3ga">#REF!</definedName>
    <definedName name="body3gb" localSheetId="0">#REF!</definedName>
    <definedName name="body3gb" localSheetId="2">#REF!</definedName>
    <definedName name="body3gb">#REF!</definedName>
    <definedName name="body4ea" localSheetId="0">#REF!</definedName>
    <definedName name="body4ea" localSheetId="2">#REF!</definedName>
    <definedName name="body4ea">#REF!</definedName>
    <definedName name="body4eb" localSheetId="0">#REF!</definedName>
    <definedName name="body4eb" localSheetId="2">#REF!</definedName>
    <definedName name="body4eb">#REF!</definedName>
    <definedName name="body4f" localSheetId="0">#REF!</definedName>
    <definedName name="body4f" localSheetId="2">#REF!</definedName>
    <definedName name="body4f">#REF!</definedName>
    <definedName name="body4fa" localSheetId="0">#REF!</definedName>
    <definedName name="body4fa" localSheetId="2">#REF!</definedName>
    <definedName name="body4fa">#REF!</definedName>
    <definedName name="body4fb" localSheetId="0">#REF!</definedName>
    <definedName name="body4fb" localSheetId="2">#REF!</definedName>
    <definedName name="body4fb">#REF!</definedName>
    <definedName name="body4ga" localSheetId="0">#REF!</definedName>
    <definedName name="body4ga" localSheetId="2">#REF!</definedName>
    <definedName name="body4ga">#REF!</definedName>
    <definedName name="body4gb" localSheetId="0">#REF!</definedName>
    <definedName name="body4gb" localSheetId="2">#REF!</definedName>
    <definedName name="body4gb">#REF!</definedName>
    <definedName name="Cadmium_Content_ppm_wt" localSheetId="2">#REF!</definedName>
    <definedName name="Cadmium_Content_ppm_wt">#REF!</definedName>
    <definedName name="ChosenYear">[1]Cover!$G$117</definedName>
    <definedName name="Chromium_Content_ppm_wt" localSheetId="2">#REF!</definedName>
    <definedName name="Chromium_Content_ppm_wt">#REF!</definedName>
    <definedName name="Copper_Content_ppm_wt" localSheetId="2">#REF!</definedName>
    <definedName name="Copper_Content_ppm_wt">#REF!</definedName>
    <definedName name="countrye" localSheetId="0">#REF!</definedName>
    <definedName name="countrye" localSheetId="2">#REF!</definedName>
    <definedName name="countrye">#REF!</definedName>
    <definedName name="countryf" localSheetId="0">#REF!</definedName>
    <definedName name="countryf" localSheetId="2">#REF!</definedName>
    <definedName name="countryf">#REF!</definedName>
    <definedName name="countryg" localSheetId="0">#REF!</definedName>
    <definedName name="countryg" localSheetId="2">#REF!</definedName>
    <definedName name="countryg">#REF!</definedName>
    <definedName name="CRF_CountryName">[2]Sheet1!$C$4</definedName>
    <definedName name="data_range" localSheetId="2">'[3]CSO data'!#REF!</definedName>
    <definedName name="data_range">'[3]CSO data'!#REF!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2">[4]Tertiary!#REF!</definedName>
    <definedName name="EnergyService">[4]Tertiary!#REF!</definedName>
    <definedName name="Eng">[1]Cover!$G$111</definedName>
    <definedName name="Etiket" localSheetId="2">#REF!</definedName>
    <definedName name="Etiket">#REF!</definedName>
    <definedName name="Evap_Control_perc" localSheetId="2">#REF!</definedName>
    <definedName name="Evap_Control_perc">#REF!</definedName>
    <definedName name="Evap_H_Share_perc" localSheetId="2">#REF!</definedName>
    <definedName name="Evap_H_Share_perc">#REF!</definedName>
    <definedName name="Evap_R_Share_perc" localSheetId="2">#REF!</definedName>
    <definedName name="Evap_R_Share_perc">#REF!</definedName>
    <definedName name="Evap_U_Share_perc" localSheetId="2">#REF!</definedName>
    <definedName name="Evap_U_Share_perc">#REF!</definedName>
    <definedName name="FID_1">[5]AGR_Fuels!$A$2</definedName>
    <definedName name="Fuel_Injection_perc" localSheetId="2">#REF!</definedName>
    <definedName name="Fuel_Injection_perc">#REF!</definedName>
    <definedName name="Fuel_Specifications" localSheetId="2">#REF!</definedName>
    <definedName name="Fuel_Specifications">#REF!</definedName>
    <definedName name="H_C_Ratio" localSheetId="2">#REF!</definedName>
    <definedName name="H_C_Ratio">#REF!</definedName>
    <definedName name="H_Share_perc" localSheetId="2">#REF!</definedName>
    <definedName name="H_Share_perc">#REF!</definedName>
    <definedName name="H_Speed_km_per_h" localSheetId="2">#REF!</definedName>
    <definedName name="H_Speed_km_per_h">#REF!</definedName>
    <definedName name="Improved_Fuel_Specs" localSheetId="2">#REF!</definedName>
    <definedName name="Improved_Fuel_Specs">#REF!</definedName>
    <definedName name="Lead_Content_g_per_l" localSheetId="2">#REF!</definedName>
    <definedName name="Lead_Content_g_per_l">#REF!</definedName>
    <definedName name="Max_Temperature_oC" localSheetId="2">#REF!</definedName>
    <definedName name="Max_Temperature_oC">#REF!</definedName>
    <definedName name="Mean_Fleet_Mileage_km" localSheetId="2">#REF!</definedName>
    <definedName name="Mean_Fleet_Mileage_km">#REF!</definedName>
    <definedName name="Mileage_km" localSheetId="2">#REF!</definedName>
    <definedName name="Mileage_km">#REF!</definedName>
    <definedName name="Mileage_km_per_year" localSheetId="2">#REF!</definedName>
    <definedName name="Mileage_km_per_year">#REF!</definedName>
    <definedName name="Min_Temperature_oC" localSheetId="2">#REF!</definedName>
    <definedName name="Min_Temperature_oC">#REF!</definedName>
    <definedName name="Nikel_Content_ppm_wt" localSheetId="2">#REF!</definedName>
    <definedName name="Nikel_Content_ppm_wt">#REF!</definedName>
    <definedName name="O_C_Ratio" localSheetId="2">#REF!</definedName>
    <definedName name="O_C_Ratio">#REF!</definedName>
    <definedName name="Population" localSheetId="2">#REF!</definedName>
    <definedName name="Population">#REF!</definedName>
    <definedName name="qr_Profili_insmart_T20_quartieri" localSheetId="2">#REF!</definedName>
    <definedName name="qr_Profili_insmart_T20_quartieri">#REF!</definedName>
    <definedName name="R_Share_perc" localSheetId="2">#REF!</definedName>
    <definedName name="R_Share_perc">#REF!</definedName>
    <definedName name="R_Speed_km_per_h" localSheetId="2">#REF!</definedName>
    <definedName name="R_Speed_km_per_h">#REF!</definedName>
    <definedName name="RetBE" localSheetId="0">[6]Macro1!#REF!</definedName>
    <definedName name="RetBE" localSheetId="2">[6]Macro1!#REF!</definedName>
    <definedName name="RetBE">[6]Macro1!#REF!</definedName>
    <definedName name="RVP_and_beta" localSheetId="2">#REF!</definedName>
    <definedName name="RVP_and_beta">#REF!</definedName>
    <definedName name="RVP_kPa">[7]RVP_kPa!$A$1:$B$13</definedName>
    <definedName name="Selenium_Content_ppm_wt" localSheetId="2">#REF!</definedName>
    <definedName name="Selenium_Content_ppm_wt">#REF!</definedName>
    <definedName name="Sulphur_Content_perc_wt" localSheetId="2">#REF!</definedName>
    <definedName name="Sulphur_Content_perc_wt">#REF!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2">#REF!</definedName>
    <definedName name="Temperatures">#REF!</definedName>
    <definedName name="tiket" localSheetId="2">#REF!</definedName>
    <definedName name="tiket">#REF!</definedName>
    <definedName name="TP.Electricity_and_RES" localSheetId="0">#REF!</definedName>
    <definedName name="TP.Electricity_and_RES" localSheetId="2">#REF!</definedName>
    <definedName name="TP.Electricity_and_RES">#REF!</definedName>
    <definedName name="TP.Petroleum" localSheetId="0">#REF!</definedName>
    <definedName name="TP.Petroleum" localSheetId="2">#REF!</definedName>
    <definedName name="TP.Petroleum">#REF!</definedName>
    <definedName name="TP.Solids_and_Gases" localSheetId="0">#REF!</definedName>
    <definedName name="TP.Solids_and_Gases" localSheetId="2">#REF!</definedName>
    <definedName name="TP.Solids_and_Gases">#REF!</definedName>
    <definedName name="U_Share_perc" localSheetId="2">#REF!</definedName>
    <definedName name="U_Share_perc">#REF!</definedName>
    <definedName name="U_Speed_km_per_h" localSheetId="2">#REF!</definedName>
    <definedName name="U_Speed_km_per_h">#REF!</definedName>
    <definedName name="US.Electricity_and_RES" localSheetId="0">#REF!</definedName>
    <definedName name="US.Electricity_and_RES" localSheetId="2">#REF!</definedName>
    <definedName name="US.Electricity_and_RES">#REF!</definedName>
    <definedName name="US.Petroleum" localSheetId="0">#REF!</definedName>
    <definedName name="US.Petroleum" localSheetId="2">#REF!</definedName>
    <definedName name="US.Petroleum">#REF!</definedName>
    <definedName name="US.Solids_and_Gases" localSheetId="0">#REF!</definedName>
    <definedName name="US.Solids_and_Gases" localSheetId="2">#REF!</definedName>
    <definedName name="US.Solids_and_Gases">#REF!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0">#REF!</definedName>
    <definedName name="yeare" localSheetId="2">#REF!</definedName>
    <definedName name="yeare">#REF!</definedName>
    <definedName name="yearf" localSheetId="0">#REF!</definedName>
    <definedName name="yearf" localSheetId="2">#REF!</definedName>
    <definedName name="yearf">#REF!</definedName>
    <definedName name="yearg" localSheetId="0">#REF!</definedName>
    <definedName name="yearg" localSheetId="2">#REF!</definedName>
    <definedName name="yearg">#REF!</definedName>
    <definedName name="Zinc_Content_ppm_wt" localSheetId="2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A10" i="77"/>
  <c r="R11" i="77"/>
  <c r="B11" i="77" s="1"/>
  <c r="R10" i="77"/>
  <c r="B10" i="77" s="1"/>
  <c r="Q11" i="77"/>
  <c r="A11" i="77" s="1"/>
  <c r="Q10" i="77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J29" i="72" l="1"/>
  <c r="I29" i="72"/>
  <c r="H29" i="72"/>
  <c r="G29" i="72"/>
  <c r="F29" i="72"/>
  <c r="F7" i="72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AF29" i="72" s="1"/>
  <c r="Z29" i="72"/>
  <c r="AE29" i="72" s="1"/>
  <c r="Y29" i="72"/>
  <c r="AD29" i="72" s="1"/>
  <c r="X29" i="72"/>
  <c r="AC29" i="72" s="1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42" i="72"/>
  <c r="A81" i="72"/>
  <c r="A80" i="72"/>
  <c r="A77" i="72"/>
  <c r="A64" i="72"/>
  <c r="A62" i="72"/>
  <c r="A61" i="72"/>
  <c r="A57" i="72"/>
  <c r="A56" i="72"/>
  <c r="A53" i="72"/>
  <c r="A52" i="72"/>
  <c r="B17" i="70"/>
  <c r="A90" i="72" l="1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B81" i="72"/>
  <c r="B56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B64" i="72"/>
  <c r="E81" i="72"/>
  <c r="AM81" i="72"/>
  <c r="A76" i="72"/>
  <c r="B76" i="72" s="1"/>
  <c r="G44" i="72"/>
  <c r="I44" i="72"/>
  <c r="F44" i="72"/>
  <c r="J44" i="72"/>
  <c r="H44" i="72"/>
  <c r="E90" i="72"/>
  <c r="AM90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E98" i="72"/>
  <c r="AM98" i="72"/>
  <c r="E61" i="72"/>
  <c r="AM61" i="72"/>
  <c r="D61" i="72"/>
  <c r="A106" i="72"/>
  <c r="B106" i="72" s="1"/>
  <c r="E80" i="72"/>
  <c r="AM80" i="72"/>
  <c r="E56" i="72"/>
  <c r="AM56" i="72"/>
  <c r="E64" i="72"/>
  <c r="AM64" i="72"/>
  <c r="D64" i="72"/>
  <c r="E77" i="72"/>
  <c r="AM77" i="72"/>
  <c r="E118" i="72"/>
  <c r="AM118" i="72"/>
  <c r="E94" i="72"/>
  <c r="AM94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AM97" i="72" l="1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F72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H72" i="72"/>
  <c r="K72" i="72"/>
  <c r="AT72" i="72"/>
  <c r="L72" i="72"/>
  <c r="M72" i="72"/>
  <c r="AK72" i="72"/>
  <c r="AV72" i="72"/>
  <c r="AG72" i="72"/>
  <c r="J72" i="72"/>
  <c r="G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I72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<sst xmlns="http://schemas.openxmlformats.org/spreadsheetml/2006/main" count="1006" uniqueCount="564">
  <si>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</si>
  <si>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</si>
  <si>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</si>
  <si>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</si>
  <si>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</si>
  <si>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</si>
  <si>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</si>
  <si>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</si>
  <si>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</si>
  <si>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</si>
  <si>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</si>
  <si>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</si>
  <si>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</si>
  <si>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</si>
  <si>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</si>
  <si>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</si>
  <si>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</si>
  <si>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</si>
  <si>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</si>
  <si>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</si>
  <si>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</si>
  <si>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</si>
  <si>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</si>
  <si>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</si>
  <si>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</si>
  <si>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</si>
  <si>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</si>
  <si>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</si>
  <si>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</si>
  <si>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</si>
  <si>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</si>
  <si>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</si>
  <si>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</si>
  <si>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</si>
  <si>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</si>
  <si>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</si>
  <si>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</si>
  <si>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</si>
  <si>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</si>
  <si>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</si>
  <si>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</si>
  <si>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</si>
  <si>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</si>
  <si>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</si>
  <si>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</si>
  <si>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</si>
  <si>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</si>
  <si>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</si>
  <si>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</si>
  <si>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</si>
  <si>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</si>
  <si>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</si>
  <si>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</si>
  <si>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</si>
  <si>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</si>
  <si>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</si>
  <si>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</si>
  <si>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</si>
  <si>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</si>
  <si>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</si>
  <si>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</si>
  <si>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</si>
  <si>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</si>
  <si>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</si>
  <si>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</si>
  <si>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</si>
  <si>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</si>
  <si>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</si>
  <si>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</si>
  <si>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</si>
  <si>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Developer:</t>
  </si>
  <si>
    <t>Version date:</t>
  </si>
  <si>
    <t>Description:</t>
  </si>
  <si>
    <t>Technology database (SubRes)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</si>
  <si>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</si>
  <si>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</si>
  <si>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</si>
  <si>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</si>
  <si>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</si>
  <si>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</si>
  <si>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</si>
  <si>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</si>
  <si>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</si>
  <si>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</si>
  <si>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</si>
  <si>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</si>
  <si>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</si>
  <si>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</si>
  <si>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</si>
  <si>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</si>
  <si>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</si>
  <si>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</si>
  <si>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</si>
  <si>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</si>
  <si>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</si>
  <si>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</si>
  <si>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</si>
  <si>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</si>
  <si>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</si>
  <si>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</si>
  <si>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</si>
  <si>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</si>
  <si>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</si>
  <si>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</si>
  <si>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</si>
  <si>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</si>
  <si>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</si>
  <si>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</si>
  <si>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</si>
  <si>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</si>
  <si>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</si>
  <si>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</si>
  <si>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</si>
  <si>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</si>
  <si>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</si>
  <si>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</si>
  <si>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</si>
  <si>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</si>
  <si>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</si>
  <si>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</si>
  <si>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</si>
  <si>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</si>
  <si>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</si>
  <si>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</si>
  <si>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</si>
  <si>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</si>
  <si>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</si>
  <si>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</si>
  <si>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</si>
  <si>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</si>
  <si>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</si>
  <si>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</si>
  <si>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</si>
  <si>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</si>
  <si>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</si>
  <si>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</si>
  <si>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</si>
  <si>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</si>
  <si>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</si>
  <si>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</si>
  <si>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</si>
  <si>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</si>
  <si>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</si>
  <si>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</si>
  <si>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</si>
  <si>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</si>
  <si>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</si>
  <si>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</si>
  <si>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</si>
  <si>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</si>
  <si>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</si>
  <si>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</si>
  <si>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</si>
  <si>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</si>
  <si>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</si>
  <si>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</si>
  <si>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</si>
  <si>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</si>
  <si>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</si>
  <si>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</si>
  <si>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</si>
  <si>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</si>
  <si>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Source data: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</si>
  <si>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</si>
  <si>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</si>
  <si>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</si>
  <si>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</si>
  <si>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</si>
  <si>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</si>
  <si>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</si>
  <si>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</si>
  <si>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</si>
  <si>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</si>
  <si>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</si>
  <si>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</si>
  <si>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</si>
  <si>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</si>
  <si>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</si>
  <si>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</si>
  <si>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</si>
  <si>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</si>
  <si>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</si>
  <si>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</si>
  <si>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</si>
  <si>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</si>
  <si>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</si>
  <si>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</si>
  <si>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</si>
  <si>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</si>
  <si>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TIMES-Ireland Model (TIM)</t>
  </si>
  <si>
    <t>Services</t>
  </si>
  <si>
    <t>Technology database on new services technologies.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</si>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</sst>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71" formatCode="0.0%"/>
    <numFmt numFmtId="194" formatCode="\Te\x\t"/>
    <numFmt numFmtId="195" formatCode="0.000"/>
    <numFmt numFmtId="196" formatCode="0.0000"/>
  </numFmts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7">
    <xf numFmtId="0" fontId="0" fillId="0" borderId="0"/>
    <xf numFmtId="9" fontId="7" fillId="0" borderId="0" applyFont="0" applyFill="0" applyBorder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4" applyNumberFormat="0" applyAlignment="0" applyProtection="0"/>
    <xf numFmtId="0" fontId="40" fillId="15" borderId="25" applyNumberFormat="0" applyAlignment="0" applyProtection="0"/>
    <xf numFmtId="0" fontId="41" fillId="15" borderId="24" applyNumberFormat="0" applyAlignment="0" applyProtection="0"/>
    <xf numFmtId="0" fontId="42" fillId="0" borderId="26" applyNumberFormat="0" applyFill="0" applyAlignment="0" applyProtection="0"/>
    <xf numFmtId="0" fontId="26" fillId="16" borderId="27" applyNumberFormat="0" applyAlignment="0" applyProtection="0"/>
    <xf numFmtId="0" fontId="3" fillId="0" borderId="0" applyNumberFormat="0" applyFill="0" applyBorder="0" applyAlignment="0" applyProtection="0"/>
    <xf numFmtId="0" fontId="7" fillId="17" borderId="28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9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5" applyNumberFormat="0" applyAlignment="0" applyProtection="0"/>
    <xf numFmtId="0" fontId="41" fillId="15" borderId="24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9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4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5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9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</cellStyleXfs>
  <cellXfs count="451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0" fontId="21" fillId="11" borderId="20" xfId="0" applyFont="1" applyFill="1" applyBorder="1" applyAlignment="1">
      <alignment vertical="top"/>
    </xf>
    <xf numFmtId="0" fontId="7" fillId="0" borderId="20" xfId="0" applyFont="1" applyBorder="1" applyAlignment="1">
      <alignment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4" xfId="0" applyFont="1" applyFill="1" applyBorder="1" applyAlignment="1">
      <alignment vertical="center"/>
    </xf>
    <xf numFmtId="0" fontId="24" fillId="6" borderId="35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32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3" xfId="0" applyFill="1" applyBorder="1" applyAlignment="1">
      <alignment vertical="center"/>
    </xf>
    <xf numFmtId="0" fontId="24" fillId="6" borderId="32" xfId="0" applyFont="1" applyFill="1" applyBorder="1" applyAlignment="1">
      <alignment horizontal="left" vertical="center"/>
    </xf>
    <xf numFmtId="0" fontId="24" fillId="6" borderId="36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1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30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4" xfId="0" applyFont="1" applyFill="1" applyBorder="1" applyAlignment="1">
      <alignment horizontal="left" vertical="center" wrapText="1"/>
    </xf>
    <xf numFmtId="194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4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95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95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95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30" xfId="0" applyFont="1" applyFill="1" applyBorder="1" applyAlignment="1">
      <alignment horizontal="left" vertical="center" wrapText="1"/>
    </xf>
    <xf numFmtId="0" fontId="32" fillId="0" borderId="37" xfId="0" applyFont="1" applyFill="1" applyBorder="1" applyAlignment="1">
      <alignment horizontal="left" vertical="center" wrapText="1"/>
    </xf>
    <xf numFmtId="0" fontId="33" fillId="0" borderId="37" xfId="0" applyFont="1" applyFill="1" applyBorder="1" applyAlignment="1">
      <alignment horizontal="left" vertical="center"/>
    </xf>
    <xf numFmtId="0" fontId="0" fillId="0" borderId="34" xfId="0" applyBorder="1"/>
    <xf numFmtId="0" fontId="52" fillId="0" borderId="0" xfId="0" applyFont="1" applyAlignment="1">
      <alignment horizontal="left" vertical="center"/>
    </xf>
    <xf numFmtId="196" fontId="33" fillId="0" borderId="0" xfId="0" applyNumberFormat="1" applyFont="1" applyBorder="1" applyAlignment="1">
      <alignment horizontal="left" vertical="center"/>
    </xf>
    <xf numFmtId="196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/>
    </xf>
    <xf numFmtId="3" fontId="25" fillId="0" borderId="30" xfId="0" applyNumberFormat="1" applyFont="1" applyFill="1" applyBorder="1" applyAlignment="1">
      <alignment horizontal="left" vertical="center" wrapText="1"/>
    </xf>
    <xf numFmtId="0" fontId="33" fillId="0" borderId="37" xfId="0" applyFont="1" applyBorder="1" applyAlignment="1">
      <alignment horizontal="left" vertical="center"/>
    </xf>
    <xf numFmtId="0" fontId="33" fillId="0" borderId="34" xfId="0" applyFont="1" applyFill="1" applyBorder="1" applyAlignment="1">
      <alignment horizontal="left" vertical="center"/>
    </xf>
    <xf numFmtId="0" fontId="33" fillId="0" borderId="34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3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95" fontId="6" fillId="0" borderId="7" xfId="0" applyNumberFormat="1" applyFont="1" applyFill="1" applyBorder="1" applyAlignment="1">
      <alignment horizontal="left" vertical="center"/>
    </xf>
    <xf numFmtId="194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95" fontId="0" fillId="0" borderId="0" xfId="0" applyNumberFormat="1" applyBorder="1"/>
    <xf numFmtId="0" fontId="32" fillId="10" borderId="34" xfId="0" applyFont="1" applyFill="1" applyBorder="1" applyAlignment="1">
      <alignment vertical="center"/>
    </xf>
    <xf numFmtId="0" fontId="33" fillId="0" borderId="34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71" fontId="0" fillId="0" borderId="0" xfId="0" applyNumberFormat="1" applyFont="1"/>
    <xf numFmtId="9" fontId="0" fillId="0" borderId="0" xfId="0" applyNumberFormat="1"/>
    <xf numFmtId="171" fontId="0" fillId="0" borderId="0" xfId="0" applyNumberFormat="1"/>
    <xf numFmtId="171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96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94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94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5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5" fillId="0" borderId="14" xfId="0" applyFont="1" applyFill="1" applyBorder="1" applyAlignment="1">
      <alignment horizontal="left" vertical="center" wrapText="1"/>
    </xf>
    <xf numFmtId="0" fontId="51" fillId="0" borderId="30" xfId="0" applyFont="1" applyFill="1" applyBorder="1" applyAlignment="1">
      <alignment horizontal="left" vertical="center" wrapText="1"/>
    </xf>
    <xf numFmtId="0" fontId="33" fillId="0" borderId="37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7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09650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09650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1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iea.org/reports/light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9"/>
  <sheetViews>
    <sheetView showGridLines="0" zoomScaleNormal="100" workbookViewId="0"/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ht="23.25" x14ac:dyDescent="0.25">
      <c r="A1" s="105" t="s">
        <v>189</v>
      </c>
      <c r="B1" s="27"/>
    </row>
    <row r="2" spans="1:9" ht="21" x14ac:dyDescent="0.25">
      <c r="A2" s="26"/>
      <c r="B2" s="27"/>
    </row>
    <row r="3" spans="1:9" x14ac:dyDescent="0.25">
      <c r="A3" s="28" t="s">
        <v>68</v>
      </c>
      <c r="B3" s="29" t="s">
        <v>73</v>
      </c>
    </row>
    <row r="4" spans="1:9" x14ac:dyDescent="0.25">
      <c r="A4" s="28" t="s">
        <v>69</v>
      </c>
      <c r="B4" s="30" t="s">
        <v>190</v>
      </c>
      <c r="C4" s="23" t="s">
        <v>414</v>
      </c>
    </row>
    <row r="5" spans="1:9" ht="45.75" customHeight="1" x14ac:dyDescent="0.25">
      <c r="A5" s="28" t="s">
        <v>70</v>
      </c>
      <c r="B5" s="31"/>
    </row>
    <row r="6" spans="1:9" x14ac:dyDescent="0.25">
      <c r="A6" s="28" t="s">
        <v>71</v>
      </c>
      <c r="B6" s="32">
        <v>44299</v>
      </c>
    </row>
    <row r="7" spans="1:9" x14ac:dyDescent="0.25">
      <c r="A7" s="28" t="s">
        <v>72</v>
      </c>
      <c r="B7" s="32" t="s">
        <v>191</v>
      </c>
    </row>
    <row r="8" spans="1:9" x14ac:dyDescent="0.25">
      <c r="A8" s="76" t="s">
        <v>162</v>
      </c>
      <c r="B8" s="77"/>
      <c r="C8" s="77"/>
      <c r="D8" s="77"/>
      <c r="E8" s="77"/>
      <c r="F8" s="77"/>
      <c r="G8" s="77"/>
      <c r="H8" s="77"/>
      <c r="I8" s="77"/>
    </row>
    <row r="9" spans="1:9" x14ac:dyDescent="0.25">
      <c r="A9" s="431" t="s">
        <v>163</v>
      </c>
      <c r="B9" s="431" t="s">
        <v>164</v>
      </c>
      <c r="C9" s="431" t="s">
        <v>165</v>
      </c>
      <c r="D9" s="433" t="s">
        <v>166</v>
      </c>
      <c r="E9" s="433"/>
      <c r="F9" s="431" t="s">
        <v>167</v>
      </c>
      <c r="G9" s="431" t="s">
        <v>5</v>
      </c>
      <c r="H9" s="431" t="s">
        <v>168</v>
      </c>
      <c r="I9" s="431" t="s">
        <v>169</v>
      </c>
    </row>
    <row r="10" spans="1:9" ht="15.75" thickBot="1" x14ac:dyDescent="0.3">
      <c r="A10" s="432"/>
      <c r="B10" s="432"/>
      <c r="C10" s="432"/>
      <c r="D10" s="78" t="s">
        <v>170</v>
      </c>
      <c r="E10" s="78" t="s">
        <v>171</v>
      </c>
      <c r="F10" s="432"/>
      <c r="G10" s="432"/>
      <c r="H10" s="432"/>
      <c r="I10" s="432"/>
    </row>
    <row r="11" spans="1:9" ht="38.25" x14ac:dyDescent="0.25">
      <c r="A11" s="40" t="s">
        <v>554</v>
      </c>
      <c r="B11" s="40" t="s">
        <v>172</v>
      </c>
      <c r="C11" s="79">
        <v>2017</v>
      </c>
      <c r="D11" s="80">
        <v>2015</v>
      </c>
      <c r="E11" s="80">
        <v>2050</v>
      </c>
      <c r="F11" s="79" t="s">
        <v>173</v>
      </c>
      <c r="G11" s="79" t="s">
        <v>180</v>
      </c>
      <c r="H11" s="79" t="s">
        <v>59</v>
      </c>
      <c r="I11" s="81" t="s">
        <v>58</v>
      </c>
    </row>
    <row r="12" spans="1:9" ht="25.5" x14ac:dyDescent="0.25">
      <c r="A12" s="40" t="s">
        <v>557</v>
      </c>
      <c r="B12" s="430" t="s">
        <v>555</v>
      </c>
      <c r="C12" s="79">
        <v>2013</v>
      </c>
      <c r="D12" s="80">
        <v>2010</v>
      </c>
      <c r="E12" s="80">
        <v>2050</v>
      </c>
      <c r="F12" s="79" t="s">
        <v>173</v>
      </c>
      <c r="G12" s="79" t="s">
        <v>556</v>
      </c>
      <c r="H12" s="79" t="s">
        <v>552</v>
      </c>
      <c r="I12" s="81" t="s">
        <v>553</v>
      </c>
    </row>
    <row r="13" spans="1:9" ht="25.5" x14ac:dyDescent="0.25">
      <c r="A13" s="40" t="s">
        <v>558</v>
      </c>
      <c r="B13" s="430" t="s">
        <v>559</v>
      </c>
      <c r="C13" s="79"/>
      <c r="D13" s="80"/>
      <c r="E13" s="80"/>
      <c r="F13" s="79"/>
      <c r="G13" s="79" t="s">
        <v>560</v>
      </c>
      <c r="H13" s="79"/>
      <c r="I13" s="81"/>
    </row>
    <row r="16" spans="1:9" ht="18.75" x14ac:dyDescent="0.25">
      <c r="A16" s="197" t="s">
        <v>57</v>
      </c>
      <c r="B16" s="173"/>
      <c r="C16" s="174"/>
    </row>
    <row r="17" spans="1:3" x14ac:dyDescent="0.25">
      <c r="A17" s="196"/>
      <c r="B17" s="434" t="str">
        <f>"Data summary table with data from "&amp;A11</f>
        <v>Data summary table with data from S1</v>
      </c>
      <c r="C17" s="435"/>
    </row>
    <row r="18" spans="1:3" x14ac:dyDescent="0.25">
      <c r="A18" s="33"/>
      <c r="B18" s="436" t="s">
        <v>74</v>
      </c>
      <c r="C18" s="437"/>
    </row>
    <row r="19" spans="1:3" x14ac:dyDescent="0.25">
      <c r="A19" s="24"/>
      <c r="B19" s="25"/>
    </row>
    <row r="20" spans="1:3" ht="18.75" x14ac:dyDescent="0.25">
      <c r="A20" s="172" t="s">
        <v>174</v>
      </c>
      <c r="B20" s="191"/>
      <c r="C20" s="192"/>
    </row>
    <row r="21" spans="1:3" x14ac:dyDescent="0.25">
      <c r="A21" s="190" t="s">
        <v>410</v>
      </c>
      <c r="B21" s="187" t="s">
        <v>411</v>
      </c>
      <c r="C21" s="194"/>
    </row>
    <row r="22" spans="1:3" x14ac:dyDescent="0.25">
      <c r="A22" s="188" t="s">
        <v>410</v>
      </c>
      <c r="B22" s="193" t="s">
        <v>412</v>
      </c>
      <c r="C22" s="195"/>
    </row>
    <row r="23" spans="1:3" x14ac:dyDescent="0.25">
      <c r="A23" s="189"/>
      <c r="B23" s="187" t="s">
        <v>413</v>
      </c>
      <c r="C23" s="189"/>
    </row>
    <row r="26" spans="1:3" ht="21" x14ac:dyDescent="0.25">
      <c r="A26" s="181" t="s">
        <v>317</v>
      </c>
      <c r="B26" s="175"/>
      <c r="C26" s="175"/>
    </row>
    <row r="27" spans="1:3" x14ac:dyDescent="0.25">
      <c r="A27" s="186" t="s">
        <v>318</v>
      </c>
      <c r="B27" s="186" t="s">
        <v>319</v>
      </c>
      <c r="C27" s="186" t="s">
        <v>320</v>
      </c>
    </row>
    <row r="28" spans="1:3" x14ac:dyDescent="0.25">
      <c r="A28" s="185" t="s">
        <v>321</v>
      </c>
      <c r="B28" s="184"/>
      <c r="C28" s="184"/>
    </row>
    <row r="29" spans="1:3" x14ac:dyDescent="0.25">
      <c r="A29" s="178" t="s">
        <v>322</v>
      </c>
      <c r="B29" s="178"/>
      <c r="C29" s="178" t="s">
        <v>323</v>
      </c>
    </row>
    <row r="30" spans="1:3" x14ac:dyDescent="0.25">
      <c r="A30" s="180" t="s">
        <v>324</v>
      </c>
      <c r="B30" s="180"/>
      <c r="C30" s="180" t="s">
        <v>159</v>
      </c>
    </row>
    <row r="31" spans="1:3" x14ac:dyDescent="0.25">
      <c r="A31" s="182" t="s">
        <v>325</v>
      </c>
      <c r="B31" s="178"/>
      <c r="C31" s="178"/>
    </row>
    <row r="32" spans="1:3" x14ac:dyDescent="0.25">
      <c r="A32" s="178" t="s">
        <v>326</v>
      </c>
      <c r="B32" s="178"/>
      <c r="C32" s="178" t="s">
        <v>327</v>
      </c>
    </row>
    <row r="33" spans="1:3" x14ac:dyDescent="0.25">
      <c r="A33" s="178" t="s">
        <v>328</v>
      </c>
      <c r="B33" s="178"/>
      <c r="C33" s="178" t="s">
        <v>329</v>
      </c>
    </row>
    <row r="34" spans="1:3" x14ac:dyDescent="0.25">
      <c r="A34" s="178" t="s">
        <v>330</v>
      </c>
      <c r="B34" s="178"/>
      <c r="C34" s="178" t="s">
        <v>331</v>
      </c>
    </row>
    <row r="35" spans="1:3" x14ac:dyDescent="0.25">
      <c r="A35" s="182" t="s">
        <v>332</v>
      </c>
      <c r="B35" s="178"/>
      <c r="C35" s="178"/>
    </row>
    <row r="36" spans="1:3" x14ac:dyDescent="0.25">
      <c r="A36" s="178" t="s">
        <v>333</v>
      </c>
      <c r="B36" s="178"/>
      <c r="C36" s="178" t="s">
        <v>334</v>
      </c>
    </row>
    <row r="37" spans="1:3" x14ac:dyDescent="0.25">
      <c r="A37" s="178" t="s">
        <v>335</v>
      </c>
      <c r="B37" s="178"/>
      <c r="C37" s="178" t="s">
        <v>336</v>
      </c>
    </row>
    <row r="38" spans="1:3" x14ac:dyDescent="0.25">
      <c r="A38" s="178" t="s">
        <v>337</v>
      </c>
      <c r="B38" s="178"/>
      <c r="C38" s="178" t="s">
        <v>338</v>
      </c>
    </row>
    <row r="39" spans="1:3" x14ac:dyDescent="0.25">
      <c r="A39" s="178" t="s">
        <v>339</v>
      </c>
      <c r="B39" s="179"/>
      <c r="C39" s="178" t="s">
        <v>340</v>
      </c>
    </row>
    <row r="40" spans="1:3" x14ac:dyDescent="0.25">
      <c r="A40" s="178" t="s">
        <v>341</v>
      </c>
      <c r="B40" s="179"/>
      <c r="C40" s="178" t="s">
        <v>342</v>
      </c>
    </row>
    <row r="41" spans="1:3" x14ac:dyDescent="0.25">
      <c r="A41" s="178" t="s">
        <v>343</v>
      </c>
      <c r="B41" s="178"/>
      <c r="C41" s="178" t="s">
        <v>344</v>
      </c>
    </row>
    <row r="42" spans="1:3" x14ac:dyDescent="0.25">
      <c r="A42" s="183" t="s">
        <v>345</v>
      </c>
      <c r="B42" s="183"/>
      <c r="C42" s="183" t="s">
        <v>346</v>
      </c>
    </row>
    <row r="43" spans="1:3" x14ac:dyDescent="0.25">
      <c r="A43" s="177" t="s">
        <v>347</v>
      </c>
      <c r="B43" s="175"/>
      <c r="C43" s="175"/>
    </row>
    <row r="44" spans="1:3" x14ac:dyDescent="0.25">
      <c r="A44" s="178" t="s">
        <v>348</v>
      </c>
      <c r="B44" s="179" t="s">
        <v>349</v>
      </c>
      <c r="C44" s="178" t="s">
        <v>350</v>
      </c>
    </row>
    <row r="45" spans="1:3" x14ac:dyDescent="0.25">
      <c r="A45" s="178" t="s">
        <v>351</v>
      </c>
      <c r="B45" s="179" t="s">
        <v>351</v>
      </c>
      <c r="C45" s="178" t="s">
        <v>352</v>
      </c>
    </row>
    <row r="46" spans="1:3" x14ac:dyDescent="0.25">
      <c r="A46" s="178" t="s">
        <v>353</v>
      </c>
      <c r="B46" s="179" t="s">
        <v>354</v>
      </c>
      <c r="C46" s="178" t="s">
        <v>355</v>
      </c>
    </row>
    <row r="47" spans="1:3" x14ac:dyDescent="0.25">
      <c r="A47" s="178" t="s">
        <v>356</v>
      </c>
      <c r="B47" s="179" t="s">
        <v>357</v>
      </c>
      <c r="C47" s="178" t="s">
        <v>358</v>
      </c>
    </row>
    <row r="48" spans="1:3" x14ac:dyDescent="0.25">
      <c r="A48" s="178" t="s">
        <v>160</v>
      </c>
      <c r="B48" s="179" t="s">
        <v>359</v>
      </c>
      <c r="C48" s="178" t="s">
        <v>360</v>
      </c>
    </row>
    <row r="49" spans="1:3" x14ac:dyDescent="0.25">
      <c r="A49" s="178" t="s">
        <v>361</v>
      </c>
      <c r="B49" s="179" t="s">
        <v>362</v>
      </c>
      <c r="C49" s="178" t="s">
        <v>363</v>
      </c>
    </row>
    <row r="50" spans="1:3" x14ac:dyDescent="0.25">
      <c r="A50" s="178" t="s">
        <v>22</v>
      </c>
      <c r="B50" s="179" t="s">
        <v>364</v>
      </c>
      <c r="C50" s="178" t="s">
        <v>365</v>
      </c>
    </row>
    <row r="51" spans="1:3" x14ac:dyDescent="0.25">
      <c r="A51" s="178" t="s">
        <v>366</v>
      </c>
      <c r="B51" s="179" t="s">
        <v>367</v>
      </c>
      <c r="C51" s="178" t="s">
        <v>368</v>
      </c>
    </row>
    <row r="52" spans="1:3" x14ac:dyDescent="0.25">
      <c r="A52" s="176" t="s">
        <v>369</v>
      </c>
      <c r="B52" s="176" t="s">
        <v>370</v>
      </c>
      <c r="C52" s="178" t="s">
        <v>371</v>
      </c>
    </row>
    <row r="53" spans="1:3" x14ac:dyDescent="0.25">
      <c r="A53" s="176" t="s">
        <v>561</v>
      </c>
      <c r="B53" s="176" t="s">
        <v>562</v>
      </c>
      <c r="C53" s="178" t="s">
        <v>563</v>
      </c>
    </row>
    <row r="54" spans="1:3" x14ac:dyDescent="0.25">
      <c r="A54" s="178" t="s">
        <v>372</v>
      </c>
      <c r="B54" s="179" t="s">
        <v>373</v>
      </c>
      <c r="C54" s="178" t="s">
        <v>374</v>
      </c>
    </row>
    <row r="55" spans="1:3" x14ac:dyDescent="0.25">
      <c r="A55" s="178" t="s">
        <v>375</v>
      </c>
      <c r="B55" s="179" t="s">
        <v>376</v>
      </c>
      <c r="C55" s="178" t="s">
        <v>377</v>
      </c>
    </row>
    <row r="56" spans="1:3" x14ac:dyDescent="0.25">
      <c r="A56" s="178" t="s">
        <v>378</v>
      </c>
      <c r="B56" s="178" t="s">
        <v>379</v>
      </c>
      <c r="C56" s="178" t="s">
        <v>380</v>
      </c>
    </row>
    <row r="57" spans="1:3" x14ac:dyDescent="0.25">
      <c r="A57" s="178" t="s">
        <v>381</v>
      </c>
      <c r="B57" s="178" t="s">
        <v>382</v>
      </c>
      <c r="C57" s="178" t="s">
        <v>383</v>
      </c>
    </row>
    <row r="58" spans="1:3" x14ac:dyDescent="0.25">
      <c r="A58" s="178" t="s">
        <v>384</v>
      </c>
      <c r="B58" s="178" t="s">
        <v>385</v>
      </c>
      <c r="C58" s="178" t="s">
        <v>386</v>
      </c>
    </row>
    <row r="59" spans="1:3" x14ac:dyDescent="0.25">
      <c r="A59" s="180" t="s">
        <v>387</v>
      </c>
      <c r="B59" s="180" t="s">
        <v>388</v>
      </c>
      <c r="C59" s="180" t="s">
        <v>389</v>
      </c>
    </row>
  </sheetData>
  <mergeCells count="10">
    <mergeCell ref="B17:C17"/>
    <mergeCell ref="B18:C18"/>
    <mergeCell ref="H9:H10"/>
    <mergeCell ref="I9:I10"/>
    <mergeCell ref="G9:G10"/>
    <mergeCell ref="A9:A10"/>
    <mergeCell ref="B9:B10"/>
    <mergeCell ref="C9:C10"/>
    <mergeCell ref="D9:E9"/>
    <mergeCell ref="F9:F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9" customWidth="1"/>
    <col min="2" max="2" width="11.7109375" style="279" customWidth="1"/>
    <col min="3" max="3" width="3.140625" style="279" bestFit="1" customWidth="1"/>
    <col min="4" max="4" width="8.5703125" style="279" bestFit="1" customWidth="1"/>
    <col min="5" max="5" width="6.42578125" style="279" bestFit="1" customWidth="1"/>
    <col min="6" max="6" width="4.85546875" style="279" bestFit="1" customWidth="1"/>
    <col min="7" max="7" width="5.7109375" style="279" bestFit="1" customWidth="1"/>
    <col min="8" max="8" width="5.85546875" style="279" bestFit="1" customWidth="1"/>
    <col min="9" max="9" width="5.42578125" style="279" bestFit="1" customWidth="1"/>
    <col min="10" max="11" width="5.7109375" style="279" bestFit="1" customWidth="1"/>
    <col min="12" max="12" width="6.5703125" style="279" bestFit="1" customWidth="1"/>
    <col min="13" max="13" width="6.140625" style="279" bestFit="1" customWidth="1"/>
    <col min="14" max="14" width="6.7109375" style="279" bestFit="1" customWidth="1"/>
    <col min="15" max="15" width="6.5703125" style="279" bestFit="1" customWidth="1"/>
    <col min="16" max="16" width="7.28515625" style="279" bestFit="1" customWidth="1"/>
    <col min="17" max="17" width="5.7109375" style="279" bestFit="1" customWidth="1"/>
    <col min="18" max="18" width="6.140625" style="279" bestFit="1" customWidth="1"/>
    <col min="19" max="19" width="5.7109375" style="279" bestFit="1" customWidth="1"/>
    <col min="20" max="20" width="5.5703125" style="279" bestFit="1" customWidth="1"/>
    <col min="21" max="21" width="5.85546875" style="279" bestFit="1" customWidth="1"/>
    <col min="22" max="22" width="6.7109375" style="279" bestFit="1" customWidth="1"/>
    <col min="23" max="23" width="4.85546875" style="279" bestFit="1" customWidth="1"/>
    <col min="24" max="24" width="7.5703125" style="279" customWidth="1"/>
    <col min="25" max="25" width="6.7109375" style="279" bestFit="1" customWidth="1"/>
    <col min="26" max="26" width="6.140625" style="279" bestFit="1" customWidth="1"/>
    <col min="27" max="28" width="6" style="279" bestFit="1" customWidth="1"/>
    <col min="29" max="29" width="5.7109375" style="279" bestFit="1" customWidth="1"/>
    <col min="30" max="30" width="6.7109375" style="279" bestFit="1" customWidth="1"/>
    <col min="31" max="16384" width="9.140625" style="279"/>
  </cols>
  <sheetData>
    <row r="3" spans="1:30" x14ac:dyDescent="0.25">
      <c r="C3" s="280" t="str" cm="1">
        <f t="array" ref="C3">INDEX(C5:C7,$A$4)</f>
        <v>IE</v>
      </c>
      <c r="D3" s="280" t="str" cm="1">
        <f t="array" ref="D3">INDEX(D5:D7,$A$4)</f>
        <v>National</v>
      </c>
      <c r="E3" s="280" t="str" cm="1">
        <f t="array" ref="E3">INDEX(E5:E7,$A$4)</f>
        <v>IE-CW</v>
      </c>
      <c r="F3" s="280" t="str" cm="1">
        <f t="array" ref="F3">INDEX(F5:F7,$A$4)</f>
        <v>IE-D</v>
      </c>
      <c r="G3" s="280" t="str" cm="1">
        <f t="array" ref="G3">INDEX(G5:G7,$A$4)</f>
        <v>IE-KE</v>
      </c>
      <c r="H3" s="280" t="str" cm="1">
        <f t="array" ref="H3">INDEX(H5:H7,$A$4)</f>
        <v>IE-KK</v>
      </c>
      <c r="I3" s="280" t="str" cm="1">
        <f t="array" ref="I3">INDEX(I5:I7,$A$4)</f>
        <v>IE-LS</v>
      </c>
      <c r="J3" s="280" t="str" cm="1">
        <f t="array" ref="J3">INDEX(J5:J7,$A$4)</f>
        <v>IE-LD</v>
      </c>
      <c r="K3" s="280" t="str" cm="1">
        <f t="array" ref="K3">INDEX(K5:K7,$A$4)</f>
        <v>IE-LH</v>
      </c>
      <c r="L3" s="280" t="str" cm="1">
        <f t="array" ref="L3">INDEX(L5:L7,$A$4)</f>
        <v>IE-MH</v>
      </c>
      <c r="M3" s="280" t="str" cm="1">
        <f t="array" ref="M3">INDEX(M5:M7,$A$4)</f>
        <v>IE-OY</v>
      </c>
      <c r="N3" s="280" t="str" cm="1">
        <f t="array" ref="N3">INDEX(N5:N7,$A$4)</f>
        <v>IE-WH</v>
      </c>
      <c r="O3" s="280" t="str" cm="1">
        <f t="array" ref="O3">INDEX(O5:O7,$A$4)</f>
        <v>IE-WX</v>
      </c>
      <c r="P3" s="280" t="str" cm="1">
        <f t="array" ref="P3">INDEX(P5:P7,$A$4)</f>
        <v>IE-WW</v>
      </c>
      <c r="Q3" s="280" t="str" cm="1">
        <f t="array" ref="Q3">INDEX(Q5:Q7,$A$4)</f>
        <v>IE-CE</v>
      </c>
      <c r="R3" s="280" t="str" cm="1">
        <f t="array" ref="R3">INDEX(R5:R7,$A$4)</f>
        <v>IE-CO</v>
      </c>
      <c r="S3" s="280" t="str" cm="1">
        <f t="array" ref="S3">INDEX(S5:S7,$A$4)</f>
        <v>IE-KY</v>
      </c>
      <c r="T3" s="280" t="str" cm="1">
        <f t="array" ref="T3">INDEX(T5:T7,$A$4)</f>
        <v>IE-LK</v>
      </c>
      <c r="U3" s="280" t="str" cm="1">
        <f t="array" ref="U3">INDEX(U5:U7,$A$4)</f>
        <v>IE-TA</v>
      </c>
      <c r="V3" s="280" t="str" cm="1">
        <f t="array" ref="V3">INDEX(V5:V7,$A$4)</f>
        <v>IE-WD</v>
      </c>
      <c r="W3" s="280" t="str" cm="1">
        <f t="array" ref="W3">INDEX(W5:W7,$A$4)</f>
        <v>IE-G</v>
      </c>
      <c r="X3" s="280" t="str" cm="1">
        <f t="array" ref="X3">INDEX(X5:X7,$A$4)</f>
        <v>IE-LM</v>
      </c>
      <c r="Y3" s="280" t="str" cm="1">
        <f t="array" ref="Y3">INDEX(Y5:Y7,$A$4)</f>
        <v>IE-MO</v>
      </c>
      <c r="Z3" s="280" t="str" cm="1">
        <f t="array" ref="Z3">INDEX(Z5:Z7,$A$4)</f>
        <v>IE-RN</v>
      </c>
      <c r="AA3" s="280" t="str" cm="1">
        <f t="array" ref="AA3">INDEX(AA5:AA7,$A$4)</f>
        <v>IE-SO</v>
      </c>
      <c r="AB3" s="280" t="str" cm="1">
        <f t="array" ref="AB3">INDEX(AB5:AB7,$A$4)</f>
        <v>IE-CN</v>
      </c>
      <c r="AC3" s="280" t="str" cm="1">
        <f t="array" ref="AC3">INDEX(AC5:AC7,$A$4)</f>
        <v>IE-DL</v>
      </c>
      <c r="AD3" s="280" t="str" cm="1">
        <f t="array" ref="AD3">INDEX(AD5:AD7,$A$4)</f>
        <v>IE-MN</v>
      </c>
    </row>
    <row r="4" spans="1:30" x14ac:dyDescent="0.25">
      <c r="A4" s="279">
        <v>1</v>
      </c>
    </row>
    <row r="5" spans="1:30" x14ac:dyDescent="0.25">
      <c r="A5" s="279" t="s">
        <v>424</v>
      </c>
      <c r="C5" s="281" t="s">
        <v>425</v>
      </c>
      <c r="D5" s="281" t="s">
        <v>426</v>
      </c>
      <c r="E5" s="280" t="str">
        <f>Regions!A11</f>
        <v>IE-CW</v>
      </c>
      <c r="F5" s="280" t="str">
        <f>Regions!A16</f>
        <v>IE-D</v>
      </c>
      <c r="G5" s="280" t="str">
        <f>Regions!A19</f>
        <v>IE-KE</v>
      </c>
      <c r="H5" s="280" t="str">
        <f>Regions!A20</f>
        <v>IE-KK</v>
      </c>
      <c r="I5" s="280" t="str">
        <f>Regions!A21</f>
        <v>IE-LS</v>
      </c>
      <c r="J5" s="280" t="str">
        <f>Regions!A24</f>
        <v>IE-LD</v>
      </c>
      <c r="K5" s="280" t="str">
        <f>Regions!A25</f>
        <v>IE-LH</v>
      </c>
      <c r="L5" s="280" t="str">
        <f>Regions!A27</f>
        <v>IE-MH</v>
      </c>
      <c r="M5" s="280" t="str">
        <f>Regions!A29</f>
        <v>IE-OY</v>
      </c>
      <c r="N5" s="280" t="str">
        <f>Regions!A34</f>
        <v>IE-WH</v>
      </c>
      <c r="O5" s="280" t="str">
        <f>Regions!A35</f>
        <v>IE-WX</v>
      </c>
      <c r="P5" s="280" t="str">
        <f>Regions!A36</f>
        <v>IE-WW</v>
      </c>
      <c r="Q5" s="280" t="str">
        <f>Regions!A13</f>
        <v>IE-CE</v>
      </c>
      <c r="R5" s="280" t="str">
        <f>Regions!A14</f>
        <v>IE-CO</v>
      </c>
      <c r="S5" s="280" t="str">
        <f>Regions!A18</f>
        <v>IE-KY</v>
      </c>
      <c r="T5" s="280" t="str">
        <f>Regions!A23</f>
        <v>IE-LK</v>
      </c>
      <c r="U5" s="280" t="str">
        <f>Regions!A32</f>
        <v>IE-TA</v>
      </c>
      <c r="V5" s="280" t="str">
        <f>Regions!A33</f>
        <v>IE-WD</v>
      </c>
      <c r="W5" s="280" t="str">
        <f>Regions!A17</f>
        <v>IE-G</v>
      </c>
      <c r="X5" s="280" t="str">
        <f>Regions!A22</f>
        <v>IE-LM</v>
      </c>
      <c r="Y5" s="280" t="str">
        <f>Regions!A26</f>
        <v>IE-MO</v>
      </c>
      <c r="Z5" s="280" t="str">
        <f>Regions!A30</f>
        <v>IE-RN</v>
      </c>
      <c r="AA5" s="280" t="str">
        <f>Regions!A31</f>
        <v>IE-SO</v>
      </c>
      <c r="AB5" s="280" t="str">
        <f>Regions!A12</f>
        <v>IE-CN</v>
      </c>
      <c r="AC5" s="280" t="str">
        <f>Regions!A15</f>
        <v>IE-DL</v>
      </c>
      <c r="AD5" s="280" t="str">
        <f>Regions!A28</f>
        <v>IE-MN</v>
      </c>
    </row>
    <row r="6" spans="1:30" x14ac:dyDescent="0.25">
      <c r="A6" s="279" t="s">
        <v>427</v>
      </c>
      <c r="C6" s="280" t="str">
        <f>C5</f>
        <v>IE</v>
      </c>
      <c r="D6" s="280" t="str">
        <f>"*"&amp;D5</f>
        <v>*National</v>
      </c>
      <c r="E6" s="280" t="str">
        <f t="shared" ref="E6:AD6" si="0">"*"&amp;E5</f>
        <v>*IE-CW</v>
      </c>
      <c r="F6" s="280" t="str">
        <f t="shared" si="0"/>
        <v>*IE-D</v>
      </c>
      <c r="G6" s="280" t="str">
        <f t="shared" si="0"/>
        <v>*IE-KE</v>
      </c>
      <c r="H6" s="280" t="str">
        <f t="shared" si="0"/>
        <v>*IE-KK</v>
      </c>
      <c r="I6" s="280" t="str">
        <f t="shared" si="0"/>
        <v>*IE-LS</v>
      </c>
      <c r="J6" s="280" t="str">
        <f t="shared" si="0"/>
        <v>*IE-LD</v>
      </c>
      <c r="K6" s="280" t="str">
        <f t="shared" si="0"/>
        <v>*IE-LH</v>
      </c>
      <c r="L6" s="280" t="str">
        <f t="shared" si="0"/>
        <v>*IE-MH</v>
      </c>
      <c r="M6" s="280" t="str">
        <f t="shared" si="0"/>
        <v>*IE-OY</v>
      </c>
      <c r="N6" s="280" t="str">
        <f t="shared" si="0"/>
        <v>*IE-WH</v>
      </c>
      <c r="O6" s="280" t="str">
        <f t="shared" si="0"/>
        <v>*IE-WX</v>
      </c>
      <c r="P6" s="280" t="str">
        <f t="shared" si="0"/>
        <v>*IE-WW</v>
      </c>
      <c r="Q6" s="280" t="str">
        <f t="shared" si="0"/>
        <v>*IE-CE</v>
      </c>
      <c r="R6" s="280" t="str">
        <f t="shared" si="0"/>
        <v>*IE-CO</v>
      </c>
      <c r="S6" s="280" t="str">
        <f t="shared" si="0"/>
        <v>*IE-KY</v>
      </c>
      <c r="T6" s="280" t="str">
        <f t="shared" si="0"/>
        <v>*IE-LK</v>
      </c>
      <c r="U6" s="280" t="str">
        <f t="shared" si="0"/>
        <v>*IE-TA</v>
      </c>
      <c r="V6" s="280" t="str">
        <f t="shared" si="0"/>
        <v>*IE-WD</v>
      </c>
      <c r="W6" s="280" t="str">
        <f t="shared" si="0"/>
        <v>*IE-G</v>
      </c>
      <c r="X6" s="280" t="str">
        <f t="shared" si="0"/>
        <v>*IE-LM</v>
      </c>
      <c r="Y6" s="280" t="str">
        <f t="shared" si="0"/>
        <v>*IE-MO</v>
      </c>
      <c r="Z6" s="280" t="str">
        <f t="shared" si="0"/>
        <v>*IE-RN</v>
      </c>
      <c r="AA6" s="280" t="str">
        <f t="shared" si="0"/>
        <v>*IE-SO</v>
      </c>
      <c r="AB6" s="280" t="str">
        <f t="shared" si="0"/>
        <v>*IE-CN</v>
      </c>
      <c r="AC6" s="280" t="str">
        <f t="shared" si="0"/>
        <v>*IE-DL</v>
      </c>
      <c r="AD6" s="280" t="str">
        <f t="shared" si="0"/>
        <v>*IE-MN</v>
      </c>
    </row>
    <row r="7" spans="1:30" x14ac:dyDescent="0.25">
      <c r="A7" s="279" t="s">
        <v>428</v>
      </c>
      <c r="C7" s="280" t="str">
        <f>"*"&amp;C5</f>
        <v>*IE</v>
      </c>
      <c r="D7" s="280" t="str">
        <f>D5</f>
        <v>National</v>
      </c>
      <c r="E7" s="280" t="str">
        <f t="shared" ref="E7:AD7" si="1">E5</f>
        <v>IE-CW</v>
      </c>
      <c r="F7" s="280" t="str">
        <f t="shared" si="1"/>
        <v>IE-D</v>
      </c>
      <c r="G7" s="280" t="str">
        <f t="shared" si="1"/>
        <v>IE-KE</v>
      </c>
      <c r="H7" s="280" t="str">
        <f t="shared" si="1"/>
        <v>IE-KK</v>
      </c>
      <c r="I7" s="280" t="str">
        <f t="shared" si="1"/>
        <v>IE-LS</v>
      </c>
      <c r="J7" s="280" t="str">
        <f t="shared" si="1"/>
        <v>IE-LD</v>
      </c>
      <c r="K7" s="280" t="str">
        <f t="shared" si="1"/>
        <v>IE-LH</v>
      </c>
      <c r="L7" s="280" t="str">
        <f t="shared" si="1"/>
        <v>IE-MH</v>
      </c>
      <c r="M7" s="280" t="str">
        <f t="shared" si="1"/>
        <v>IE-OY</v>
      </c>
      <c r="N7" s="280" t="str">
        <f t="shared" si="1"/>
        <v>IE-WH</v>
      </c>
      <c r="O7" s="280" t="str">
        <f t="shared" si="1"/>
        <v>IE-WX</v>
      </c>
      <c r="P7" s="280" t="str">
        <f t="shared" si="1"/>
        <v>IE-WW</v>
      </c>
      <c r="Q7" s="280" t="str">
        <f t="shared" si="1"/>
        <v>IE-CE</v>
      </c>
      <c r="R7" s="280" t="str">
        <f t="shared" si="1"/>
        <v>IE-CO</v>
      </c>
      <c r="S7" s="280" t="str">
        <f t="shared" si="1"/>
        <v>IE-KY</v>
      </c>
      <c r="T7" s="280" t="str">
        <f t="shared" si="1"/>
        <v>IE-LK</v>
      </c>
      <c r="U7" s="280" t="str">
        <f t="shared" si="1"/>
        <v>IE-TA</v>
      </c>
      <c r="V7" s="280" t="str">
        <f t="shared" si="1"/>
        <v>IE-WD</v>
      </c>
      <c r="W7" s="280" t="str">
        <f t="shared" si="1"/>
        <v>IE-G</v>
      </c>
      <c r="X7" s="280" t="str">
        <f t="shared" si="1"/>
        <v>IE-LM</v>
      </c>
      <c r="Y7" s="280" t="str">
        <f t="shared" si="1"/>
        <v>IE-MO</v>
      </c>
      <c r="Z7" s="280" t="str">
        <f t="shared" si="1"/>
        <v>IE-RN</v>
      </c>
      <c r="AA7" s="280" t="str">
        <f t="shared" si="1"/>
        <v>IE-SO</v>
      </c>
      <c r="AB7" s="280" t="str">
        <f t="shared" si="1"/>
        <v>IE-CN</v>
      </c>
      <c r="AC7" s="280" t="str">
        <f t="shared" si="1"/>
        <v>IE-DL</v>
      </c>
      <c r="AD7" s="280" t="str">
        <f t="shared" si="1"/>
        <v>IE-MN</v>
      </c>
    </row>
    <row r="10" spans="1:30" ht="15.75" thickBot="1" x14ac:dyDescent="0.3">
      <c r="A10" s="282" t="s">
        <v>84</v>
      </c>
      <c r="B10" s="282" t="s">
        <v>429</v>
      </c>
    </row>
    <row r="11" spans="1:30" x14ac:dyDescent="0.25">
      <c r="A11" s="283" t="s">
        <v>430</v>
      </c>
      <c r="B11" s="283" t="s">
        <v>431</v>
      </c>
    </row>
    <row r="12" spans="1:30" x14ac:dyDescent="0.25">
      <c r="A12" s="284" t="s">
        <v>432</v>
      </c>
      <c r="B12" s="284" t="s">
        <v>433</v>
      </c>
    </row>
    <row r="13" spans="1:30" x14ac:dyDescent="0.25">
      <c r="A13" s="284" t="s">
        <v>434</v>
      </c>
      <c r="B13" s="284" t="s">
        <v>435</v>
      </c>
    </row>
    <row r="14" spans="1:30" x14ac:dyDescent="0.25">
      <c r="A14" s="284" t="s">
        <v>436</v>
      </c>
      <c r="B14" s="284" t="s">
        <v>437</v>
      </c>
    </row>
    <row r="15" spans="1:30" x14ac:dyDescent="0.25">
      <c r="A15" s="284" t="s">
        <v>438</v>
      </c>
      <c r="B15" s="284" t="s">
        <v>439</v>
      </c>
    </row>
    <row r="16" spans="1:30" x14ac:dyDescent="0.25">
      <c r="A16" s="284" t="s">
        <v>440</v>
      </c>
      <c r="B16" s="284" t="s">
        <v>441</v>
      </c>
    </row>
    <row r="17" spans="1:2" x14ac:dyDescent="0.25">
      <c r="A17" s="284" t="s">
        <v>442</v>
      </c>
      <c r="B17" s="284" t="s">
        <v>443</v>
      </c>
    </row>
    <row r="18" spans="1:2" x14ac:dyDescent="0.25">
      <c r="A18" s="284" t="s">
        <v>444</v>
      </c>
      <c r="B18" s="284" t="s">
        <v>445</v>
      </c>
    </row>
    <row r="19" spans="1:2" x14ac:dyDescent="0.25">
      <c r="A19" s="284" t="s">
        <v>446</v>
      </c>
      <c r="B19" s="284" t="s">
        <v>447</v>
      </c>
    </row>
    <row r="20" spans="1:2" x14ac:dyDescent="0.25">
      <c r="A20" s="284" t="s">
        <v>448</v>
      </c>
      <c r="B20" s="284" t="s">
        <v>449</v>
      </c>
    </row>
    <row r="21" spans="1:2" x14ac:dyDescent="0.25">
      <c r="A21" s="284" t="s">
        <v>450</v>
      </c>
      <c r="B21" s="284" t="s">
        <v>451</v>
      </c>
    </row>
    <row r="22" spans="1:2" x14ac:dyDescent="0.25">
      <c r="A22" s="284" t="s">
        <v>452</v>
      </c>
      <c r="B22" s="284" t="s">
        <v>453</v>
      </c>
    </row>
    <row r="23" spans="1:2" x14ac:dyDescent="0.25">
      <c r="A23" s="284" t="s">
        <v>454</v>
      </c>
      <c r="B23" s="284" t="s">
        <v>455</v>
      </c>
    </row>
    <row r="24" spans="1:2" x14ac:dyDescent="0.25">
      <c r="A24" s="284" t="s">
        <v>456</v>
      </c>
      <c r="B24" s="284" t="s">
        <v>457</v>
      </c>
    </row>
    <row r="25" spans="1:2" x14ac:dyDescent="0.25">
      <c r="A25" s="284" t="s">
        <v>458</v>
      </c>
      <c r="B25" s="284" t="s">
        <v>459</v>
      </c>
    </row>
    <row r="26" spans="1:2" x14ac:dyDescent="0.25">
      <c r="A26" s="284" t="s">
        <v>460</v>
      </c>
      <c r="B26" s="284" t="s">
        <v>461</v>
      </c>
    </row>
    <row r="27" spans="1:2" x14ac:dyDescent="0.25">
      <c r="A27" s="284" t="s">
        <v>462</v>
      </c>
      <c r="B27" s="284" t="s">
        <v>463</v>
      </c>
    </row>
    <row r="28" spans="1:2" x14ac:dyDescent="0.25">
      <c r="A28" s="284" t="s">
        <v>464</v>
      </c>
      <c r="B28" s="284" t="s">
        <v>465</v>
      </c>
    </row>
    <row r="29" spans="1:2" x14ac:dyDescent="0.25">
      <c r="A29" s="284" t="s">
        <v>466</v>
      </c>
      <c r="B29" s="284" t="s">
        <v>467</v>
      </c>
    </row>
    <row r="30" spans="1:2" x14ac:dyDescent="0.25">
      <c r="A30" s="284" t="s">
        <v>468</v>
      </c>
      <c r="B30" s="284" t="s">
        <v>469</v>
      </c>
    </row>
    <row r="31" spans="1:2" x14ac:dyDescent="0.25">
      <c r="A31" s="284" t="s">
        <v>470</v>
      </c>
      <c r="B31" s="284" t="s">
        <v>471</v>
      </c>
    </row>
    <row r="32" spans="1:2" x14ac:dyDescent="0.25">
      <c r="A32" s="284" t="s">
        <v>472</v>
      </c>
      <c r="B32" s="284" t="s">
        <v>473</v>
      </c>
    </row>
    <row r="33" spans="1:2" x14ac:dyDescent="0.25">
      <c r="A33" s="284" t="s">
        <v>474</v>
      </c>
      <c r="B33" s="284" t="s">
        <v>475</v>
      </c>
    </row>
    <row r="34" spans="1:2" x14ac:dyDescent="0.25">
      <c r="A34" s="284" t="s">
        <v>476</v>
      </c>
      <c r="B34" s="284" t="s">
        <v>477</v>
      </c>
    </row>
    <row r="35" spans="1:2" x14ac:dyDescent="0.25">
      <c r="A35" s="284" t="s">
        <v>478</v>
      </c>
      <c r="B35" s="284" t="s">
        <v>479</v>
      </c>
    </row>
    <row r="36" spans="1:2" x14ac:dyDescent="0.25">
      <c r="A36" s="284" t="s">
        <v>480</v>
      </c>
      <c r="B36" s="284" t="s">
        <v>481</v>
      </c>
    </row>
    <row r="37" spans="1:2" x14ac:dyDescent="0.25">
      <c r="A37" s="285" t="s">
        <v>482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AO4" activePane="bottomRight" state="frozen"/>
      <selection activeCell="B21" sqref="B21"/>
      <selection pane="topRight" activeCell="B21" sqref="B21"/>
      <selection pane="bottomLeft" activeCell="B21" sqref="B21"/>
      <selection pane="bottomRight" activeCell="O71" sqref="O71"/>
    </sheetView>
  </sheetViews>
  <sheetFormatPr defaultRowHeight="15" x14ac:dyDescent="0.25"/>
  <cols>
    <col min="1" max="1" width="26" style="34" customWidth="1"/>
    <col min="2" max="2" width="64.7109375" style="34" customWidth="1"/>
    <col min="3" max="3" width="15.85546875" style="34" bestFit="1" customWidth="1"/>
    <col min="4" max="4" width="16.7109375" style="34" bestFit="1" customWidth="1"/>
    <col min="5" max="5" width="20.85546875" style="34" bestFit="1" customWidth="1"/>
    <col min="6" max="33" width="11.140625" style="34" customWidth="1"/>
    <col min="34" max="34" width="11.140625" style="288" customWidth="1"/>
    <col min="35" max="36" width="11.140625" style="34" customWidth="1"/>
    <col min="37" max="37" width="9.85546875" style="34" customWidth="1"/>
    <col min="38" max="40" width="8.28515625" style="34" customWidth="1"/>
    <col min="41" max="41" width="69.85546875" style="34" bestFit="1" customWidth="1"/>
    <col min="42" max="42" width="10.42578125" style="36" customWidth="1"/>
    <col min="43" max="44" width="15.5703125" style="36" customWidth="1"/>
    <col min="45" max="45" width="21.28515625" style="36" bestFit="1" customWidth="1"/>
    <col min="46" max="46" width="64.28515625" style="36" bestFit="1" customWidth="1"/>
    <col min="47" max="49" width="9.140625" style="36"/>
    <col min="50" max="50" width="10.28515625" style="36" bestFit="1" customWidth="1"/>
    <col min="51" max="16384" width="9.140625" style="36"/>
  </cols>
  <sheetData>
    <row r="1" spans="1:51" ht="23.25" x14ac:dyDescent="0.25">
      <c r="A1" s="66" t="s">
        <v>515</v>
      </c>
      <c r="B1" s="66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AB1" s="91"/>
    </row>
    <row r="2" spans="1:51" ht="37.5" customHeight="1" x14ac:dyDescent="0.25">
      <c r="A2" s="94" t="s">
        <v>84</v>
      </c>
      <c r="B2" s="94" t="s">
        <v>83</v>
      </c>
      <c r="C2" s="94" t="s">
        <v>106</v>
      </c>
      <c r="D2" s="214" t="s">
        <v>417</v>
      </c>
      <c r="E2" s="94" t="s">
        <v>61</v>
      </c>
      <c r="F2" s="438" t="s">
        <v>418</v>
      </c>
      <c r="G2" s="438"/>
      <c r="H2" s="438"/>
      <c r="I2" s="438"/>
      <c r="J2" s="438"/>
      <c r="K2" s="438" t="s">
        <v>419</v>
      </c>
      <c r="L2" s="438"/>
      <c r="M2" s="438"/>
      <c r="N2" s="438"/>
      <c r="O2" s="438"/>
      <c r="P2" s="438" t="s">
        <v>420</v>
      </c>
      <c r="Q2" s="438"/>
      <c r="R2" s="438"/>
      <c r="S2" s="438"/>
      <c r="T2" s="438"/>
      <c r="U2" s="438" t="s">
        <v>112</v>
      </c>
      <c r="V2" s="438"/>
      <c r="W2" s="438" t="s">
        <v>109</v>
      </c>
      <c r="X2" s="438"/>
      <c r="Y2" s="438"/>
      <c r="Z2" s="438"/>
      <c r="AA2" s="438"/>
      <c r="AB2" s="438" t="s">
        <v>110</v>
      </c>
      <c r="AC2" s="438"/>
      <c r="AD2" s="438"/>
      <c r="AE2" s="438"/>
      <c r="AF2" s="438"/>
      <c r="AG2" s="95" t="s">
        <v>150</v>
      </c>
      <c r="AH2" s="289" t="s">
        <v>151</v>
      </c>
      <c r="AI2" s="438" t="s">
        <v>161</v>
      </c>
      <c r="AJ2" s="438"/>
      <c r="AK2" s="95" t="s">
        <v>62</v>
      </c>
      <c r="AL2" s="95" t="s">
        <v>63</v>
      </c>
      <c r="AM2" s="438" t="s">
        <v>154</v>
      </c>
      <c r="AN2" s="438"/>
      <c r="AO2" s="94" t="s">
        <v>5</v>
      </c>
      <c r="AP2" s="37"/>
      <c r="AQ2" s="37"/>
      <c r="AR2" s="37"/>
    </row>
    <row r="3" spans="1:51" ht="15.75" thickBot="1" x14ac:dyDescent="0.3">
      <c r="A3" s="96"/>
      <c r="B3" s="96"/>
      <c r="C3" s="96"/>
      <c r="D3" s="96"/>
      <c r="E3" s="97"/>
      <c r="F3" s="98" t="s">
        <v>108</v>
      </c>
      <c r="G3" s="98">
        <v>2020</v>
      </c>
      <c r="H3" s="98">
        <v>2030</v>
      </c>
      <c r="I3" s="98">
        <v>2040</v>
      </c>
      <c r="J3" s="98">
        <v>2050</v>
      </c>
      <c r="K3" s="98" t="s">
        <v>108</v>
      </c>
      <c r="L3" s="98">
        <v>2020</v>
      </c>
      <c r="M3" s="98">
        <v>2030</v>
      </c>
      <c r="N3" s="98">
        <v>2040</v>
      </c>
      <c r="O3" s="98">
        <v>2050</v>
      </c>
      <c r="P3" s="98" t="s">
        <v>108</v>
      </c>
      <c r="Q3" s="98">
        <v>2020</v>
      </c>
      <c r="R3" s="98">
        <v>2030</v>
      </c>
      <c r="S3" s="98">
        <v>2040</v>
      </c>
      <c r="T3" s="98">
        <v>2050</v>
      </c>
      <c r="U3" s="98" t="s">
        <v>108</v>
      </c>
      <c r="V3" s="98">
        <v>2030</v>
      </c>
      <c r="W3" s="98" t="s">
        <v>108</v>
      </c>
      <c r="X3" s="98">
        <v>2020</v>
      </c>
      <c r="Y3" s="98">
        <v>2030</v>
      </c>
      <c r="Z3" s="98">
        <v>2040</v>
      </c>
      <c r="AA3" s="98">
        <v>2050</v>
      </c>
      <c r="AB3" s="98" t="s">
        <v>108</v>
      </c>
      <c r="AC3" s="98">
        <v>2020</v>
      </c>
      <c r="AD3" s="98">
        <v>2030</v>
      </c>
      <c r="AE3" s="98">
        <v>2040</v>
      </c>
      <c r="AF3" s="98">
        <v>2050</v>
      </c>
      <c r="AG3" s="99"/>
      <c r="AH3" s="290"/>
      <c r="AI3" s="98" t="s">
        <v>22</v>
      </c>
      <c r="AJ3" s="98" t="s">
        <v>160</v>
      </c>
      <c r="AK3" s="99"/>
      <c r="AL3" s="99"/>
      <c r="AM3" s="98" t="str">
        <f>B42</f>
        <v>CS</v>
      </c>
      <c r="AN3" s="98" t="str">
        <f>B83</f>
        <v>PU</v>
      </c>
      <c r="AO3" s="96"/>
      <c r="AP3" s="37"/>
      <c r="AQ3" s="37"/>
      <c r="AR3" s="37"/>
    </row>
    <row r="4" spans="1:51" s="182" customFormat="1" x14ac:dyDescent="0.25">
      <c r="A4" s="82" t="s">
        <v>100</v>
      </c>
      <c r="B4" s="82"/>
      <c r="C4" s="82"/>
      <c r="E4" s="82"/>
      <c r="F4" s="82"/>
      <c r="G4" s="82"/>
      <c r="H4" s="82"/>
      <c r="I4" s="82"/>
      <c r="J4" s="82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291"/>
      <c r="AI4" s="82"/>
      <c r="AJ4" s="82"/>
      <c r="AK4" s="82"/>
      <c r="AL4" s="82"/>
      <c r="AM4" s="82"/>
      <c r="AN4" s="82"/>
      <c r="AO4" s="82"/>
      <c r="AQ4" s="83"/>
      <c r="AR4" s="177"/>
      <c r="AS4" s="83"/>
      <c r="AT4" s="83"/>
      <c r="AU4" s="83"/>
      <c r="AV4" s="83"/>
      <c r="AW4" s="83"/>
      <c r="AX4" s="83"/>
      <c r="AY4" s="83"/>
    </row>
    <row r="5" spans="1:51" x14ac:dyDescent="0.25">
      <c r="A5" s="36" t="s">
        <v>390</v>
      </c>
      <c r="B5" s="36" t="s">
        <v>79</v>
      </c>
      <c r="C5" s="36" t="str">
        <f>Legend!$C$46</f>
        <v>SRVOIL</v>
      </c>
      <c r="D5" s="36"/>
      <c r="E5" s="36" t="str">
        <f>CONCATENATE(Legend!$C$4,Legend!$C$32)</f>
        <v>SRVSH</v>
      </c>
      <c r="F5" s="353">
        <f>'JRC data'!AC8/'JRC data'!$AC$8</f>
        <v>1</v>
      </c>
      <c r="G5" s="353">
        <f>'JRC data'!AD8/'JRC data'!$AC$8</f>
        <v>1</v>
      </c>
      <c r="H5" s="353">
        <f>'JRC data'!AE8/'JRC data'!$AC$8</f>
        <v>1</v>
      </c>
      <c r="I5" s="353">
        <f>'JRC data'!AF8/'JRC data'!$AC$8</f>
        <v>1</v>
      </c>
      <c r="J5" s="353">
        <f>'JRC data'!AG8/'JRC data'!$AC$8</f>
        <v>1</v>
      </c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5">
        <f>'JRC data'!AX8</f>
        <v>20</v>
      </c>
      <c r="V5" s="355"/>
      <c r="W5" s="356">
        <f>'JRC data'!BB8</f>
        <v>32000</v>
      </c>
      <c r="X5" s="356">
        <f>'JRC data'!BC8</f>
        <v>32000</v>
      </c>
      <c r="Y5" s="356">
        <f>'JRC data'!BD8</f>
        <v>32000</v>
      </c>
      <c r="Z5" s="356">
        <f>'JRC data'!BE8</f>
        <v>32000</v>
      </c>
      <c r="AA5" s="356">
        <f>'JRC data'!BF8</f>
        <v>32000</v>
      </c>
      <c r="AB5" s="356">
        <f>W5/'JRC data'!D8</f>
        <v>80</v>
      </c>
      <c r="AC5" s="356">
        <f>X5/'JRC data'!E8</f>
        <v>80</v>
      </c>
      <c r="AD5" s="356">
        <f>Y5/'JRC data'!F8</f>
        <v>80</v>
      </c>
      <c r="AE5" s="356">
        <f>Z5/'JRC data'!G8</f>
        <v>80</v>
      </c>
      <c r="AF5" s="356">
        <f>AA5/'JRC data'!H8</f>
        <v>80</v>
      </c>
      <c r="AG5" s="357">
        <f>'JRC data'!CG8</f>
        <v>1.25</v>
      </c>
      <c r="AH5" s="358">
        <f>'JRC data'!BQ8</f>
        <v>0</v>
      </c>
      <c r="AI5" s="39"/>
      <c r="AJ5" s="39"/>
      <c r="AK5" s="36"/>
      <c r="AL5" s="36"/>
      <c r="AM5" s="262" t="s">
        <v>155</v>
      </c>
      <c r="AN5" s="262" t="s">
        <v>155</v>
      </c>
      <c r="AO5" s="36"/>
    </row>
    <row r="6" spans="1:51" x14ac:dyDescent="0.25">
      <c r="A6" s="36" t="s">
        <v>391</v>
      </c>
      <c r="B6" s="36" t="s">
        <v>75</v>
      </c>
      <c r="C6" s="36" t="str">
        <f>Legend!$C$46</f>
        <v>SRVOIL</v>
      </c>
      <c r="D6" s="36"/>
      <c r="E6" s="36" t="str">
        <f>CONCATENATE(Legend!$C$4,Legend!$C$32,", ",Legend!$C$4,Legend!$C$33,)</f>
        <v>SRVSH, SRVWH</v>
      </c>
      <c r="F6" s="260">
        <f>F5</f>
        <v>1</v>
      </c>
      <c r="G6" s="260">
        <f t="shared" ref="G6:J6" si="0">G5</f>
        <v>1</v>
      </c>
      <c r="H6" s="260">
        <f t="shared" si="0"/>
        <v>1</v>
      </c>
      <c r="I6" s="260">
        <f t="shared" si="0"/>
        <v>1</v>
      </c>
      <c r="J6" s="260">
        <f t="shared" si="0"/>
        <v>1</v>
      </c>
      <c r="K6" s="354"/>
      <c r="L6" s="354"/>
      <c r="M6" s="354"/>
      <c r="N6" s="354"/>
      <c r="O6" s="354"/>
      <c r="P6" s="354">
        <f>F6*0.7</f>
        <v>0.7</v>
      </c>
      <c r="Q6" s="354">
        <f>G6*0.7</f>
        <v>0.7</v>
      </c>
      <c r="R6" s="354">
        <f>H6*0.7</f>
        <v>0.7</v>
      </c>
      <c r="S6" s="354">
        <f>I6*0.7</f>
        <v>0.7</v>
      </c>
      <c r="T6" s="354">
        <f>J6*0.7</f>
        <v>0.7</v>
      </c>
      <c r="U6" s="355">
        <f>U5</f>
        <v>20</v>
      </c>
      <c r="V6" s="355"/>
      <c r="W6" s="356">
        <f t="shared" ref="W6:AF6" si="1">W5*$AK$6</f>
        <v>33600</v>
      </c>
      <c r="X6" s="356">
        <f t="shared" si="1"/>
        <v>33600</v>
      </c>
      <c r="Y6" s="356">
        <f t="shared" si="1"/>
        <v>33600</v>
      </c>
      <c r="Z6" s="356">
        <f t="shared" si="1"/>
        <v>33600</v>
      </c>
      <c r="AA6" s="356">
        <f t="shared" si="1"/>
        <v>33600</v>
      </c>
      <c r="AB6" s="356">
        <f t="shared" si="1"/>
        <v>84</v>
      </c>
      <c r="AC6" s="356">
        <f t="shared" si="1"/>
        <v>84</v>
      </c>
      <c r="AD6" s="356">
        <f t="shared" si="1"/>
        <v>84</v>
      </c>
      <c r="AE6" s="356">
        <f t="shared" si="1"/>
        <v>84</v>
      </c>
      <c r="AF6" s="356">
        <f t="shared" si="1"/>
        <v>84</v>
      </c>
      <c r="AG6" s="357">
        <f>AG5</f>
        <v>1.25</v>
      </c>
      <c r="AH6" s="358">
        <f>AH5</f>
        <v>0</v>
      </c>
      <c r="AI6" s="39"/>
      <c r="AJ6" s="39"/>
      <c r="AK6" s="260">
        <v>1.05</v>
      </c>
      <c r="AL6" s="36"/>
      <c r="AM6" s="262" t="s">
        <v>155</v>
      </c>
      <c r="AN6" s="262" t="s">
        <v>155</v>
      </c>
      <c r="AO6" s="36"/>
    </row>
    <row r="7" spans="1:51" x14ac:dyDescent="0.25">
      <c r="A7" s="36" t="s">
        <v>392</v>
      </c>
      <c r="B7" s="36" t="s">
        <v>80</v>
      </c>
      <c r="C7" s="36" t="str">
        <f>Legend!$C$47</f>
        <v>SRVGAS</v>
      </c>
      <c r="D7" s="36"/>
      <c r="E7" s="36" t="str">
        <f>CONCATENATE(Legend!$C$4,Legend!$C$32)</f>
        <v>SRVSH</v>
      </c>
      <c r="F7" s="353">
        <f>'JRC data'!AC10/'JRC data'!$AC$10</f>
        <v>1</v>
      </c>
      <c r="G7" s="353">
        <f>'JRC data'!AD10/'JRC data'!$AC$10</f>
        <v>1</v>
      </c>
      <c r="H7" s="353">
        <f>'JRC data'!AE10/'JRC data'!$AC$10</f>
        <v>1</v>
      </c>
      <c r="I7" s="353">
        <f>'JRC data'!AF10/'JRC data'!$AC$10</f>
        <v>1</v>
      </c>
      <c r="J7" s="353">
        <f>'JRC data'!AG10/'JRC data'!$AC$10</f>
        <v>1</v>
      </c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5">
        <f>'JRC data'!AX10</f>
        <v>25</v>
      </c>
      <c r="V7" s="355"/>
      <c r="W7" s="356">
        <f>'JRC data'!BB10</f>
        <v>22500</v>
      </c>
      <c r="X7" s="356">
        <f>'JRC data'!BC10</f>
        <v>20000</v>
      </c>
      <c r="Y7" s="356">
        <f>'JRC data'!BD10</f>
        <v>17500</v>
      </c>
      <c r="Z7" s="356">
        <f>'JRC data'!BE10</f>
        <v>17500</v>
      </c>
      <c r="AA7" s="356">
        <f>'JRC data'!BF10</f>
        <v>17500</v>
      </c>
      <c r="AB7" s="356">
        <f>W7/'JRC data'!D10</f>
        <v>58.441558441558442</v>
      </c>
      <c r="AC7" s="356">
        <f>X7/'JRC data'!E10</f>
        <v>51.948051948051948</v>
      </c>
      <c r="AD7" s="356">
        <f>Y7/'JRC data'!F10</f>
        <v>45.454545454545453</v>
      </c>
      <c r="AE7" s="356">
        <f>Z7/'JRC data'!G10</f>
        <v>45.454545454545453</v>
      </c>
      <c r="AF7" s="356">
        <f>AA7/'JRC data'!H10</f>
        <v>45.454545454545453</v>
      </c>
      <c r="AG7" s="357">
        <f>'JRC data'!CG10</f>
        <v>4</v>
      </c>
      <c r="AH7" s="358">
        <f>'JRC data'!BQ10</f>
        <v>2</v>
      </c>
      <c r="AI7" s="39"/>
      <c r="AJ7" s="39"/>
      <c r="AK7" s="36"/>
      <c r="AL7" s="36"/>
      <c r="AM7" s="262" t="s">
        <v>155</v>
      </c>
      <c r="AN7" s="262" t="s">
        <v>155</v>
      </c>
      <c r="AO7" s="36"/>
    </row>
    <row r="8" spans="1:51" x14ac:dyDescent="0.25">
      <c r="A8" s="36" t="s">
        <v>393</v>
      </c>
      <c r="B8" s="36" t="s">
        <v>76</v>
      </c>
      <c r="C8" s="36" t="str">
        <f>Legend!$C$47</f>
        <v>SRVGAS</v>
      </c>
      <c r="D8" s="36"/>
      <c r="E8" s="36" t="str">
        <f>CONCATENATE(Legend!$C$4,Legend!$C$32,", ",Legend!$C$4,Legend!$C$33,)</f>
        <v>SRVSH, SRVWH</v>
      </c>
      <c r="F8" s="260">
        <f>F7</f>
        <v>1</v>
      </c>
      <c r="G8" s="260">
        <f>G7</f>
        <v>1</v>
      </c>
      <c r="H8" s="260">
        <f>H7</f>
        <v>1</v>
      </c>
      <c r="I8" s="260">
        <f>I7</f>
        <v>1</v>
      </c>
      <c r="J8" s="260">
        <f>J7</f>
        <v>1</v>
      </c>
      <c r="K8" s="354"/>
      <c r="L8" s="354"/>
      <c r="M8" s="354"/>
      <c r="N8" s="354"/>
      <c r="O8" s="354"/>
      <c r="P8" s="354">
        <f t="shared" ref="P8:T10" si="2">F8*0.7</f>
        <v>0.7</v>
      </c>
      <c r="Q8" s="354">
        <f t="shared" si="2"/>
        <v>0.7</v>
      </c>
      <c r="R8" s="354">
        <f t="shared" si="2"/>
        <v>0.7</v>
      </c>
      <c r="S8" s="354">
        <f t="shared" si="2"/>
        <v>0.7</v>
      </c>
      <c r="T8" s="354">
        <f t="shared" si="2"/>
        <v>0.7</v>
      </c>
      <c r="U8" s="355">
        <f>U7</f>
        <v>25</v>
      </c>
      <c r="V8" s="355"/>
      <c r="W8" s="356">
        <f>W7*$AK$8</f>
        <v>23625</v>
      </c>
      <c r="X8" s="356">
        <f t="shared" ref="X8:AF8" si="3">X7*$AK$8</f>
        <v>21000</v>
      </c>
      <c r="Y8" s="356">
        <f t="shared" si="3"/>
        <v>18375</v>
      </c>
      <c r="Z8" s="356">
        <f t="shared" si="3"/>
        <v>18375</v>
      </c>
      <c r="AA8" s="356">
        <f t="shared" si="3"/>
        <v>18375</v>
      </c>
      <c r="AB8" s="356">
        <f t="shared" si="3"/>
        <v>61.363636363636367</v>
      </c>
      <c r="AC8" s="356">
        <f t="shared" si="3"/>
        <v>54.545454545454547</v>
      </c>
      <c r="AD8" s="356">
        <f t="shared" si="3"/>
        <v>47.727272727272727</v>
      </c>
      <c r="AE8" s="356">
        <f t="shared" si="3"/>
        <v>47.727272727272727</v>
      </c>
      <c r="AF8" s="356">
        <f t="shared" si="3"/>
        <v>47.727272727272727</v>
      </c>
      <c r="AG8" s="357">
        <f>AG7</f>
        <v>4</v>
      </c>
      <c r="AH8" s="358">
        <f>AH7</f>
        <v>2</v>
      </c>
      <c r="AI8" s="39"/>
      <c r="AJ8" s="39"/>
      <c r="AK8" s="260">
        <v>1.05</v>
      </c>
      <c r="AL8" s="36"/>
      <c r="AM8" s="262" t="s">
        <v>155</v>
      </c>
      <c r="AN8" s="262" t="s">
        <v>155</v>
      </c>
      <c r="AO8" s="36"/>
    </row>
    <row r="9" spans="1:51" x14ac:dyDescent="0.25">
      <c r="A9" s="36" t="s">
        <v>421</v>
      </c>
      <c r="B9" s="36" t="s">
        <v>77</v>
      </c>
      <c r="C9" s="36" t="str">
        <f>Legend!$C$47&amp;", "&amp;Legend!$C$50</f>
        <v>SRVGAS, SRVSOL</v>
      </c>
      <c r="D9" s="36"/>
      <c r="E9" s="36" t="str">
        <f>CONCATENATE(Legend!$C$4,Legend!$C$32,", ",Legend!$C$4,Legend!$C$33,)</f>
        <v>SRVSH, SRVWH</v>
      </c>
      <c r="F9" s="260">
        <f>F7</f>
        <v>1</v>
      </c>
      <c r="G9" s="260">
        <f t="shared" ref="G9:J9" si="4">G7</f>
        <v>1</v>
      </c>
      <c r="H9" s="260">
        <f t="shared" si="4"/>
        <v>1</v>
      </c>
      <c r="I9" s="260">
        <f t="shared" si="4"/>
        <v>1</v>
      </c>
      <c r="J9" s="260">
        <f t="shared" si="4"/>
        <v>1</v>
      </c>
      <c r="K9" s="354"/>
      <c r="L9" s="354"/>
      <c r="M9" s="354"/>
      <c r="N9" s="354"/>
      <c r="O9" s="354"/>
      <c r="P9" s="354">
        <f>F9*0.7</f>
        <v>0.7</v>
      </c>
      <c r="Q9" s="354">
        <f>G9*0.7</f>
        <v>0.7</v>
      </c>
      <c r="R9" s="354">
        <f>H9*0.7</f>
        <v>0.7</v>
      </c>
      <c r="S9" s="354">
        <f>I9*0.7</f>
        <v>0.7</v>
      </c>
      <c r="T9" s="354">
        <f>J9*0.7</f>
        <v>0.7</v>
      </c>
      <c r="U9" s="355">
        <f>MIN('JRC data'!AX10,'JRC data'!AX46)</f>
        <v>25</v>
      </c>
      <c r="V9" s="355"/>
      <c r="W9" s="356">
        <f>'JRC data'!BB46+W7</f>
        <v>112500</v>
      </c>
      <c r="X9" s="356">
        <f>'JRC data'!BC46+X7</f>
        <v>110000</v>
      </c>
      <c r="Y9" s="356">
        <f>'JRC data'!BD46+Y7</f>
        <v>107500</v>
      </c>
      <c r="Z9" s="356">
        <f>'JRC data'!BE46+Z7</f>
        <v>107500</v>
      </c>
      <c r="AA9" s="356">
        <f>'JRC data'!BF46+AA7</f>
        <v>107500</v>
      </c>
      <c r="AB9" s="356">
        <f>W9/('JRC data'!D10+'JRC data'!D46)</f>
        <v>214.28571428571428</v>
      </c>
      <c r="AC9" s="356">
        <f>X9/('JRC data'!E10+'JRC data'!E46)</f>
        <v>209.52380952380952</v>
      </c>
      <c r="AD9" s="356">
        <f>Y9/('JRC data'!F10+'JRC data'!F46)</f>
        <v>204.76190476190476</v>
      </c>
      <c r="AE9" s="356">
        <f>Z9/('JRC data'!G10+'JRC data'!G46)</f>
        <v>204.76190476190476</v>
      </c>
      <c r="AF9" s="356">
        <f>AA9/('JRC data'!H10+'JRC data'!H46)</f>
        <v>204.76190476190476</v>
      </c>
      <c r="AG9" s="357">
        <f>('JRC data'!CG46+'JRC data'!CG10)*0.8</f>
        <v>6.6285714285714281</v>
      </c>
      <c r="AH9" s="358">
        <f>'JRC data'!BQ46</f>
        <v>0</v>
      </c>
      <c r="AI9" s="52">
        <f>('JRC data'!P46/100)/((1-'JRC data'!N46/100)/'JRC data'!AC10+'JRC data'!N46/100)</f>
        <v>0.1221556886227545</v>
      </c>
      <c r="AJ9" s="52"/>
      <c r="AK9" s="52"/>
      <c r="AL9" s="46"/>
      <c r="AM9" s="262" t="s">
        <v>155</v>
      </c>
      <c r="AN9" s="262" t="s">
        <v>155</v>
      </c>
      <c r="AO9" s="36"/>
    </row>
    <row r="10" spans="1:51" x14ac:dyDescent="0.25">
      <c r="A10" s="36" t="s">
        <v>422</v>
      </c>
      <c r="B10" s="36" t="s">
        <v>78</v>
      </c>
      <c r="C10" s="36" t="str">
        <f>Legend!$C$47&amp;", "&amp;Legend!$C$48</f>
        <v>SRVGAS, SRVBIO</v>
      </c>
      <c r="D10" s="36"/>
      <c r="E10" s="36" t="str">
        <f>CONCATENATE(Legend!$C$4,Legend!$C$32,", ",Legend!$C$4,Legend!$C$33,)</f>
        <v>SRVSH, SRVWH</v>
      </c>
      <c r="F10" s="260">
        <f>('JRC data'!AC13*('JRC data'!N13/100))+('JRC data'!AC10*(1-'JRC data'!N13/100))/'JRC data'!$AC$10</f>
        <v>0.86</v>
      </c>
      <c r="G10" s="260">
        <f>('JRC data'!AD13*('JRC data'!O13/100))+('JRC data'!AD10*(1-'JRC data'!O13/100))/'JRC data'!$AC$10</f>
        <v>0.87999999999999989</v>
      </c>
      <c r="H10" s="260">
        <f>('JRC data'!AE13*('JRC data'!P13/100))+('JRC data'!AE10*(1-'JRC data'!P13/100))/'JRC data'!$AC$10</f>
        <v>0.9</v>
      </c>
      <c r="I10" s="260">
        <f>('JRC data'!AF13*('JRC data'!Q13/100))+('JRC data'!AF10*(1-'JRC data'!Q13/100))/'JRC data'!$AC$10</f>
        <v>0.9</v>
      </c>
      <c r="J10" s="260">
        <f>('JRC data'!AG13*('JRC data'!R13/100))+('JRC data'!AG10*(1-'JRC data'!R13/100))/'JRC data'!$AC$10</f>
        <v>0.9</v>
      </c>
      <c r="K10" s="354"/>
      <c r="L10" s="354"/>
      <c r="M10" s="354"/>
      <c r="N10" s="354"/>
      <c r="O10" s="354"/>
      <c r="P10" s="354">
        <f t="shared" si="2"/>
        <v>0.60199999999999998</v>
      </c>
      <c r="Q10" s="354">
        <f t="shared" si="2"/>
        <v>0.61599999999999988</v>
      </c>
      <c r="R10" s="354">
        <f t="shared" si="2"/>
        <v>0.63</v>
      </c>
      <c r="S10" s="354">
        <f t="shared" si="2"/>
        <v>0.63</v>
      </c>
      <c r="T10" s="354">
        <f t="shared" si="2"/>
        <v>0.63</v>
      </c>
      <c r="U10" s="355">
        <f>MIN('JRC data'!AX10,'JRC data'!AX13)</f>
        <v>24</v>
      </c>
      <c r="V10" s="355"/>
      <c r="W10" s="356">
        <f>'JRC data'!BB13+W7+'JRC data'!BG13</f>
        <v>26700</v>
      </c>
      <c r="X10" s="356">
        <f>'JRC data'!BC13+X7+'JRC data'!BH13</f>
        <v>24200</v>
      </c>
      <c r="Y10" s="356">
        <f>'JRC data'!BD13+Y7+'JRC data'!BI13</f>
        <v>22600</v>
      </c>
      <c r="Z10" s="356">
        <f>'JRC data'!BE13+Z7+'JRC data'!BJ13</f>
        <v>22600</v>
      </c>
      <c r="AA10" s="356">
        <f>'JRC data'!BF13+AA7+'JRC data'!BK13</f>
        <v>22600</v>
      </c>
      <c r="AB10" s="356">
        <f>W10/('JRC data'!D10+'JRC data'!D13)</f>
        <v>68.41768097373479</v>
      </c>
      <c r="AC10" s="356">
        <f>X10/('JRC data'!E10+'JRC data'!E13)</f>
        <v>62.011531069827036</v>
      </c>
      <c r="AD10" s="356">
        <f>Y10/('JRC data'!F10+'JRC data'!F13)</f>
        <v>57.911595131326074</v>
      </c>
      <c r="AE10" s="356">
        <f>Z10/('JRC data'!G10+'JRC data'!G13)</f>
        <v>57.911595131326074</v>
      </c>
      <c r="AF10" s="356">
        <f>AA10/('JRC data'!H10+'JRC data'!H13)</f>
        <v>57.911595131326074</v>
      </c>
      <c r="AG10" s="357">
        <f>('JRC data'!CG13+'JRC data'!CG10)*0.8</f>
        <v>3.3142857142857149</v>
      </c>
      <c r="AH10" s="358">
        <f>'JRC data'!BQ13</f>
        <v>0</v>
      </c>
      <c r="AI10" s="39"/>
      <c r="AJ10" s="52">
        <f>(('JRC data'!N13/100)/'JRC data'!AC13)/(((1-'JRC data'!N13/100)/'JRC data'!AC10)+(('JRC data'!N13/100)/'JRC data'!AC13))</f>
        <v>0.51127819548872178</v>
      </c>
      <c r="AK10" s="62"/>
      <c r="AL10" s="262" t="s">
        <v>64</v>
      </c>
      <c r="AM10" s="262" t="s">
        <v>155</v>
      </c>
      <c r="AN10" s="262" t="s">
        <v>155</v>
      </c>
      <c r="AO10" s="36" t="str">
        <f>'JRC data'!BV13</f>
        <v>Add. INV: Chimney and water tank</v>
      </c>
    </row>
    <row r="11" spans="1:51" x14ac:dyDescent="0.25">
      <c r="A11" s="36" t="s">
        <v>394</v>
      </c>
      <c r="B11" s="36" t="s">
        <v>85</v>
      </c>
      <c r="C11" s="36" t="str">
        <f>Legend!$C$45</f>
        <v>SRVLPG</v>
      </c>
      <c r="D11" s="36"/>
      <c r="E11" s="36" t="str">
        <f>CONCATENATE(Legend!$C$4,Legend!$C$32)</f>
        <v>SRVSH</v>
      </c>
      <c r="F11" s="260">
        <f t="shared" ref="F11:J12" si="5">F7</f>
        <v>1</v>
      </c>
      <c r="G11" s="260">
        <f t="shared" si="5"/>
        <v>1</v>
      </c>
      <c r="H11" s="260">
        <f t="shared" si="5"/>
        <v>1</v>
      </c>
      <c r="I11" s="260">
        <f t="shared" si="5"/>
        <v>1</v>
      </c>
      <c r="J11" s="260">
        <f t="shared" si="5"/>
        <v>1</v>
      </c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5">
        <f>U7</f>
        <v>25</v>
      </c>
      <c r="V11" s="355"/>
      <c r="W11" s="356">
        <f>W7</f>
        <v>22500</v>
      </c>
      <c r="X11" s="356">
        <f t="shared" ref="X11:AH12" si="6">X7</f>
        <v>20000</v>
      </c>
      <c r="Y11" s="356">
        <f t="shared" si="6"/>
        <v>17500</v>
      </c>
      <c r="Z11" s="356">
        <f t="shared" si="6"/>
        <v>17500</v>
      </c>
      <c r="AA11" s="356">
        <f t="shared" si="6"/>
        <v>17500</v>
      </c>
      <c r="AB11" s="356">
        <f t="shared" si="6"/>
        <v>58.441558441558442</v>
      </c>
      <c r="AC11" s="356">
        <f t="shared" si="6"/>
        <v>51.948051948051948</v>
      </c>
      <c r="AD11" s="356">
        <f t="shared" si="6"/>
        <v>45.454545454545453</v>
      </c>
      <c r="AE11" s="356">
        <f t="shared" si="6"/>
        <v>45.454545454545453</v>
      </c>
      <c r="AF11" s="356">
        <f t="shared" si="6"/>
        <v>45.454545454545453</v>
      </c>
      <c r="AG11" s="357">
        <f t="shared" si="6"/>
        <v>4</v>
      </c>
      <c r="AH11" s="358">
        <f t="shared" si="6"/>
        <v>2</v>
      </c>
      <c r="AI11" s="38"/>
      <c r="AJ11" s="38"/>
      <c r="AK11" s="62"/>
      <c r="AL11" s="36"/>
      <c r="AM11" s="262" t="s">
        <v>155</v>
      </c>
      <c r="AN11" s="262" t="s">
        <v>155</v>
      </c>
      <c r="AO11" s="36"/>
    </row>
    <row r="12" spans="1:51" x14ac:dyDescent="0.25">
      <c r="A12" s="36" t="s">
        <v>395</v>
      </c>
      <c r="B12" s="36" t="s">
        <v>107</v>
      </c>
      <c r="C12" s="36" t="str">
        <f>Legend!$C$45</f>
        <v>SRVLPG</v>
      </c>
      <c r="D12" s="36"/>
      <c r="E12" s="36" t="str">
        <f>CONCATENATE(Legend!$C$4,Legend!$C$32,", ",Legend!$C$4,Legend!$C$33,)</f>
        <v>SRVSH, SRVWH</v>
      </c>
      <c r="F12" s="260">
        <f t="shared" si="5"/>
        <v>1</v>
      </c>
      <c r="G12" s="260">
        <f t="shared" si="5"/>
        <v>1</v>
      </c>
      <c r="H12" s="260">
        <f t="shared" si="5"/>
        <v>1</v>
      </c>
      <c r="I12" s="260">
        <f t="shared" si="5"/>
        <v>1</v>
      </c>
      <c r="J12" s="260">
        <f t="shared" si="5"/>
        <v>1</v>
      </c>
      <c r="K12" s="354"/>
      <c r="L12" s="354"/>
      <c r="M12" s="354"/>
      <c r="N12" s="354"/>
      <c r="O12" s="354"/>
      <c r="P12" s="354">
        <f>F12*0.7</f>
        <v>0.7</v>
      </c>
      <c r="Q12" s="354">
        <f>G12*0.7</f>
        <v>0.7</v>
      </c>
      <c r="R12" s="354">
        <f>H12*0.7</f>
        <v>0.7</v>
      </c>
      <c r="S12" s="354">
        <f>I12*0.7</f>
        <v>0.7</v>
      </c>
      <c r="T12" s="354">
        <f>J12*0.7</f>
        <v>0.7</v>
      </c>
      <c r="U12" s="355">
        <f>U8</f>
        <v>25</v>
      </c>
      <c r="V12" s="355"/>
      <c r="W12" s="356">
        <f>W8</f>
        <v>23625</v>
      </c>
      <c r="X12" s="356">
        <f t="shared" si="6"/>
        <v>21000</v>
      </c>
      <c r="Y12" s="356">
        <f t="shared" si="6"/>
        <v>18375</v>
      </c>
      <c r="Z12" s="356">
        <f t="shared" si="6"/>
        <v>18375</v>
      </c>
      <c r="AA12" s="356">
        <f t="shared" si="6"/>
        <v>18375</v>
      </c>
      <c r="AB12" s="356">
        <f t="shared" si="6"/>
        <v>61.363636363636367</v>
      </c>
      <c r="AC12" s="356">
        <f t="shared" si="6"/>
        <v>54.545454545454547</v>
      </c>
      <c r="AD12" s="356">
        <f t="shared" si="6"/>
        <v>47.727272727272727</v>
      </c>
      <c r="AE12" s="356">
        <f t="shared" si="6"/>
        <v>47.727272727272727</v>
      </c>
      <c r="AF12" s="356">
        <f t="shared" si="6"/>
        <v>47.727272727272727</v>
      </c>
      <c r="AG12" s="357">
        <f t="shared" si="6"/>
        <v>4</v>
      </c>
      <c r="AH12" s="358">
        <f t="shared" si="6"/>
        <v>2</v>
      </c>
      <c r="AI12" s="38"/>
      <c r="AJ12" s="38"/>
      <c r="AK12" s="62"/>
      <c r="AL12" s="36"/>
      <c r="AM12" s="262" t="s">
        <v>155</v>
      </c>
      <c r="AN12" s="262" t="s">
        <v>155</v>
      </c>
      <c r="AO12" s="36"/>
    </row>
    <row r="13" spans="1:51" x14ac:dyDescent="0.25">
      <c r="A13" s="36" t="s">
        <v>396</v>
      </c>
      <c r="B13" s="36" t="s">
        <v>81</v>
      </c>
      <c r="C13" s="36" t="str">
        <f>Legend!$C$48</f>
        <v>SRVBIO</v>
      </c>
      <c r="D13" s="36"/>
      <c r="E13" s="36" t="str">
        <f>CONCATENATE(Legend!$C$4,Legend!$C$32)</f>
        <v>SRVSH</v>
      </c>
      <c r="F13" s="353">
        <f>'JRC data'!AC12/'JRC data'!$AC$12</f>
        <v>1</v>
      </c>
      <c r="G13" s="353">
        <f>'JRC data'!AD12/'JRC data'!$AC$12</f>
        <v>1.0235294117647058</v>
      </c>
      <c r="H13" s="353">
        <f>'JRC data'!AE12/'JRC data'!$AC$12</f>
        <v>1.0705882352941176</v>
      </c>
      <c r="I13" s="353">
        <f>'JRC data'!AF12/'JRC data'!$AC$12</f>
        <v>1.1176470588235294</v>
      </c>
      <c r="J13" s="353">
        <f>'JRC data'!AG12/'JRC data'!$AC$12</f>
        <v>1.1176470588235294</v>
      </c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5">
        <f>'JRC data'!AX12</f>
        <v>20</v>
      </c>
      <c r="V13" s="355"/>
      <c r="W13" s="356">
        <f>'JRC data'!BB12+'JRC data'!BG12</f>
        <v>108500</v>
      </c>
      <c r="X13" s="356">
        <f>'JRC data'!BC12+'JRC data'!BH12</f>
        <v>108500</v>
      </c>
      <c r="Y13" s="356">
        <f>'JRC data'!BD12+'JRC data'!BI12</f>
        <v>112000</v>
      </c>
      <c r="Z13" s="356">
        <f>'JRC data'!BE12+'JRC data'!BJ12</f>
        <v>112000</v>
      </c>
      <c r="AA13" s="356">
        <f>'JRC data'!BF12+'JRC data'!BK12</f>
        <v>112000</v>
      </c>
      <c r="AB13" s="356">
        <f>W13/'JRC data'!D12</f>
        <v>197.27272727272728</v>
      </c>
      <c r="AC13" s="356">
        <f>X13/'JRC data'!E12</f>
        <v>197.27272727272728</v>
      </c>
      <c r="AD13" s="356">
        <f>Y13/'JRC data'!F12</f>
        <v>203.63636363636363</v>
      </c>
      <c r="AE13" s="356">
        <f>Z13/'JRC data'!G12</f>
        <v>203.63636363636363</v>
      </c>
      <c r="AF13" s="356">
        <f>AA13/'JRC data'!H12</f>
        <v>203.63636363636363</v>
      </c>
      <c r="AG13" s="357">
        <f>'JRC data'!CG12</f>
        <v>5.7272727272727274E-2</v>
      </c>
      <c r="AH13" s="358">
        <f>'JRC data'!BQ12</f>
        <v>0</v>
      </c>
      <c r="AI13" s="39"/>
      <c r="AJ13" s="39"/>
      <c r="AK13" s="36"/>
      <c r="AL13" s="262" t="s">
        <v>64</v>
      </c>
      <c r="AM13" s="262" t="s">
        <v>155</v>
      </c>
      <c r="AN13" s="262" t="s">
        <v>155</v>
      </c>
      <c r="AO13" s="36" t="str">
        <f>'JRC data'!BV12</f>
        <v>Add. INV: Biomass storage</v>
      </c>
    </row>
    <row r="14" spans="1:51" x14ac:dyDescent="0.25">
      <c r="A14" s="40" t="s">
        <v>397</v>
      </c>
      <c r="B14" s="40" t="s">
        <v>65</v>
      </c>
      <c r="C14" s="65" t="str">
        <f>Legend!$C$48</f>
        <v>SRVBIO</v>
      </c>
      <c r="D14" s="65"/>
      <c r="E14" s="40" t="str">
        <f>CONCATENATE(Legend!$C$4,Legend!$C$32,", ",Legend!$C$4,Legend!$C$33,)</f>
        <v>SRVSH, SRVWH</v>
      </c>
      <c r="F14" s="359">
        <f>F13</f>
        <v>1</v>
      </c>
      <c r="G14" s="359">
        <f>G13</f>
        <v>1.0235294117647058</v>
      </c>
      <c r="H14" s="359">
        <f>H13</f>
        <v>1.0705882352941176</v>
      </c>
      <c r="I14" s="359">
        <f>I13</f>
        <v>1.1176470588235294</v>
      </c>
      <c r="J14" s="359">
        <f>J13</f>
        <v>1.1176470588235294</v>
      </c>
      <c r="K14" s="360"/>
      <c r="L14" s="360"/>
      <c r="M14" s="360"/>
      <c r="N14" s="360"/>
      <c r="O14" s="360"/>
      <c r="P14" s="360">
        <f>F14*0.7</f>
        <v>0.7</v>
      </c>
      <c r="Q14" s="360">
        <f>G14*0.7</f>
        <v>0.71647058823529397</v>
      </c>
      <c r="R14" s="360">
        <f>H14*0.7</f>
        <v>0.74941176470588233</v>
      </c>
      <c r="S14" s="360">
        <f>I14*0.7</f>
        <v>0.78235294117647058</v>
      </c>
      <c r="T14" s="360">
        <f>J14*0.7</f>
        <v>0.78235294117647058</v>
      </c>
      <c r="U14" s="361">
        <f>U13</f>
        <v>20</v>
      </c>
      <c r="V14" s="361"/>
      <c r="W14" s="362">
        <f t="shared" ref="W14:AF14" si="7">W13*$AK$14</f>
        <v>119350.00000000001</v>
      </c>
      <c r="X14" s="362">
        <f t="shared" si="7"/>
        <v>119350.00000000001</v>
      </c>
      <c r="Y14" s="362">
        <f t="shared" si="7"/>
        <v>123200.00000000001</v>
      </c>
      <c r="Z14" s="362">
        <f t="shared" si="7"/>
        <v>123200.00000000001</v>
      </c>
      <c r="AA14" s="362">
        <f t="shared" si="7"/>
        <v>123200.00000000001</v>
      </c>
      <c r="AB14" s="362">
        <f t="shared" si="7"/>
        <v>217.00000000000003</v>
      </c>
      <c r="AC14" s="362">
        <f t="shared" si="7"/>
        <v>217.00000000000003</v>
      </c>
      <c r="AD14" s="362">
        <f t="shared" si="7"/>
        <v>224</v>
      </c>
      <c r="AE14" s="362">
        <f t="shared" si="7"/>
        <v>224</v>
      </c>
      <c r="AF14" s="362">
        <f t="shared" si="7"/>
        <v>224</v>
      </c>
      <c r="AG14" s="363">
        <f>AG13</f>
        <v>5.7272727272727274E-2</v>
      </c>
      <c r="AH14" s="364">
        <f>AH13</f>
        <v>0</v>
      </c>
      <c r="AI14" s="47"/>
      <c r="AJ14" s="47"/>
      <c r="AK14" s="261">
        <v>1.1000000000000001</v>
      </c>
      <c r="AL14" s="263" t="s">
        <v>64</v>
      </c>
      <c r="AM14" s="263" t="s">
        <v>155</v>
      </c>
      <c r="AN14" s="263" t="s">
        <v>155</v>
      </c>
      <c r="AO14" s="40"/>
      <c r="AQ14" s="40"/>
      <c r="AR14" s="40"/>
      <c r="AS14" s="40"/>
      <c r="AT14" s="40"/>
      <c r="AU14" s="40"/>
      <c r="AV14" s="40"/>
      <c r="AW14" s="40"/>
      <c r="AX14" s="40"/>
      <c r="AY14" s="40"/>
    </row>
    <row r="15" spans="1:51" s="53" customFormat="1" x14ac:dyDescent="0.25">
      <c r="A15" s="53" t="s">
        <v>101</v>
      </c>
      <c r="C15" s="54"/>
      <c r="D15" s="54"/>
      <c r="F15" s="365"/>
      <c r="G15" s="365"/>
      <c r="H15" s="365"/>
      <c r="I15" s="365"/>
      <c r="J15" s="365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7"/>
      <c r="V15" s="367"/>
      <c r="W15" s="368"/>
      <c r="X15" s="368"/>
      <c r="Y15" s="368"/>
      <c r="Z15" s="368"/>
      <c r="AA15" s="368"/>
      <c r="AB15" s="368"/>
      <c r="AC15" s="368"/>
      <c r="AD15" s="368"/>
      <c r="AE15" s="368"/>
      <c r="AF15" s="368"/>
      <c r="AG15" s="369"/>
      <c r="AH15" s="370"/>
      <c r="AI15" s="56"/>
      <c r="AJ15" s="56"/>
      <c r="AK15" s="57"/>
      <c r="AM15" s="61"/>
      <c r="AN15" s="61"/>
    </row>
    <row r="16" spans="1:51" x14ac:dyDescent="0.25">
      <c r="A16" s="40" t="s">
        <v>398</v>
      </c>
      <c r="B16" s="40" t="s">
        <v>158</v>
      </c>
      <c r="C16" s="40" t="str">
        <f>Legend!$C$51</f>
        <v>SRVELC</v>
      </c>
      <c r="D16" s="40"/>
      <c r="E16" s="40" t="str">
        <f>CONCATENATE(Legend!$C$4,Legend!$C$32)</f>
        <v>SRVSH</v>
      </c>
      <c r="F16" s="371">
        <f>'JRC data'!AC49/'JRC data'!$AC$49</f>
        <v>1</v>
      </c>
      <c r="G16" s="371">
        <f>'JRC data'!AD49/'JRC data'!$AC$49</f>
        <v>1</v>
      </c>
      <c r="H16" s="371">
        <f>'JRC data'!AE49/'JRC data'!$AC$49</f>
        <v>1</v>
      </c>
      <c r="I16" s="371">
        <f>'JRC data'!AF49/'JRC data'!$AC$49</f>
        <v>1</v>
      </c>
      <c r="J16" s="371">
        <f>'JRC data'!AG49/'JRC data'!$AC$49</f>
        <v>1</v>
      </c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1">
        <f>'JRC data'!AX49</f>
        <v>30</v>
      </c>
      <c r="V16" s="361"/>
      <c r="W16" s="362">
        <f>'JRC data'!BB49</f>
        <v>266000</v>
      </c>
      <c r="X16" s="362">
        <f>'JRC data'!BC49</f>
        <v>266000</v>
      </c>
      <c r="Y16" s="362">
        <f>'JRC data'!BD49</f>
        <v>266000</v>
      </c>
      <c r="Z16" s="362">
        <f>'JRC data'!BE49</f>
        <v>266000</v>
      </c>
      <c r="AA16" s="362">
        <f>'JRC data'!BF49</f>
        <v>266000</v>
      </c>
      <c r="AB16" s="362">
        <f>W16/('JRC data'!D49)</f>
        <v>665</v>
      </c>
      <c r="AC16" s="362">
        <f>X16/('JRC data'!E49)</f>
        <v>665</v>
      </c>
      <c r="AD16" s="362">
        <f>Y16/('JRC data'!F49)</f>
        <v>665</v>
      </c>
      <c r="AE16" s="362">
        <f>Z16/('JRC data'!G49)</f>
        <v>665</v>
      </c>
      <c r="AF16" s="362">
        <f>AA16/('JRC data'!H49)</f>
        <v>665</v>
      </c>
      <c r="AG16" s="372">
        <f>'JRC data'!CG49</f>
        <v>10</v>
      </c>
      <c r="AH16" s="373">
        <f>'JRC data'!BQ49</f>
        <v>0</v>
      </c>
      <c r="AI16" s="42"/>
      <c r="AJ16" s="42"/>
      <c r="AK16" s="43"/>
      <c r="AL16" s="40"/>
      <c r="AM16" s="263" t="s">
        <v>155</v>
      </c>
      <c r="AN16" s="263" t="s">
        <v>155</v>
      </c>
      <c r="AO16" s="40"/>
      <c r="AQ16" s="40"/>
      <c r="AR16" s="40"/>
      <c r="AS16" s="40"/>
      <c r="AT16" s="40"/>
      <c r="AU16" s="40"/>
      <c r="AV16" s="40"/>
      <c r="AW16" s="40"/>
      <c r="AX16" s="40"/>
      <c r="AY16" s="40"/>
    </row>
    <row r="17" spans="1:51" s="53" customFormat="1" x14ac:dyDescent="0.25">
      <c r="A17" s="53" t="s">
        <v>102</v>
      </c>
      <c r="F17" s="369"/>
      <c r="G17" s="369"/>
      <c r="H17" s="369"/>
      <c r="I17" s="369"/>
      <c r="J17" s="369"/>
      <c r="K17" s="366"/>
      <c r="L17" s="366"/>
      <c r="M17" s="366"/>
      <c r="N17" s="366"/>
      <c r="O17" s="366"/>
      <c r="P17" s="366"/>
      <c r="Q17" s="366"/>
      <c r="R17" s="366"/>
      <c r="S17" s="366"/>
      <c r="T17" s="366"/>
      <c r="U17" s="367"/>
      <c r="V17" s="367"/>
      <c r="W17" s="368"/>
      <c r="X17" s="368"/>
      <c r="Y17" s="368"/>
      <c r="Z17" s="368"/>
      <c r="AA17" s="368"/>
      <c r="AB17" s="368"/>
      <c r="AC17" s="368"/>
      <c r="AD17" s="368"/>
      <c r="AE17" s="368"/>
      <c r="AF17" s="368"/>
      <c r="AG17" s="374"/>
      <c r="AH17" s="375"/>
      <c r="AI17" s="58"/>
      <c r="AJ17" s="58"/>
      <c r="AK17" s="59"/>
      <c r="AM17" s="61"/>
      <c r="AN17" s="61"/>
    </row>
    <row r="18" spans="1:51" s="46" customFormat="1" x14ac:dyDescent="0.25">
      <c r="A18" s="36" t="s">
        <v>399</v>
      </c>
      <c r="B18" s="46" t="s">
        <v>66</v>
      </c>
      <c r="C18" s="46" t="str">
        <f>Legend!$C$51</f>
        <v>SRVELC</v>
      </c>
      <c r="D18" s="46" t="str">
        <f>Legend!$C$52</f>
        <v>SRVAHT</v>
      </c>
      <c r="E18" s="46" t="str">
        <f>CONCATENATE(Legend!$C$4,Legend!$C$32)</f>
        <v>SRVSH</v>
      </c>
      <c r="F18" s="376">
        <f>'JRC data'!AH17/'JRC data'!$AH$17</f>
        <v>1</v>
      </c>
      <c r="G18" s="376">
        <f>'JRC data'!AI17/'JRC data'!$AH$17</f>
        <v>1.0666666666666667</v>
      </c>
      <c r="H18" s="376">
        <f>'JRC data'!AJ17/'JRC data'!$AH$17</f>
        <v>1.2333333333333334</v>
      </c>
      <c r="I18" s="376">
        <f>'JRC data'!AK17/'JRC data'!$AH$17</f>
        <v>1.3333333333333333</v>
      </c>
      <c r="J18" s="376">
        <f>'JRC data'!AL17/'JRC data'!$AH$17</f>
        <v>1.3333333333333333</v>
      </c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8">
        <f>'JRC data'!AX17</f>
        <v>20</v>
      </c>
      <c r="V18" s="378"/>
      <c r="W18" s="356">
        <f>'JRC data'!BB17</f>
        <v>27140.2</v>
      </c>
      <c r="X18" s="356">
        <f>'JRC data'!BC17</f>
        <v>25783.19</v>
      </c>
      <c r="Y18" s="356">
        <f>'JRC data'!BD17</f>
        <v>23340.571999999996</v>
      </c>
      <c r="Z18" s="356">
        <f>'JRC data'!BE17</f>
        <v>22254.963999999996</v>
      </c>
      <c r="AA18" s="356">
        <f>'JRC data'!BF17</f>
        <v>22254.963999999996</v>
      </c>
      <c r="AB18" s="356">
        <f>W18/('JRC data'!D17)</f>
        <v>426.06279434850865</v>
      </c>
      <c r="AC18" s="356">
        <f>X18/('JRC data'!E17)</f>
        <v>404.75965463108315</v>
      </c>
      <c r="AD18" s="356">
        <f>Y18/('JRC data'!F17)</f>
        <v>366.41400313971735</v>
      </c>
      <c r="AE18" s="356">
        <f>Z18/('JRC data'!G17)</f>
        <v>349.37149136577699</v>
      </c>
      <c r="AF18" s="356">
        <f>AA18/('JRC data'!H17)</f>
        <v>349.37149136577699</v>
      </c>
      <c r="AG18" s="357">
        <f>('JRC data'!CG17)</f>
        <v>10.204081632653061</v>
      </c>
      <c r="AH18" s="358">
        <f>'JRC data'!BQ17</f>
        <v>0</v>
      </c>
      <c r="AI18" s="44"/>
      <c r="AJ18" s="44"/>
      <c r="AK18" s="63"/>
      <c r="AM18" s="262" t="s">
        <v>155</v>
      </c>
      <c r="AN18" s="262" t="s">
        <v>155</v>
      </c>
      <c r="AO18" s="36"/>
      <c r="AP18" s="45"/>
    </row>
    <row r="19" spans="1:51" s="46" customFormat="1" x14ac:dyDescent="0.25">
      <c r="A19" s="36" t="s">
        <v>400</v>
      </c>
      <c r="B19" s="46" t="s">
        <v>86</v>
      </c>
      <c r="C19" s="46" t="str">
        <f>Legend!$C$51</f>
        <v>SRVELC</v>
      </c>
      <c r="D19" s="46" t="str">
        <f>Legend!$C$52</f>
        <v>SRVAHT</v>
      </c>
      <c r="E19" s="36" t="str">
        <f>CONCATENATE(Legend!$C$4,Legend!$C$32,", ",Legend!$C$4,Legend!$C$34,)</f>
        <v>SRVSH, SRVSC</v>
      </c>
      <c r="F19" s="377">
        <f>F18</f>
        <v>1</v>
      </c>
      <c r="G19" s="377">
        <f>G18</f>
        <v>1.0666666666666667</v>
      </c>
      <c r="H19" s="377">
        <f>H18</f>
        <v>1.2333333333333334</v>
      </c>
      <c r="I19" s="377">
        <f>I18</f>
        <v>1.3333333333333333</v>
      </c>
      <c r="J19" s="377">
        <f>J18</f>
        <v>1.3333333333333333</v>
      </c>
      <c r="K19" s="377">
        <f>'JRC data'!AM17/'JRC data'!$AM$17</f>
        <v>1</v>
      </c>
      <c r="L19" s="377">
        <f>'JRC data'!AN17/'JRC data'!$AM$17</f>
        <v>1</v>
      </c>
      <c r="M19" s="377">
        <f>'JRC data'!AO17/'JRC data'!$AM$17</f>
        <v>1</v>
      </c>
      <c r="N19" s="377">
        <f>'JRC data'!AP17/'JRC data'!$AM$17</f>
        <v>1</v>
      </c>
      <c r="O19" s="377">
        <f>'JRC data'!AQ17/'JRC data'!$AM$17</f>
        <v>1</v>
      </c>
      <c r="P19" s="377"/>
      <c r="Q19" s="377"/>
      <c r="R19" s="377"/>
      <c r="S19" s="377"/>
      <c r="T19" s="377"/>
      <c r="U19" s="378">
        <f>U18</f>
        <v>20</v>
      </c>
      <c r="V19" s="378"/>
      <c r="W19" s="356">
        <f t="shared" ref="W19:AF19" si="8">W18*$AK19</f>
        <v>28497.210000000003</v>
      </c>
      <c r="X19" s="356">
        <f t="shared" si="8"/>
        <v>27072.3495</v>
      </c>
      <c r="Y19" s="356">
        <f t="shared" si="8"/>
        <v>24507.600599999998</v>
      </c>
      <c r="Z19" s="356">
        <f t="shared" si="8"/>
        <v>23367.712199999998</v>
      </c>
      <c r="AA19" s="356">
        <f t="shared" si="8"/>
        <v>23367.712199999998</v>
      </c>
      <c r="AB19" s="356">
        <f t="shared" si="8"/>
        <v>447.36593406593408</v>
      </c>
      <c r="AC19" s="356">
        <f t="shared" si="8"/>
        <v>424.99763736263731</v>
      </c>
      <c r="AD19" s="356">
        <f t="shared" si="8"/>
        <v>384.73470329670323</v>
      </c>
      <c r="AE19" s="356">
        <f t="shared" si="8"/>
        <v>366.84006593406588</v>
      </c>
      <c r="AF19" s="356">
        <f t="shared" si="8"/>
        <v>366.84006593406588</v>
      </c>
      <c r="AG19" s="357">
        <f>AG18</f>
        <v>10.204081632653061</v>
      </c>
      <c r="AH19" s="358">
        <f>AH18</f>
        <v>0</v>
      </c>
      <c r="AI19" s="39"/>
      <c r="AJ19" s="39"/>
      <c r="AK19" s="260">
        <v>1.05</v>
      </c>
      <c r="AM19" s="262" t="s">
        <v>155</v>
      </c>
      <c r="AN19" s="262" t="s">
        <v>155</v>
      </c>
      <c r="AO19" s="36"/>
      <c r="AP19" s="45"/>
    </row>
    <row r="20" spans="1:51" x14ac:dyDescent="0.25">
      <c r="A20" s="36" t="s">
        <v>401</v>
      </c>
      <c r="B20" s="46" t="s">
        <v>87</v>
      </c>
      <c r="C20" s="46" t="str">
        <f>Legend!$C$51</f>
        <v>SRVELC</v>
      </c>
      <c r="D20" s="46" t="str">
        <f>Legend!$C$52</f>
        <v>SRVAHT</v>
      </c>
      <c r="E20" s="46" t="str">
        <f>CONCATENATE(Legend!$C$4,Legend!$C$32)</f>
        <v>SRVSH</v>
      </c>
      <c r="F20" s="377">
        <f>'JRC data'!AC19/'JRC data'!$AH$17</f>
        <v>1</v>
      </c>
      <c r="G20" s="377">
        <f>'JRC data'!AD19/'JRC data'!$AH$17</f>
        <v>1.0999999999999999</v>
      </c>
      <c r="H20" s="377">
        <f>'JRC data'!AE19/'JRC data'!$AH$17</f>
        <v>1.2333333333333334</v>
      </c>
      <c r="I20" s="377">
        <f>'JRC data'!AF19/'JRC data'!$AH$17</f>
        <v>1.3333333333333333</v>
      </c>
      <c r="J20" s="377">
        <f>'JRC data'!AG19/'JRC data'!$AH$17</f>
        <v>1.3333333333333333</v>
      </c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8">
        <f>'JRC data'!AX19</f>
        <v>20</v>
      </c>
      <c r="V20" s="378"/>
      <c r="W20" s="356">
        <f>'JRC data'!BB19</f>
        <v>320000</v>
      </c>
      <c r="X20" s="356">
        <f>'JRC data'!BC19</f>
        <v>320000</v>
      </c>
      <c r="Y20" s="356">
        <f>'JRC data'!BD19</f>
        <v>280000</v>
      </c>
      <c r="Z20" s="356">
        <f>'JRC data'!BE19</f>
        <v>280000</v>
      </c>
      <c r="AA20" s="356">
        <f>'JRC data'!BF19</f>
        <v>280000</v>
      </c>
      <c r="AB20" s="356">
        <f>W20/'JRC data'!D19</f>
        <v>800</v>
      </c>
      <c r="AC20" s="356">
        <f>X20/'JRC data'!E19</f>
        <v>800</v>
      </c>
      <c r="AD20" s="356">
        <f>Y20/'JRC data'!F19</f>
        <v>700</v>
      </c>
      <c r="AE20" s="356">
        <f>Z20/'JRC data'!G19</f>
        <v>700</v>
      </c>
      <c r="AF20" s="356">
        <f>AA20/'JRC data'!H19</f>
        <v>700</v>
      </c>
      <c r="AG20" s="357">
        <f>'JRC data'!CG19</f>
        <v>1.125</v>
      </c>
      <c r="AH20" s="358">
        <f>'JRC data'!BQ19</f>
        <v>0</v>
      </c>
      <c r="AI20" s="39"/>
      <c r="AJ20" s="39"/>
      <c r="AK20" s="52"/>
      <c r="AL20" s="36"/>
      <c r="AM20" s="262" t="s">
        <v>155</v>
      </c>
      <c r="AN20" s="262" t="s">
        <v>155</v>
      </c>
      <c r="AO20" s="36"/>
    </row>
    <row r="21" spans="1:51" x14ac:dyDescent="0.25">
      <c r="A21" s="36" t="s">
        <v>402</v>
      </c>
      <c r="B21" s="46" t="s">
        <v>67</v>
      </c>
      <c r="C21" s="36" t="str">
        <f>Legend!$C$51</f>
        <v>SRVELC</v>
      </c>
      <c r="D21" s="36" t="str">
        <f>_xlfn.TEXTJOIN(",",TRUE,Legend!$C$52,Legend!$C$53)</f>
        <v>SRVAHT,SRVAHT2</v>
      </c>
      <c r="E21" s="36" t="str">
        <f>CONCATENATE(Legend!$C$4,Legend!$C$32,", ",Legend!$C$4,Legend!$C$33,)</f>
        <v>SRVSH, SRVWH</v>
      </c>
      <c r="F21" s="377">
        <f>F20</f>
        <v>1</v>
      </c>
      <c r="G21" s="377">
        <f>G20</f>
        <v>1.0999999999999999</v>
      </c>
      <c r="H21" s="377">
        <f>H20</f>
        <v>1.2333333333333334</v>
      </c>
      <c r="I21" s="377">
        <f>I20</f>
        <v>1.3333333333333333</v>
      </c>
      <c r="J21" s="377">
        <f>J20</f>
        <v>1.3333333333333333</v>
      </c>
      <c r="K21" s="377"/>
      <c r="L21" s="377"/>
      <c r="M21" s="377"/>
      <c r="N21" s="377"/>
      <c r="O21" s="377"/>
      <c r="P21" s="354">
        <f t="shared" ref="P21:T21" si="9">F21*0.7</f>
        <v>0.7</v>
      </c>
      <c r="Q21" s="354">
        <f t="shared" si="9"/>
        <v>0.76999999999999991</v>
      </c>
      <c r="R21" s="354">
        <f t="shared" si="9"/>
        <v>0.86333333333333329</v>
      </c>
      <c r="S21" s="354">
        <f t="shared" si="9"/>
        <v>0.93333333333333324</v>
      </c>
      <c r="T21" s="354">
        <f t="shared" si="9"/>
        <v>0.93333333333333324</v>
      </c>
      <c r="U21" s="378">
        <f>U20</f>
        <v>20</v>
      </c>
      <c r="V21" s="378"/>
      <c r="W21" s="356">
        <f>W20+'JRC data'!$BB$50*'JRC data'!$D$19/'JRC data'!$D$18</f>
        <v>320000</v>
      </c>
      <c r="X21" s="356">
        <f>X20+'JRC data'!$BB$50*'JRC data'!$D$19/'JRC data'!$D$18</f>
        <v>320000</v>
      </c>
      <c r="Y21" s="356">
        <f>Y20+'JRC data'!$BB$50*'JRC data'!$D$19/'JRC data'!$D$18</f>
        <v>280000</v>
      </c>
      <c r="Z21" s="356">
        <f>Z20+'JRC data'!$BB$50*'JRC data'!$D$19/'JRC data'!$D$18</f>
        <v>280000</v>
      </c>
      <c r="AA21" s="356">
        <f>AA20+'JRC data'!$BB$50*'JRC data'!$D$19/'JRC data'!$D$18</f>
        <v>280000</v>
      </c>
      <c r="AB21" s="356">
        <f>W21/'JRC data'!D19</f>
        <v>800</v>
      </c>
      <c r="AC21" s="356">
        <f>X21/'JRC data'!E19</f>
        <v>800</v>
      </c>
      <c r="AD21" s="356">
        <f>Y21/'JRC data'!F19</f>
        <v>700</v>
      </c>
      <c r="AE21" s="356">
        <f>Z21/'JRC data'!G19</f>
        <v>700</v>
      </c>
      <c r="AF21" s="356">
        <f>AA21/'JRC data'!H19</f>
        <v>700</v>
      </c>
      <c r="AG21" s="357">
        <f>AG20</f>
        <v>1.125</v>
      </c>
      <c r="AH21" s="358">
        <f>AH20</f>
        <v>0</v>
      </c>
      <c r="AI21" s="39"/>
      <c r="AJ21" s="39"/>
      <c r="AK21" s="48"/>
      <c r="AL21" s="36"/>
      <c r="AM21" s="262" t="s">
        <v>155</v>
      </c>
      <c r="AN21" s="262" t="s">
        <v>155</v>
      </c>
      <c r="AO21" s="36"/>
    </row>
    <row r="22" spans="1:51" x14ac:dyDescent="0.25">
      <c r="A22" s="36" t="s">
        <v>485</v>
      </c>
      <c r="B22" s="46" t="s">
        <v>99</v>
      </c>
      <c r="C22" s="36" t="str">
        <f>Legend!$C$51&amp;", "&amp;Legend!$C$50</f>
        <v>SRVELC, SRVSOL</v>
      </c>
      <c r="D22" s="36" t="str">
        <f>_xlfn.TEXTJOIN(",",TRUE,Legend!$C$52,Legend!$C$53)</f>
        <v>SRVAHT,SRVAHT2</v>
      </c>
      <c r="E22" s="36" t="str">
        <f>CONCATENATE(Legend!$C$4,Legend!$C$32,", ",Legend!$C$4,Legend!$C$33,)</f>
        <v>SRVSH, SRVWH</v>
      </c>
      <c r="F22" s="379">
        <f>(1*('JRC data'!N46/100))+('JRC data'!AC19*(1-'JRC data'!N46/100))/'JRC data'!$AH$17</f>
        <v>1</v>
      </c>
      <c r="G22" s="379">
        <f>(1*('JRC data'!O46/100))+('JRC data'!AD19*(1-'JRC data'!O46/100))/'JRC data'!$AH$17</f>
        <v>1.0899999999999999</v>
      </c>
      <c r="H22" s="379">
        <f>(1*('JRC data'!P46/100))+('JRC data'!AE19*(1-'JRC data'!P46/100))/'JRC data'!$AH$17</f>
        <v>1.2053333333333334</v>
      </c>
      <c r="I22" s="379">
        <f>(1*('JRC data'!Q46/100))+('JRC data'!AF19*(1-'JRC data'!Q46/100))/'JRC data'!$AH$17</f>
        <v>1.2933333333333334</v>
      </c>
      <c r="J22" s="379">
        <f>(1*('JRC data'!R46/100))+('JRC data'!AG19*(1-'JRC data'!R46/100))/'JRC data'!$AH$17</f>
        <v>1.2933333333333334</v>
      </c>
      <c r="K22" s="379"/>
      <c r="L22" s="379"/>
      <c r="M22" s="379"/>
      <c r="N22" s="379"/>
      <c r="O22" s="379"/>
      <c r="P22" s="354">
        <f>(1*('JRC data'!X46/100))+('JRC data'!AC19*(1-'JRC data'!X46/100))*0.7</f>
        <v>1.3849999999999998</v>
      </c>
      <c r="Q22" s="354">
        <f>(1*('JRC data'!Y46/100))+('JRC data'!AD19*(1-'JRC data'!Y46/100))*0.7</f>
        <v>1.4584999999999999</v>
      </c>
      <c r="R22" s="354">
        <f>(1*('JRC data'!Z46/100))+('JRC data'!AE19*(1-'JRC data'!Z46/100))*0.7</f>
        <v>1.4770000000000001</v>
      </c>
      <c r="S22" s="354">
        <f>(1*('JRC data'!AA46/100))+('JRC data'!AF19*(1-'JRC data'!AA46/100))*0.7</f>
        <v>1.54</v>
      </c>
      <c r="T22" s="354">
        <f>(1*('JRC data'!AB46/100))+('JRC data'!AG19*(1-'JRC data'!AB46/100))*0.7</f>
        <v>1.54</v>
      </c>
      <c r="U22" s="380">
        <f>MIN('JRC data'!AX19,'JRC data'!AX46)</f>
        <v>20</v>
      </c>
      <c r="V22" s="380"/>
      <c r="W22" s="356">
        <f>'JRC data'!BB19+'JRC data'!BB46</f>
        <v>410000</v>
      </c>
      <c r="X22" s="356">
        <f>'JRC data'!BC19+'JRC data'!BC46</f>
        <v>410000</v>
      </c>
      <c r="Y22" s="356">
        <f>'JRC data'!BD19+'JRC data'!BD46</f>
        <v>370000</v>
      </c>
      <c r="Z22" s="356">
        <f>'JRC data'!BE19+'JRC data'!BE46</f>
        <v>370000</v>
      </c>
      <c r="AA22" s="356">
        <f>'JRC data'!BF19+'JRC data'!BF46</f>
        <v>370000</v>
      </c>
      <c r="AB22" s="356">
        <f>W22/('JRC data'!D19+'JRC data'!D46)</f>
        <v>759.25925925925924</v>
      </c>
      <c r="AC22" s="356">
        <f>X22/('JRC data'!E19+'JRC data'!E46)</f>
        <v>759.25925925925924</v>
      </c>
      <c r="AD22" s="356">
        <f>Y22/('JRC data'!F19+'JRC data'!F46)</f>
        <v>685.18518518518522</v>
      </c>
      <c r="AE22" s="356">
        <f>Z22/('JRC data'!G19+'JRC data'!G46)</f>
        <v>685.18518518518522</v>
      </c>
      <c r="AF22" s="356">
        <f>AA22/('JRC data'!H19+'JRC data'!H46)</f>
        <v>685.18518518518522</v>
      </c>
      <c r="AG22" s="357">
        <f>('JRC data'!CG19+'JRC data'!CG46)*0.8</f>
        <v>4.3285714285714283</v>
      </c>
      <c r="AH22" s="358">
        <f>('JRC data'!BQ19+'JRC data'!BQ46)*0.8</f>
        <v>0</v>
      </c>
      <c r="AI22" s="267">
        <f>('JRC data'!R46/100)/((1-'JRC data'!R46/100)/'JRC data'!AG19+'JRC data'!R46/100)</f>
        <v>0.35294117647058826</v>
      </c>
      <c r="AJ22" s="267"/>
      <c r="AK22" s="267"/>
      <c r="AL22" s="36"/>
      <c r="AM22" s="262" t="s">
        <v>155</v>
      </c>
      <c r="AN22" s="262" t="s">
        <v>155</v>
      </c>
      <c r="AO22" s="36"/>
    </row>
    <row r="23" spans="1:51" x14ac:dyDescent="0.25">
      <c r="A23" s="36" t="s">
        <v>403</v>
      </c>
      <c r="B23" s="46" t="s">
        <v>88</v>
      </c>
      <c r="C23" s="46" t="str">
        <f>Legend!$C$51</f>
        <v>SRVELC</v>
      </c>
      <c r="D23" s="46" t="str">
        <f>Legend!$C$52</f>
        <v>SRVAHT</v>
      </c>
      <c r="E23" s="36" t="str">
        <f>CONCATENATE(Legend!$C$4,Legend!$C$32)</f>
        <v>SRVSH</v>
      </c>
      <c r="F23" s="377">
        <f>'JRC data'!AC21/'JRC data'!$AH$17</f>
        <v>1.0999999999999999</v>
      </c>
      <c r="G23" s="377">
        <f>'JRC data'!AD21/'JRC data'!$AH$17</f>
        <v>1.1666666666666667</v>
      </c>
      <c r="H23" s="377">
        <f>'JRC data'!AE21/'JRC data'!$AH$17</f>
        <v>1.3333333333333333</v>
      </c>
      <c r="I23" s="377">
        <f>'JRC data'!AF21/'JRC data'!$AH$17</f>
        <v>1.5</v>
      </c>
      <c r="J23" s="377">
        <f>'JRC data'!AG21/'JRC data'!$AH$17</f>
        <v>1.5</v>
      </c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8">
        <f>'JRC data'!AX21</f>
        <v>20</v>
      </c>
      <c r="V23" s="378"/>
      <c r="W23" s="356">
        <f>'JRC data'!BB21+'JRC data'!BG21</f>
        <v>360540</v>
      </c>
      <c r="X23" s="356">
        <f>'JRC data'!BC21+'JRC data'!BH21</f>
        <v>360540</v>
      </c>
      <c r="Y23" s="356">
        <f>'JRC data'!BD21+'JRC data'!BI21</f>
        <v>320540</v>
      </c>
      <c r="Z23" s="356">
        <f>'JRC data'!BE21+'JRC data'!BJ21</f>
        <v>280540</v>
      </c>
      <c r="AA23" s="356">
        <f>'JRC data'!BF21+'JRC data'!BK21</f>
        <v>280540</v>
      </c>
      <c r="AB23" s="356">
        <f>W23/'JRC data'!D21</f>
        <v>901.35</v>
      </c>
      <c r="AC23" s="356">
        <f>X23/'JRC data'!E21</f>
        <v>901.35</v>
      </c>
      <c r="AD23" s="356">
        <f>Y23/'JRC data'!F21</f>
        <v>801.35</v>
      </c>
      <c r="AE23" s="356">
        <f>Z23/'JRC data'!G21</f>
        <v>701.35</v>
      </c>
      <c r="AF23" s="356">
        <f>AA23/'JRC data'!H21</f>
        <v>701.35</v>
      </c>
      <c r="AG23" s="357">
        <f>'JRC data'!CG21</f>
        <v>1.5</v>
      </c>
      <c r="AH23" s="358">
        <f>'JRC data'!BQ21</f>
        <v>0</v>
      </c>
      <c r="AI23" s="39"/>
      <c r="AJ23" s="39"/>
      <c r="AK23" s="52"/>
      <c r="AL23" s="262" t="s">
        <v>64</v>
      </c>
      <c r="AM23" s="262" t="s">
        <v>155</v>
      </c>
      <c r="AN23" s="262" t="s">
        <v>155</v>
      </c>
      <c r="AO23" s="36" t="s">
        <v>232</v>
      </c>
    </row>
    <row r="24" spans="1:51" s="46" customFormat="1" x14ac:dyDescent="0.25">
      <c r="A24" s="36" t="s">
        <v>404</v>
      </c>
      <c r="B24" s="46" t="s">
        <v>111</v>
      </c>
      <c r="C24" s="46" t="str">
        <f>Legend!$C$51</f>
        <v>SRVELC</v>
      </c>
      <c r="D24" s="46" t="str">
        <f>Legend!$C$52</f>
        <v>SRVAHT</v>
      </c>
      <c r="E24" s="36" t="str">
        <f>CONCATENATE(Legend!$C$4,Legend!$C$32,", ",Legend!$C$4,Legend!$C$34,)</f>
        <v>SRVSH, SRVSC</v>
      </c>
      <c r="F24" s="377">
        <f>F23</f>
        <v>1.0999999999999999</v>
      </c>
      <c r="G24" s="377">
        <f>G23</f>
        <v>1.1666666666666667</v>
      </c>
      <c r="H24" s="377">
        <f>H23</f>
        <v>1.3333333333333333</v>
      </c>
      <c r="I24" s="377">
        <f>I23</f>
        <v>1.5</v>
      </c>
      <c r="J24" s="377">
        <f>J23</f>
        <v>1.5</v>
      </c>
      <c r="K24" s="377">
        <f>F24</f>
        <v>1.0999999999999999</v>
      </c>
      <c r="L24" s="377">
        <f t="shared" ref="L24:O24" si="10">G24</f>
        <v>1.1666666666666667</v>
      </c>
      <c r="M24" s="377">
        <f t="shared" si="10"/>
        <v>1.3333333333333333</v>
      </c>
      <c r="N24" s="377">
        <f t="shared" si="10"/>
        <v>1.5</v>
      </c>
      <c r="O24" s="377">
        <f t="shared" si="10"/>
        <v>1.5</v>
      </c>
      <c r="P24" s="377"/>
      <c r="Q24" s="377"/>
      <c r="R24" s="377"/>
      <c r="S24" s="377"/>
      <c r="T24" s="377"/>
      <c r="U24" s="378">
        <f>U23</f>
        <v>20</v>
      </c>
      <c r="V24" s="378"/>
      <c r="W24" s="356">
        <f>W23+'JRC data'!$BB$50*'JRC data'!$D$21/'JRC data'!$D$20</f>
        <v>360540</v>
      </c>
      <c r="X24" s="356">
        <f>X23+'JRC data'!$BB$50*'JRC data'!$D$21/'JRC data'!$D$20</f>
        <v>360540</v>
      </c>
      <c r="Y24" s="356">
        <f>Y23+'JRC data'!$BB$50*'JRC data'!$D$21/'JRC data'!$D$20</f>
        <v>320540</v>
      </c>
      <c r="Z24" s="356">
        <f>Z23+'JRC data'!$BB$50*'JRC data'!$D$21/'JRC data'!$D$20</f>
        <v>280540</v>
      </c>
      <c r="AA24" s="356">
        <f>AA23+'JRC data'!$BB$50*'JRC data'!$D$21/'JRC data'!$D$20</f>
        <v>280540</v>
      </c>
      <c r="AB24" s="356">
        <f>W24/'JRC data'!D21</f>
        <v>901.35</v>
      </c>
      <c r="AC24" s="356">
        <f>X24/'JRC data'!E21</f>
        <v>901.35</v>
      </c>
      <c r="AD24" s="356">
        <f>Y24/'JRC data'!F21</f>
        <v>801.35</v>
      </c>
      <c r="AE24" s="356">
        <f>Z24/'JRC data'!G21</f>
        <v>701.35</v>
      </c>
      <c r="AF24" s="356">
        <f>AA24/'JRC data'!H21</f>
        <v>701.35</v>
      </c>
      <c r="AG24" s="357">
        <f>AG23</f>
        <v>1.5</v>
      </c>
      <c r="AH24" s="358">
        <f>AH23</f>
        <v>0</v>
      </c>
      <c r="AI24" s="44"/>
      <c r="AJ24" s="44"/>
      <c r="AK24" s="64"/>
      <c r="AL24" s="262" t="s">
        <v>64</v>
      </c>
      <c r="AM24" s="262" t="s">
        <v>155</v>
      </c>
      <c r="AN24" s="262" t="s">
        <v>155</v>
      </c>
      <c r="AO24" s="36" t="s">
        <v>232</v>
      </c>
    </row>
    <row r="25" spans="1:51" s="46" customFormat="1" x14ac:dyDescent="0.25">
      <c r="A25" s="36" t="s">
        <v>405</v>
      </c>
      <c r="B25" s="46" t="s">
        <v>186</v>
      </c>
      <c r="C25" s="46" t="str">
        <f>Legend!$C$51</f>
        <v>SRVELC</v>
      </c>
      <c r="D25" s="46" t="str">
        <f>Legend!$C$52</f>
        <v>SRVAHT</v>
      </c>
      <c r="E25" s="36" t="str">
        <f>CONCATENATE(Legend!$C$4,Legend!$C$32,", ",Legend!$C$4,Legend!$C$34,)</f>
        <v>SRVSH, SRVSC</v>
      </c>
      <c r="F25" s="377">
        <f>'JRC data'!AC25/'JRC data'!$AH$17</f>
        <v>1</v>
      </c>
      <c r="G25" s="377">
        <f>'JRC data'!AD25/'JRC data'!$AH$17</f>
        <v>1.0333333333333334</v>
      </c>
      <c r="H25" s="377">
        <f>'JRC data'!AE25/'JRC data'!$AH$17</f>
        <v>1.1333333333333333</v>
      </c>
      <c r="I25" s="377">
        <f>'JRC data'!AF25/'JRC data'!$AH$17</f>
        <v>1.1666666666666667</v>
      </c>
      <c r="J25" s="377">
        <f>'JRC data'!AG25/'JRC data'!$AH$17</f>
        <v>1.1666666666666667</v>
      </c>
      <c r="K25" s="377">
        <f>F25</f>
        <v>1</v>
      </c>
      <c r="L25" s="377">
        <f t="shared" ref="L25" si="11">G25</f>
        <v>1.0333333333333334</v>
      </c>
      <c r="M25" s="377">
        <f t="shared" ref="M25" si="12">H25</f>
        <v>1.1333333333333333</v>
      </c>
      <c r="N25" s="377">
        <f t="shared" ref="N25" si="13">I25</f>
        <v>1.1666666666666667</v>
      </c>
      <c r="O25" s="377">
        <f t="shared" ref="O25" si="14">J25</f>
        <v>1.1666666666666667</v>
      </c>
      <c r="P25" s="377"/>
      <c r="Q25" s="377"/>
      <c r="R25" s="377"/>
      <c r="S25" s="377"/>
      <c r="T25" s="377"/>
      <c r="U25" s="378">
        <f>'JRC data'!AW25</f>
        <v>20</v>
      </c>
      <c r="V25" s="378"/>
      <c r="W25" s="356">
        <f>'JRC data'!BB25</f>
        <v>85600</v>
      </c>
      <c r="X25" s="356">
        <f>'JRC data'!BC25</f>
        <v>85600</v>
      </c>
      <c r="Y25" s="356">
        <f>'JRC data'!BD25</f>
        <v>74900</v>
      </c>
      <c r="Z25" s="356">
        <f>'JRC data'!BE25</f>
        <v>74900</v>
      </c>
      <c r="AA25" s="356">
        <f>'JRC data'!BF25</f>
        <v>74900</v>
      </c>
      <c r="AB25" s="356">
        <f>W25/'JRC data'!D25</f>
        <v>800</v>
      </c>
      <c r="AC25" s="356">
        <f>X25/'JRC data'!E25</f>
        <v>800</v>
      </c>
      <c r="AD25" s="356">
        <f>Y25/'JRC data'!F25</f>
        <v>700</v>
      </c>
      <c r="AE25" s="356">
        <f>Z25/'JRC data'!G25</f>
        <v>700</v>
      </c>
      <c r="AF25" s="356">
        <f>AA25/'JRC data'!H25</f>
        <v>700</v>
      </c>
      <c r="AG25" s="357">
        <f>'JRC data'!BL25/'JRC data'!D25</f>
        <v>4.2056074766355138</v>
      </c>
      <c r="AH25" s="358">
        <f>'JRC data'!BQ25</f>
        <v>0</v>
      </c>
      <c r="AI25" s="44"/>
      <c r="AJ25" s="44"/>
      <c r="AK25" s="64"/>
      <c r="AM25" s="262" t="s">
        <v>155</v>
      </c>
      <c r="AN25" s="262" t="s">
        <v>155</v>
      </c>
    </row>
    <row r="26" spans="1:51" x14ac:dyDescent="0.25">
      <c r="A26" s="36" t="s">
        <v>406</v>
      </c>
      <c r="B26" s="36" t="s">
        <v>89</v>
      </c>
      <c r="C26" s="36" t="str">
        <f>Legend!$C$47</f>
        <v>SRVGAS</v>
      </c>
      <c r="D26" s="36" t="str">
        <f>_xlfn.TEXTJOIN(",",TRUE,Legend!$C$52,Legend!$C$53)</f>
        <v>SRVAHT,SRVAHT2</v>
      </c>
      <c r="E26" s="36" t="str">
        <f>CONCATENATE(Legend!$C$4,Legend!$C$32,", ",Legend!$C$4,Legend!$C$33,)</f>
        <v>SRVSH, SRVWH</v>
      </c>
      <c r="F26" s="377">
        <f>'JRC data'!AC29/'JRC data'!$AC$10</f>
        <v>1.3235294117647058</v>
      </c>
      <c r="G26" s="377">
        <f>'JRC data'!AD29/'JRC data'!$AC$10</f>
        <v>1.4215686274509802</v>
      </c>
      <c r="H26" s="377">
        <f>'JRC data'!AE29/'JRC data'!$AC$10</f>
        <v>1.6666666666666665</v>
      </c>
      <c r="I26" s="377">
        <f>'JRC data'!AF29/'JRC data'!$AC$10</f>
        <v>1.6666666666666665</v>
      </c>
      <c r="J26" s="377">
        <f>'JRC data'!AG29/'JRC data'!$AC$10</f>
        <v>1.6666666666666665</v>
      </c>
      <c r="K26" s="377"/>
      <c r="L26" s="377"/>
      <c r="M26" s="377"/>
      <c r="N26" s="377"/>
      <c r="O26" s="377"/>
      <c r="P26" s="354">
        <f>F26*0.7</f>
        <v>0.92647058823529405</v>
      </c>
      <c r="Q26" s="354">
        <f t="shared" ref="P26:T27" si="15">G26*0.7</f>
        <v>0.99509803921568607</v>
      </c>
      <c r="R26" s="354">
        <f t="shared" si="15"/>
        <v>1.1666666666666665</v>
      </c>
      <c r="S26" s="354">
        <f t="shared" si="15"/>
        <v>1.1666666666666665</v>
      </c>
      <c r="T26" s="354">
        <f t="shared" si="15"/>
        <v>1.1666666666666665</v>
      </c>
      <c r="U26" s="378">
        <f>'JRC data'!AX29</f>
        <v>22</v>
      </c>
      <c r="V26" s="378"/>
      <c r="W26" s="356">
        <f>'JRC data'!BB29+'JRC data'!$BB$50*2</f>
        <v>33000</v>
      </c>
      <c r="X26" s="356">
        <f>'JRC data'!BC29+'JRC data'!$BB$50*2</f>
        <v>33000</v>
      </c>
      <c r="Y26" s="356">
        <f>'JRC data'!BD29+'JRC data'!$BB$50*2</f>
        <v>32000</v>
      </c>
      <c r="Z26" s="356">
        <f>'JRC data'!BE29+'JRC data'!$BB$50*2</f>
        <v>32000</v>
      </c>
      <c r="AA26" s="356">
        <f>'JRC data'!BF29+'JRC data'!$BB$50*2</f>
        <v>32000</v>
      </c>
      <c r="AB26" s="356">
        <f>W26/'JRC data'!$D$29</f>
        <v>750</v>
      </c>
      <c r="AC26" s="356">
        <f>X26/'JRC data'!$D$29</f>
        <v>750</v>
      </c>
      <c r="AD26" s="356">
        <f>Y26/'JRC data'!$D$29</f>
        <v>727.27272727272725</v>
      </c>
      <c r="AE26" s="356">
        <f>Z26/'JRC data'!$D$29</f>
        <v>727.27272727272725</v>
      </c>
      <c r="AF26" s="356">
        <f>AA26/'JRC data'!$D$29</f>
        <v>727.27272727272725</v>
      </c>
      <c r="AG26" s="357">
        <f>'JRC data'!CG29</f>
        <v>5.3409090909090908</v>
      </c>
      <c r="AH26" s="358">
        <f>'JRC data'!BQ29</f>
        <v>0</v>
      </c>
      <c r="AI26" s="39"/>
      <c r="AJ26" s="39"/>
      <c r="AK26" s="52"/>
      <c r="AL26" s="36"/>
      <c r="AM26" s="262" t="s">
        <v>155</v>
      </c>
      <c r="AN26" s="262" t="s">
        <v>155</v>
      </c>
      <c r="AO26" s="36"/>
    </row>
    <row r="27" spans="1:51" x14ac:dyDescent="0.25">
      <c r="A27" s="40" t="s">
        <v>407</v>
      </c>
      <c r="B27" s="40" t="s">
        <v>96</v>
      </c>
      <c r="C27" s="40" t="str">
        <f>Legend!$C$47</f>
        <v>SRVGAS</v>
      </c>
      <c r="D27" s="36" t="str">
        <f>_xlfn.TEXTJOIN(",",TRUE,Legend!$C$52,Legend!$C$53)</f>
        <v>SRVAHT,SRVAHT2</v>
      </c>
      <c r="E27" s="40" t="str">
        <f>CONCATENATE(Legend!$C$4,Legend!$C$32,", ",Legend!$C$4,Legend!$C$33,)</f>
        <v>SRVSH, SRVWH</v>
      </c>
      <c r="F27" s="381">
        <f>'JRC data'!AC30/'JRC data'!$AC$10</f>
        <v>1.4705882352941175</v>
      </c>
      <c r="G27" s="381">
        <f>'JRC data'!AD30/'JRC data'!$AC$10</f>
        <v>1.5196078431372548</v>
      </c>
      <c r="H27" s="381">
        <f>'JRC data'!AE30/'JRC data'!$AC$10</f>
        <v>1.5196078431372548</v>
      </c>
      <c r="I27" s="381">
        <f>'JRC data'!AF30/'JRC data'!$AC$10</f>
        <v>1.5686274509803921</v>
      </c>
      <c r="J27" s="381">
        <f>'JRC data'!AG30/'JRC data'!$AC$10</f>
        <v>1.5686274509803921</v>
      </c>
      <c r="K27" s="381"/>
      <c r="L27" s="381"/>
      <c r="M27" s="381"/>
      <c r="N27" s="381"/>
      <c r="O27" s="381"/>
      <c r="P27" s="381">
        <f t="shared" si="15"/>
        <v>1.0294117647058822</v>
      </c>
      <c r="Q27" s="381">
        <f t="shared" si="15"/>
        <v>1.0637254901960782</v>
      </c>
      <c r="R27" s="381">
        <f t="shared" si="15"/>
        <v>1.0637254901960782</v>
      </c>
      <c r="S27" s="381">
        <f t="shared" si="15"/>
        <v>1.0980392156862744</v>
      </c>
      <c r="T27" s="381">
        <f t="shared" si="15"/>
        <v>1.0980392156862744</v>
      </c>
      <c r="U27" s="382" t="str">
        <f>'JRC data'!AX30</f>
        <v>15-20</v>
      </c>
      <c r="V27" s="382"/>
      <c r="W27" s="362">
        <f>'JRC data'!BB30+'JRC data'!$BB$50*4</f>
        <v>47500</v>
      </c>
      <c r="X27" s="362">
        <f>'JRC data'!BC30+'JRC data'!$BB$50*4</f>
        <v>47500</v>
      </c>
      <c r="Y27" s="362">
        <f>'JRC data'!BD30+'JRC data'!$BB$50*4</f>
        <v>47500</v>
      </c>
      <c r="Z27" s="362">
        <f>'JRC data'!BE30+'JRC data'!$BB$50*4</f>
        <v>47500</v>
      </c>
      <c r="AA27" s="362">
        <f>'JRC data'!BF30+'JRC data'!$BB$50*4</f>
        <v>47500</v>
      </c>
      <c r="AB27" s="362">
        <f>W27/AVERAGE(LEFT('JRC data'!D30,2),RIGHT('JRC data'!D30,2))</f>
        <v>950</v>
      </c>
      <c r="AC27" s="362">
        <f>X27/AVERAGE(LEFT('JRC data'!E30,2),RIGHT('JRC data'!E30,2))</f>
        <v>950</v>
      </c>
      <c r="AD27" s="362">
        <f>Y27/AVERAGE(LEFT('JRC data'!F30,2),RIGHT('JRC data'!F30,2))</f>
        <v>950</v>
      </c>
      <c r="AE27" s="362">
        <f>Z27/AVERAGE(LEFT('JRC data'!G30,2),RIGHT('JRC data'!G30,2))</f>
        <v>950</v>
      </c>
      <c r="AF27" s="362">
        <f>AA27/AVERAGE(LEFT('JRC data'!H30,2),RIGHT('JRC data'!H30,2))</f>
        <v>950</v>
      </c>
      <c r="AG27" s="372">
        <f>'JRC data'!CG30</f>
        <v>4.7</v>
      </c>
      <c r="AH27" s="373">
        <f>'JRC data'!BQ30</f>
        <v>0</v>
      </c>
      <c r="AI27" s="50"/>
      <c r="AJ27" s="50"/>
      <c r="AK27" s="51"/>
      <c r="AL27" s="40"/>
      <c r="AM27" s="263" t="s">
        <v>155</v>
      </c>
      <c r="AN27" s="263" t="s">
        <v>155</v>
      </c>
      <c r="AO27" s="40"/>
      <c r="AQ27" s="40"/>
      <c r="AR27" s="40"/>
      <c r="AS27" s="40"/>
      <c r="AT27" s="40"/>
      <c r="AU27" s="40"/>
      <c r="AV27" s="40"/>
      <c r="AW27" s="40"/>
      <c r="AX27" s="40"/>
      <c r="AY27" s="40"/>
    </row>
    <row r="28" spans="1:51" s="53" customFormat="1" x14ac:dyDescent="0.25">
      <c r="A28" s="53" t="s">
        <v>103</v>
      </c>
      <c r="F28" s="366"/>
      <c r="G28" s="366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66"/>
      <c r="S28" s="366"/>
      <c r="T28" s="366"/>
      <c r="U28" s="367"/>
      <c r="V28" s="367"/>
      <c r="W28" s="368"/>
      <c r="X28" s="368"/>
      <c r="Y28" s="368"/>
      <c r="Z28" s="368"/>
      <c r="AA28" s="368"/>
      <c r="AB28" s="368"/>
      <c r="AC28" s="368"/>
      <c r="AD28" s="368"/>
      <c r="AE28" s="368"/>
      <c r="AF28" s="368"/>
      <c r="AG28" s="369"/>
      <c r="AH28" s="370"/>
      <c r="AI28" s="56"/>
      <c r="AJ28" s="56"/>
      <c r="AM28" s="61"/>
      <c r="AN28" s="61"/>
    </row>
    <row r="29" spans="1:51" x14ac:dyDescent="0.25">
      <c r="A29" s="40" t="s">
        <v>408</v>
      </c>
      <c r="B29" s="49" t="s">
        <v>188</v>
      </c>
      <c r="C29" s="40" t="str">
        <f>Legend!$C$54</f>
        <v>SRVHET</v>
      </c>
      <c r="D29" s="40"/>
      <c r="E29" s="40" t="str">
        <f>CONCATENATE(Legend!$C$4,Legend!$C$32,", ",Legend!$C$4,Legend!$C$33,)</f>
        <v>SRVSH, SRVWH</v>
      </c>
      <c r="F29" s="360">
        <f>'JRC data'!AC62/'JRC data'!$AC$10</f>
        <v>0.96078431372549011</v>
      </c>
      <c r="G29" s="360">
        <f>'JRC data'!AD62/'JRC data'!$AC$10</f>
        <v>0.96078431372549011</v>
      </c>
      <c r="H29" s="360">
        <f>'JRC data'!AE62/'JRC data'!$AC$10</f>
        <v>0.96078431372549011</v>
      </c>
      <c r="I29" s="360">
        <f>'JRC data'!AF62/'JRC data'!$AC$10</f>
        <v>0.96078431372549011</v>
      </c>
      <c r="J29" s="360">
        <f>'JRC data'!AG62/'JRC data'!$AC$10</f>
        <v>0.96078431372549011</v>
      </c>
      <c r="K29" s="360"/>
      <c r="L29" s="360"/>
      <c r="M29" s="360"/>
      <c r="N29" s="360"/>
      <c r="O29" s="360"/>
      <c r="P29" s="360">
        <f>F29</f>
        <v>0.96078431372549011</v>
      </c>
      <c r="Q29" s="360">
        <f t="shared" ref="Q29:T29" si="16">G29</f>
        <v>0.96078431372549011</v>
      </c>
      <c r="R29" s="360">
        <f t="shared" si="16"/>
        <v>0.96078431372549011</v>
      </c>
      <c r="S29" s="360">
        <f t="shared" si="16"/>
        <v>0.96078431372549011</v>
      </c>
      <c r="T29" s="360">
        <f t="shared" si="16"/>
        <v>0.96078431372549011</v>
      </c>
      <c r="U29" s="361">
        <f>'JRC data'!AX62</f>
        <v>20</v>
      </c>
      <c r="V29" s="361"/>
      <c r="W29" s="362">
        <f>'JRC data'!BB62</f>
        <v>2500</v>
      </c>
      <c r="X29" s="362">
        <f>'JRC data'!BC62</f>
        <v>2500</v>
      </c>
      <c r="Y29" s="362">
        <f>'JRC data'!BD62</f>
        <v>2500</v>
      </c>
      <c r="Z29" s="362">
        <f>'JRC data'!BE62</f>
        <v>2500</v>
      </c>
      <c r="AA29" s="362">
        <f>'JRC data'!BF62</f>
        <v>2500</v>
      </c>
      <c r="AB29" s="362">
        <f>W29/'JRC data'!D62</f>
        <v>250</v>
      </c>
      <c r="AC29" s="362">
        <f>X29/'JRC data'!E62</f>
        <v>250</v>
      </c>
      <c r="AD29" s="362">
        <f>Y29/'JRC data'!F62</f>
        <v>250</v>
      </c>
      <c r="AE29" s="362">
        <f>Z29/'JRC data'!G62</f>
        <v>250</v>
      </c>
      <c r="AF29" s="362">
        <f>AA29/'JRC data'!H62</f>
        <v>250</v>
      </c>
      <c r="AG29" s="363">
        <f>'JRC data'!CG62</f>
        <v>15</v>
      </c>
      <c r="AH29" s="364">
        <f>'JRC data'!BQ62</f>
        <v>0</v>
      </c>
      <c r="AI29" s="47"/>
      <c r="AJ29" s="47"/>
      <c r="AK29" s="40"/>
      <c r="AL29" s="263"/>
      <c r="AM29" s="263" t="s">
        <v>155</v>
      </c>
      <c r="AN29" s="263" t="s">
        <v>155</v>
      </c>
      <c r="AO29" s="40"/>
      <c r="AQ29" s="40"/>
      <c r="AR29" s="40"/>
      <c r="AS29" s="40"/>
      <c r="AT29" s="40"/>
      <c r="AU29" s="40"/>
      <c r="AV29" s="40"/>
      <c r="AW29" s="40"/>
      <c r="AX29" s="40"/>
      <c r="AY29" s="40"/>
    </row>
    <row r="30" spans="1:51" s="53" customFormat="1" x14ac:dyDescent="0.25">
      <c r="A30" s="61" t="s">
        <v>104</v>
      </c>
      <c r="B30" s="61"/>
      <c r="F30" s="370"/>
      <c r="G30" s="370"/>
      <c r="H30" s="370"/>
      <c r="I30" s="370"/>
      <c r="J30" s="370"/>
      <c r="K30" s="366"/>
      <c r="L30" s="366"/>
      <c r="M30" s="366"/>
      <c r="N30" s="366"/>
      <c r="O30" s="366"/>
      <c r="P30" s="366"/>
      <c r="Q30" s="366"/>
      <c r="R30" s="366"/>
      <c r="S30" s="366"/>
      <c r="T30" s="366"/>
      <c r="U30" s="367"/>
      <c r="V30" s="367"/>
      <c r="W30" s="368"/>
      <c r="X30" s="368"/>
      <c r="Y30" s="368"/>
      <c r="Z30" s="368"/>
      <c r="AA30" s="368"/>
      <c r="AB30" s="368"/>
      <c r="AC30" s="368"/>
      <c r="AD30" s="368"/>
      <c r="AE30" s="368"/>
      <c r="AF30" s="368"/>
      <c r="AG30" s="369"/>
      <c r="AH30" s="370"/>
      <c r="AI30" s="56"/>
      <c r="AJ30" s="56"/>
      <c r="AM30" s="61"/>
      <c r="AN30" s="61"/>
    </row>
    <row r="31" spans="1:51" x14ac:dyDescent="0.25">
      <c r="A31" s="36" t="s">
        <v>398</v>
      </c>
      <c r="B31" s="36" t="s">
        <v>82</v>
      </c>
      <c r="C31" s="46" t="str">
        <f>Legend!$C$51</f>
        <v>SRVELC</v>
      </c>
      <c r="D31" s="46"/>
      <c r="E31" s="36" t="str">
        <f>CONCATENATE(Legend!$C$4,Legend!$C$33,)</f>
        <v>SRVWH</v>
      </c>
      <c r="F31" s="383"/>
      <c r="G31" s="383"/>
      <c r="H31" s="383"/>
      <c r="I31" s="383"/>
      <c r="J31" s="383"/>
      <c r="K31" s="354"/>
      <c r="L31" s="354"/>
      <c r="M31" s="354"/>
      <c r="N31" s="354"/>
      <c r="O31" s="354"/>
      <c r="P31" s="354">
        <f>F16</f>
        <v>1</v>
      </c>
      <c r="Q31" s="354">
        <f>G16</f>
        <v>1</v>
      </c>
      <c r="R31" s="354">
        <f>H16</f>
        <v>1</v>
      </c>
      <c r="S31" s="354">
        <f>I16</f>
        <v>1</v>
      </c>
      <c r="T31" s="354">
        <f>J16</f>
        <v>1</v>
      </c>
      <c r="U31" s="355">
        <f>U16</f>
        <v>30</v>
      </c>
      <c r="V31" s="355"/>
      <c r="W31" s="356"/>
      <c r="X31" s="356"/>
      <c r="Y31" s="356"/>
      <c r="Z31" s="356"/>
      <c r="AA31" s="356"/>
      <c r="AB31" s="356">
        <f t="shared" ref="AB31:AH31" si="17">AB16</f>
        <v>665</v>
      </c>
      <c r="AC31" s="356">
        <f t="shared" si="17"/>
        <v>665</v>
      </c>
      <c r="AD31" s="356">
        <f t="shared" si="17"/>
        <v>665</v>
      </c>
      <c r="AE31" s="356">
        <f t="shared" si="17"/>
        <v>665</v>
      </c>
      <c r="AF31" s="356">
        <f t="shared" si="17"/>
        <v>665</v>
      </c>
      <c r="AG31" s="357">
        <f t="shared" si="17"/>
        <v>10</v>
      </c>
      <c r="AH31" s="358">
        <f t="shared" si="17"/>
        <v>0</v>
      </c>
      <c r="AI31" s="38"/>
      <c r="AJ31" s="38"/>
      <c r="AK31" s="52"/>
      <c r="AL31" s="36"/>
      <c r="AM31" s="262" t="s">
        <v>155</v>
      </c>
      <c r="AN31" s="262" t="s">
        <v>155</v>
      </c>
      <c r="AO31" s="36"/>
    </row>
    <row r="32" spans="1:51" x14ac:dyDescent="0.25">
      <c r="A32" s="36" t="s">
        <v>409</v>
      </c>
      <c r="B32" s="46" t="s">
        <v>97</v>
      </c>
      <c r="C32" s="36" t="str">
        <f>Legend!$C$50</f>
        <v>SRVSOL</v>
      </c>
      <c r="D32" s="36"/>
      <c r="E32" s="36" t="str">
        <f>CONCATENATE(Legend!$C$4,Legend!$C$33,)</f>
        <v>SRVWH</v>
      </c>
      <c r="F32" s="383"/>
      <c r="G32" s="383"/>
      <c r="H32" s="383"/>
      <c r="I32" s="383"/>
      <c r="J32" s="383"/>
      <c r="K32" s="354"/>
      <c r="L32" s="354"/>
      <c r="M32" s="354"/>
      <c r="N32" s="354"/>
      <c r="O32" s="354"/>
      <c r="P32" s="354">
        <v>1</v>
      </c>
      <c r="Q32" s="354">
        <v>1</v>
      </c>
      <c r="R32" s="354">
        <v>1</v>
      </c>
      <c r="S32" s="354">
        <v>1</v>
      </c>
      <c r="T32" s="354">
        <v>1</v>
      </c>
      <c r="U32" s="355">
        <f>'JRC data'!AX46</f>
        <v>25</v>
      </c>
      <c r="V32" s="355">
        <f>'JRC data'!AY46</f>
        <v>30</v>
      </c>
      <c r="W32" s="356">
        <f>'JRC data'!BB46</f>
        <v>90000</v>
      </c>
      <c r="X32" s="356">
        <f>'JRC data'!BC46</f>
        <v>90000</v>
      </c>
      <c r="Y32" s="356">
        <f>'JRC data'!BD46</f>
        <v>90000</v>
      </c>
      <c r="Z32" s="356">
        <f>'JRC data'!BE46</f>
        <v>90000</v>
      </c>
      <c r="AA32" s="356">
        <f>'JRC data'!BF46</f>
        <v>90000</v>
      </c>
      <c r="AB32" s="356">
        <f>W32/'JRC data'!D46</f>
        <v>642.85714285714289</v>
      </c>
      <c r="AC32" s="356">
        <f>X32/'JRC data'!E46</f>
        <v>642.85714285714289</v>
      </c>
      <c r="AD32" s="356">
        <f>Y32/'JRC data'!F46</f>
        <v>642.85714285714289</v>
      </c>
      <c r="AE32" s="356">
        <f>Z32/'JRC data'!G46</f>
        <v>642.85714285714289</v>
      </c>
      <c r="AF32" s="356">
        <f>AA32/'JRC data'!H46</f>
        <v>642.85714285714289</v>
      </c>
      <c r="AG32" s="357">
        <f>'JRC data'!CG46</f>
        <v>4.2857142857142856</v>
      </c>
      <c r="AH32" s="358">
        <f>'JRC data'!BQ46</f>
        <v>0</v>
      </c>
      <c r="AI32" s="38"/>
      <c r="AJ32" s="38"/>
      <c r="AK32" s="36"/>
      <c r="AL32" s="36"/>
      <c r="AM32" s="262" t="s">
        <v>155</v>
      </c>
      <c r="AN32" s="262" t="s">
        <v>155</v>
      </c>
      <c r="AO32" s="36"/>
    </row>
    <row r="33" spans="1:51" x14ac:dyDescent="0.25">
      <c r="A33" s="36" t="s">
        <v>392</v>
      </c>
      <c r="B33" s="46" t="s">
        <v>98</v>
      </c>
      <c r="C33" s="36" t="str">
        <f>Legend!$C$47</f>
        <v>SRVGAS</v>
      </c>
      <c r="D33" s="36"/>
      <c r="E33" s="36" t="str">
        <f>CONCATENATE(Legend!$C$4,Legend!$C$33,)</f>
        <v>SRVWH</v>
      </c>
      <c r="F33" s="383"/>
      <c r="G33" s="383"/>
      <c r="H33" s="383"/>
      <c r="I33" s="383"/>
      <c r="J33" s="383"/>
      <c r="K33" s="354"/>
      <c r="L33" s="354"/>
      <c r="M33" s="354"/>
      <c r="N33" s="354"/>
      <c r="O33" s="354"/>
      <c r="P33" s="354">
        <f>F7*0.7</f>
        <v>0.7</v>
      </c>
      <c r="Q33" s="354">
        <f>G7*0.7</f>
        <v>0.7</v>
      </c>
      <c r="R33" s="354">
        <f>H7*0.7</f>
        <v>0.7</v>
      </c>
      <c r="S33" s="354">
        <f>I7*0.7</f>
        <v>0.7</v>
      </c>
      <c r="T33" s="354">
        <f>J7*0.7</f>
        <v>0.7</v>
      </c>
      <c r="U33" s="355">
        <f>U7</f>
        <v>25</v>
      </c>
      <c r="V33" s="355"/>
      <c r="W33" s="356">
        <f t="shared" ref="W33:AH33" si="18">W7</f>
        <v>22500</v>
      </c>
      <c r="X33" s="356">
        <f t="shared" si="18"/>
        <v>20000</v>
      </c>
      <c r="Y33" s="356">
        <f t="shared" si="18"/>
        <v>17500</v>
      </c>
      <c r="Z33" s="356">
        <f t="shared" si="18"/>
        <v>17500</v>
      </c>
      <c r="AA33" s="356">
        <f t="shared" si="18"/>
        <v>17500</v>
      </c>
      <c r="AB33" s="356">
        <f t="shared" si="18"/>
        <v>58.441558441558442</v>
      </c>
      <c r="AC33" s="356">
        <f t="shared" si="18"/>
        <v>51.948051948051948</v>
      </c>
      <c r="AD33" s="356">
        <f t="shared" si="18"/>
        <v>45.454545454545453</v>
      </c>
      <c r="AE33" s="356">
        <f t="shared" si="18"/>
        <v>45.454545454545453</v>
      </c>
      <c r="AF33" s="356">
        <f t="shared" si="18"/>
        <v>45.454545454545453</v>
      </c>
      <c r="AG33" s="357">
        <f t="shared" si="18"/>
        <v>4</v>
      </c>
      <c r="AH33" s="358">
        <f t="shared" si="18"/>
        <v>2</v>
      </c>
      <c r="AI33" s="38"/>
      <c r="AJ33" s="38"/>
      <c r="AK33" s="36"/>
      <c r="AL33" s="36"/>
      <c r="AM33" s="262" t="s">
        <v>155</v>
      </c>
      <c r="AN33" s="262" t="s">
        <v>155</v>
      </c>
      <c r="AO33" s="36"/>
    </row>
    <row r="34" spans="1:51" x14ac:dyDescent="0.25">
      <c r="A34" s="36" t="s">
        <v>396</v>
      </c>
      <c r="B34" s="46" t="s">
        <v>175</v>
      </c>
      <c r="C34" s="36" t="str">
        <f>Legend!$C$48</f>
        <v>SRVBIO</v>
      </c>
      <c r="D34" s="36"/>
      <c r="E34" s="36" t="str">
        <f>CONCATENATE(Legend!$C$4,Legend!$C$33,)</f>
        <v>SRVWH</v>
      </c>
      <c r="F34" s="383"/>
      <c r="G34" s="383"/>
      <c r="H34" s="383"/>
      <c r="I34" s="383"/>
      <c r="J34" s="383"/>
      <c r="K34" s="354"/>
      <c r="L34" s="354"/>
      <c r="M34" s="354"/>
      <c r="N34" s="354"/>
      <c r="O34" s="354"/>
      <c r="P34" s="354">
        <f t="shared" ref="P34:U34" si="19">P14</f>
        <v>0.7</v>
      </c>
      <c r="Q34" s="354">
        <f t="shared" si="19"/>
        <v>0.71647058823529397</v>
      </c>
      <c r="R34" s="354">
        <f t="shared" si="19"/>
        <v>0.74941176470588233</v>
      </c>
      <c r="S34" s="354">
        <f t="shared" si="19"/>
        <v>0.78235294117647058</v>
      </c>
      <c r="T34" s="354">
        <f t="shared" si="19"/>
        <v>0.78235294117647058</v>
      </c>
      <c r="U34" s="355">
        <f t="shared" si="19"/>
        <v>20</v>
      </c>
      <c r="V34" s="355"/>
      <c r="W34" s="356">
        <f t="shared" ref="W34:AH34" si="20">W13</f>
        <v>108500</v>
      </c>
      <c r="X34" s="356">
        <f t="shared" si="20"/>
        <v>108500</v>
      </c>
      <c r="Y34" s="356">
        <f t="shared" si="20"/>
        <v>112000</v>
      </c>
      <c r="Z34" s="356">
        <f t="shared" si="20"/>
        <v>112000</v>
      </c>
      <c r="AA34" s="356">
        <f t="shared" si="20"/>
        <v>112000</v>
      </c>
      <c r="AB34" s="356">
        <f t="shared" si="20"/>
        <v>197.27272727272728</v>
      </c>
      <c r="AC34" s="356">
        <f t="shared" si="20"/>
        <v>197.27272727272728</v>
      </c>
      <c r="AD34" s="356">
        <f t="shared" si="20"/>
        <v>203.63636363636363</v>
      </c>
      <c r="AE34" s="356">
        <f t="shared" si="20"/>
        <v>203.63636363636363</v>
      </c>
      <c r="AF34" s="356">
        <f t="shared" si="20"/>
        <v>203.63636363636363</v>
      </c>
      <c r="AG34" s="357">
        <f t="shared" si="20"/>
        <v>5.7272727272727274E-2</v>
      </c>
      <c r="AH34" s="358">
        <f t="shared" si="20"/>
        <v>0</v>
      </c>
      <c r="AI34" s="38"/>
      <c r="AJ34" s="38"/>
      <c r="AK34" s="36"/>
      <c r="AL34" s="36"/>
      <c r="AM34" s="262" t="s">
        <v>155</v>
      </c>
      <c r="AN34" s="262" t="s">
        <v>155</v>
      </c>
      <c r="AO34" s="36"/>
    </row>
    <row r="35" spans="1:51" x14ac:dyDescent="0.25">
      <c r="A35" s="40" t="s">
        <v>394</v>
      </c>
      <c r="B35" s="49" t="s">
        <v>176</v>
      </c>
      <c r="C35" s="40" t="str">
        <f>Legend!$C$45</f>
        <v>SRVLPG</v>
      </c>
      <c r="D35" s="40"/>
      <c r="E35" s="40" t="str">
        <f>CONCATENATE(Legend!$C$4,Legend!$C$33,)</f>
        <v>SRVWH</v>
      </c>
      <c r="F35" s="384"/>
      <c r="G35" s="384"/>
      <c r="H35" s="384"/>
      <c r="I35" s="384"/>
      <c r="J35" s="384"/>
      <c r="K35" s="360"/>
      <c r="L35" s="360"/>
      <c r="M35" s="360"/>
      <c r="N35" s="360"/>
      <c r="O35" s="360"/>
      <c r="P35" s="360">
        <f t="shared" ref="P35:U35" si="21">P12</f>
        <v>0.7</v>
      </c>
      <c r="Q35" s="360">
        <f t="shared" si="21"/>
        <v>0.7</v>
      </c>
      <c r="R35" s="360">
        <f t="shared" si="21"/>
        <v>0.7</v>
      </c>
      <c r="S35" s="360">
        <f t="shared" si="21"/>
        <v>0.7</v>
      </c>
      <c r="T35" s="360">
        <f t="shared" si="21"/>
        <v>0.7</v>
      </c>
      <c r="U35" s="361">
        <f t="shared" si="21"/>
        <v>25</v>
      </c>
      <c r="V35" s="361"/>
      <c r="W35" s="362">
        <f t="shared" ref="W35:AH35" si="22">W33</f>
        <v>22500</v>
      </c>
      <c r="X35" s="362">
        <f t="shared" si="22"/>
        <v>20000</v>
      </c>
      <c r="Y35" s="362">
        <f t="shared" si="22"/>
        <v>17500</v>
      </c>
      <c r="Z35" s="362">
        <f t="shared" si="22"/>
        <v>17500</v>
      </c>
      <c r="AA35" s="362">
        <f t="shared" si="22"/>
        <v>17500</v>
      </c>
      <c r="AB35" s="362">
        <f t="shared" si="22"/>
        <v>58.441558441558442</v>
      </c>
      <c r="AC35" s="362">
        <f t="shared" si="22"/>
        <v>51.948051948051948</v>
      </c>
      <c r="AD35" s="362">
        <f t="shared" si="22"/>
        <v>45.454545454545453</v>
      </c>
      <c r="AE35" s="362">
        <f t="shared" si="22"/>
        <v>45.454545454545453</v>
      </c>
      <c r="AF35" s="362">
        <f t="shared" si="22"/>
        <v>45.454545454545453</v>
      </c>
      <c r="AG35" s="363">
        <f t="shared" si="22"/>
        <v>4</v>
      </c>
      <c r="AH35" s="364">
        <f t="shared" si="22"/>
        <v>2</v>
      </c>
      <c r="AI35" s="41"/>
      <c r="AJ35" s="41"/>
      <c r="AK35" s="40"/>
      <c r="AL35" s="40"/>
      <c r="AM35" s="263" t="s">
        <v>155</v>
      </c>
      <c r="AN35" s="263" t="s">
        <v>155</v>
      </c>
      <c r="AO35" s="40"/>
      <c r="AQ35" s="40"/>
      <c r="AR35" s="40"/>
      <c r="AS35" s="40"/>
      <c r="AT35" s="40"/>
      <c r="AU35" s="40"/>
      <c r="AV35" s="40"/>
      <c r="AW35" s="40"/>
      <c r="AX35" s="40"/>
      <c r="AY35" s="40"/>
    </row>
    <row r="36" spans="1:51" s="53" customFormat="1" x14ac:dyDescent="0.25">
      <c r="A36" s="61" t="s">
        <v>105</v>
      </c>
      <c r="B36" s="61"/>
      <c r="F36" s="369"/>
      <c r="G36" s="369"/>
      <c r="H36" s="369"/>
      <c r="I36" s="369"/>
      <c r="J36" s="369"/>
      <c r="K36" s="366"/>
      <c r="L36" s="366"/>
      <c r="M36" s="366"/>
      <c r="N36" s="366"/>
      <c r="O36" s="366"/>
      <c r="P36" s="366"/>
      <c r="Q36" s="366"/>
      <c r="R36" s="366"/>
      <c r="S36" s="366"/>
      <c r="T36" s="366"/>
      <c r="U36" s="367"/>
      <c r="V36" s="367"/>
      <c r="W36" s="368"/>
      <c r="X36" s="368"/>
      <c r="Y36" s="368"/>
      <c r="Z36" s="368"/>
      <c r="AA36" s="368"/>
      <c r="AB36" s="368"/>
      <c r="AC36" s="368"/>
      <c r="AD36" s="368"/>
      <c r="AE36" s="368"/>
      <c r="AF36" s="368"/>
      <c r="AG36" s="369"/>
      <c r="AH36" s="370"/>
      <c r="AI36" s="55"/>
      <c r="AJ36" s="55"/>
      <c r="AM36" s="61"/>
      <c r="AN36" s="61"/>
    </row>
    <row r="37" spans="1:51" x14ac:dyDescent="0.25">
      <c r="A37" s="36" t="s">
        <v>398</v>
      </c>
      <c r="B37" s="46" t="s">
        <v>185</v>
      </c>
      <c r="C37" s="36" t="str">
        <f>Legend!$C$51</f>
        <v>SRVELC</v>
      </c>
      <c r="D37" s="36"/>
      <c r="E37" s="36" t="str">
        <f>CONCATENATE(Legend!$C$4,Legend!$C$34,)</f>
        <v>SRVSC</v>
      </c>
      <c r="F37" s="357"/>
      <c r="G37" s="357"/>
      <c r="H37" s="357"/>
      <c r="I37" s="357"/>
      <c r="J37" s="357"/>
      <c r="K37" s="377">
        <f>'JRC data'!AM17/'JRC data'!$AM$17</f>
        <v>1</v>
      </c>
      <c r="L37" s="377">
        <f>'JRC data'!AN17/'JRC data'!$AM$17</f>
        <v>1</v>
      </c>
      <c r="M37" s="377">
        <f>'JRC data'!AO17/'JRC data'!$AM$17</f>
        <v>1</v>
      </c>
      <c r="N37" s="377">
        <f>'JRC data'!AP17/'JRC data'!$AM$17</f>
        <v>1</v>
      </c>
      <c r="O37" s="377">
        <f>'JRC data'!AQ17/'JRC data'!$AM$17</f>
        <v>1</v>
      </c>
      <c r="P37" s="377"/>
      <c r="Q37" s="377"/>
      <c r="R37" s="377"/>
      <c r="S37" s="377"/>
      <c r="T37" s="377"/>
      <c r="U37" s="378">
        <f>U18</f>
        <v>20</v>
      </c>
      <c r="V37" s="378"/>
      <c r="W37" s="356">
        <f t="shared" ref="W37:AH37" si="23">W18</f>
        <v>27140.2</v>
      </c>
      <c r="X37" s="356">
        <f t="shared" si="23"/>
        <v>25783.19</v>
      </c>
      <c r="Y37" s="356">
        <f t="shared" si="23"/>
        <v>23340.571999999996</v>
      </c>
      <c r="Z37" s="356">
        <f t="shared" si="23"/>
        <v>22254.963999999996</v>
      </c>
      <c r="AA37" s="356">
        <f t="shared" si="23"/>
        <v>22254.963999999996</v>
      </c>
      <c r="AB37" s="356">
        <f t="shared" si="23"/>
        <v>426.06279434850865</v>
      </c>
      <c r="AC37" s="356">
        <f t="shared" si="23"/>
        <v>404.75965463108315</v>
      </c>
      <c r="AD37" s="356">
        <f t="shared" si="23"/>
        <v>366.41400313971735</v>
      </c>
      <c r="AE37" s="356">
        <f t="shared" si="23"/>
        <v>349.37149136577699</v>
      </c>
      <c r="AF37" s="356">
        <f t="shared" si="23"/>
        <v>349.37149136577699</v>
      </c>
      <c r="AG37" s="357">
        <f t="shared" si="23"/>
        <v>10.204081632653061</v>
      </c>
      <c r="AH37" s="358">
        <f t="shared" si="23"/>
        <v>0</v>
      </c>
      <c r="AI37" s="38"/>
      <c r="AJ37" s="38"/>
      <c r="AK37" s="36"/>
      <c r="AL37" s="36"/>
      <c r="AM37" s="262" t="s">
        <v>155</v>
      </c>
      <c r="AN37" s="262" t="s">
        <v>155</v>
      </c>
      <c r="AO37" s="36"/>
    </row>
    <row r="38" spans="1:51" x14ac:dyDescent="0.25">
      <c r="A38" s="40" t="s">
        <v>399</v>
      </c>
      <c r="B38" s="49" t="s">
        <v>184</v>
      </c>
      <c r="C38" s="40" t="str">
        <f>Legend!$C$51</f>
        <v>SRVELC</v>
      </c>
      <c r="D38" s="40"/>
      <c r="E38" s="40" t="str">
        <f>CONCATENATE(Legend!$C$4,Legend!$C$34,)</f>
        <v>SRVSC</v>
      </c>
      <c r="F38" s="363"/>
      <c r="G38" s="363"/>
      <c r="H38" s="363"/>
      <c r="I38" s="363"/>
      <c r="J38" s="363"/>
      <c r="K38" s="381">
        <f>'JRC data'!AC25/'JRC data'!$AM$17</f>
        <v>0.81081081081081074</v>
      </c>
      <c r="L38" s="381">
        <f>'JRC data'!AD25/'JRC data'!$AM$17</f>
        <v>0.83783783783783783</v>
      </c>
      <c r="M38" s="381">
        <f>'JRC data'!AE25/'JRC data'!$AM$17</f>
        <v>0.91891891891891886</v>
      </c>
      <c r="N38" s="381">
        <f>'JRC data'!AF25/'JRC data'!$AM$17</f>
        <v>0.94594594594594594</v>
      </c>
      <c r="O38" s="381">
        <f>'JRC data'!AG25/'JRC data'!$AM$17</f>
        <v>0.94594594594594594</v>
      </c>
      <c r="P38" s="381"/>
      <c r="Q38" s="381"/>
      <c r="R38" s="381"/>
      <c r="S38" s="381"/>
      <c r="T38" s="381"/>
      <c r="U38" s="382">
        <f>'JRC data'!AW25</f>
        <v>20</v>
      </c>
      <c r="V38" s="382"/>
      <c r="W38" s="362">
        <f>'JRC data'!BB25+'JRC data'!BG25</f>
        <v>85600</v>
      </c>
      <c r="X38" s="362">
        <f>'JRC data'!BC25+'JRC data'!BH25</f>
        <v>85600</v>
      </c>
      <c r="Y38" s="362">
        <f>'JRC data'!BD25+'JRC data'!BI25</f>
        <v>74900</v>
      </c>
      <c r="Z38" s="362">
        <f>'JRC data'!BE25+'JRC data'!BJ25</f>
        <v>74900</v>
      </c>
      <c r="AA38" s="362">
        <f>'JRC data'!BF25+'JRC data'!BK25</f>
        <v>74900</v>
      </c>
      <c r="AB38" s="362">
        <f>W38/'JRC data'!D25</f>
        <v>800</v>
      </c>
      <c r="AC38" s="362">
        <f>X38/'JRC data'!E25</f>
        <v>800</v>
      </c>
      <c r="AD38" s="362">
        <f>Y38/'JRC data'!F25</f>
        <v>700</v>
      </c>
      <c r="AE38" s="362">
        <f>Z38/'JRC data'!G25</f>
        <v>700</v>
      </c>
      <c r="AF38" s="362">
        <f>AA38/'JRC data'!H25</f>
        <v>700</v>
      </c>
      <c r="AG38" s="363">
        <f>'JRC data'!BL25/'JRC data'!D25</f>
        <v>4.2056074766355138</v>
      </c>
      <c r="AH38" s="364">
        <f>'JRC data'!BQ25</f>
        <v>0</v>
      </c>
      <c r="AI38" s="41"/>
      <c r="AJ38" s="41"/>
      <c r="AK38" s="40"/>
      <c r="AL38" s="40"/>
      <c r="AM38" s="263" t="s">
        <v>155</v>
      </c>
      <c r="AN38" s="263" t="s">
        <v>155</v>
      </c>
      <c r="AO38" s="40"/>
      <c r="AQ38" s="40"/>
      <c r="AR38" s="40"/>
      <c r="AS38" s="40"/>
      <c r="AT38" s="40"/>
      <c r="AU38" s="40"/>
      <c r="AV38" s="40"/>
      <c r="AW38" s="40"/>
      <c r="AX38" s="40"/>
      <c r="AY38" s="40"/>
    </row>
    <row r="39" spans="1:51" x14ac:dyDescent="0.25">
      <c r="A39" s="36"/>
      <c r="B39" s="46"/>
      <c r="C39" s="36"/>
      <c r="D39" s="36"/>
      <c r="E39" s="36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9"/>
      <c r="AH39" s="292"/>
      <c r="AI39" s="38"/>
      <c r="AJ39" s="38"/>
      <c r="AK39" s="36"/>
      <c r="AL39" s="36"/>
      <c r="AM39" s="36"/>
      <c r="AN39" s="36"/>
      <c r="AO39" s="36"/>
    </row>
    <row r="40" spans="1:51" x14ac:dyDescent="0.25">
      <c r="A40" s="36"/>
      <c r="B40" s="46"/>
      <c r="C40" s="36"/>
      <c r="D40" s="36"/>
      <c r="E40" s="36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9"/>
      <c r="AH40" s="292"/>
      <c r="AI40" s="38"/>
      <c r="AJ40" s="38"/>
      <c r="AK40" s="36"/>
      <c r="AL40" s="36"/>
      <c r="AM40" s="36"/>
      <c r="AN40" s="36"/>
      <c r="AO40" s="36"/>
    </row>
    <row r="41" spans="1:51" ht="23.25" x14ac:dyDescent="0.25">
      <c r="A41" s="84" t="s">
        <v>177</v>
      </c>
    </row>
    <row r="42" spans="1:51" ht="21" x14ac:dyDescent="0.25">
      <c r="A42" s="85" t="str">
        <f>Legend!A29</f>
        <v>Commercial Services</v>
      </c>
      <c r="B42" s="86" t="str">
        <f>Legend!C29</f>
        <v>CS</v>
      </c>
      <c r="C42" s="36"/>
      <c r="D42" s="36"/>
      <c r="E42" s="36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9"/>
      <c r="AH42" s="292"/>
      <c r="AI42" s="38"/>
      <c r="AJ42" s="38"/>
      <c r="AK42" s="36"/>
      <c r="AL42" s="36"/>
      <c r="AM42" s="36"/>
      <c r="AN42" s="36"/>
      <c r="AO42" s="36"/>
    </row>
    <row r="43" spans="1:51" x14ac:dyDescent="0.25">
      <c r="A43" s="67" t="s">
        <v>114</v>
      </c>
      <c r="B43" s="36"/>
      <c r="C43" s="46"/>
      <c r="D43" s="46"/>
      <c r="F43" s="36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K43" s="38"/>
      <c r="AL43" s="36"/>
      <c r="AM43" s="36"/>
      <c r="AN43" s="36"/>
      <c r="AO43" s="36"/>
      <c r="AQ43" s="67" t="s">
        <v>115</v>
      </c>
      <c r="AR43" s="67"/>
      <c r="AS43" s="38"/>
      <c r="AT43" s="38"/>
      <c r="AU43" s="38"/>
      <c r="AV43" s="38"/>
      <c r="AW43" s="39"/>
      <c r="AX43" s="38"/>
      <c r="AY43" s="38"/>
    </row>
    <row r="44" spans="1:51" ht="45.75" thickBot="1" x14ac:dyDescent="0.3">
      <c r="A44" s="69" t="s">
        <v>116</v>
      </c>
      <c r="B44" s="68" t="s">
        <v>136</v>
      </c>
      <c r="C44" s="69" t="s">
        <v>117</v>
      </c>
      <c r="D44" s="228" t="s">
        <v>415</v>
      </c>
      <c r="E44" s="69" t="s">
        <v>118</v>
      </c>
      <c r="F44" s="70" t="str">
        <f>"CEFF~"&amp;CONCATENATE(Legend!$C$4,Legend!$C$32,"-",$B$42)</f>
        <v>CEFF~SRVSH-CS</v>
      </c>
      <c r="G44" s="70" t="str">
        <f>"CEFF~"&amp;CONCATENATE(Legend!$C$4,Legend!$C$32,"-",$B$42)&amp;"~"&amp;SRV_TH!G3</f>
        <v>CEFF~SRVSH-CS~2020</v>
      </c>
      <c r="H44" s="70" t="str">
        <f>"CEFF~"&amp;CONCATENATE(Legend!$C$4,Legend!$C$32,"-",$B$42)&amp;"~"&amp;SRV_TH!H3</f>
        <v>CEFF~SRVSH-CS~2030</v>
      </c>
      <c r="I44" s="70" t="str">
        <f>"CEFF~"&amp;CONCATENATE(Legend!$C$4,Legend!$C$32,"-",$B$42)&amp;"~"&amp;SRV_TH!I3</f>
        <v>CEFF~SRVSH-CS~2040</v>
      </c>
      <c r="J44" s="70" t="str">
        <f>"CEFF~"&amp;CONCATENATE(Legend!$C$4,Legend!$C$32,"-",$B$42)&amp;"~"&amp;SRV_TH!J3</f>
        <v>CEFF~SRVSH-CS~2050</v>
      </c>
      <c r="K44" s="70" t="str">
        <f>"CEFF~"&amp;CONCATENATE(Legend!$C$4,Legend!$C$34,"-",$B$42)</f>
        <v>CEFF~SRVSC-CS</v>
      </c>
      <c r="L44" s="70" t="str">
        <f>"CEFF~"&amp;CONCATENATE(Legend!$C$4,Legend!$C$34,"-",$B$42)&amp;"~"&amp;SRV_TH!L3</f>
        <v>CEFF~SRVSC-CS~2020</v>
      </c>
      <c r="M44" s="70" t="str">
        <f>"CEFF~"&amp;CONCATENATE(Legend!$C$4,Legend!$C$34,"-",$B$42)&amp;"~"&amp;SRV_TH!M3</f>
        <v>CEFF~SRVSC-CS~2030</v>
      </c>
      <c r="N44" s="70" t="str">
        <f>"CEFF~"&amp;CONCATENATE(Legend!$C$4,Legend!$C$34,"-",$B$42)&amp;"~"&amp;SRV_TH!N3</f>
        <v>CEFF~SRVSC-CS~2040</v>
      </c>
      <c r="O44" s="70" t="str">
        <f>"CEFF~"&amp;CONCATENATE(Legend!$C$4,Legend!$C$34,"-",$B$42)&amp;"~"&amp;SRV_TH!O3</f>
        <v>CEFF~SRVSC-CS~2050</v>
      </c>
      <c r="P44" s="70" t="str">
        <f>"CEFF~"&amp;CONCATENATE(Legend!$C$4,Legend!$C$33,"-",$B$42)</f>
        <v>CEFF~SRVWH-CS</v>
      </c>
      <c r="Q44" s="70" t="str">
        <f>"CEFF~"&amp;CONCATENATE(Legend!$C$4,Legend!$C$33,"-",$B$42)&amp;"~"&amp;SRV_TH!Q3</f>
        <v>CEFF~SRVWH-CS~2020</v>
      </c>
      <c r="R44" s="70" t="str">
        <f>"CEFF~"&amp;CONCATENATE(Legend!$C$4,Legend!$C$33,"-",$B$42)&amp;"~"&amp;SRV_TH!R3</f>
        <v>CEFF~SRVWH-CS~2030</v>
      </c>
      <c r="S44" s="70" t="str">
        <f>"CEFF~"&amp;CONCATENATE(Legend!$C$4,Legend!$C$33,"-",$B$42)&amp;"~"&amp;SRV_TH!S3</f>
        <v>CEFF~SRVWH-CS~2040</v>
      </c>
      <c r="T44" s="70" t="str">
        <f>"CEFF~"&amp;CONCATENATE(Legend!$C$4,Legend!$C$33,"-",$B$42)&amp;"~"&amp;SRV_TH!T3</f>
        <v>CEFF~SRVWH-CS~2050</v>
      </c>
      <c r="U44" s="71" t="s">
        <v>119</v>
      </c>
      <c r="V44" s="71" t="s">
        <v>139</v>
      </c>
      <c r="W44" s="71" t="s">
        <v>113</v>
      </c>
      <c r="X44" s="71" t="s">
        <v>113</v>
      </c>
      <c r="Y44" s="71" t="s">
        <v>113</v>
      </c>
      <c r="Z44" s="71" t="s">
        <v>113</v>
      </c>
      <c r="AA44" s="71" t="s">
        <v>113</v>
      </c>
      <c r="AB44" s="71" t="s">
        <v>144</v>
      </c>
      <c r="AC44" s="70" t="str">
        <f>"INVCOST~"&amp;SRV_TH!AC3</f>
        <v>INVCOST~2020</v>
      </c>
      <c r="AD44" s="70" t="str">
        <f>"INVCOST~"&amp;SRV_TH!AD3</f>
        <v>INVCOST~2030</v>
      </c>
      <c r="AE44" s="70" t="str">
        <f>"INVCOST~"&amp;SRV_TH!AE3</f>
        <v>INVCOST~2040</v>
      </c>
      <c r="AF44" s="70" t="str">
        <f>"INVCOST~"&amp;SRV_TH!AF3</f>
        <v>INVCOST~2050</v>
      </c>
      <c r="AG44" s="70" t="s">
        <v>147</v>
      </c>
      <c r="AH44" s="295" t="s">
        <v>152</v>
      </c>
      <c r="AI44" s="70" t="str">
        <f>"Share-I~UP~"&amp;Legend!$C$50</f>
        <v>Share-I~UP~SRVSOL</v>
      </c>
      <c r="AJ44" s="70" t="str">
        <f>"Share-I~UP~"&amp;Legend!$C$48</f>
        <v>Share-I~UP~SRVBIO</v>
      </c>
      <c r="AK44" s="70" t="s">
        <v>120</v>
      </c>
      <c r="AL44" s="70" t="s">
        <v>516</v>
      </c>
      <c r="AM44" s="70" t="s">
        <v>170</v>
      </c>
      <c r="AN44" s="36"/>
      <c r="AO44" s="36"/>
      <c r="AQ44" s="71" t="s">
        <v>121</v>
      </c>
      <c r="AR44" s="69" t="s">
        <v>483</v>
      </c>
      <c r="AS44" s="71" t="s">
        <v>116</v>
      </c>
      <c r="AT44" s="71" t="s">
        <v>122</v>
      </c>
      <c r="AU44" s="71" t="s">
        <v>123</v>
      </c>
      <c r="AV44" s="71" t="s">
        <v>124</v>
      </c>
      <c r="AW44" s="71" t="s">
        <v>125</v>
      </c>
      <c r="AX44" s="71" t="s">
        <v>126</v>
      </c>
      <c r="AY44" s="71" t="s">
        <v>127</v>
      </c>
    </row>
    <row r="45" spans="1:51" s="103" customFormat="1" ht="38.25" x14ac:dyDescent="0.25">
      <c r="A45" s="100" t="s">
        <v>187</v>
      </c>
      <c r="B45" s="100" t="s">
        <v>132</v>
      </c>
      <c r="C45" s="100" t="s">
        <v>137</v>
      </c>
      <c r="D45" s="229" t="s">
        <v>416</v>
      </c>
      <c r="E45" s="100" t="s">
        <v>138</v>
      </c>
      <c r="F45" s="101" t="s">
        <v>140</v>
      </c>
      <c r="G45" s="100"/>
      <c r="H45" s="100"/>
      <c r="I45" s="100"/>
      <c r="J45" s="100"/>
      <c r="K45" s="101" t="s">
        <v>141</v>
      </c>
      <c r="L45" s="100"/>
      <c r="M45" s="100"/>
      <c r="N45" s="100"/>
      <c r="O45" s="100"/>
      <c r="P45" s="101" t="s">
        <v>142</v>
      </c>
      <c r="Q45" s="100"/>
      <c r="R45" s="100"/>
      <c r="S45" s="100"/>
      <c r="T45" s="100"/>
      <c r="U45" s="101" t="s">
        <v>112</v>
      </c>
      <c r="V45" s="101"/>
      <c r="W45" s="100"/>
      <c r="X45" s="100"/>
      <c r="Y45" s="100"/>
      <c r="Z45" s="100"/>
      <c r="AA45" s="100"/>
      <c r="AB45" s="100" t="s">
        <v>145</v>
      </c>
      <c r="AC45" s="100"/>
      <c r="AD45" s="100"/>
      <c r="AE45" s="100"/>
      <c r="AF45" s="100"/>
      <c r="AG45" s="100"/>
      <c r="AH45" s="296"/>
      <c r="AI45" s="102" t="s">
        <v>178</v>
      </c>
      <c r="AJ45" s="102" t="s">
        <v>178</v>
      </c>
      <c r="AK45" s="100" t="s">
        <v>156</v>
      </c>
      <c r="AL45" s="100" t="s">
        <v>153</v>
      </c>
      <c r="AM45" s="100"/>
      <c r="AQ45" s="100" t="s">
        <v>130</v>
      </c>
      <c r="AR45" s="102" t="s">
        <v>484</v>
      </c>
      <c r="AS45" s="100" t="s">
        <v>131</v>
      </c>
      <c r="AT45" s="100" t="s">
        <v>132</v>
      </c>
      <c r="AU45" s="100" t="s">
        <v>133</v>
      </c>
      <c r="AV45" s="100" t="s">
        <v>134</v>
      </c>
      <c r="AW45" s="100"/>
      <c r="AX45" s="100" t="s">
        <v>135</v>
      </c>
      <c r="AY45" s="100"/>
    </row>
    <row r="46" spans="1:51" s="103" customFormat="1" ht="12.75" x14ac:dyDescent="0.25">
      <c r="A46" s="100" t="s">
        <v>128</v>
      </c>
      <c r="B46" s="100"/>
      <c r="C46" s="100"/>
      <c r="D46" s="100"/>
      <c r="E46" s="100"/>
      <c r="F46" s="100" t="s">
        <v>423</v>
      </c>
      <c r="G46" s="100"/>
      <c r="H46" s="100"/>
      <c r="I46" s="100"/>
      <c r="J46" s="100"/>
      <c r="K46" s="100" t="s">
        <v>423</v>
      </c>
      <c r="L46" s="100"/>
      <c r="M46" s="100"/>
      <c r="N46" s="100"/>
      <c r="O46" s="100"/>
      <c r="P46" s="100" t="s">
        <v>423</v>
      </c>
      <c r="Q46" s="100"/>
      <c r="R46" s="100"/>
      <c r="S46" s="100"/>
      <c r="T46" s="100"/>
      <c r="U46" s="100" t="s">
        <v>129</v>
      </c>
      <c r="V46" s="100"/>
      <c r="W46" s="100"/>
      <c r="X46" s="100"/>
      <c r="Y46" s="100"/>
      <c r="Z46" s="100"/>
      <c r="AA46" s="100"/>
      <c r="AB46" s="100" t="s">
        <v>146</v>
      </c>
      <c r="AC46" s="100"/>
      <c r="AD46" s="100"/>
      <c r="AE46" s="100"/>
      <c r="AF46" s="100"/>
      <c r="AG46" s="100" t="s">
        <v>148</v>
      </c>
      <c r="AH46" s="296" t="s">
        <v>149</v>
      </c>
      <c r="AI46" s="100" t="s">
        <v>143</v>
      </c>
      <c r="AJ46" s="100" t="s">
        <v>143</v>
      </c>
      <c r="AK46" s="104" t="s">
        <v>157</v>
      </c>
      <c r="AL46" s="100" t="s">
        <v>143</v>
      </c>
      <c r="AM46" s="100" t="s">
        <v>179</v>
      </c>
      <c r="AQ46" s="100" t="s">
        <v>113</v>
      </c>
      <c r="AR46" s="286"/>
      <c r="AS46" s="100"/>
      <c r="AT46" s="100"/>
      <c r="AU46" s="100"/>
      <c r="AV46" s="100"/>
      <c r="AW46" s="100"/>
      <c r="AX46" s="100"/>
      <c r="AY46" s="100"/>
    </row>
    <row r="47" spans="1:51" s="46" customFormat="1" x14ac:dyDescent="0.25">
      <c r="A47" s="231" t="s">
        <v>100</v>
      </c>
      <c r="B47" s="231"/>
      <c r="C47" s="231"/>
      <c r="D47" s="231"/>
      <c r="E47" s="231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97"/>
      <c r="AI47" s="218"/>
      <c r="AJ47" s="218"/>
      <c r="AK47" s="218"/>
      <c r="AL47" s="218"/>
      <c r="AM47" s="218"/>
      <c r="AN47" s="218"/>
      <c r="AO47" s="218"/>
      <c r="AP47" s="179"/>
      <c r="AQ47" s="231" t="str">
        <f t="shared" ref="AQ47:AQ80" si="24">IF(LEFT(A47)="*",A47,"PRE")</f>
        <v>*Boilers</v>
      </c>
      <c r="AR47" s="287" t="str">
        <f>IF($AS47="","",_xlfn.TEXTJOIN(",",TRUE,IF(LEFT(Regions!$C$3,1)&lt;&gt;"*",Regions!$C$3,""),IF(LEFT(Regions!$D$3,1)&lt;&gt;"*",Regions!$D$3,"")))</f>
        <v/>
      </c>
      <c r="AS47" s="231" t="str">
        <f t="shared" ref="AS47:AT80" si="25">IF(LEFT($A47)="*","",A47)</f>
        <v/>
      </c>
      <c r="AT47" s="231" t="str">
        <f t="shared" si="25"/>
        <v/>
      </c>
      <c r="AU47" s="231" t="str">
        <f t="shared" ref="AU47:AU81" si="26">IF(LEFT($A47)="*","","PJ")</f>
        <v/>
      </c>
      <c r="AV47" s="231" t="str">
        <f t="shared" ref="AV47:AV81" si="27">IF(LEFT($A47)="*","","GW")</f>
        <v/>
      </c>
      <c r="AW47" s="46" t="str">
        <f>IF(LEFT($A47)="*","","DayNite")</f>
        <v/>
      </c>
      <c r="AX47" s="231"/>
      <c r="AY47" s="231" t="str">
        <f t="shared" ref="AY47" si="28">IF($AS47="","","YES")</f>
        <v/>
      </c>
    </row>
    <row r="48" spans="1:51" s="46" customFormat="1" x14ac:dyDescent="0.25">
      <c r="A48" s="46" t="str">
        <f>IF(SRV_TH!AM5="","*","S-SH-"&amp;SRV_TH!$B$42&amp;"_"&amp;SRV_TH!$A5)</f>
        <v>S-SH-CS_OIL_N1</v>
      </c>
      <c r="B48" s="46" t="str">
        <f>IF(A48="*","",$A$42&amp;" - "&amp;SRV_TH!B5)</f>
        <v>Commercial Services - Oil boiler condensing_SH</v>
      </c>
      <c r="C48" s="46" t="str">
        <f>IF($A48="*","",SRV_TH!C5)</f>
        <v>SRVOIL</v>
      </c>
      <c r="E48" s="46" t="str">
        <f>IF($A48="*","",CONCATENATE(Legend!$C$4,Legend!$C$32,"-",$B$42))</f>
        <v>SRVSH-CS</v>
      </c>
      <c r="F48" s="64">
        <f>IF($A48="*","",IF(SRV_TH!F5=0,"",SRV_TH!F5))</f>
        <v>1</v>
      </c>
      <c r="G48" s="64">
        <f>IF($A48="*","",IF(SRV_TH!G5=0,"",SRV_TH!G5))</f>
        <v>1</v>
      </c>
      <c r="H48" s="64">
        <f>IF($A48="*","",IF(SRV_TH!H5=0,"",SRV_TH!H5))</f>
        <v>1</v>
      </c>
      <c r="I48" s="64">
        <f>IF($A48="*","",IF(SRV_TH!I5=0,"",SRV_TH!I5))</f>
        <v>1</v>
      </c>
      <c r="J48" s="64">
        <f>IF($A48="*","",IF(SRV_TH!J5=0,"",SRV_TH!J5))</f>
        <v>1</v>
      </c>
      <c r="K48" s="64" t="str">
        <f>IF($A48="*","",IF(SRV_TH!K5=0,"",SRV_TH!K5))</f>
        <v/>
      </c>
      <c r="L48" s="64" t="str">
        <f>IF($A48="*","",IF(SRV_TH!L5=0,"",SRV_TH!L5))</f>
        <v/>
      </c>
      <c r="M48" s="64" t="str">
        <f>IF($A48="*","",IF(SRV_TH!M5=0,"",SRV_TH!M5))</f>
        <v/>
      </c>
      <c r="N48" s="64" t="str">
        <f>IF($A48="*","",IF(SRV_TH!N5=0,"",SRV_TH!N5))</f>
        <v/>
      </c>
      <c r="O48" s="64" t="str">
        <f>IF($A48="*","",IF(SRV_TH!O5=0,"",SRV_TH!O5))</f>
        <v/>
      </c>
      <c r="P48" s="64" t="str">
        <f>IF($A48="*","",IF(SRV_TH!P5=0,"",SRV_TH!P5))</f>
        <v/>
      </c>
      <c r="Q48" s="64" t="str">
        <f>IF($A48="*","",IF(SRV_TH!Q5=0,"",SRV_TH!Q5))</f>
        <v/>
      </c>
      <c r="R48" s="64" t="str">
        <f>IF($A48="*","",IF(SRV_TH!R5=0,"",SRV_TH!R5))</f>
        <v/>
      </c>
      <c r="S48" s="64" t="str">
        <f>IF($A48="*","",IF(SRV_TH!S5=0,"",SRV_TH!S5))</f>
        <v/>
      </c>
      <c r="T48" s="64" t="str">
        <f>IF($A48="*","",IF(SRV_TH!T5=0,"",SRV_TH!T5))</f>
        <v/>
      </c>
      <c r="U48" s="224">
        <f>IF($A48="*","",IF(SRV_TH!U5=0,"",SRV_TH!U5))</f>
        <v>20</v>
      </c>
      <c r="V48" s="224" t="str">
        <f>IF($A48="*","",IF(SRV_TH!V5=0,"",SRV_TH!V5))</f>
        <v/>
      </c>
      <c r="W48" s="90"/>
      <c r="X48" s="90"/>
      <c r="Y48" s="90"/>
      <c r="Z48" s="90"/>
      <c r="AA48" s="90"/>
      <c r="AB48" s="90">
        <f>IF($A48="*","",IF(SRV_TH!AB5=0,"",SRV_TH!AB5))</f>
        <v>80</v>
      </c>
      <c r="AC48" s="90">
        <f>IF($A48="*","",IF(SRV_TH!AC5=0,"",SRV_TH!AC5))</f>
        <v>80</v>
      </c>
      <c r="AD48" s="90">
        <f>IF($A48="*","",IF(SRV_TH!AD5=0,"",SRV_TH!AD5))</f>
        <v>80</v>
      </c>
      <c r="AE48" s="90">
        <f>IF($A48="*","",IF(SRV_TH!AE5=0,"",SRV_TH!AE5))</f>
        <v>80</v>
      </c>
      <c r="AF48" s="90">
        <f>IF($A48="*","",IF(SRV_TH!AF5=0,"",SRV_TH!AF5))</f>
        <v>80</v>
      </c>
      <c r="AG48" s="44">
        <f>IF($A48="*","",IF(SRV_TH!AG5=0,"",SRV_TH!AG5))</f>
        <v>1.25</v>
      </c>
      <c r="AH48" s="293" t="str">
        <f>IF($A48="*","",IF(SRV_TH!AH5=0,"",SRV_TH!AH5))</f>
        <v/>
      </c>
      <c r="AI48" s="44" t="str">
        <f>IF($A48="*","",IF(SRV_TH!AI5=0,"",SRV_TH!AI5))</f>
        <v/>
      </c>
      <c r="AJ48" s="44" t="str">
        <f>IF($A48="*","",IF(SRV_TH!AJ5=0,"",SRV_TH!AJ5))</f>
        <v/>
      </c>
      <c r="AK48" s="72">
        <f t="shared" ref="AK48:AK57" si="29">IF($A48="*","",31.536)</f>
        <v>31.536000000000001</v>
      </c>
      <c r="AL48" s="44"/>
      <c r="AM48" s="87">
        <f>IF($A48="*","",2019)</f>
        <v>2019</v>
      </c>
      <c r="AN48" s="218"/>
      <c r="AO48" s="218"/>
      <c r="AP48" s="179"/>
      <c r="AQ48" s="46" t="str">
        <f t="shared" si="24"/>
        <v>PRE</v>
      </c>
      <c r="AR48" s="287" t="str">
        <f>IF($AS48="","",_xlfn.TEXTJOIN(",",TRUE,IF(LEFT(Regions!$C$3,1)&lt;&gt;"*",Regions!$C$3,""),IF(LEFT(Regions!$D$3,1)&lt;&gt;"*",Regions!$D$3,"")))</f>
        <v>IE,National</v>
      </c>
      <c r="AS48" s="46" t="str">
        <f t="shared" si="25"/>
        <v>S-SH-CS_OIL_N1</v>
      </c>
      <c r="AT48" s="46" t="str">
        <f t="shared" si="25"/>
        <v>Commercial Services - Oil boiler condensing_SH</v>
      </c>
      <c r="AU48" s="46" t="str">
        <f t="shared" si="26"/>
        <v>PJ</v>
      </c>
      <c r="AV48" s="46" t="str">
        <f t="shared" si="27"/>
        <v>GW</v>
      </c>
      <c r="AY48" s="46" t="str">
        <f>IF($AS48="","","YES")</f>
        <v>YES</v>
      </c>
    </row>
    <row r="49" spans="1:51" s="46" customFormat="1" x14ac:dyDescent="0.25">
      <c r="A49" s="46" t="str">
        <f>IF(SRV_TH!AM6="","*","S-SH-"&amp;SRV_TH!$B$42&amp;"_"&amp;SRV_TH!$A6)</f>
        <v>S-SH-CS_OIL_N2</v>
      </c>
      <c r="B49" s="46" t="str">
        <f>IF(A49="*","",$A$42&amp;" - "&amp;SRV_TH!B6)</f>
        <v>Commercial Services - Oil boiler condensing_SH-WH</v>
      </c>
      <c r="C49" s="46" t="str">
        <f>IF($A49="*","",SRV_TH!C6)</f>
        <v>SRVOIL</v>
      </c>
      <c r="E49" s="46" t="str">
        <f>IF($A49="*","",CONCATENATE(Legend!$C$4,Legend!$C$32,"-",$B$42,", ",Legend!$C$4,Legend!$C$33,"-",$B$42))</f>
        <v>SRVSH-CS, SRVWH-CS</v>
      </c>
      <c r="F49" s="64">
        <f>IF($A49="*","",IF(SRV_TH!F6=0,"",SRV_TH!F6))</f>
        <v>1</v>
      </c>
      <c r="G49" s="64">
        <f>IF($A49="*","",IF(SRV_TH!G6=0,"",SRV_TH!G6))</f>
        <v>1</v>
      </c>
      <c r="H49" s="64">
        <f>IF($A49="*","",IF(SRV_TH!H6=0,"",SRV_TH!H6))</f>
        <v>1</v>
      </c>
      <c r="I49" s="64">
        <f>IF($A49="*","",IF(SRV_TH!I6=0,"",SRV_TH!I6))</f>
        <v>1</v>
      </c>
      <c r="J49" s="64">
        <f>IF($A49="*","",IF(SRV_TH!J6=0,"",SRV_TH!J6))</f>
        <v>1</v>
      </c>
      <c r="K49" s="64" t="str">
        <f>IF($A49="*","",IF(SRV_TH!K6=0,"",SRV_TH!K6))</f>
        <v/>
      </c>
      <c r="L49" s="64" t="str">
        <f>IF($A49="*","",IF(SRV_TH!L6=0,"",SRV_TH!L6))</f>
        <v/>
      </c>
      <c r="M49" s="64" t="str">
        <f>IF($A49="*","",IF(SRV_TH!M6=0,"",SRV_TH!M6))</f>
        <v/>
      </c>
      <c r="N49" s="64" t="str">
        <f>IF($A49="*","",IF(SRV_TH!N6=0,"",SRV_TH!N6))</f>
        <v/>
      </c>
      <c r="O49" s="64" t="str">
        <f>IF($A49="*","",IF(SRV_TH!O6=0,"",SRV_TH!O6))</f>
        <v/>
      </c>
      <c r="P49" s="64">
        <f>IF($A49="*","",IF(SRV_TH!P6=0,"",SRV_TH!P6))</f>
        <v>0.7</v>
      </c>
      <c r="Q49" s="64">
        <f>IF($A49="*","",IF(SRV_TH!Q6=0,"",SRV_TH!Q6))</f>
        <v>0.7</v>
      </c>
      <c r="R49" s="64">
        <f>IF($A49="*","",IF(SRV_TH!R6=0,"",SRV_TH!R6))</f>
        <v>0.7</v>
      </c>
      <c r="S49" s="64">
        <f>IF($A49="*","",IF(SRV_TH!S6=0,"",SRV_TH!S6))</f>
        <v>0.7</v>
      </c>
      <c r="T49" s="64">
        <f>IF($A49="*","",IF(SRV_TH!T6=0,"",SRV_TH!T6))</f>
        <v>0.7</v>
      </c>
      <c r="U49" s="224">
        <f>IF($A49="*","",IF(SRV_TH!U6=0,"",SRV_TH!U6))</f>
        <v>20</v>
      </c>
      <c r="V49" s="224" t="str">
        <f>IF($A49="*","",IF(SRV_TH!V6=0,"",SRV_TH!V6))</f>
        <v/>
      </c>
      <c r="W49" s="90"/>
      <c r="X49" s="90"/>
      <c r="Y49" s="90"/>
      <c r="Z49" s="90"/>
      <c r="AA49" s="90"/>
      <c r="AB49" s="90">
        <f>IF($A49="*","",IF(SRV_TH!AB6=0,"",SRV_TH!AB6))</f>
        <v>84</v>
      </c>
      <c r="AC49" s="90">
        <f>IF($A49="*","",IF(SRV_TH!AC6=0,"",SRV_TH!AC6))</f>
        <v>84</v>
      </c>
      <c r="AD49" s="90">
        <f>IF($A49="*","",IF(SRV_TH!AD6=0,"",SRV_TH!AD6))</f>
        <v>84</v>
      </c>
      <c r="AE49" s="90">
        <f>IF($A49="*","",IF(SRV_TH!AE6=0,"",SRV_TH!AE6))</f>
        <v>84</v>
      </c>
      <c r="AF49" s="90">
        <f>IF($A49="*","",IF(SRV_TH!AF6=0,"",SRV_TH!AF6))</f>
        <v>84</v>
      </c>
      <c r="AG49" s="44">
        <f>IF($A49="*","",IF(SRV_TH!AG6=0,"",SRV_TH!AG6))</f>
        <v>1.25</v>
      </c>
      <c r="AH49" s="293" t="str">
        <f>IF($A49="*","",IF(SRV_TH!AH6=0,"",SRV_TH!AH6))</f>
        <v/>
      </c>
      <c r="AI49" s="92" t="str">
        <f>IF($A49="*","",IF(SRV_TH!AI6=0,"",SRV_TH!AI6))</f>
        <v/>
      </c>
      <c r="AJ49" s="92" t="str">
        <f>IF($A49="*","",IF(SRV_TH!AJ6=0,"",SRV_TH!AJ6))</f>
        <v/>
      </c>
      <c r="AK49" s="72">
        <f t="shared" si="29"/>
        <v>31.536000000000001</v>
      </c>
      <c r="AL49" s="44"/>
      <c r="AM49" s="87">
        <f t="shared" ref="AM49:AM81" si="30">IF($A49="*","",2019)</f>
        <v>2019</v>
      </c>
      <c r="AN49" s="218"/>
      <c r="AO49" s="218"/>
      <c r="AP49" s="179"/>
      <c r="AQ49" s="46" t="str">
        <f t="shared" si="24"/>
        <v>PRE</v>
      </c>
      <c r="AR49" s="46" t="str">
        <f>IF($AS49="","",_xlfn.TEXTJOIN(",",TRUE,IF(LEFT(Regions!$C$3,1)&lt;&gt;"*",Regions!$C$3,""),IF(LEFT(Regions!$D$3,1)&lt;&gt;"*",Regions!$D$3,"")))</f>
        <v>IE,National</v>
      </c>
      <c r="AS49" s="46" t="str">
        <f t="shared" si="25"/>
        <v>S-SH-CS_OIL_N2</v>
      </c>
      <c r="AT49" s="46" t="str">
        <f t="shared" si="25"/>
        <v>Commercial Services - Oil boiler condensing_SH-WH</v>
      </c>
      <c r="AU49" s="46" t="str">
        <f t="shared" si="26"/>
        <v>PJ</v>
      </c>
      <c r="AV49" s="46" t="str">
        <f t="shared" si="27"/>
        <v>GW</v>
      </c>
      <c r="AY49" s="46" t="str">
        <f t="shared" ref="AY49:AY81" si="31">IF($AS49="","","YES")</f>
        <v>YES</v>
      </c>
    </row>
    <row r="50" spans="1:51" s="46" customFormat="1" x14ac:dyDescent="0.25">
      <c r="A50" s="46" t="str">
        <f>IF(SRV_TH!AM7="","*","S-SH-"&amp;SRV_TH!$B$42&amp;"_"&amp;SRV_TH!$A7)</f>
        <v>S-SH-CS_GAS_N1</v>
      </c>
      <c r="B50" s="46" t="str">
        <f>IF(A50="*","",$A$42&amp;" - "&amp;SRV_TH!B7)</f>
        <v>Commercial Services - Gas boiler condensing_SH</v>
      </c>
      <c r="C50" s="46" t="str">
        <f>IF($A50="*","",SRV_TH!C7)</f>
        <v>SRVGAS</v>
      </c>
      <c r="E50" s="46" t="str">
        <f>IF($A50="*","",CONCATENATE(Legend!$C$4,Legend!$C$32,"-",$B$42))</f>
        <v>SRVSH-CS</v>
      </c>
      <c r="F50" s="64">
        <f>IF($A50="*","",IF(SRV_TH!F7=0,"",SRV_TH!F7))</f>
        <v>1</v>
      </c>
      <c r="G50" s="64">
        <f>IF($A50="*","",IF(SRV_TH!G7=0,"",SRV_TH!G7))</f>
        <v>1</v>
      </c>
      <c r="H50" s="64">
        <f>IF($A50="*","",IF(SRV_TH!H7=0,"",SRV_TH!H7))</f>
        <v>1</v>
      </c>
      <c r="I50" s="64">
        <f>IF($A50="*","",IF(SRV_TH!I7=0,"",SRV_TH!I7))</f>
        <v>1</v>
      </c>
      <c r="J50" s="64">
        <f>IF($A50="*","",IF(SRV_TH!J7=0,"",SRV_TH!J7))</f>
        <v>1</v>
      </c>
      <c r="K50" s="64" t="str">
        <f>IF($A50="*","",IF(SRV_TH!K7=0,"",SRV_TH!K7))</f>
        <v/>
      </c>
      <c r="L50" s="64" t="str">
        <f>IF($A50="*","",IF(SRV_TH!L7=0,"",SRV_TH!L7))</f>
        <v/>
      </c>
      <c r="M50" s="64" t="str">
        <f>IF($A50="*","",IF(SRV_TH!M7=0,"",SRV_TH!M7))</f>
        <v/>
      </c>
      <c r="N50" s="64" t="str">
        <f>IF($A50="*","",IF(SRV_TH!N7=0,"",SRV_TH!N7))</f>
        <v/>
      </c>
      <c r="O50" s="64" t="str">
        <f>IF($A50="*","",IF(SRV_TH!O7=0,"",SRV_TH!O7))</f>
        <v/>
      </c>
      <c r="P50" s="64" t="str">
        <f>IF($A50="*","",IF(SRV_TH!P7=0,"",SRV_TH!P7))</f>
        <v/>
      </c>
      <c r="Q50" s="64" t="str">
        <f>IF($A50="*","",IF(SRV_TH!Q7=0,"",SRV_TH!Q7))</f>
        <v/>
      </c>
      <c r="R50" s="64" t="str">
        <f>IF($A50="*","",IF(SRV_TH!R7=0,"",SRV_TH!R7))</f>
        <v/>
      </c>
      <c r="S50" s="64" t="str">
        <f>IF($A50="*","",IF(SRV_TH!S7=0,"",SRV_TH!S7))</f>
        <v/>
      </c>
      <c r="T50" s="64" t="str">
        <f>IF($A50="*","",IF(SRV_TH!T7=0,"",SRV_TH!T7))</f>
        <v/>
      </c>
      <c r="U50" s="224">
        <f>IF($A50="*","",IF(SRV_TH!U7=0,"",SRV_TH!U7))</f>
        <v>25</v>
      </c>
      <c r="V50" s="224" t="str">
        <f>IF($A50="*","",IF(SRV_TH!V7=0,"",SRV_TH!V7))</f>
        <v/>
      </c>
      <c r="W50" s="90"/>
      <c r="X50" s="90"/>
      <c r="Y50" s="90"/>
      <c r="Z50" s="90"/>
      <c r="AA50" s="90"/>
      <c r="AB50" s="90">
        <f>IF($A50="*","",IF(SRV_TH!AB7=0,"",SRV_TH!AB7))</f>
        <v>58.441558441558442</v>
      </c>
      <c r="AC50" s="90">
        <f>IF($A50="*","",IF(SRV_TH!AC7=0,"",SRV_TH!AC7))</f>
        <v>51.948051948051948</v>
      </c>
      <c r="AD50" s="90">
        <f>IF($A50="*","",IF(SRV_TH!AD7=0,"",SRV_TH!AD7))</f>
        <v>45.454545454545453</v>
      </c>
      <c r="AE50" s="90">
        <f>IF($A50="*","",IF(SRV_TH!AE7=0,"",SRV_TH!AE7))</f>
        <v>45.454545454545453</v>
      </c>
      <c r="AF50" s="90">
        <f>IF($A50="*","",IF(SRV_TH!AF7=0,"",SRV_TH!AF7))</f>
        <v>45.454545454545453</v>
      </c>
      <c r="AG50" s="44">
        <f>IF($A50="*","",IF(SRV_TH!AG7=0,"",SRV_TH!AG7))</f>
        <v>4</v>
      </c>
      <c r="AH50" s="293">
        <f>IF($A50="*","",IF(SRV_TH!AH7=0,"",SRV_TH!AH7))</f>
        <v>2</v>
      </c>
      <c r="AI50" s="92" t="str">
        <f>IF($A50="*","",IF(SRV_TH!AI7=0,"",SRV_TH!AI7))</f>
        <v/>
      </c>
      <c r="AJ50" s="92" t="str">
        <f>IF($A50="*","",IF(SRV_TH!AJ7=0,"",SRV_TH!AJ7))</f>
        <v/>
      </c>
      <c r="AK50" s="72">
        <f t="shared" si="29"/>
        <v>31.536000000000001</v>
      </c>
      <c r="AL50" s="44"/>
      <c r="AM50" s="87">
        <f t="shared" si="30"/>
        <v>2019</v>
      </c>
      <c r="AN50" s="218"/>
      <c r="AO50" s="218"/>
      <c r="AP50" s="179"/>
      <c r="AQ50" s="46" t="str">
        <f t="shared" si="24"/>
        <v>PRE</v>
      </c>
      <c r="AR50" s="46" t="str">
        <f>IF($AS50="","",_xlfn.TEXTJOIN(",",TRUE,IF(LEFT(Regions!$C$3,1)&lt;&gt;"*",Regions!$C$3,""),IF(LEFT(Regions!$D$3,1)&lt;&gt;"*",Regions!$D$3,"")))</f>
        <v>IE,National</v>
      </c>
      <c r="AS50" s="46" t="str">
        <f t="shared" si="25"/>
        <v>S-SH-CS_GAS_N1</v>
      </c>
      <c r="AT50" s="46" t="str">
        <f t="shared" si="25"/>
        <v>Commercial Services - Gas boiler condensing_SH</v>
      </c>
      <c r="AU50" s="46" t="str">
        <f t="shared" si="26"/>
        <v>PJ</v>
      </c>
      <c r="AV50" s="46" t="str">
        <f t="shared" si="27"/>
        <v>GW</v>
      </c>
      <c r="AY50" s="46" t="str">
        <f t="shared" si="31"/>
        <v>YES</v>
      </c>
    </row>
    <row r="51" spans="1:51" s="46" customFormat="1" x14ac:dyDescent="0.25">
      <c r="A51" s="46" t="str">
        <f>IF(SRV_TH!AM8="","*","S-SH-"&amp;SRV_TH!$B$42&amp;"_"&amp;SRV_TH!$A8)</f>
        <v>S-SH-CS_GAS_N2</v>
      </c>
      <c r="B51" s="46" t="str">
        <f>IF(A51="*","",$A$42&amp;" - "&amp;SRV_TH!B8)</f>
        <v xml:space="preserve">Commercial Services - Gas boiler condensing_SH-WH </v>
      </c>
      <c r="C51" s="46" t="str">
        <f>IF($A51="*","",SRV_TH!C8)</f>
        <v>SRVGAS</v>
      </c>
      <c r="E51" s="46" t="str">
        <f>IF($A51="*","",CONCATENATE(Legend!$C$4,Legend!$C$32,"-",$B$42,", ",Legend!$C$4,Legend!$C$33,"-",$B$42))</f>
        <v>SRVSH-CS, SRVWH-CS</v>
      </c>
      <c r="F51" s="64">
        <f>IF($A51="*","",IF(SRV_TH!F8=0,"",SRV_TH!F8))</f>
        <v>1</v>
      </c>
      <c r="G51" s="64">
        <f>IF($A51="*","",IF(SRV_TH!G8=0,"",SRV_TH!G8))</f>
        <v>1</v>
      </c>
      <c r="H51" s="64">
        <f>IF($A51="*","",IF(SRV_TH!H8=0,"",SRV_TH!H8))</f>
        <v>1</v>
      </c>
      <c r="I51" s="64">
        <f>IF($A51="*","",IF(SRV_TH!I8=0,"",SRV_TH!I8))</f>
        <v>1</v>
      </c>
      <c r="J51" s="64">
        <f>IF($A51="*","",IF(SRV_TH!J8=0,"",SRV_TH!J8))</f>
        <v>1</v>
      </c>
      <c r="K51" s="64" t="str">
        <f>IF($A51="*","",IF(SRV_TH!K8=0,"",SRV_TH!K8))</f>
        <v/>
      </c>
      <c r="L51" s="64" t="str">
        <f>IF($A51="*","",IF(SRV_TH!L8=0,"",SRV_TH!L8))</f>
        <v/>
      </c>
      <c r="M51" s="64" t="str">
        <f>IF($A51="*","",IF(SRV_TH!M8=0,"",SRV_TH!M8))</f>
        <v/>
      </c>
      <c r="N51" s="64" t="str">
        <f>IF($A51="*","",IF(SRV_TH!N8=0,"",SRV_TH!N8))</f>
        <v/>
      </c>
      <c r="O51" s="64" t="str">
        <f>IF($A51="*","",IF(SRV_TH!O8=0,"",SRV_TH!O8))</f>
        <v/>
      </c>
      <c r="P51" s="64">
        <f>IF($A51="*","",IF(SRV_TH!P8=0,"",SRV_TH!P8))</f>
        <v>0.7</v>
      </c>
      <c r="Q51" s="64">
        <f>IF($A51="*","",IF(SRV_TH!Q8=0,"",SRV_TH!Q8))</f>
        <v>0.7</v>
      </c>
      <c r="R51" s="64">
        <f>IF($A51="*","",IF(SRV_TH!R8=0,"",SRV_TH!R8))</f>
        <v>0.7</v>
      </c>
      <c r="S51" s="64">
        <f>IF($A51="*","",IF(SRV_TH!S8=0,"",SRV_TH!S8))</f>
        <v>0.7</v>
      </c>
      <c r="T51" s="64">
        <f>IF($A51="*","",IF(SRV_TH!T8=0,"",SRV_TH!T8))</f>
        <v>0.7</v>
      </c>
      <c r="U51" s="224">
        <f>IF($A51="*","",IF(SRV_TH!U8=0,"",SRV_TH!U8))</f>
        <v>25</v>
      </c>
      <c r="V51" s="224" t="str">
        <f>IF($A51="*","",IF(SRV_TH!V8=0,"",SRV_TH!V8))</f>
        <v/>
      </c>
      <c r="W51" s="90"/>
      <c r="X51" s="90"/>
      <c r="Y51" s="90"/>
      <c r="Z51" s="90"/>
      <c r="AA51" s="90"/>
      <c r="AB51" s="90">
        <f>IF($A51="*","",IF(SRV_TH!AB8=0,"",SRV_TH!AB8))</f>
        <v>61.363636363636367</v>
      </c>
      <c r="AC51" s="90">
        <f>IF($A51="*","",IF(SRV_TH!AC8=0,"",SRV_TH!AC8))</f>
        <v>54.545454545454547</v>
      </c>
      <c r="AD51" s="90">
        <f>IF($A51="*","",IF(SRV_TH!AD8=0,"",SRV_TH!AD8))</f>
        <v>47.727272727272727</v>
      </c>
      <c r="AE51" s="90">
        <f>IF($A51="*","",IF(SRV_TH!AE8=0,"",SRV_TH!AE8))</f>
        <v>47.727272727272727</v>
      </c>
      <c r="AF51" s="90">
        <f>IF($A51="*","",IF(SRV_TH!AF8=0,"",SRV_TH!AF8))</f>
        <v>47.727272727272727</v>
      </c>
      <c r="AG51" s="44">
        <f>IF($A51="*","",IF(SRV_TH!AG8=0,"",SRV_TH!AG8))</f>
        <v>4</v>
      </c>
      <c r="AH51" s="293">
        <f>IF($A51="*","",IF(SRV_TH!AH8=0,"",SRV_TH!AH8))</f>
        <v>2</v>
      </c>
      <c r="AI51" s="92" t="str">
        <f>IF($A51="*","",IF(SRV_TH!AI8=0,"",SRV_TH!AI8))</f>
        <v/>
      </c>
      <c r="AJ51" s="92" t="str">
        <f>IF($A51="*","",IF(SRV_TH!AJ8=0,"",SRV_TH!AJ8))</f>
        <v/>
      </c>
      <c r="AK51" s="72">
        <f t="shared" si="29"/>
        <v>31.536000000000001</v>
      </c>
      <c r="AL51" s="44"/>
      <c r="AM51" s="87">
        <f t="shared" si="30"/>
        <v>2019</v>
      </c>
      <c r="AN51" s="218"/>
      <c r="AO51" s="218"/>
      <c r="AP51" s="179"/>
      <c r="AQ51" s="46" t="str">
        <f t="shared" si="24"/>
        <v>PRE</v>
      </c>
      <c r="AR51" s="46" t="str">
        <f>IF($AS51="","",_xlfn.TEXTJOIN(",",TRUE,IF(LEFT(Regions!$C$3,1)&lt;&gt;"*",Regions!$C$3,""),IF(LEFT(Regions!$D$3,1)&lt;&gt;"*",Regions!$D$3,"")))</f>
        <v>IE,National</v>
      </c>
      <c r="AS51" s="46" t="str">
        <f t="shared" si="25"/>
        <v>S-SH-CS_GAS_N2</v>
      </c>
      <c r="AT51" s="46" t="str">
        <f t="shared" si="25"/>
        <v xml:space="preserve">Commercial Services - Gas boiler condensing_SH-WH </v>
      </c>
      <c r="AU51" s="46" t="str">
        <f t="shared" si="26"/>
        <v>PJ</v>
      </c>
      <c r="AV51" s="46" t="str">
        <f t="shared" si="27"/>
        <v>GW</v>
      </c>
      <c r="AY51" s="46" t="str">
        <f t="shared" si="31"/>
        <v>YES</v>
      </c>
    </row>
    <row r="52" spans="1:51" s="46" customFormat="1" x14ac:dyDescent="0.25">
      <c r="A52" s="46" t="str">
        <f>IF(SRV_TH!AM9="","*","S-SH-"&amp;SRV_TH!$B$42&amp;"_"&amp;SRV_TH!$A9)</f>
        <v>S-SH-CS_GAS_N3</v>
      </c>
      <c r="B52" s="46" t="str">
        <f>IF(A52="*","",$A$42&amp;" - "&amp;SRV_TH!B9)</f>
        <v xml:space="preserve">Commercial Services - Gas boiler condensing + Solar thermal_SH-WH </v>
      </c>
      <c r="C52" s="46" t="str">
        <f>IF($A52="*","",SRV_TH!C9)</f>
        <v>SRVGAS, SRVSOL</v>
      </c>
      <c r="E52" s="46" t="str">
        <f>IF($A52="*","",CONCATENATE(Legend!$C$4,Legend!$C$32,"-",$B$42,", ",Legend!$C$4,Legend!$C$33,"-",$B$42))</f>
        <v>SRVSH-CS, SRVWH-CS</v>
      </c>
      <c r="F52" s="64">
        <f>IF($A52="*","",IF(SRV_TH!F9=0,"",SRV_TH!F9))</f>
        <v>1</v>
      </c>
      <c r="G52" s="64">
        <f>IF($A52="*","",IF(SRV_TH!G9=0,"",SRV_TH!G9))</f>
        <v>1</v>
      </c>
      <c r="H52" s="64">
        <f>IF($A52="*","",IF(SRV_TH!H9=0,"",SRV_TH!H9))</f>
        <v>1</v>
      </c>
      <c r="I52" s="64">
        <f>IF($A52="*","",IF(SRV_TH!I9=0,"",SRV_TH!I9))</f>
        <v>1</v>
      </c>
      <c r="J52" s="64">
        <f>IF($A52="*","",IF(SRV_TH!J9=0,"",SRV_TH!J9))</f>
        <v>1</v>
      </c>
      <c r="K52" s="64" t="str">
        <f>IF($A52="*","",IF(SRV_TH!K9=0,"",SRV_TH!K9))</f>
        <v/>
      </c>
      <c r="L52" s="64" t="str">
        <f>IF($A52="*","",IF(SRV_TH!L9=0,"",SRV_TH!L9))</f>
        <v/>
      </c>
      <c r="M52" s="64" t="str">
        <f>IF($A52="*","",IF(SRV_TH!M9=0,"",SRV_TH!M9))</f>
        <v/>
      </c>
      <c r="N52" s="64" t="str">
        <f>IF($A52="*","",IF(SRV_TH!N9=0,"",SRV_TH!N9))</f>
        <v/>
      </c>
      <c r="O52" s="64" t="str">
        <f>IF($A52="*","",IF(SRV_TH!O9=0,"",SRV_TH!O9))</f>
        <v/>
      </c>
      <c r="P52" s="64">
        <f>IF($A52="*","",IF(SRV_TH!P9=0,"",SRV_TH!P9))</f>
        <v>0.7</v>
      </c>
      <c r="Q52" s="64">
        <f>IF($A52="*","",IF(SRV_TH!Q9=0,"",SRV_TH!Q9))</f>
        <v>0.7</v>
      </c>
      <c r="R52" s="64">
        <f>IF($A52="*","",IF(SRV_TH!R9=0,"",SRV_TH!R9))</f>
        <v>0.7</v>
      </c>
      <c r="S52" s="64">
        <f>IF($A52="*","",IF(SRV_TH!S9=0,"",SRV_TH!S9))</f>
        <v>0.7</v>
      </c>
      <c r="T52" s="64">
        <f>IF($A52="*","",IF(SRV_TH!T9=0,"",SRV_TH!T9))</f>
        <v>0.7</v>
      </c>
      <c r="U52" s="224">
        <f>IF($A52="*","",IF(SRV_TH!U9=0,"",SRV_TH!U9))</f>
        <v>25</v>
      </c>
      <c r="V52" s="224" t="str">
        <f>IF($A52="*","",IF(SRV_TH!V9=0,"",SRV_TH!V9))</f>
        <v/>
      </c>
      <c r="W52" s="90"/>
      <c r="X52" s="90"/>
      <c r="Y52" s="90"/>
      <c r="Z52" s="90"/>
      <c r="AA52" s="90"/>
      <c r="AB52" s="90">
        <f>IF($A52="*","",IF(SRV_TH!AB9=0,"",SRV_TH!AB9))</f>
        <v>214.28571428571428</v>
      </c>
      <c r="AC52" s="90">
        <f>IF($A52="*","",IF(SRV_TH!AC9=0,"",SRV_TH!AC9))</f>
        <v>209.52380952380952</v>
      </c>
      <c r="AD52" s="90">
        <f>IF($A52="*","",IF(SRV_TH!AD9=0,"",SRV_TH!AD9))</f>
        <v>204.76190476190476</v>
      </c>
      <c r="AE52" s="90">
        <f>IF($A52="*","",IF(SRV_TH!AE9=0,"",SRV_TH!AE9))</f>
        <v>204.76190476190476</v>
      </c>
      <c r="AF52" s="90">
        <f>IF($A52="*","",IF(SRV_TH!AF9=0,"",SRV_TH!AF9))</f>
        <v>204.76190476190476</v>
      </c>
      <c r="AG52" s="44">
        <f>IF($A52="*","",IF(SRV_TH!AG9=0,"",SRV_TH!AG9))</f>
        <v>6.6285714285714281</v>
      </c>
      <c r="AH52" s="293" t="str">
        <f>IF($A52="*","",IF(SRV_TH!AH9=0,"",SRV_TH!AH9))</f>
        <v/>
      </c>
      <c r="AI52" s="92">
        <f>IF($A52="*","",IF(SRV_TH!AI9=0,"",SRV_TH!AI9))</f>
        <v>0.1221556886227545</v>
      </c>
      <c r="AJ52" s="92" t="str">
        <f>IF($A52="*","",IF(SRV_TH!AJ9=0,"",SRV_TH!AJ9))</f>
        <v/>
      </c>
      <c r="AK52" s="72">
        <f t="shared" si="29"/>
        <v>31.536000000000001</v>
      </c>
      <c r="AL52" s="44"/>
      <c r="AM52" s="87">
        <f t="shared" si="30"/>
        <v>2019</v>
      </c>
      <c r="AN52" s="218"/>
      <c r="AO52" s="218"/>
      <c r="AP52" s="179"/>
      <c r="AQ52" s="46" t="str">
        <f t="shared" si="24"/>
        <v>PRE</v>
      </c>
      <c r="AR52" s="46" t="str">
        <f>IF($AS52="","",_xlfn.TEXTJOIN(",",TRUE,IF(LEFT(Regions!$C$3,1)&lt;&gt;"*",Regions!$C$3,""),IF(LEFT(Regions!$D$3,1)&lt;&gt;"*",Regions!$D$3,"")))</f>
        <v>IE,National</v>
      </c>
      <c r="AS52" s="46" t="str">
        <f t="shared" si="25"/>
        <v>S-SH-CS_GAS_N3</v>
      </c>
      <c r="AT52" s="46" t="str">
        <f t="shared" si="25"/>
        <v xml:space="preserve">Commercial Services - Gas boiler condensing + Solar thermal_SH-WH </v>
      </c>
      <c r="AU52" s="46" t="str">
        <f t="shared" si="26"/>
        <v>PJ</v>
      </c>
      <c r="AV52" s="46" t="str">
        <f t="shared" si="27"/>
        <v>GW</v>
      </c>
      <c r="AY52" s="46" t="str">
        <f t="shared" si="31"/>
        <v>YES</v>
      </c>
    </row>
    <row r="53" spans="1:51" s="46" customFormat="1" x14ac:dyDescent="0.25">
      <c r="A53" s="46" t="str">
        <f>IF(SRV_TH!AM10="","*","S-SH-"&amp;SRV_TH!$B$42&amp;"-"&amp;SRV_TH!$A10)</f>
        <v>S-SH-CS-GAS_N4</v>
      </c>
      <c r="B53" s="46" t="str">
        <f>IF(A53="*","",$A$42&amp;" - "&amp;SRV_TH!B10)</f>
        <v xml:space="preserve">Commercial Services - Gas boiler condensing + Wood stove_SH-WH </v>
      </c>
      <c r="C53" s="46" t="str">
        <f>IF($A53="*","",SRV_TH!C10)</f>
        <v>SRVGAS, SRVBIO</v>
      </c>
      <c r="E53" s="46" t="str">
        <f>IF($A53="*","",CONCATENATE(Legend!$C$4,Legend!$C$32,"-",$B$42,", ",Legend!$C$4,Legend!$C$33,"-",$B$42))</f>
        <v>SRVSH-CS, SRVWH-CS</v>
      </c>
      <c r="F53" s="64">
        <f>IF($A53="*","",IF(SRV_TH!F10=0,"",SRV_TH!F10))</f>
        <v>0.86</v>
      </c>
      <c r="G53" s="64">
        <f>IF($A53="*","",IF(SRV_TH!G10=0,"",SRV_TH!G10))</f>
        <v>0.87999999999999989</v>
      </c>
      <c r="H53" s="64">
        <f>IF($A53="*","",IF(SRV_TH!H10=0,"",SRV_TH!H10))</f>
        <v>0.9</v>
      </c>
      <c r="I53" s="64">
        <f>IF($A53="*","",IF(SRV_TH!I10=0,"",SRV_TH!I10))</f>
        <v>0.9</v>
      </c>
      <c r="J53" s="64">
        <f>IF($A53="*","",IF(SRV_TH!J10=0,"",SRV_TH!J10))</f>
        <v>0.9</v>
      </c>
      <c r="K53" s="64" t="str">
        <f>IF($A53="*","",IF(SRV_TH!K10=0,"",SRV_TH!K10))</f>
        <v/>
      </c>
      <c r="L53" s="64" t="str">
        <f>IF($A53="*","",IF(SRV_TH!L10=0,"",SRV_TH!L10))</f>
        <v/>
      </c>
      <c r="M53" s="64" t="str">
        <f>IF($A53="*","",IF(SRV_TH!M10=0,"",SRV_TH!M10))</f>
        <v/>
      </c>
      <c r="N53" s="64" t="str">
        <f>IF($A53="*","",IF(SRV_TH!N10=0,"",SRV_TH!N10))</f>
        <v/>
      </c>
      <c r="O53" s="64" t="str">
        <f>IF($A53="*","",IF(SRV_TH!O10=0,"",SRV_TH!O10))</f>
        <v/>
      </c>
      <c r="P53" s="64">
        <f>IF($A53="*","",IF(SRV_TH!P10=0,"",SRV_TH!P10))</f>
        <v>0.60199999999999998</v>
      </c>
      <c r="Q53" s="64">
        <f>IF($A53="*","",IF(SRV_TH!Q10=0,"",SRV_TH!Q10))</f>
        <v>0.61599999999999988</v>
      </c>
      <c r="R53" s="64">
        <f>IF($A53="*","",IF(SRV_TH!R10=0,"",SRV_TH!R10))</f>
        <v>0.63</v>
      </c>
      <c r="S53" s="64">
        <f>IF($A53="*","",IF(SRV_TH!S10=0,"",SRV_TH!S10))</f>
        <v>0.63</v>
      </c>
      <c r="T53" s="64">
        <f>IF($A53="*","",IF(SRV_TH!T10=0,"",SRV_TH!T10))</f>
        <v>0.63</v>
      </c>
      <c r="U53" s="224">
        <f>IF($A53="*","",IF(SRV_TH!U10=0,"",SRV_TH!U10))</f>
        <v>24</v>
      </c>
      <c r="V53" s="224" t="str">
        <f>IF($A53="*","",IF(SRV_TH!V10=0,"",SRV_TH!V10))</f>
        <v/>
      </c>
      <c r="W53" s="90"/>
      <c r="X53" s="90"/>
      <c r="Y53" s="90"/>
      <c r="Z53" s="90"/>
      <c r="AA53" s="90"/>
      <c r="AB53" s="90">
        <f>IF($A53="*","",IF(SRV_TH!AB10=0,"",SRV_TH!AB10))</f>
        <v>68.41768097373479</v>
      </c>
      <c r="AC53" s="90">
        <f>IF($A53="*","",IF(SRV_TH!AC10=0,"",SRV_TH!AC10))</f>
        <v>62.011531069827036</v>
      </c>
      <c r="AD53" s="90">
        <f>IF($A53="*","",IF(SRV_TH!AD10=0,"",SRV_TH!AD10))</f>
        <v>57.911595131326074</v>
      </c>
      <c r="AE53" s="90">
        <f>IF($A53="*","",IF(SRV_TH!AE10=0,"",SRV_TH!AE10))</f>
        <v>57.911595131326074</v>
      </c>
      <c r="AF53" s="90">
        <f>IF($A53="*","",IF(SRV_TH!AF10=0,"",SRV_TH!AF10))</f>
        <v>57.911595131326074</v>
      </c>
      <c r="AG53" s="44">
        <f>IF($A53="*","",IF(SRV_TH!AG10=0,"",SRV_TH!AG10))</f>
        <v>3.3142857142857149</v>
      </c>
      <c r="AH53" s="293" t="str">
        <f>IF($A53="*","",IF(SRV_TH!AH10=0,"",SRV_TH!AH10))</f>
        <v/>
      </c>
      <c r="AI53" s="92" t="str">
        <f>IF($A53="*","",IF(SRV_TH!AI10=0,"",SRV_TH!AI10))</f>
        <v/>
      </c>
      <c r="AJ53" s="92">
        <f>IF($A53="*","",IF(SRV_TH!AJ10=0,"",SRV_TH!AJ10))</f>
        <v>0.51127819548872178</v>
      </c>
      <c r="AK53" s="72">
        <f t="shared" si="29"/>
        <v>31.536000000000001</v>
      </c>
      <c r="AL53" s="44"/>
      <c r="AM53" s="87">
        <f t="shared" si="30"/>
        <v>2019</v>
      </c>
      <c r="AN53" s="218"/>
      <c r="AO53" s="218"/>
      <c r="AP53" s="179"/>
      <c r="AQ53" s="46" t="str">
        <f t="shared" si="24"/>
        <v>PRE</v>
      </c>
      <c r="AR53" s="46" t="str">
        <f>IF($AS53="","",_xlfn.TEXTJOIN(",",TRUE,IF(LEFT(Regions!$C$3,1)&lt;&gt;"*",Regions!$C$3,""),IF(LEFT(Regions!$D$3,1)&lt;&gt;"*",Regions!$D$3,"")))</f>
        <v>IE,National</v>
      </c>
      <c r="AS53" s="46" t="str">
        <f t="shared" si="25"/>
        <v>S-SH-CS-GAS_N4</v>
      </c>
      <c r="AT53" s="46" t="str">
        <f t="shared" si="25"/>
        <v xml:space="preserve">Commercial Services - Gas boiler condensing + Wood stove_SH-WH </v>
      </c>
      <c r="AU53" s="46" t="str">
        <f t="shared" si="26"/>
        <v>PJ</v>
      </c>
      <c r="AV53" s="46" t="str">
        <f t="shared" si="27"/>
        <v>GW</v>
      </c>
      <c r="AY53" s="46" t="str">
        <f t="shared" si="31"/>
        <v>YES</v>
      </c>
    </row>
    <row r="54" spans="1:51" s="46" customFormat="1" x14ac:dyDescent="0.25">
      <c r="A54" s="46" t="str">
        <f>IF(SRV_TH!AM11="","*","S-SH-"&amp;SRV_TH!$B$42&amp;"_"&amp;SRV_TH!$A11)</f>
        <v>S-SH-CS_LPG_N1</v>
      </c>
      <c r="B54" s="46" t="str">
        <f>IF(A54="*","",$A$42&amp;" - "&amp;SRV_TH!B11)</f>
        <v>Commercial Services - LPG boiler condensing_SH</v>
      </c>
      <c r="C54" s="46" t="str">
        <f>IF($A54="*","",SRV_TH!C11)</f>
        <v>SRVLPG</v>
      </c>
      <c r="E54" s="46" t="str">
        <f>IF($A54="*","",CONCATENATE(Legend!$C$4,Legend!$C$32,"-",$B$42))</f>
        <v>SRVSH-CS</v>
      </c>
      <c r="F54" s="64">
        <f>IF($A54="*","",IF(SRV_TH!F11=0,"",SRV_TH!F11))</f>
        <v>1</v>
      </c>
      <c r="G54" s="64">
        <f>IF($A54="*","",IF(SRV_TH!G11=0,"",SRV_TH!G11))</f>
        <v>1</v>
      </c>
      <c r="H54" s="64">
        <f>IF($A54="*","",IF(SRV_TH!H11=0,"",SRV_TH!H11))</f>
        <v>1</v>
      </c>
      <c r="I54" s="64">
        <f>IF($A54="*","",IF(SRV_TH!I11=0,"",SRV_TH!I11))</f>
        <v>1</v>
      </c>
      <c r="J54" s="64">
        <f>IF($A54="*","",IF(SRV_TH!J11=0,"",SRV_TH!J11))</f>
        <v>1</v>
      </c>
      <c r="K54" s="64" t="str">
        <f>IF($A54="*","",IF(SRV_TH!K11=0,"",SRV_TH!K11))</f>
        <v/>
      </c>
      <c r="L54" s="64" t="str">
        <f>IF($A54="*","",IF(SRV_TH!L11=0,"",SRV_TH!L11))</f>
        <v/>
      </c>
      <c r="M54" s="64" t="str">
        <f>IF($A54="*","",IF(SRV_TH!M11=0,"",SRV_TH!M11))</f>
        <v/>
      </c>
      <c r="N54" s="64" t="str">
        <f>IF($A54="*","",IF(SRV_TH!N11=0,"",SRV_TH!N11))</f>
        <v/>
      </c>
      <c r="O54" s="64" t="str">
        <f>IF($A54="*","",IF(SRV_TH!O11=0,"",SRV_TH!O11))</f>
        <v/>
      </c>
      <c r="P54" s="64" t="str">
        <f>IF($A54="*","",IF(SRV_TH!P11=0,"",SRV_TH!P11))</f>
        <v/>
      </c>
      <c r="Q54" s="64" t="str">
        <f>IF($A54="*","",IF(SRV_TH!Q11=0,"",SRV_TH!Q11))</f>
        <v/>
      </c>
      <c r="R54" s="64" t="str">
        <f>IF($A54="*","",IF(SRV_TH!R11=0,"",SRV_TH!R11))</f>
        <v/>
      </c>
      <c r="S54" s="64" t="str">
        <f>IF($A54="*","",IF(SRV_TH!S11=0,"",SRV_TH!S11))</f>
        <v/>
      </c>
      <c r="T54" s="64" t="str">
        <f>IF($A54="*","",IF(SRV_TH!T11=0,"",SRV_TH!T11))</f>
        <v/>
      </c>
      <c r="U54" s="224">
        <f>IF($A54="*","",IF(SRV_TH!U11=0,"",SRV_TH!U11))</f>
        <v>25</v>
      </c>
      <c r="V54" s="224" t="str">
        <f>IF($A54="*","",IF(SRV_TH!V11=0,"",SRV_TH!V11))</f>
        <v/>
      </c>
      <c r="W54" s="90"/>
      <c r="X54" s="90"/>
      <c r="Y54" s="90"/>
      <c r="Z54" s="90"/>
      <c r="AA54" s="90"/>
      <c r="AB54" s="90">
        <f>IF($A54="*","",IF(SRV_TH!AB11=0,"",SRV_TH!AB11))</f>
        <v>58.441558441558442</v>
      </c>
      <c r="AC54" s="90">
        <f>IF($A54="*","",IF(SRV_TH!AC11=0,"",SRV_TH!AC11))</f>
        <v>51.948051948051948</v>
      </c>
      <c r="AD54" s="90">
        <f>IF($A54="*","",IF(SRV_TH!AD11=0,"",SRV_TH!AD11))</f>
        <v>45.454545454545453</v>
      </c>
      <c r="AE54" s="90">
        <f>IF($A54="*","",IF(SRV_TH!AE11=0,"",SRV_TH!AE11))</f>
        <v>45.454545454545453</v>
      </c>
      <c r="AF54" s="90">
        <f>IF($A54="*","",IF(SRV_TH!AF11=0,"",SRV_TH!AF11))</f>
        <v>45.454545454545453</v>
      </c>
      <c r="AG54" s="90">
        <f>IF($A54="*","",IF(SRV_TH!AG11=0,"",SRV_TH!AG11))</f>
        <v>4</v>
      </c>
      <c r="AH54" s="293">
        <f>IF($A54="*","",IF(SRV_TH!AH11=0,"",SRV_TH!AH11))</f>
        <v>2</v>
      </c>
      <c r="AI54" s="92" t="str">
        <f>IF($A54="*","",IF(SRV_TH!AI11=0,"",SRV_TH!AI11))</f>
        <v/>
      </c>
      <c r="AJ54" s="92" t="str">
        <f>IF($A54="*","",IF(SRV_TH!AJ11=0,"",SRV_TH!AJ11))</f>
        <v/>
      </c>
      <c r="AK54" s="72">
        <f t="shared" si="29"/>
        <v>31.536000000000001</v>
      </c>
      <c r="AL54" s="90"/>
      <c r="AM54" s="87">
        <f t="shared" si="30"/>
        <v>2019</v>
      </c>
      <c r="AN54" s="218"/>
      <c r="AO54" s="218"/>
      <c r="AP54" s="179"/>
      <c r="AQ54" s="46" t="str">
        <f t="shared" si="24"/>
        <v>PRE</v>
      </c>
      <c r="AR54" s="46" t="str">
        <f>IF($AS54="","",_xlfn.TEXTJOIN(",",TRUE,IF(LEFT(Regions!$C$3,1)&lt;&gt;"*",Regions!$C$3,""),IF(LEFT(Regions!$D$3,1)&lt;&gt;"*",Regions!$D$3,"")))</f>
        <v>IE,National</v>
      </c>
      <c r="AS54" s="46" t="str">
        <f t="shared" si="25"/>
        <v>S-SH-CS_LPG_N1</v>
      </c>
      <c r="AT54" s="46" t="str">
        <f t="shared" si="25"/>
        <v>Commercial Services - LPG boiler condensing_SH</v>
      </c>
      <c r="AU54" s="46" t="str">
        <f t="shared" si="26"/>
        <v>PJ</v>
      </c>
      <c r="AV54" s="46" t="str">
        <f t="shared" si="27"/>
        <v>GW</v>
      </c>
      <c r="AY54" s="46" t="str">
        <f t="shared" si="31"/>
        <v>YES</v>
      </c>
    </row>
    <row r="55" spans="1:51" s="46" customFormat="1" x14ac:dyDescent="0.25">
      <c r="A55" s="46" t="str">
        <f>IF(SRV_TH!AM12="","*","S-SH-"&amp;SRV_TH!$B$42&amp;"_"&amp;SRV_TH!$A12)</f>
        <v>S-SH-CS_LPG_N2</v>
      </c>
      <c r="B55" s="46" t="str">
        <f>IF(A55="*","",$A$42&amp;" - "&amp;SRV_TH!B12)</f>
        <v>Commercial Services - LPG boiler condensing_SH-WH</v>
      </c>
      <c r="C55" s="46" t="str">
        <f>IF($A55="*","",SRV_TH!C12)</f>
        <v>SRVLPG</v>
      </c>
      <c r="E55" s="46" t="str">
        <f>IF($A55="*","",CONCATENATE(Legend!$C$4,Legend!$C$32,"-",$B$42,", ",Legend!$C$4,Legend!$C$33,"-",$B$42))</f>
        <v>SRVSH-CS, SRVWH-CS</v>
      </c>
      <c r="F55" s="64">
        <f>IF($A55="*","",IF(SRV_TH!F12=0,"",SRV_TH!F12))</f>
        <v>1</v>
      </c>
      <c r="G55" s="64">
        <f>IF($A55="*","",IF(SRV_TH!G12=0,"",SRV_TH!G12))</f>
        <v>1</v>
      </c>
      <c r="H55" s="64">
        <f>IF($A55="*","",IF(SRV_TH!H12=0,"",SRV_TH!H12))</f>
        <v>1</v>
      </c>
      <c r="I55" s="64">
        <f>IF($A55="*","",IF(SRV_TH!I12=0,"",SRV_TH!I12))</f>
        <v>1</v>
      </c>
      <c r="J55" s="64">
        <f>IF($A55="*","",IF(SRV_TH!J12=0,"",SRV_TH!J12))</f>
        <v>1</v>
      </c>
      <c r="K55" s="64" t="str">
        <f>IF($A55="*","",IF(SRV_TH!K12=0,"",SRV_TH!K12))</f>
        <v/>
      </c>
      <c r="L55" s="64" t="str">
        <f>IF($A55="*","",IF(SRV_TH!L12=0,"",SRV_TH!L12))</f>
        <v/>
      </c>
      <c r="M55" s="64" t="str">
        <f>IF($A55="*","",IF(SRV_TH!M12=0,"",SRV_TH!M12))</f>
        <v/>
      </c>
      <c r="N55" s="64" t="str">
        <f>IF($A55="*","",IF(SRV_TH!N12=0,"",SRV_TH!N12))</f>
        <v/>
      </c>
      <c r="O55" s="64" t="str">
        <f>IF($A55="*","",IF(SRV_TH!O12=0,"",SRV_TH!O12))</f>
        <v/>
      </c>
      <c r="P55" s="64">
        <f>IF($A55="*","",IF(SRV_TH!P12=0,"",SRV_TH!P12))</f>
        <v>0.7</v>
      </c>
      <c r="Q55" s="64">
        <f>IF($A55="*","",IF(SRV_TH!Q12=0,"",SRV_TH!Q12))</f>
        <v>0.7</v>
      </c>
      <c r="R55" s="64">
        <f>IF($A55="*","",IF(SRV_TH!R12=0,"",SRV_TH!R12))</f>
        <v>0.7</v>
      </c>
      <c r="S55" s="64">
        <f>IF($A55="*","",IF(SRV_TH!S12=0,"",SRV_TH!S12))</f>
        <v>0.7</v>
      </c>
      <c r="T55" s="64">
        <f>IF($A55="*","",IF(SRV_TH!T12=0,"",SRV_TH!T12))</f>
        <v>0.7</v>
      </c>
      <c r="U55" s="224">
        <f>IF($A55="*","",IF(SRV_TH!U12=0,"",SRV_TH!U12))</f>
        <v>25</v>
      </c>
      <c r="V55" s="224" t="str">
        <f>IF($A55="*","",IF(SRV_TH!V12=0,"",SRV_TH!V12))</f>
        <v/>
      </c>
      <c r="W55" s="90"/>
      <c r="X55" s="90"/>
      <c r="Y55" s="90"/>
      <c r="Z55" s="90"/>
      <c r="AA55" s="90"/>
      <c r="AB55" s="90">
        <f>IF($A55="*","",IF(SRV_TH!AB12=0,"",SRV_TH!AB12))</f>
        <v>61.363636363636367</v>
      </c>
      <c r="AC55" s="90">
        <f>IF($A55="*","",IF(SRV_TH!AC12=0,"",SRV_TH!AC12))</f>
        <v>54.545454545454547</v>
      </c>
      <c r="AD55" s="90">
        <f>IF($A55="*","",IF(SRV_TH!AD12=0,"",SRV_TH!AD12))</f>
        <v>47.727272727272727</v>
      </c>
      <c r="AE55" s="90">
        <f>IF($A55="*","",IF(SRV_TH!AE12=0,"",SRV_TH!AE12))</f>
        <v>47.727272727272727</v>
      </c>
      <c r="AF55" s="90">
        <f>IF($A55="*","",IF(SRV_TH!AF12=0,"",SRV_TH!AF12))</f>
        <v>47.727272727272727</v>
      </c>
      <c r="AG55" s="90">
        <f>IF($A55="*","",IF(SRV_TH!AG12=0,"",SRV_TH!AG12))</f>
        <v>4</v>
      </c>
      <c r="AH55" s="293">
        <f>IF($A55="*","",IF(SRV_TH!AH12=0,"",SRV_TH!AH12))</f>
        <v>2</v>
      </c>
      <c r="AI55" s="92" t="str">
        <f>IF($A55="*","",IF(SRV_TH!AI12=0,"",SRV_TH!AI12))</f>
        <v/>
      </c>
      <c r="AJ55" s="92" t="str">
        <f>IF($A55="*","",IF(SRV_TH!AJ12=0,"",SRV_TH!AJ12))</f>
        <v/>
      </c>
      <c r="AK55" s="72">
        <f t="shared" si="29"/>
        <v>31.536000000000001</v>
      </c>
      <c r="AL55" s="90"/>
      <c r="AM55" s="87">
        <f t="shared" si="30"/>
        <v>2019</v>
      </c>
      <c r="AN55" s="218"/>
      <c r="AO55" s="218"/>
      <c r="AP55" s="179"/>
      <c r="AQ55" s="46" t="str">
        <f t="shared" si="24"/>
        <v>PRE</v>
      </c>
      <c r="AR55" s="46" t="str">
        <f>IF($AS55="","",_xlfn.TEXTJOIN(",",TRUE,IF(LEFT(Regions!$C$3,1)&lt;&gt;"*",Regions!$C$3,""),IF(LEFT(Regions!$D$3,1)&lt;&gt;"*",Regions!$D$3,"")))</f>
        <v>IE,National</v>
      </c>
      <c r="AS55" s="46" t="str">
        <f t="shared" si="25"/>
        <v>S-SH-CS_LPG_N2</v>
      </c>
      <c r="AT55" s="46" t="str">
        <f t="shared" si="25"/>
        <v>Commercial Services - LPG boiler condensing_SH-WH</v>
      </c>
      <c r="AU55" s="46" t="str">
        <f t="shared" si="26"/>
        <v>PJ</v>
      </c>
      <c r="AV55" s="46" t="str">
        <f t="shared" si="27"/>
        <v>GW</v>
      </c>
      <c r="AY55" s="46" t="str">
        <f t="shared" si="31"/>
        <v>YES</v>
      </c>
    </row>
    <row r="56" spans="1:51" s="46" customFormat="1" x14ac:dyDescent="0.25">
      <c r="A56" s="46" t="str">
        <f>IF(SRV_TH!AM13="","*","S-SH-"&amp;SRV_TH!$B$42&amp;"_"&amp;SRV_TH!$A13)</f>
        <v>S-SH-CS_BIO_N1</v>
      </c>
      <c r="B56" s="46" t="str">
        <f>IF(A56="*","",$A$42&amp;" - "&amp;SRV_TH!B13)</f>
        <v>Commercial Services - Biomass boiler_SH</v>
      </c>
      <c r="C56" s="220" t="str">
        <f>IF($A56="*","",SRV_TH!C13)</f>
        <v>SRVBIO</v>
      </c>
      <c r="D56" s="220"/>
      <c r="E56" s="46" t="str">
        <f>IF($A56="*","",CONCATENATE(Legend!$C$4,Legend!$C$32,"-",$B$42))</f>
        <v>SRVSH-CS</v>
      </c>
      <c r="F56" s="64">
        <f>IF($A56="*","",IF(SRV_TH!F13=0,"",SRV_TH!F13))</f>
        <v>1</v>
      </c>
      <c r="G56" s="64">
        <f>IF($A56="*","",IF(SRV_TH!G13=0,"",SRV_TH!G13))</f>
        <v>1.0235294117647058</v>
      </c>
      <c r="H56" s="64">
        <f>IF($A56="*","",IF(SRV_TH!H13=0,"",SRV_TH!H13))</f>
        <v>1.0705882352941176</v>
      </c>
      <c r="I56" s="64">
        <f>IF($A56="*","",IF(SRV_TH!I13=0,"",SRV_TH!I13))</f>
        <v>1.1176470588235294</v>
      </c>
      <c r="J56" s="64">
        <f>IF($A56="*","",IF(SRV_TH!J13=0,"",SRV_TH!J13))</f>
        <v>1.1176470588235294</v>
      </c>
      <c r="K56" s="64" t="str">
        <f>IF($A56="*","",IF(SRV_TH!K13=0,"",SRV_TH!K13))</f>
        <v/>
      </c>
      <c r="L56" s="64" t="str">
        <f>IF($A56="*","",IF(SRV_TH!L13=0,"",SRV_TH!L13))</f>
        <v/>
      </c>
      <c r="M56" s="64" t="str">
        <f>IF($A56="*","",IF(SRV_TH!M13=0,"",SRV_TH!M13))</f>
        <v/>
      </c>
      <c r="N56" s="64" t="str">
        <f>IF($A56="*","",IF(SRV_TH!N13=0,"",SRV_TH!N13))</f>
        <v/>
      </c>
      <c r="O56" s="64" t="str">
        <f>IF($A56="*","",IF(SRV_TH!O13=0,"",SRV_TH!O13))</f>
        <v/>
      </c>
      <c r="P56" s="64" t="str">
        <f>IF($A56="*","",IF(SRV_TH!P13=0,"",SRV_TH!P13))</f>
        <v/>
      </c>
      <c r="Q56" s="64" t="str">
        <f>IF($A56="*","",IF(SRV_TH!Q13=0,"",SRV_TH!Q13))</f>
        <v/>
      </c>
      <c r="R56" s="64" t="str">
        <f>IF($A56="*","",IF(SRV_TH!R13=0,"",SRV_TH!R13))</f>
        <v/>
      </c>
      <c r="S56" s="64" t="str">
        <f>IF($A56="*","",IF(SRV_TH!S13=0,"",SRV_TH!S13))</f>
        <v/>
      </c>
      <c r="T56" s="64" t="str">
        <f>IF($A56="*","",IF(SRV_TH!T13=0,"",SRV_TH!T13))</f>
        <v/>
      </c>
      <c r="U56" s="224">
        <f>IF($A56="*","",IF(SRV_TH!U13=0,"",SRV_TH!U13))</f>
        <v>20</v>
      </c>
      <c r="V56" s="224" t="str">
        <f>IF($A56="*","",IF(SRV_TH!V13=0,"",SRV_TH!V13))</f>
        <v/>
      </c>
      <c r="W56" s="90"/>
      <c r="X56" s="90"/>
      <c r="Y56" s="90"/>
      <c r="Z56" s="90"/>
      <c r="AA56" s="90"/>
      <c r="AB56" s="90">
        <f>IF($A56="*","",IF(SRV_TH!AB13=0,"",SRV_TH!AB13))</f>
        <v>197.27272727272728</v>
      </c>
      <c r="AC56" s="90">
        <f>IF($A56="*","",IF(SRV_TH!AC13=0,"",SRV_TH!AC13))</f>
        <v>197.27272727272728</v>
      </c>
      <c r="AD56" s="90">
        <f>IF($A56="*","",IF(SRV_TH!AD13=0,"",SRV_TH!AD13))</f>
        <v>203.63636363636363</v>
      </c>
      <c r="AE56" s="90">
        <f>IF($A56="*","",IF(SRV_TH!AE13=0,"",SRV_TH!AE13))</f>
        <v>203.63636363636363</v>
      </c>
      <c r="AF56" s="90">
        <f>IF($A56="*","",IF(SRV_TH!AF13=0,"",SRV_TH!AF13))</f>
        <v>203.63636363636363</v>
      </c>
      <c r="AG56" s="44">
        <f>IF($A56="*","",IF(SRV_TH!AG13=0,"",SRV_TH!AG13))</f>
        <v>5.7272727272727274E-2</v>
      </c>
      <c r="AH56" s="293" t="str">
        <f>IF($A56="*","",IF(SRV_TH!AH13=0,"",SRV_TH!AH13))</f>
        <v/>
      </c>
      <c r="AI56" s="92" t="str">
        <f>IF($A56="*","",IF(SRV_TH!AI13=0,"",SRV_TH!AI13))</f>
        <v/>
      </c>
      <c r="AJ56" s="92" t="str">
        <f>IF($A56="*","",IF(SRV_TH!AJ13=0,"",SRV_TH!AJ13))</f>
        <v/>
      </c>
      <c r="AK56" s="72">
        <f t="shared" si="29"/>
        <v>31.536000000000001</v>
      </c>
      <c r="AL56" s="44"/>
      <c r="AM56" s="87">
        <f t="shared" si="30"/>
        <v>2019</v>
      </c>
      <c r="AN56" s="218"/>
      <c r="AO56" s="218"/>
      <c r="AP56" s="179"/>
      <c r="AQ56" s="46" t="str">
        <f t="shared" si="24"/>
        <v>PRE</v>
      </c>
      <c r="AR56" s="46" t="str">
        <f>IF($AS56="","",_xlfn.TEXTJOIN(",",TRUE,IF(LEFT(Regions!$C$3,1)&lt;&gt;"*",Regions!$C$3,""),IF(LEFT(Regions!$D$3,1)&lt;&gt;"*",Regions!$D$3,"")))</f>
        <v>IE,National</v>
      </c>
      <c r="AS56" s="46" t="str">
        <f t="shared" si="25"/>
        <v>S-SH-CS_BIO_N1</v>
      </c>
      <c r="AT56" s="46" t="str">
        <f t="shared" si="25"/>
        <v>Commercial Services - Biomass boiler_SH</v>
      </c>
      <c r="AU56" s="46" t="str">
        <f t="shared" si="26"/>
        <v>PJ</v>
      </c>
      <c r="AV56" s="46" t="str">
        <f t="shared" si="27"/>
        <v>GW</v>
      </c>
      <c r="AY56" s="46" t="str">
        <f t="shared" si="31"/>
        <v>YES</v>
      </c>
    </row>
    <row r="57" spans="1:51" s="46" customFormat="1" x14ac:dyDescent="0.25">
      <c r="A57" s="49" t="str">
        <f>IF(SRV_TH!AM14="","*","S-SH-"&amp;SRV_TH!$B$42&amp;"_"&amp;SRV_TH!$A14)</f>
        <v>S-SH-CS_BIO_N2</v>
      </c>
      <c r="B57" s="49" t="str">
        <f>IF(A57="*","",$A$42&amp;" - "&amp;SRV_TH!B14)</f>
        <v>Commercial Services - Biomass boiler_SH-WH</v>
      </c>
      <c r="C57" s="223" t="str">
        <f>IF($A57="*","",SRV_TH!C14)</f>
        <v>SRVBIO</v>
      </c>
      <c r="D57" s="223"/>
      <c r="E57" s="49" t="str">
        <f>IF($A57="*","",CONCATENATE(Legend!$C$4,Legend!$C$32,"-",$B$42,", ",Legend!$C$4,Legend!$C$33,"-",$B$42))</f>
        <v>SRVSH-CS, SRVWH-CS</v>
      </c>
      <c r="F57" s="269">
        <f>IF($A57="*","",IF(SRV_TH!F14=0,"",SRV_TH!F14))</f>
        <v>1</v>
      </c>
      <c r="G57" s="269">
        <f>IF($A57="*","",IF(SRV_TH!G14=0,"",SRV_TH!G14))</f>
        <v>1.0235294117647058</v>
      </c>
      <c r="H57" s="269">
        <f>IF($A57="*","",IF(SRV_TH!H14=0,"",SRV_TH!H14))</f>
        <v>1.0705882352941176</v>
      </c>
      <c r="I57" s="269">
        <f>IF($A57="*","",IF(SRV_TH!I14=0,"",SRV_TH!I14))</f>
        <v>1.1176470588235294</v>
      </c>
      <c r="J57" s="269">
        <f>IF($A57="*","",IF(SRV_TH!J14=0,"",SRV_TH!J14))</f>
        <v>1.1176470588235294</v>
      </c>
      <c r="K57" s="269" t="str">
        <f>IF($A57="*","",IF(SRV_TH!K14=0,"",SRV_TH!K14))</f>
        <v/>
      </c>
      <c r="L57" s="269" t="str">
        <f>IF($A57="*","",IF(SRV_TH!L14=0,"",SRV_TH!L14))</f>
        <v/>
      </c>
      <c r="M57" s="269" t="str">
        <f>IF($A57="*","",IF(SRV_TH!M14=0,"",SRV_TH!M14))</f>
        <v/>
      </c>
      <c r="N57" s="269" t="str">
        <f>IF($A57="*","",IF(SRV_TH!N14=0,"",SRV_TH!N14))</f>
        <v/>
      </c>
      <c r="O57" s="269" t="str">
        <f>IF($A57="*","",IF(SRV_TH!O14=0,"",SRV_TH!O14))</f>
        <v/>
      </c>
      <c r="P57" s="269">
        <f>IF($A57="*","",IF(SRV_TH!P14=0,"",SRV_TH!P14))</f>
        <v>0.7</v>
      </c>
      <c r="Q57" s="269">
        <f>IF($A57="*","",IF(SRV_TH!Q14=0,"",SRV_TH!Q14))</f>
        <v>0.71647058823529397</v>
      </c>
      <c r="R57" s="269">
        <f>IF($A57="*","",IF(SRV_TH!R14=0,"",SRV_TH!R14))</f>
        <v>0.74941176470588233</v>
      </c>
      <c r="S57" s="269">
        <f>IF($A57="*","",IF(SRV_TH!S14=0,"",SRV_TH!S14))</f>
        <v>0.78235294117647058</v>
      </c>
      <c r="T57" s="269">
        <f>IF($A57="*","",IF(SRV_TH!T14=0,"",SRV_TH!T14))</f>
        <v>0.78235294117647058</v>
      </c>
      <c r="U57" s="219">
        <f>IF($A57="*","",IF(SRV_TH!U14=0,"",SRV_TH!U14))</f>
        <v>20</v>
      </c>
      <c r="V57" s="219" t="str">
        <f>IF($A57="*","",IF(SRV_TH!V14=0,"",SRV_TH!V14))</f>
        <v/>
      </c>
      <c r="W57" s="75"/>
      <c r="X57" s="75"/>
      <c r="Y57" s="75"/>
      <c r="Z57" s="75"/>
      <c r="AA57" s="75"/>
      <c r="AB57" s="75">
        <f>IF($A57="*","",IF(SRV_TH!AB14=0,"",SRV_TH!AB14))</f>
        <v>217.00000000000003</v>
      </c>
      <c r="AC57" s="75">
        <f>IF($A57="*","",IF(SRV_TH!AC14=0,"",SRV_TH!AC14))</f>
        <v>217.00000000000003</v>
      </c>
      <c r="AD57" s="75">
        <f>IF($A57="*","",IF(SRV_TH!AD14=0,"",SRV_TH!AD14))</f>
        <v>224</v>
      </c>
      <c r="AE57" s="75">
        <f>IF($A57="*","",IF(SRV_TH!AE14=0,"",SRV_TH!AE14))</f>
        <v>224</v>
      </c>
      <c r="AF57" s="75">
        <f>IF($A57="*","",IF(SRV_TH!AF14=0,"",SRV_TH!AF14))</f>
        <v>224</v>
      </c>
      <c r="AG57" s="217">
        <f>IF($A57="*","",IF(SRV_TH!AG14=0,"",SRV_TH!AG14))</f>
        <v>5.7272727272727274E-2</v>
      </c>
      <c r="AH57" s="298" t="str">
        <f>IF($A57="*","",IF(SRV_TH!AH14=0,"",SRV_TH!AH14))</f>
        <v/>
      </c>
      <c r="AI57" s="93" t="str">
        <f>IF($A57="*","",IF(SRV_TH!AI14=0,"",SRV_TH!AI14))</f>
        <v/>
      </c>
      <c r="AJ57" s="93" t="str">
        <f>IF($A57="*","",IF(SRV_TH!AJ14=0,"",SRV_TH!AJ14))</f>
        <v/>
      </c>
      <c r="AK57" s="221">
        <f t="shared" si="29"/>
        <v>31.536000000000001</v>
      </c>
      <c r="AL57" s="217"/>
      <c r="AM57" s="215">
        <f t="shared" si="30"/>
        <v>2019</v>
      </c>
      <c r="AN57" s="218"/>
      <c r="AO57" s="218"/>
      <c r="AP57" s="179"/>
      <c r="AQ57" s="49" t="str">
        <f t="shared" si="24"/>
        <v>PRE</v>
      </c>
      <c r="AR57" s="49" t="str">
        <f>IF($AS57="","",_xlfn.TEXTJOIN(",",TRUE,IF(LEFT(Regions!$C$3,1)&lt;&gt;"*",Regions!$C$3,""),IF(LEFT(Regions!$D$3,1)&lt;&gt;"*",Regions!$D$3,"")))</f>
        <v>IE,National</v>
      </c>
      <c r="AS57" s="49" t="str">
        <f t="shared" si="25"/>
        <v>S-SH-CS_BIO_N2</v>
      </c>
      <c r="AT57" s="49" t="str">
        <f t="shared" si="25"/>
        <v>Commercial Services - Biomass boiler_SH-WH</v>
      </c>
      <c r="AU57" s="49" t="str">
        <f t="shared" si="26"/>
        <v>PJ</v>
      </c>
      <c r="AV57" s="49" t="str">
        <f t="shared" si="27"/>
        <v>GW</v>
      </c>
      <c r="AW57" s="49"/>
      <c r="AX57" s="49"/>
      <c r="AY57" s="49" t="str">
        <f t="shared" si="31"/>
        <v>YES</v>
      </c>
    </row>
    <row r="58" spans="1:51" s="46" customFormat="1" x14ac:dyDescent="0.25">
      <c r="A58" s="61" t="s">
        <v>101</v>
      </c>
      <c r="B58" s="61"/>
      <c r="C58" s="37"/>
      <c r="D58" s="37"/>
      <c r="E58" s="61"/>
      <c r="F58" s="270"/>
      <c r="G58" s="270"/>
      <c r="H58" s="270"/>
      <c r="I58" s="270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27"/>
      <c r="V58" s="227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16"/>
      <c r="AH58" s="299"/>
      <c r="AI58" s="222" t="str">
        <f>IF($A58="*","",IF(SRV_TH!AI15=0,"",SRV_TH!AI15))</f>
        <v/>
      </c>
      <c r="AJ58" s="222" t="str">
        <f>IF($A58="*","",IF(SRV_TH!AJ15=0,"",SRV_TH!AJ15))</f>
        <v/>
      </c>
      <c r="AK58" s="225"/>
      <c r="AL58" s="216"/>
      <c r="AM58" s="227"/>
      <c r="AN58" s="218"/>
      <c r="AO58" s="218"/>
      <c r="AP58" s="179"/>
      <c r="AQ58" s="61" t="str">
        <f t="shared" si="24"/>
        <v>*Heaters</v>
      </c>
      <c r="AR58" s="61" t="str">
        <f>IF($AS58="","",_xlfn.TEXTJOIN(",",TRUE,IF(LEFT(Regions!$C$3,1)&lt;&gt;"*",Regions!$C$3,""),IF(LEFT(Regions!$D$3,1)&lt;&gt;"*",Regions!$D$3,"")))</f>
        <v/>
      </c>
      <c r="AS58" s="61" t="str">
        <f t="shared" si="25"/>
        <v/>
      </c>
      <c r="AT58" s="61" t="str">
        <f t="shared" si="25"/>
        <v/>
      </c>
      <c r="AU58" s="61" t="str">
        <f t="shared" si="26"/>
        <v/>
      </c>
      <c r="AV58" s="61" t="str">
        <f t="shared" si="27"/>
        <v/>
      </c>
      <c r="AW58" s="61"/>
      <c r="AX58" s="61"/>
      <c r="AY58" s="61" t="str">
        <f t="shared" si="31"/>
        <v/>
      </c>
    </row>
    <row r="59" spans="1:51" s="46" customFormat="1" x14ac:dyDescent="0.25">
      <c r="A59" s="49" t="str">
        <f>IF(SRV_TH!AM16="","*","S-SH-"&amp;SRV_TH!$B$42&amp;"_"&amp;SRV_TH!$A16)</f>
        <v>S-SH-CS_ELC_N1</v>
      </c>
      <c r="B59" s="49" t="str">
        <f>IF(A59="*","",$A$42&amp;" - "&amp;SRV_TH!B16)</f>
        <v>Commercial Services - Electric boiler_SH</v>
      </c>
      <c r="C59" s="49" t="str">
        <f>IF($A59="*","",SRV_TH!C16)</f>
        <v>SRVELC</v>
      </c>
      <c r="D59" s="49"/>
      <c r="E59" s="49" t="str">
        <f>IF($A59="*","",CONCATENATE(Legend!$C$4,Legend!$C$32,"-",$B$42))</f>
        <v>SRVSH-CS</v>
      </c>
      <c r="F59" s="269">
        <f>IF($A59="*","",IF(SRV_TH!F16=0,"",SRV_TH!F16))</f>
        <v>1</v>
      </c>
      <c r="G59" s="269">
        <f>IF($A59="*","",IF(SRV_TH!G16=0,"",SRV_TH!G16))</f>
        <v>1</v>
      </c>
      <c r="H59" s="269">
        <f>IF($A59="*","",IF(SRV_TH!H16=0,"",SRV_TH!H16))</f>
        <v>1</v>
      </c>
      <c r="I59" s="269">
        <f>IF($A59="*","",IF(SRV_TH!I16=0,"",SRV_TH!I16))</f>
        <v>1</v>
      </c>
      <c r="J59" s="269">
        <f>IF($A59="*","",IF(SRV_TH!J16=0,"",SRV_TH!J16))</f>
        <v>1</v>
      </c>
      <c r="K59" s="269" t="str">
        <f>IF($A59="*","",IF(SRV_TH!K16=0,"",SRV_TH!K16))</f>
        <v/>
      </c>
      <c r="L59" s="269" t="str">
        <f>IF($A59="*","",IF(SRV_TH!L16=0,"",SRV_TH!L16))</f>
        <v/>
      </c>
      <c r="M59" s="269" t="str">
        <f>IF($A59="*","",IF(SRV_TH!M16=0,"",SRV_TH!M16))</f>
        <v/>
      </c>
      <c r="N59" s="269" t="str">
        <f>IF($A59="*","",IF(SRV_TH!N16=0,"",SRV_TH!N16))</f>
        <v/>
      </c>
      <c r="O59" s="269" t="str">
        <f>IF($A59="*","",IF(SRV_TH!O16=0,"",SRV_TH!O16))</f>
        <v/>
      </c>
      <c r="P59" s="269" t="str">
        <f>IF($A59="*","",IF(SRV_TH!P16=0,"",SRV_TH!P16))</f>
        <v/>
      </c>
      <c r="Q59" s="269" t="str">
        <f>IF($A59="*","",IF(SRV_TH!Q16=0,"",SRV_TH!Q16))</f>
        <v/>
      </c>
      <c r="R59" s="269" t="str">
        <f>IF($A59="*","",IF(SRV_TH!R16=0,"",SRV_TH!R16))</f>
        <v/>
      </c>
      <c r="S59" s="269" t="str">
        <f>IF($A59="*","",IF(SRV_TH!S16=0,"",SRV_TH!S16))</f>
        <v/>
      </c>
      <c r="T59" s="269" t="str">
        <f>IF($A59="*","",IF(SRV_TH!T16=0,"",SRV_TH!T16))</f>
        <v/>
      </c>
      <c r="U59" s="219">
        <f>IF($A59="*","",IF(SRV_TH!U16=0,"",SRV_TH!U16))</f>
        <v>30</v>
      </c>
      <c r="V59" s="219" t="str">
        <f>IF($A59="*","",IF(SRV_TH!V16=0,"",SRV_TH!V16))</f>
        <v/>
      </c>
      <c r="W59" s="75"/>
      <c r="X59" s="75"/>
      <c r="Y59" s="75"/>
      <c r="Z59" s="75"/>
      <c r="AA59" s="75"/>
      <c r="AB59" s="75">
        <f>IF($A59="*","",IF(SRV_TH!AB16=0,"",SRV_TH!AB16))</f>
        <v>665</v>
      </c>
      <c r="AC59" s="75">
        <f>IF($A59="*","",IF(SRV_TH!AC16=0,"",SRV_TH!AC16))</f>
        <v>665</v>
      </c>
      <c r="AD59" s="75">
        <f>IF($A59="*","",IF(SRV_TH!AD16=0,"",SRV_TH!AD16))</f>
        <v>665</v>
      </c>
      <c r="AE59" s="75">
        <f>IF($A59="*","",IF(SRV_TH!AE16=0,"",SRV_TH!AE16))</f>
        <v>665</v>
      </c>
      <c r="AF59" s="75">
        <f>IF($A59="*","",IF(SRV_TH!AF16=0,"",SRV_TH!AF16))</f>
        <v>665</v>
      </c>
      <c r="AG59" s="50">
        <f>IF($A59="*","",IF(SRV_TH!AG16=0,"",SRV_TH!AG16))</f>
        <v>10</v>
      </c>
      <c r="AH59" s="294" t="str">
        <f>IF($A59="*","",IF(SRV_TH!AH16=0,"",SRV_TH!AH16))</f>
        <v/>
      </c>
      <c r="AI59" s="51" t="str">
        <f>IF($A59="*","",IF(SRV_TH!AI16=0,"",SRV_TH!AI16))</f>
        <v/>
      </c>
      <c r="AJ59" s="51" t="str">
        <f>IF($A59="*","",IF(SRV_TH!AJ16=0,"",SRV_TH!AJ16))</f>
        <v/>
      </c>
      <c r="AK59" s="73">
        <f>IF($A59="*","",31.536)</f>
        <v>31.536000000000001</v>
      </c>
      <c r="AL59" s="50"/>
      <c r="AM59" s="88">
        <f t="shared" si="30"/>
        <v>2019</v>
      </c>
      <c r="AN59" s="218"/>
      <c r="AO59" s="218"/>
      <c r="AP59" s="179"/>
      <c r="AQ59" s="49" t="str">
        <f t="shared" si="24"/>
        <v>PRE</v>
      </c>
      <c r="AR59" s="49" t="str">
        <f>IF($AS59="","",_xlfn.TEXTJOIN(",",TRUE,IF(LEFT(Regions!$C$3,1)&lt;&gt;"*",Regions!$C$3,""),IF(LEFT(Regions!$D$3,1)&lt;&gt;"*",Regions!$D$3,"")))</f>
        <v>IE,National</v>
      </c>
      <c r="AS59" s="49" t="str">
        <f t="shared" si="25"/>
        <v>S-SH-CS_ELC_N1</v>
      </c>
      <c r="AT59" s="49" t="str">
        <f t="shared" si="25"/>
        <v>Commercial Services - Electric boiler_SH</v>
      </c>
      <c r="AU59" s="49" t="str">
        <f t="shared" si="26"/>
        <v>PJ</v>
      </c>
      <c r="AV59" s="49" t="str">
        <f t="shared" si="27"/>
        <v>GW</v>
      </c>
      <c r="AW59" s="49"/>
      <c r="AX59" s="49"/>
      <c r="AY59" s="49" t="str">
        <f t="shared" si="31"/>
        <v>YES</v>
      </c>
    </row>
    <row r="60" spans="1:51" s="46" customFormat="1" x14ac:dyDescent="0.25">
      <c r="A60" s="61" t="s">
        <v>102</v>
      </c>
      <c r="B60" s="61"/>
      <c r="C60" s="61"/>
      <c r="D60" s="61"/>
      <c r="E60" s="61"/>
      <c r="F60" s="270"/>
      <c r="G60" s="270"/>
      <c r="H60" s="270"/>
      <c r="I60" s="270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27"/>
      <c r="V60" s="227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60"/>
      <c r="AH60" s="300"/>
      <c r="AI60" s="226" t="str">
        <f>IF($A60="*","",IF(SRV_TH!AI17=0,"",SRV_TH!AI17))</f>
        <v/>
      </c>
      <c r="AJ60" s="226" t="str">
        <f>IF($A60="*","",IF(SRV_TH!AJ17=0,"",SRV_TH!AJ17))</f>
        <v/>
      </c>
      <c r="AK60" s="74"/>
      <c r="AL60" s="60"/>
      <c r="AM60" s="89"/>
      <c r="AN60" s="218"/>
      <c r="AO60" s="218"/>
      <c r="AP60" s="179"/>
      <c r="AQ60" s="61" t="str">
        <f t="shared" si="24"/>
        <v>*Heat Pumps</v>
      </c>
      <c r="AR60" s="61" t="str">
        <f>IF($AS60="","",_xlfn.TEXTJOIN(",",TRUE,IF(LEFT(Regions!$C$3,1)&lt;&gt;"*",Regions!$C$3,""),IF(LEFT(Regions!$D$3,1)&lt;&gt;"*",Regions!$D$3,"")))</f>
        <v/>
      </c>
      <c r="AS60" s="61" t="str">
        <f t="shared" si="25"/>
        <v/>
      </c>
      <c r="AT60" s="61" t="str">
        <f t="shared" si="25"/>
        <v/>
      </c>
      <c r="AU60" s="61" t="str">
        <f t="shared" si="26"/>
        <v/>
      </c>
      <c r="AV60" s="61" t="str">
        <f t="shared" si="27"/>
        <v/>
      </c>
      <c r="AW60" s="61"/>
      <c r="AX60" s="61"/>
      <c r="AY60" s="61" t="str">
        <f t="shared" si="31"/>
        <v/>
      </c>
    </row>
    <row r="61" spans="1:51" s="46" customFormat="1" x14ac:dyDescent="0.25">
      <c r="A61" s="46" t="str">
        <f>IF(SRV_TH!AM18="","*","S-SH-"&amp;SRV_TH!$B$42&amp;"_"&amp;SRV_TH!$A18)</f>
        <v>S-SH-CS_ELC_N2</v>
      </c>
      <c r="B61" s="46" t="str">
        <f>IF(A61="*","",$A$42&amp;" - "&amp;SRV_TH!B18)</f>
        <v>Commercial Services - Heat Pump Air-to-Air_SH</v>
      </c>
      <c r="C61" s="46" t="str">
        <f>IF($A61="*","",SRV_TH!C18)</f>
        <v>SRVELC</v>
      </c>
      <c r="D61" s="46" t="str">
        <f>IF($A61="*","",SRV_TH!D18)</f>
        <v>SRVAHT</v>
      </c>
      <c r="E61" s="46" t="str">
        <f>IF($A61="*","",CONCATENATE(Legend!$C$4,Legend!$C$32,"-",$B$42))</f>
        <v>SRVSH-CS</v>
      </c>
      <c r="F61" s="271">
        <f>IF($A61="*","",IF(SRV_TH!F18=0,"",SRV_TH!F18))</f>
        <v>1</v>
      </c>
      <c r="G61" s="271">
        <f>IF($A61="*","",IF(SRV_TH!G18=0,"",SRV_TH!G18))</f>
        <v>1.0666666666666667</v>
      </c>
      <c r="H61" s="271">
        <f>IF($A61="*","",IF(SRV_TH!H18=0,"",SRV_TH!H18))</f>
        <v>1.2333333333333334</v>
      </c>
      <c r="I61" s="271">
        <f>IF($A61="*","",IF(SRV_TH!I18=0,"",SRV_TH!I18))</f>
        <v>1.3333333333333333</v>
      </c>
      <c r="J61" s="271">
        <f>IF($A61="*","",IF(SRV_TH!J18=0,"",SRV_TH!J18))</f>
        <v>1.3333333333333333</v>
      </c>
      <c r="K61" s="271" t="str">
        <f>IF($A61="*","",IF(SRV_TH!K18=0,"",SRV_TH!K18))</f>
        <v/>
      </c>
      <c r="L61" s="271" t="str">
        <f>IF($A61="*","",IF(SRV_TH!L18=0,"",SRV_TH!L18))</f>
        <v/>
      </c>
      <c r="M61" s="271" t="str">
        <f>IF($A61="*","",IF(SRV_TH!M18=0,"",SRV_TH!M18))</f>
        <v/>
      </c>
      <c r="N61" s="271" t="str">
        <f>IF($A61="*","",IF(SRV_TH!N18=0,"",SRV_TH!N18))</f>
        <v/>
      </c>
      <c r="O61" s="271" t="str">
        <f>IF($A61="*","",IF(SRV_TH!O18=0,"",SRV_TH!O18))</f>
        <v/>
      </c>
      <c r="P61" s="271" t="str">
        <f>IF($A61="*","",IF(SRV_TH!P18=0,"",SRV_TH!P18))</f>
        <v/>
      </c>
      <c r="Q61" s="271" t="str">
        <f>IF($A61="*","",IF(SRV_TH!Q18=0,"",SRV_TH!Q18))</f>
        <v/>
      </c>
      <c r="R61" s="271" t="str">
        <f>IF($A61="*","",IF(SRV_TH!R18=0,"",SRV_TH!R18))</f>
        <v/>
      </c>
      <c r="S61" s="271" t="str">
        <f>IF($A61="*","",IF(SRV_TH!S18=0,"",SRV_TH!S18))</f>
        <v/>
      </c>
      <c r="T61" s="271" t="str">
        <f>IF($A61="*","",IF(SRV_TH!T18=0,"",SRV_TH!T18))</f>
        <v/>
      </c>
      <c r="U61" s="87">
        <f>IF($A61="*","",IF(SRV_TH!U18=0,"",SRV_TH!U18))</f>
        <v>20</v>
      </c>
      <c r="V61" s="87" t="str">
        <f>IF($A61="*","",IF(SRV_TH!V18=0,"",SRV_TH!V18))</f>
        <v/>
      </c>
      <c r="W61" s="90"/>
      <c r="X61" s="90"/>
      <c r="Y61" s="90"/>
      <c r="Z61" s="90"/>
      <c r="AA61" s="90"/>
      <c r="AB61" s="90">
        <f>IF($A61="*","",IF(SRV_TH!AB18=0,"",SRV_TH!AB18))</f>
        <v>426.06279434850865</v>
      </c>
      <c r="AC61" s="90">
        <f>IF($A61="*","",IF(SRV_TH!AC18=0,"",SRV_TH!AC18))</f>
        <v>404.75965463108315</v>
      </c>
      <c r="AD61" s="90">
        <f>IF($A61="*","",IF(SRV_TH!AD18=0,"",SRV_TH!AD18))</f>
        <v>366.41400313971735</v>
      </c>
      <c r="AE61" s="90">
        <f>IF($A61="*","",IF(SRV_TH!AE18=0,"",SRV_TH!AE18))</f>
        <v>349.37149136577699</v>
      </c>
      <c r="AF61" s="90">
        <f>IF($A61="*","",IF(SRV_TH!AF18=0,"",SRV_TH!AF18))</f>
        <v>349.37149136577699</v>
      </c>
      <c r="AG61" s="44">
        <f>IF($A61="*","",IF(SRV_TH!AG18=0,"",SRV_TH!AG18))</f>
        <v>10.204081632653061</v>
      </c>
      <c r="AH61" s="293" t="str">
        <f>IF($A61="*","",IF(SRV_TH!AH18=0,"",SRV_TH!AH18))</f>
        <v/>
      </c>
      <c r="AI61" s="92" t="str">
        <f>IF($A61="*","",IF(SRV_TH!AI18=0,"",SRV_TH!AI18))</f>
        <v/>
      </c>
      <c r="AJ61" s="92" t="str">
        <f>IF($A61="*","",IF(SRV_TH!AJ18=0,"",SRV_TH!AJ18))</f>
        <v/>
      </c>
      <c r="AK61" s="72">
        <f t="shared" ref="AK61:AK70" si="32">IF($A61="*","",31.536)</f>
        <v>31.536000000000001</v>
      </c>
      <c r="AL61" s="44"/>
      <c r="AM61" s="87">
        <f t="shared" si="30"/>
        <v>2019</v>
      </c>
      <c r="AN61" s="218"/>
      <c r="AO61" s="218"/>
      <c r="AP61" s="179"/>
      <c r="AQ61" s="46" t="str">
        <f t="shared" si="24"/>
        <v>PRE</v>
      </c>
      <c r="AR61" s="46" t="str">
        <f>IF($AS61="","",_xlfn.TEXTJOIN(",",TRUE,IF(LEFT(Regions!$C$3,1)&lt;&gt;"*",Regions!$C$3,""),IF(LEFT(Regions!$D$3,1)&lt;&gt;"*",Regions!$D$3,"")))</f>
        <v>IE,National</v>
      </c>
      <c r="AS61" s="46" t="str">
        <f t="shared" si="25"/>
        <v>S-SH-CS_ELC_N2</v>
      </c>
      <c r="AT61" s="46" t="str">
        <f t="shared" si="25"/>
        <v>Commercial Services - Heat Pump Air-to-Air_SH</v>
      </c>
      <c r="AU61" s="46" t="str">
        <f t="shared" si="26"/>
        <v>PJ</v>
      </c>
      <c r="AV61" s="46" t="str">
        <f t="shared" si="27"/>
        <v>GW</v>
      </c>
      <c r="AY61" s="46" t="str">
        <f t="shared" si="31"/>
        <v>YES</v>
      </c>
    </row>
    <row r="62" spans="1:51" s="46" customFormat="1" x14ac:dyDescent="0.25">
      <c r="A62" s="46" t="str">
        <f>IF(SRV_TH!AM19="","*","S-SH-"&amp;SRV_TH!$B$42&amp;"_"&amp;SRV_TH!$A19)</f>
        <v>S-SH-CS_ELC_N3</v>
      </c>
      <c r="B62" s="46" t="str">
        <f>IF(A62="*","",$A$42&amp;" - "&amp;SRV_TH!B19)</f>
        <v>Commercial Services - Heat Pump Air-to-Air_SH-SC</v>
      </c>
      <c r="C62" s="46" t="str">
        <f>IF($A62="*","",SRV_TH!C19)</f>
        <v>SRVELC</v>
      </c>
      <c r="D62" s="46" t="str">
        <f>IF($A62="*","",SRV_TH!D19)</f>
        <v>SRVAHT</v>
      </c>
      <c r="E62" s="46" t="str">
        <f>IF($A62="*","",CONCATENATE(Legend!$C$4,Legend!$C$32,"-",$B$42,", ",Legend!$C$4,Legend!$C$34,"-",$B$42))</f>
        <v>SRVSH-CS, SRVSC-CS</v>
      </c>
      <c r="F62" s="271">
        <f>IF($A62="*","",IF(SRV_TH!F19=0,"",SRV_TH!F19))</f>
        <v>1</v>
      </c>
      <c r="G62" s="271">
        <f>IF($A62="*","",IF(SRV_TH!G19=0,"",SRV_TH!G19))</f>
        <v>1.0666666666666667</v>
      </c>
      <c r="H62" s="271">
        <f>IF($A62="*","",IF(SRV_TH!H19=0,"",SRV_TH!H19))</f>
        <v>1.2333333333333334</v>
      </c>
      <c r="I62" s="271">
        <f>IF($A62="*","",IF(SRV_TH!I19=0,"",SRV_TH!I19))</f>
        <v>1.3333333333333333</v>
      </c>
      <c r="J62" s="271">
        <f>IF($A62="*","",IF(SRV_TH!J19=0,"",SRV_TH!J19))</f>
        <v>1.3333333333333333</v>
      </c>
      <c r="K62" s="271">
        <f>IF($A62="*","",IF(SRV_TH!K19=0,"",SRV_TH!K19))</f>
        <v>1</v>
      </c>
      <c r="L62" s="271">
        <f>IF($A62="*","",IF(SRV_TH!L19=0,"",SRV_TH!L19))</f>
        <v>1</v>
      </c>
      <c r="M62" s="271">
        <f>IF($A62="*","",IF(SRV_TH!M19=0,"",SRV_TH!M19))</f>
        <v>1</v>
      </c>
      <c r="N62" s="271">
        <f>IF($A62="*","",IF(SRV_TH!N19=0,"",SRV_TH!N19))</f>
        <v>1</v>
      </c>
      <c r="O62" s="271">
        <f>IF($A62="*","",IF(SRV_TH!O19=0,"",SRV_TH!O19))</f>
        <v>1</v>
      </c>
      <c r="P62" s="271" t="str">
        <f>IF($A62="*","",IF(SRV_TH!P19=0,"",SRV_TH!P19))</f>
        <v/>
      </c>
      <c r="Q62" s="271" t="str">
        <f>IF($A62="*","",IF(SRV_TH!Q19=0,"",SRV_TH!Q19))</f>
        <v/>
      </c>
      <c r="R62" s="271" t="str">
        <f>IF($A62="*","",IF(SRV_TH!R19=0,"",SRV_TH!R19))</f>
        <v/>
      </c>
      <c r="S62" s="271" t="str">
        <f>IF($A62="*","",IF(SRV_TH!S19=0,"",SRV_TH!S19))</f>
        <v/>
      </c>
      <c r="T62" s="271" t="str">
        <f>IF($A62="*","",IF(SRV_TH!T19=0,"",SRV_TH!T19))</f>
        <v/>
      </c>
      <c r="U62" s="87">
        <f>IF($A62="*","",IF(SRV_TH!U19=0,"",SRV_TH!U19))</f>
        <v>20</v>
      </c>
      <c r="V62" s="87" t="str">
        <f>IF($A62="*","",IF(SRV_TH!V19=0,"",SRV_TH!V19))</f>
        <v/>
      </c>
      <c r="W62" s="90"/>
      <c r="X62" s="90"/>
      <c r="Y62" s="90"/>
      <c r="Z62" s="90"/>
      <c r="AA62" s="90"/>
      <c r="AB62" s="90">
        <f>IF($A62="*","",IF(SRV_TH!AB19=0,"",SRV_TH!AB19))</f>
        <v>447.36593406593408</v>
      </c>
      <c r="AC62" s="90">
        <f>IF($A62="*","",IF(SRV_TH!AC19=0,"",SRV_TH!AC19))</f>
        <v>424.99763736263731</v>
      </c>
      <c r="AD62" s="90">
        <f>IF($A62="*","",IF(SRV_TH!AD19=0,"",SRV_TH!AD19))</f>
        <v>384.73470329670323</v>
      </c>
      <c r="AE62" s="90">
        <f>IF($A62="*","",IF(SRV_TH!AE19=0,"",SRV_TH!AE19))</f>
        <v>366.84006593406588</v>
      </c>
      <c r="AF62" s="90">
        <f>IF($A62="*","",IF(SRV_TH!AF19=0,"",SRV_TH!AF19))</f>
        <v>366.84006593406588</v>
      </c>
      <c r="AG62" s="44">
        <f>IF($A62="*","",IF(SRV_TH!AG19=0,"",SRV_TH!AG19))</f>
        <v>10.204081632653061</v>
      </c>
      <c r="AH62" s="293" t="str">
        <f>IF($A62="*","",IF(SRV_TH!AH19=0,"",SRV_TH!AH19))</f>
        <v/>
      </c>
      <c r="AI62" s="92" t="str">
        <f>IF($A62="*","",IF(SRV_TH!AI19=0,"",SRV_TH!AI19))</f>
        <v/>
      </c>
      <c r="AJ62" s="92" t="str">
        <f>IF($A62="*","",IF(SRV_TH!AJ19=0,"",SRV_TH!AJ19))</f>
        <v/>
      </c>
      <c r="AK62" s="72">
        <f t="shared" si="32"/>
        <v>31.536000000000001</v>
      </c>
      <c r="AL62" s="44"/>
      <c r="AM62" s="87">
        <f t="shared" si="30"/>
        <v>2019</v>
      </c>
      <c r="AN62" s="218"/>
      <c r="AO62" s="218"/>
      <c r="AP62" s="179"/>
      <c r="AQ62" s="46" t="str">
        <f t="shared" si="24"/>
        <v>PRE</v>
      </c>
      <c r="AR62" s="46" t="str">
        <f>IF($AS62="","",_xlfn.TEXTJOIN(",",TRUE,IF(LEFT(Regions!$C$3,1)&lt;&gt;"*",Regions!$C$3,""),IF(LEFT(Regions!$D$3,1)&lt;&gt;"*",Regions!$D$3,"")))</f>
        <v>IE,National</v>
      </c>
      <c r="AS62" s="46" t="str">
        <f t="shared" si="25"/>
        <v>S-SH-CS_ELC_N3</v>
      </c>
      <c r="AT62" s="46" t="str">
        <f t="shared" si="25"/>
        <v>Commercial Services - Heat Pump Air-to-Air_SH-SC</v>
      </c>
      <c r="AU62" s="46" t="str">
        <f t="shared" si="26"/>
        <v>PJ</v>
      </c>
      <c r="AV62" s="46" t="str">
        <f t="shared" si="27"/>
        <v>GW</v>
      </c>
      <c r="AY62" s="46" t="str">
        <f t="shared" si="31"/>
        <v>YES</v>
      </c>
    </row>
    <row r="63" spans="1:51" s="46" customFormat="1" x14ac:dyDescent="0.25">
      <c r="A63" s="46" t="str">
        <f>IF(SRV_TH!AM20="","*","S-SH-"&amp;SRV_TH!$B$42&amp;"_"&amp;SRV_TH!$A20)</f>
        <v>S-SH-CS_ELC_N4</v>
      </c>
      <c r="B63" s="46" t="str">
        <f>IF(A63="*","",$A$42&amp;" - "&amp;SRV_TH!B20)</f>
        <v>Commercial Services - Heat Pump Air-to-Water_SH</v>
      </c>
      <c r="C63" s="46" t="str">
        <f>IF($A63="*","",SRV_TH!C20)</f>
        <v>SRVELC</v>
      </c>
      <c r="D63" s="46" t="str">
        <f>IF($A63="*","",SRV_TH!D20)</f>
        <v>SRVAHT</v>
      </c>
      <c r="E63" s="46" t="str">
        <f>IF($A63="*","",CONCATENATE(Legend!$C$4,Legend!$C$32,"-",$B$42))</f>
        <v>SRVSH-CS</v>
      </c>
      <c r="F63" s="271">
        <f>IF($A63="*","",IF(SRV_TH!F20=0,"",SRV_TH!F20))</f>
        <v>1</v>
      </c>
      <c r="G63" s="271">
        <f>IF($A63="*","",IF(SRV_TH!G20=0,"",SRV_TH!G20))</f>
        <v>1.0999999999999999</v>
      </c>
      <c r="H63" s="271">
        <f>IF($A63="*","",IF(SRV_TH!H20=0,"",SRV_TH!H20))</f>
        <v>1.2333333333333334</v>
      </c>
      <c r="I63" s="271">
        <f>IF($A63="*","",IF(SRV_TH!I20=0,"",SRV_TH!I20))</f>
        <v>1.3333333333333333</v>
      </c>
      <c r="J63" s="271">
        <f>IF($A63="*","",IF(SRV_TH!J20=0,"",SRV_TH!J20))</f>
        <v>1.3333333333333333</v>
      </c>
      <c r="K63" s="271" t="str">
        <f>IF($A63="*","",IF(SRV_TH!K20=0,"",SRV_TH!K20))</f>
        <v/>
      </c>
      <c r="L63" s="271" t="str">
        <f>IF($A63="*","",IF(SRV_TH!L20=0,"",SRV_TH!L20))</f>
        <v/>
      </c>
      <c r="M63" s="271" t="str">
        <f>IF($A63="*","",IF(SRV_TH!M20=0,"",SRV_TH!M20))</f>
        <v/>
      </c>
      <c r="N63" s="271" t="str">
        <f>IF($A63="*","",IF(SRV_TH!N20=0,"",SRV_TH!N20))</f>
        <v/>
      </c>
      <c r="O63" s="271" t="str">
        <f>IF($A63="*","",IF(SRV_TH!O20=0,"",SRV_TH!O20))</f>
        <v/>
      </c>
      <c r="P63" s="271" t="str">
        <f>IF($A63="*","",IF(SRV_TH!P20=0,"",SRV_TH!P20))</f>
        <v/>
      </c>
      <c r="Q63" s="271" t="str">
        <f>IF($A63="*","",IF(SRV_TH!Q20=0,"",SRV_TH!Q20))</f>
        <v/>
      </c>
      <c r="R63" s="271" t="str">
        <f>IF($A63="*","",IF(SRV_TH!R20=0,"",SRV_TH!R20))</f>
        <v/>
      </c>
      <c r="S63" s="271" t="str">
        <f>IF($A63="*","",IF(SRV_TH!S20=0,"",SRV_TH!S20))</f>
        <v/>
      </c>
      <c r="T63" s="271" t="str">
        <f>IF($A63="*","",IF(SRV_TH!T20=0,"",SRV_TH!T20))</f>
        <v/>
      </c>
      <c r="U63" s="87">
        <f>IF($A63="*","",IF(SRV_TH!U20=0,"",SRV_TH!U20))</f>
        <v>20</v>
      </c>
      <c r="V63" s="87" t="str">
        <f>IF($A63="*","",IF(SRV_TH!V20=0,"",SRV_TH!V20))</f>
        <v/>
      </c>
      <c r="W63" s="90"/>
      <c r="X63" s="90"/>
      <c r="Y63" s="90"/>
      <c r="Z63" s="90"/>
      <c r="AA63" s="90"/>
      <c r="AB63" s="90">
        <f>IF($A63="*","",IF(SRV_TH!AB20=0,"",SRV_TH!AB20))</f>
        <v>800</v>
      </c>
      <c r="AC63" s="90">
        <f>IF($A63="*","",IF(SRV_TH!AC20=0,"",SRV_TH!AC20))</f>
        <v>800</v>
      </c>
      <c r="AD63" s="90">
        <f>IF($A63="*","",IF(SRV_TH!AD20=0,"",SRV_TH!AD20))</f>
        <v>700</v>
      </c>
      <c r="AE63" s="90">
        <f>IF($A63="*","",IF(SRV_TH!AE20=0,"",SRV_TH!AE20))</f>
        <v>700</v>
      </c>
      <c r="AF63" s="90">
        <f>IF($A63="*","",IF(SRV_TH!AF20=0,"",SRV_TH!AF20))</f>
        <v>700</v>
      </c>
      <c r="AG63" s="44">
        <f>IF($A63="*","",IF(SRV_TH!AG20=0,"",SRV_TH!AG20))</f>
        <v>1.125</v>
      </c>
      <c r="AH63" s="293" t="str">
        <f>IF($A63="*","",IF(SRV_TH!AH20=0,"",SRV_TH!AH20))</f>
        <v/>
      </c>
      <c r="AI63" s="92" t="str">
        <f>IF($A63="*","",IF(SRV_TH!AI20=0,"",SRV_TH!AI20))</f>
        <v/>
      </c>
      <c r="AJ63" s="92" t="str">
        <f>IF($A63="*","",IF(SRV_TH!AJ20=0,"",SRV_TH!AJ20))</f>
        <v/>
      </c>
      <c r="AK63" s="72">
        <f t="shared" si="32"/>
        <v>31.536000000000001</v>
      </c>
      <c r="AL63" s="44"/>
      <c r="AM63" s="87">
        <f t="shared" si="30"/>
        <v>2019</v>
      </c>
      <c r="AN63" s="218"/>
      <c r="AO63" s="218"/>
      <c r="AP63" s="179"/>
      <c r="AQ63" s="46" t="str">
        <f t="shared" si="24"/>
        <v>PRE</v>
      </c>
      <c r="AR63" s="46" t="str">
        <f>IF($AS63="","",_xlfn.TEXTJOIN(",",TRUE,IF(LEFT(Regions!$C$3,1)&lt;&gt;"*",Regions!$C$3,""),IF(LEFT(Regions!$D$3,1)&lt;&gt;"*",Regions!$D$3,"")))</f>
        <v>IE,National</v>
      </c>
      <c r="AS63" s="46" t="str">
        <f t="shared" si="25"/>
        <v>S-SH-CS_ELC_N4</v>
      </c>
      <c r="AT63" s="46" t="str">
        <f t="shared" si="25"/>
        <v>Commercial Services - Heat Pump Air-to-Water_SH</v>
      </c>
      <c r="AU63" s="46" t="str">
        <f t="shared" si="26"/>
        <v>PJ</v>
      </c>
      <c r="AV63" s="46" t="str">
        <f t="shared" si="27"/>
        <v>GW</v>
      </c>
      <c r="AY63" s="46" t="str">
        <f t="shared" si="31"/>
        <v>YES</v>
      </c>
    </row>
    <row r="64" spans="1:51" s="46" customFormat="1" x14ac:dyDescent="0.25">
      <c r="A64" s="46" t="str">
        <f>IF(SRV_TH!AM21="","*","S-SH-"&amp;SRV_TH!$B$42&amp;"_"&amp;SRV_TH!$A21)</f>
        <v>S-SH-CS_ELC_N5</v>
      </c>
      <c r="B64" s="46" t="str">
        <f>IF(A64="*","",$A$42&amp;" - "&amp;SRV_TH!B21)</f>
        <v>Commercial Services - Heat Pump Air-to-Water_SH-WH</v>
      </c>
      <c r="C64" s="46" t="str">
        <f>IF($A64="*","",SRV_TH!C21)</f>
        <v>SRVELC</v>
      </c>
      <c r="D64" s="46" t="str">
        <f>IF($A64="*","",SRV_TH!D21)</f>
        <v>SRVAHT,SRVAHT2</v>
      </c>
      <c r="E64" s="46" t="str">
        <f>IF($A64="*","",CONCATENATE(Legend!$C$4,Legend!$C$32,"-",$B$42,", ",Legend!$C$4,Legend!$C$33,"-",$B$42))</f>
        <v>SRVSH-CS, SRVWH-CS</v>
      </c>
      <c r="F64" s="271">
        <f>IF($A64="*","",IF(SRV_TH!F21=0,"",SRV_TH!F21))</f>
        <v>1</v>
      </c>
      <c r="G64" s="271">
        <f>IF($A64="*","",IF(SRV_TH!G21=0,"",SRV_TH!G21))</f>
        <v>1.0999999999999999</v>
      </c>
      <c r="H64" s="271">
        <f>IF($A64="*","",IF(SRV_TH!H21=0,"",SRV_TH!H21))</f>
        <v>1.2333333333333334</v>
      </c>
      <c r="I64" s="271">
        <f>IF($A64="*","",IF(SRV_TH!I21=0,"",SRV_TH!I21))</f>
        <v>1.3333333333333333</v>
      </c>
      <c r="J64" s="271">
        <f>IF($A64="*","",IF(SRV_TH!J21=0,"",SRV_TH!J21))</f>
        <v>1.3333333333333333</v>
      </c>
      <c r="K64" s="271" t="str">
        <f>IF($A64="*","",IF(SRV_TH!K21=0,"",SRV_TH!K21))</f>
        <v/>
      </c>
      <c r="L64" s="271" t="str">
        <f>IF($A64="*","",IF(SRV_TH!L21=0,"",SRV_TH!L21))</f>
        <v/>
      </c>
      <c r="M64" s="271" t="str">
        <f>IF($A64="*","",IF(SRV_TH!M21=0,"",SRV_TH!M21))</f>
        <v/>
      </c>
      <c r="N64" s="271" t="str">
        <f>IF($A64="*","",IF(SRV_TH!N21=0,"",SRV_TH!N21))</f>
        <v/>
      </c>
      <c r="O64" s="271" t="str">
        <f>IF($A64="*","",IF(SRV_TH!O21=0,"",SRV_TH!O21))</f>
        <v/>
      </c>
      <c r="P64" s="64">
        <f>IF($A64="*","",IF(SRV_TH!P21=0,"",SRV_TH!P21))</f>
        <v>0.7</v>
      </c>
      <c r="Q64" s="64">
        <f>IF($A64="*","",IF(SRV_TH!Q21=0,"",SRV_TH!Q21))</f>
        <v>0.76999999999999991</v>
      </c>
      <c r="R64" s="64">
        <f>IF($A64="*","",IF(SRV_TH!R21=0,"",SRV_TH!R21))</f>
        <v>0.86333333333333329</v>
      </c>
      <c r="S64" s="64">
        <f>IF($A64="*","",IF(SRV_TH!S21=0,"",SRV_TH!S21))</f>
        <v>0.93333333333333324</v>
      </c>
      <c r="T64" s="64">
        <f>IF($A64="*","",IF(SRV_TH!T21=0,"",SRV_TH!T21))</f>
        <v>0.93333333333333324</v>
      </c>
      <c r="U64" s="87">
        <f>IF($A64="*","",IF(SRV_TH!U21=0,"",SRV_TH!U21))</f>
        <v>20</v>
      </c>
      <c r="V64" s="87" t="str">
        <f>IF($A64="*","",IF(SRV_TH!V21=0,"",SRV_TH!V21))</f>
        <v/>
      </c>
      <c r="W64" s="90"/>
      <c r="X64" s="90"/>
      <c r="Y64" s="90"/>
      <c r="Z64" s="90"/>
      <c r="AA64" s="90"/>
      <c r="AB64" s="90">
        <f>IF($A64="*","",IF(SRV_TH!AB21=0,"",SRV_TH!AB21))</f>
        <v>800</v>
      </c>
      <c r="AC64" s="90">
        <f>IF($A64="*","",IF(SRV_TH!AC21=0,"",SRV_TH!AC21))</f>
        <v>800</v>
      </c>
      <c r="AD64" s="90">
        <f>IF($A64="*","",IF(SRV_TH!AD21=0,"",SRV_TH!AD21))</f>
        <v>700</v>
      </c>
      <c r="AE64" s="90">
        <f>IF($A64="*","",IF(SRV_TH!AE21=0,"",SRV_TH!AE21))</f>
        <v>700</v>
      </c>
      <c r="AF64" s="90">
        <f>IF($A64="*","",IF(SRV_TH!AF21=0,"",SRV_TH!AF21))</f>
        <v>700</v>
      </c>
      <c r="AG64" s="44">
        <f>IF($A64="*","",IF(SRV_TH!AG21=0,"",SRV_TH!AG21))</f>
        <v>1.125</v>
      </c>
      <c r="AH64" s="293" t="str">
        <f>IF($A64="*","",IF(SRV_TH!AH21=0,"",SRV_TH!AH21))</f>
        <v/>
      </c>
      <c r="AI64" s="92" t="str">
        <f>IF($A64="*","",IF(SRV_TH!AI21=0,"",SRV_TH!AI21))</f>
        <v/>
      </c>
      <c r="AJ64" s="92" t="str">
        <f>IF($A64="*","",IF(SRV_TH!AJ21=0,"",SRV_TH!AJ21))</f>
        <v/>
      </c>
      <c r="AK64" s="72">
        <f t="shared" si="32"/>
        <v>31.536000000000001</v>
      </c>
      <c r="AL64" s="44"/>
      <c r="AM64" s="87">
        <f t="shared" si="30"/>
        <v>2019</v>
      </c>
      <c r="AN64" s="218"/>
      <c r="AO64" s="218"/>
      <c r="AP64" s="179"/>
      <c r="AQ64" s="46" t="str">
        <f t="shared" si="24"/>
        <v>PRE</v>
      </c>
      <c r="AR64" s="46" t="str">
        <f>IF($AS64="","",_xlfn.TEXTJOIN(",",TRUE,IF(LEFT(Regions!$C$3,1)&lt;&gt;"*",Regions!$C$3,""),IF(LEFT(Regions!$D$3,1)&lt;&gt;"*",Regions!$D$3,"")))</f>
        <v>IE,National</v>
      </c>
      <c r="AS64" s="46" t="str">
        <f t="shared" si="25"/>
        <v>S-SH-CS_ELC_N5</v>
      </c>
      <c r="AT64" s="46" t="str">
        <f t="shared" si="25"/>
        <v>Commercial Services - Heat Pump Air-to-Water_SH-WH</v>
      </c>
      <c r="AU64" s="46" t="str">
        <f t="shared" si="26"/>
        <v>PJ</v>
      </c>
      <c r="AV64" s="46" t="str">
        <f t="shared" si="27"/>
        <v>GW</v>
      </c>
      <c r="AY64" s="46" t="str">
        <f t="shared" si="31"/>
        <v>YES</v>
      </c>
    </row>
    <row r="65" spans="1:51" s="46" customFormat="1" x14ac:dyDescent="0.25">
      <c r="A65" s="46" t="str">
        <f>IF(SRV_TH!AM22="","*","S-SH-"&amp;SRV_TH!$B$42&amp;"_"&amp;SRV_TH!$A22)</f>
        <v>S-SH-CS_ELC_N6</v>
      </c>
      <c r="B65" s="46" t="str">
        <f>IF(A65="*","",$A$42&amp;" - "&amp;SRV_TH!B22)</f>
        <v>Commercial Services - Heat Pump Air-to-Water + Solar thermal_SH-WH</v>
      </c>
      <c r="C65" s="46" t="str">
        <f>IF($A65="*","",SRV_TH!C22)</f>
        <v>SRVELC, SRVSOL</v>
      </c>
      <c r="D65" s="46" t="str">
        <f>IF($A65="*","",SRV_TH!D22)</f>
        <v>SRVAHT,SRVAHT2</v>
      </c>
      <c r="E65" s="46" t="str">
        <f>IF($A65="*","",CONCATENATE(Legend!$C$4,Legend!$C$32,"-",$B$42,", ",Legend!$C$4,Legend!$C$33,"-",$B$42))</f>
        <v>SRVSH-CS, SRVWH-CS</v>
      </c>
      <c r="F65" s="272">
        <f>IF($A65="*","",IF(SRV_TH!F22=0,"",SRV_TH!F22))</f>
        <v>1</v>
      </c>
      <c r="G65" s="272">
        <f>IF($A65="*","",IF(SRV_TH!G22=0,"",SRV_TH!G22))</f>
        <v>1.0899999999999999</v>
      </c>
      <c r="H65" s="272">
        <f>IF($A65="*","",IF(SRV_TH!H22=0,"",SRV_TH!H22))</f>
        <v>1.2053333333333334</v>
      </c>
      <c r="I65" s="272">
        <f>IF($A65="*","",IF(SRV_TH!I22=0,"",SRV_TH!I22))</f>
        <v>1.2933333333333334</v>
      </c>
      <c r="J65" s="272">
        <f>IF($A65="*","",IF(SRV_TH!J22=0,"",SRV_TH!J22))</f>
        <v>1.2933333333333334</v>
      </c>
      <c r="K65" s="272" t="str">
        <f>IF($A65="*","",IF(SRV_TH!K22=0,"",SRV_TH!K22))</f>
        <v/>
      </c>
      <c r="L65" s="272" t="str">
        <f>IF($A65="*","",IF(SRV_TH!L22=0,"",SRV_TH!L22))</f>
        <v/>
      </c>
      <c r="M65" s="272" t="str">
        <f>IF($A65="*","",IF(SRV_TH!M22=0,"",SRV_TH!M22))</f>
        <v/>
      </c>
      <c r="N65" s="272" t="str">
        <f>IF($A65="*","",IF(SRV_TH!N22=0,"",SRV_TH!N22))</f>
        <v/>
      </c>
      <c r="O65" s="272" t="str">
        <f>IF($A65="*","",IF(SRV_TH!O22=0,"",SRV_TH!O22))</f>
        <v/>
      </c>
      <c r="P65" s="64">
        <f>IF($A65="*","",IF(SRV_TH!P22=0,"",SRV_TH!P22))</f>
        <v>1.3849999999999998</v>
      </c>
      <c r="Q65" s="64">
        <f>IF($A65="*","",IF(SRV_TH!Q22=0,"",SRV_TH!Q22))</f>
        <v>1.4584999999999999</v>
      </c>
      <c r="R65" s="64">
        <f>IF($A65="*","",IF(SRV_TH!R22=0,"",SRV_TH!R22))</f>
        <v>1.4770000000000001</v>
      </c>
      <c r="S65" s="64">
        <f>IF($A65="*","",IF(SRV_TH!S22=0,"",SRV_TH!S22))</f>
        <v>1.54</v>
      </c>
      <c r="T65" s="64">
        <f>IF($A65="*","",IF(SRV_TH!T22=0,"",SRV_TH!T22))</f>
        <v>1.54</v>
      </c>
      <c r="U65" s="242">
        <f>IF($A65="*","",IF(SRV_TH!U22=0,"",SRV_TH!U22))</f>
        <v>20</v>
      </c>
      <c r="V65" s="242" t="str">
        <f>IF($A65="*","",IF(SRV_TH!V22=0,"",SRV_TH!V22))</f>
        <v/>
      </c>
      <c r="W65" s="90"/>
      <c r="X65" s="90"/>
      <c r="Y65" s="90"/>
      <c r="Z65" s="90"/>
      <c r="AA65" s="90"/>
      <c r="AB65" s="90">
        <f>IF($A65="*","",IF(SRV_TH!AB22=0,"",SRV_TH!AB22))</f>
        <v>759.25925925925924</v>
      </c>
      <c r="AC65" s="90">
        <f>IF($A65="*","",IF(SRV_TH!AC22=0,"",SRV_TH!AC22))</f>
        <v>759.25925925925924</v>
      </c>
      <c r="AD65" s="90">
        <f>IF($A65="*","",IF(SRV_TH!AD22=0,"",SRV_TH!AD22))</f>
        <v>685.18518518518522</v>
      </c>
      <c r="AE65" s="90">
        <f>IF($A65="*","",IF(SRV_TH!AE22=0,"",SRV_TH!AE22))</f>
        <v>685.18518518518522</v>
      </c>
      <c r="AF65" s="90">
        <f>IF($A65="*","",IF(SRV_TH!AF22=0,"",SRV_TH!AF22))</f>
        <v>685.18518518518522</v>
      </c>
      <c r="AG65" s="44">
        <f>IF($A65="*","",IF(SRV_TH!AG22=0,"",SRV_TH!AG22))</f>
        <v>4.3285714285714283</v>
      </c>
      <c r="AH65" s="293" t="str">
        <f>IF($A65="*","",IF(SRV_TH!AH22=0,"",SRV_TH!AH22))</f>
        <v/>
      </c>
      <c r="AI65" s="92">
        <f>IF($A65="*","",IF(SRV_TH!AI22=0,"",SRV_TH!AI22))</f>
        <v>0.35294117647058826</v>
      </c>
      <c r="AJ65" s="92" t="str">
        <f>IF($A65="*","",IF(SRV_TH!AJ22=0,"",SRV_TH!AJ22))</f>
        <v/>
      </c>
      <c r="AK65" s="72">
        <f t="shared" si="32"/>
        <v>31.536000000000001</v>
      </c>
      <c r="AL65" s="44"/>
      <c r="AM65" s="87">
        <f t="shared" si="30"/>
        <v>2019</v>
      </c>
      <c r="AN65" s="218"/>
      <c r="AO65" s="218"/>
      <c r="AP65" s="179"/>
      <c r="AQ65" s="46" t="str">
        <f t="shared" si="24"/>
        <v>PRE</v>
      </c>
      <c r="AR65" s="46" t="str">
        <f>IF($AS65="","",_xlfn.TEXTJOIN(",",TRUE,IF(LEFT(Regions!$C$3,1)&lt;&gt;"*",Regions!$C$3,""),IF(LEFT(Regions!$D$3,1)&lt;&gt;"*",Regions!$D$3,"")))</f>
        <v>IE,National</v>
      </c>
      <c r="AS65" s="46" t="str">
        <f t="shared" si="25"/>
        <v>S-SH-CS_ELC_N6</v>
      </c>
      <c r="AT65" s="46" t="str">
        <f t="shared" si="25"/>
        <v>Commercial Services - Heat Pump Air-to-Water + Solar thermal_SH-WH</v>
      </c>
      <c r="AU65" s="46" t="str">
        <f t="shared" si="26"/>
        <v>PJ</v>
      </c>
      <c r="AV65" s="46" t="str">
        <f t="shared" si="27"/>
        <v>GW</v>
      </c>
      <c r="AY65" s="46" t="str">
        <f t="shared" si="31"/>
        <v>YES</v>
      </c>
    </row>
    <row r="66" spans="1:51" s="46" customFormat="1" x14ac:dyDescent="0.25">
      <c r="A66" s="46" t="str">
        <f>IF(SRV_TH!AM23="","*","S-SH-"&amp;SRV_TH!$B$42&amp;"_"&amp;SRV_TH!$A23)</f>
        <v>S-SH-CS_ELC_N7</v>
      </c>
      <c r="B66" s="46" t="str">
        <f>IF(A66="*","",$A$42&amp;" - "&amp;SRV_TH!B23)</f>
        <v>Commercial Services - Heat Pump Ground Source_SH</v>
      </c>
      <c r="C66" s="46" t="str">
        <f>IF($A66="*","",SRV_TH!C23)</f>
        <v>SRVELC</v>
      </c>
      <c r="D66" s="46" t="str">
        <f>IF($A66="*","",SRV_TH!D23)</f>
        <v>SRVAHT</v>
      </c>
      <c r="E66" s="46" t="str">
        <f>IF($A66="*","",CONCATENATE(Legend!$C$4,Legend!$C$32,"-",$B$42))</f>
        <v>SRVSH-CS</v>
      </c>
      <c r="F66" s="271">
        <f>IF($A66="*","",IF(SRV_TH!F23=0,"",SRV_TH!F23))</f>
        <v>1.0999999999999999</v>
      </c>
      <c r="G66" s="271">
        <f>IF($A66="*","",IF(SRV_TH!G23=0,"",SRV_TH!G23))</f>
        <v>1.1666666666666667</v>
      </c>
      <c r="H66" s="271">
        <f>IF($A66="*","",IF(SRV_TH!H23=0,"",SRV_TH!H23))</f>
        <v>1.3333333333333333</v>
      </c>
      <c r="I66" s="271">
        <f>IF($A66="*","",IF(SRV_TH!I23=0,"",SRV_TH!I23))</f>
        <v>1.5</v>
      </c>
      <c r="J66" s="271">
        <f>IF($A66="*","",IF(SRV_TH!J23=0,"",SRV_TH!J23))</f>
        <v>1.5</v>
      </c>
      <c r="K66" s="271" t="str">
        <f>IF($A66="*","",IF(SRV_TH!K23=0,"",SRV_TH!K23))</f>
        <v/>
      </c>
      <c r="L66" s="271" t="str">
        <f>IF($A66="*","",IF(SRV_TH!L23=0,"",SRV_TH!L23))</f>
        <v/>
      </c>
      <c r="M66" s="271" t="str">
        <f>IF($A66="*","",IF(SRV_TH!M23=0,"",SRV_TH!M23))</f>
        <v/>
      </c>
      <c r="N66" s="271" t="str">
        <f>IF($A66="*","",IF(SRV_TH!N23=0,"",SRV_TH!N23))</f>
        <v/>
      </c>
      <c r="O66" s="271" t="str">
        <f>IF($A66="*","",IF(SRV_TH!O23=0,"",SRV_TH!O23))</f>
        <v/>
      </c>
      <c r="P66" s="271" t="str">
        <f>IF($A66="*","",IF(SRV_TH!P23=0,"",SRV_TH!P23))</f>
        <v/>
      </c>
      <c r="Q66" s="271" t="str">
        <f>IF($A66="*","",IF(SRV_TH!Q23=0,"",SRV_TH!Q23))</f>
        <v/>
      </c>
      <c r="R66" s="271" t="str">
        <f>IF($A66="*","",IF(SRV_TH!R23=0,"",SRV_TH!R23))</f>
        <v/>
      </c>
      <c r="S66" s="271" t="str">
        <f>IF($A66="*","",IF(SRV_TH!S23=0,"",SRV_TH!S23))</f>
        <v/>
      </c>
      <c r="T66" s="271" t="str">
        <f>IF($A66="*","",IF(SRV_TH!T23=0,"",SRV_TH!T23))</f>
        <v/>
      </c>
      <c r="U66" s="87">
        <f>IF($A66="*","",IF(SRV_TH!U23=0,"",SRV_TH!U23))</f>
        <v>20</v>
      </c>
      <c r="V66" s="87" t="str">
        <f>IF($A66="*","",IF(SRV_TH!V23=0,"",SRV_TH!V23))</f>
        <v/>
      </c>
      <c r="W66" s="90"/>
      <c r="X66" s="90"/>
      <c r="Y66" s="90"/>
      <c r="Z66" s="90"/>
      <c r="AA66" s="90"/>
      <c r="AB66" s="90">
        <f>IF($A66="*","",IF(SRV_TH!AB23=0,"",SRV_TH!AB23))</f>
        <v>901.35</v>
      </c>
      <c r="AC66" s="90">
        <f>IF($A66="*","",IF(SRV_TH!AC23=0,"",SRV_TH!AC23))</f>
        <v>901.35</v>
      </c>
      <c r="AD66" s="90">
        <f>IF($A66="*","",IF(SRV_TH!AD23=0,"",SRV_TH!AD23))</f>
        <v>801.35</v>
      </c>
      <c r="AE66" s="90">
        <f>IF($A66="*","",IF(SRV_TH!AE23=0,"",SRV_TH!AE23))</f>
        <v>701.35</v>
      </c>
      <c r="AF66" s="90">
        <f>IF($A66="*","",IF(SRV_TH!AF23=0,"",SRV_TH!AF23))</f>
        <v>701.35</v>
      </c>
      <c r="AG66" s="44">
        <f>IF($A66="*","",IF(SRV_TH!AG23=0,"",SRV_TH!AG23))</f>
        <v>1.5</v>
      </c>
      <c r="AH66" s="293" t="str">
        <f>IF($A66="*","",IF(SRV_TH!AH23=0,"",SRV_TH!AH23))</f>
        <v/>
      </c>
      <c r="AI66" s="92" t="str">
        <f>IF($A66="*","",IF(SRV_TH!AI23=0,"",SRV_TH!AI23))</f>
        <v/>
      </c>
      <c r="AJ66" s="92" t="str">
        <f>IF($A66="*","",IF(SRV_TH!AJ23=0,"",SRV_TH!AJ23))</f>
        <v/>
      </c>
      <c r="AK66" s="72">
        <f t="shared" si="32"/>
        <v>31.536000000000001</v>
      </c>
      <c r="AL66" s="44"/>
      <c r="AM66" s="87">
        <f t="shared" si="30"/>
        <v>2019</v>
      </c>
      <c r="AN66" s="218"/>
      <c r="AO66" s="218"/>
      <c r="AP66" s="179"/>
      <c r="AQ66" s="46" t="str">
        <f t="shared" si="24"/>
        <v>PRE</v>
      </c>
      <c r="AR66" s="46" t="str">
        <f>IF($AS66="","",_xlfn.TEXTJOIN(",",TRUE,IF(LEFT(Regions!$C$3,1)&lt;&gt;"*",Regions!$C$3,""),IF(LEFT(Regions!$D$3,1)&lt;&gt;"*",Regions!$D$3,"")))</f>
        <v>IE,National</v>
      </c>
      <c r="AS66" s="46" t="str">
        <f t="shared" si="25"/>
        <v>S-SH-CS_ELC_N7</v>
      </c>
      <c r="AT66" s="46" t="str">
        <f t="shared" si="25"/>
        <v>Commercial Services - Heat Pump Ground Source_SH</v>
      </c>
      <c r="AU66" s="46" t="str">
        <f t="shared" si="26"/>
        <v>PJ</v>
      </c>
      <c r="AV66" s="46" t="str">
        <f t="shared" si="27"/>
        <v>GW</v>
      </c>
      <c r="AY66" s="46" t="str">
        <f t="shared" si="31"/>
        <v>YES</v>
      </c>
    </row>
    <row r="67" spans="1:51" s="46" customFormat="1" x14ac:dyDescent="0.25">
      <c r="A67" s="46" t="str">
        <f>IF(SRV_TH!AM24="","*","S-SH-"&amp;SRV_TH!$B$42&amp;"_"&amp;SRV_TH!$A24)</f>
        <v>S-SH-CS_ELC_N8</v>
      </c>
      <c r="B67" s="46" t="str">
        <f>IF(A67="*","",$A$42&amp;" - "&amp;SRV_TH!B24)</f>
        <v>Commercial Services - Heat Pump Ground Source_SH-SC</v>
      </c>
      <c r="C67" s="46" t="str">
        <f>IF($A67="*","",SRV_TH!C24)</f>
        <v>SRVELC</v>
      </c>
      <c r="D67" s="46" t="str">
        <f>IF($A67="*","",SRV_TH!D24)</f>
        <v>SRVAHT</v>
      </c>
      <c r="E67" s="46" t="str">
        <f>IF($A67="*","",CONCATENATE(Legend!$C$4,Legend!$C$32,"-",$B$42,", ",Legend!$C$4,Legend!$C$34,"-",$B$42))</f>
        <v>SRVSH-CS, SRVSC-CS</v>
      </c>
      <c r="F67" s="271">
        <f>IF($A67="*","",IF(SRV_TH!F24=0,"",SRV_TH!F24))</f>
        <v>1.0999999999999999</v>
      </c>
      <c r="G67" s="271">
        <f>IF($A67="*","",IF(SRV_TH!G24=0,"",SRV_TH!G24))</f>
        <v>1.1666666666666667</v>
      </c>
      <c r="H67" s="271">
        <f>IF($A67="*","",IF(SRV_TH!H24=0,"",SRV_TH!H24))</f>
        <v>1.3333333333333333</v>
      </c>
      <c r="I67" s="271">
        <f>IF($A67="*","",IF(SRV_TH!I24=0,"",SRV_TH!I24))</f>
        <v>1.5</v>
      </c>
      <c r="J67" s="271">
        <f>IF($A67="*","",IF(SRV_TH!J24=0,"",SRV_TH!J24))</f>
        <v>1.5</v>
      </c>
      <c r="K67" s="271">
        <f>IF($A67="*","",IF(SRV_TH!K24=0,"",SRV_TH!K24))</f>
        <v>1.0999999999999999</v>
      </c>
      <c r="L67" s="271">
        <f>IF($A67="*","",IF(SRV_TH!L24=0,"",SRV_TH!L24))</f>
        <v>1.1666666666666667</v>
      </c>
      <c r="M67" s="271">
        <f>IF($A67="*","",IF(SRV_TH!M24=0,"",SRV_TH!M24))</f>
        <v>1.3333333333333333</v>
      </c>
      <c r="N67" s="271">
        <f>IF($A67="*","",IF(SRV_TH!N24=0,"",SRV_TH!N24))</f>
        <v>1.5</v>
      </c>
      <c r="O67" s="271">
        <f>IF($A67="*","",IF(SRV_TH!O24=0,"",SRV_TH!O24))</f>
        <v>1.5</v>
      </c>
      <c r="P67" s="271" t="str">
        <f>IF($A67="*","",IF(SRV_TH!P24=0,"",SRV_TH!P24))</f>
        <v/>
      </c>
      <c r="Q67" s="271" t="str">
        <f>IF($A67="*","",IF(SRV_TH!Q24=0,"",SRV_TH!Q24))</f>
        <v/>
      </c>
      <c r="R67" s="271" t="str">
        <f>IF($A67="*","",IF(SRV_TH!R24=0,"",SRV_TH!R24))</f>
        <v/>
      </c>
      <c r="S67" s="271" t="str">
        <f>IF($A67="*","",IF(SRV_TH!S24=0,"",SRV_TH!S24))</f>
        <v/>
      </c>
      <c r="T67" s="271" t="str">
        <f>IF($A67="*","",IF(SRV_TH!T24=0,"",SRV_TH!T24))</f>
        <v/>
      </c>
      <c r="U67" s="87">
        <f>IF($A67="*","",IF(SRV_TH!U24=0,"",SRV_TH!U24))</f>
        <v>20</v>
      </c>
      <c r="V67" s="87" t="str">
        <f>IF($A67="*","",IF(SRV_TH!V24=0,"",SRV_TH!V24))</f>
        <v/>
      </c>
      <c r="W67" s="90"/>
      <c r="X67" s="90"/>
      <c r="Y67" s="90"/>
      <c r="Z67" s="90"/>
      <c r="AA67" s="90"/>
      <c r="AB67" s="90">
        <f>IF($A67="*","",IF(SRV_TH!AB24=0,"",SRV_TH!AB24))</f>
        <v>901.35</v>
      </c>
      <c r="AC67" s="90">
        <f>IF($A67="*","",IF(SRV_TH!AC24=0,"",SRV_TH!AC24))</f>
        <v>901.35</v>
      </c>
      <c r="AD67" s="90">
        <f>IF($A67="*","",IF(SRV_TH!AD24=0,"",SRV_TH!AD24))</f>
        <v>801.35</v>
      </c>
      <c r="AE67" s="90">
        <f>IF($A67="*","",IF(SRV_TH!AE24=0,"",SRV_TH!AE24))</f>
        <v>701.35</v>
      </c>
      <c r="AF67" s="90">
        <f>IF($A67="*","",IF(SRV_TH!AF24=0,"",SRV_TH!AF24))</f>
        <v>701.35</v>
      </c>
      <c r="AG67" s="44">
        <f>IF($A67="*","",IF(SRV_TH!AG24=0,"",SRV_TH!AG24))</f>
        <v>1.5</v>
      </c>
      <c r="AH67" s="293" t="str">
        <f>IF($A67="*","",IF(SRV_TH!AH24=0,"",SRV_TH!AH24))</f>
        <v/>
      </c>
      <c r="AI67" s="92" t="str">
        <f>IF($A67="*","",IF(SRV_TH!AI24=0,"",SRV_TH!AI24))</f>
        <v/>
      </c>
      <c r="AJ67" s="92" t="str">
        <f>IF($A67="*","",IF(SRV_TH!AJ24=0,"",SRV_TH!AJ24))</f>
        <v/>
      </c>
      <c r="AK67" s="72">
        <f t="shared" si="32"/>
        <v>31.536000000000001</v>
      </c>
      <c r="AL67" s="44"/>
      <c r="AM67" s="87">
        <f t="shared" si="30"/>
        <v>2019</v>
      </c>
      <c r="AN67" s="218"/>
      <c r="AO67" s="218"/>
      <c r="AP67" s="179"/>
      <c r="AQ67" s="46" t="str">
        <f t="shared" si="24"/>
        <v>PRE</v>
      </c>
      <c r="AR67" s="46" t="str">
        <f>IF($AS67="","",_xlfn.TEXTJOIN(",",TRUE,IF(LEFT(Regions!$C$3,1)&lt;&gt;"*",Regions!$C$3,""),IF(LEFT(Regions!$D$3,1)&lt;&gt;"*",Regions!$D$3,"")))</f>
        <v>IE,National</v>
      </c>
      <c r="AS67" s="46" t="str">
        <f t="shared" si="25"/>
        <v>S-SH-CS_ELC_N8</v>
      </c>
      <c r="AT67" s="46" t="str">
        <f t="shared" si="25"/>
        <v>Commercial Services - Heat Pump Ground Source_SH-SC</v>
      </c>
      <c r="AU67" s="46" t="str">
        <f t="shared" si="26"/>
        <v>PJ</v>
      </c>
      <c r="AV67" s="46" t="str">
        <f t="shared" si="27"/>
        <v>GW</v>
      </c>
      <c r="AY67" s="46" t="str">
        <f t="shared" si="31"/>
        <v>YES</v>
      </c>
    </row>
    <row r="68" spans="1:51" s="46" customFormat="1" x14ac:dyDescent="0.25">
      <c r="A68" s="46" t="str">
        <f>IF(SRV_TH!AM25="","*","S-SH-"&amp;SRV_TH!$B$42&amp;"_"&amp;SRV_TH!$A25)</f>
        <v>S-SH-CS_ELC_N9</v>
      </c>
      <c r="B68" s="46" t="str">
        <f>IF(A68="*","",$A$42&amp;" - "&amp;SRV_TH!B25)</f>
        <v>Commercial Services - Centralized Air-to-Air heat pump_SH-SC</v>
      </c>
      <c r="C68" s="46" t="str">
        <f>IF($A68="*","",SRV_TH!C25)</f>
        <v>SRVELC</v>
      </c>
      <c r="D68" s="46" t="str">
        <f>IF($A68="*","",SRV_TH!D25)</f>
        <v>SRVAHT</v>
      </c>
      <c r="E68" s="46" t="str">
        <f>IF($A68="*","",CONCATENATE(Legend!$C$4,Legend!$C$32,"-",$B$42,", ",Legend!$C$4,Legend!$C$34,"-",$B$42))</f>
        <v>SRVSH-CS, SRVSC-CS</v>
      </c>
      <c r="F68" s="271">
        <f>IF($A68="*","",IF(SRV_TH!F25=0,"",SRV_TH!F25))</f>
        <v>1</v>
      </c>
      <c r="G68" s="271">
        <f>IF($A68="*","",IF(SRV_TH!G25=0,"",SRV_TH!G25))</f>
        <v>1.0333333333333334</v>
      </c>
      <c r="H68" s="271">
        <f>IF($A68="*","",IF(SRV_TH!H25=0,"",SRV_TH!H25))</f>
        <v>1.1333333333333333</v>
      </c>
      <c r="I68" s="271">
        <f>IF($A68="*","",IF(SRV_TH!I25=0,"",SRV_TH!I25))</f>
        <v>1.1666666666666667</v>
      </c>
      <c r="J68" s="271">
        <f>IF($A68="*","",IF(SRV_TH!J25=0,"",SRV_TH!J25))</f>
        <v>1.1666666666666667</v>
      </c>
      <c r="K68" s="271">
        <f>IF($A68="*","",IF(SRV_TH!K25=0,"",SRV_TH!K25))</f>
        <v>1</v>
      </c>
      <c r="L68" s="271">
        <f>IF($A68="*","",IF(SRV_TH!L25=0,"",SRV_TH!L25))</f>
        <v>1.0333333333333334</v>
      </c>
      <c r="M68" s="271">
        <f>IF($A68="*","",IF(SRV_TH!M25=0,"",SRV_TH!M25))</f>
        <v>1.1333333333333333</v>
      </c>
      <c r="N68" s="271">
        <f>IF($A68="*","",IF(SRV_TH!N25=0,"",SRV_TH!N25))</f>
        <v>1.1666666666666667</v>
      </c>
      <c r="O68" s="271">
        <f>IF($A68="*","",IF(SRV_TH!O25=0,"",SRV_TH!O25))</f>
        <v>1.1666666666666667</v>
      </c>
      <c r="P68" s="271" t="str">
        <f>IF($A68="*","",IF(SRV_TH!P25=0,"",SRV_TH!P25))</f>
        <v/>
      </c>
      <c r="Q68" s="271" t="str">
        <f>IF($A68="*","",IF(SRV_TH!Q25=0,"",SRV_TH!Q25))</f>
        <v/>
      </c>
      <c r="R68" s="271" t="str">
        <f>IF($A68="*","",IF(SRV_TH!R25=0,"",SRV_TH!R25))</f>
        <v/>
      </c>
      <c r="S68" s="271" t="str">
        <f>IF($A68="*","",IF(SRV_TH!S25=0,"",SRV_TH!S25))</f>
        <v/>
      </c>
      <c r="T68" s="271" t="str">
        <f>IF($A68="*","",IF(SRV_TH!T25=0,"",SRV_TH!T25))</f>
        <v/>
      </c>
      <c r="U68" s="87">
        <f>IF($A68="*","",IF(SRV_TH!U25=0,"",SRV_TH!U25))</f>
        <v>20</v>
      </c>
      <c r="V68" s="87" t="str">
        <f>IF($A68="*","",IF(SRV_TH!V25=0,"",SRV_TH!V25))</f>
        <v/>
      </c>
      <c r="W68" s="90"/>
      <c r="X68" s="90"/>
      <c r="Y68" s="90"/>
      <c r="Z68" s="90"/>
      <c r="AA68" s="90"/>
      <c r="AB68" s="90">
        <f>IF($A68="*","",IF(SRV_TH!AB25=0,"",SRV_TH!AB25))</f>
        <v>800</v>
      </c>
      <c r="AC68" s="90">
        <f>IF($A68="*","",IF(SRV_TH!AC25=0,"",SRV_TH!AC25))</f>
        <v>800</v>
      </c>
      <c r="AD68" s="90">
        <f>IF($A68="*","",IF(SRV_TH!AD25=0,"",SRV_TH!AD25))</f>
        <v>700</v>
      </c>
      <c r="AE68" s="90">
        <f>IF($A68="*","",IF(SRV_TH!AE25=0,"",SRV_TH!AE25))</f>
        <v>700</v>
      </c>
      <c r="AF68" s="90">
        <f>IF($A68="*","",IF(SRV_TH!AF25=0,"",SRV_TH!AF25))</f>
        <v>700</v>
      </c>
      <c r="AG68" s="44">
        <f>IF($A68="*","",IF(SRV_TH!AG25=0,"",SRV_TH!AG25))</f>
        <v>4.2056074766355138</v>
      </c>
      <c r="AH68" s="293" t="str">
        <f>IF($A68="*","",IF(SRV_TH!AH25=0,"",SRV_TH!AH25))</f>
        <v/>
      </c>
      <c r="AI68" s="92" t="str">
        <f>IF($A68="*","",IF(SRV_TH!AI25=0,"",SRV_TH!AI25))</f>
        <v/>
      </c>
      <c r="AJ68" s="92" t="str">
        <f>IF($A68="*","",IF(SRV_TH!AJ25=0,"",SRV_TH!AJ25))</f>
        <v/>
      </c>
      <c r="AK68" s="72">
        <f t="shared" si="32"/>
        <v>31.536000000000001</v>
      </c>
      <c r="AL68" s="44"/>
      <c r="AM68" s="87">
        <f t="shared" si="30"/>
        <v>2019</v>
      </c>
      <c r="AN68" s="218"/>
      <c r="AO68" s="218"/>
      <c r="AP68" s="179"/>
      <c r="AQ68" s="46" t="str">
        <f t="shared" ref="AQ68" si="33">IF(LEFT(A68)="*",A68,"PRE")</f>
        <v>PRE</v>
      </c>
      <c r="AR68" s="46" t="str">
        <f>IF($AS68="","",_xlfn.TEXTJOIN(",",TRUE,IF(LEFT(Regions!$C$3,1)&lt;&gt;"*",Regions!$C$3,""),IF(LEFT(Regions!$D$3,1)&lt;&gt;"*",Regions!$D$3,"")))</f>
        <v>IE,National</v>
      </c>
      <c r="AS68" s="46" t="str">
        <f t="shared" ref="AS68" si="34">IF(LEFT($A68)="*","",A68)</f>
        <v>S-SH-CS_ELC_N9</v>
      </c>
      <c r="AT68" s="46" t="str">
        <f t="shared" ref="AT68" si="35">IF(LEFT($A68)="*","",B68)</f>
        <v>Commercial Services - Centralized Air-to-Air heat pump_SH-SC</v>
      </c>
      <c r="AU68" s="46" t="str">
        <f t="shared" si="26"/>
        <v>PJ</v>
      </c>
      <c r="AV68" s="46" t="str">
        <f t="shared" si="27"/>
        <v>GW</v>
      </c>
      <c r="AY68" s="46" t="str">
        <f t="shared" si="31"/>
        <v>YES</v>
      </c>
    </row>
    <row r="69" spans="1:51" s="46" customFormat="1" x14ac:dyDescent="0.25">
      <c r="A69" s="46" t="str">
        <f>IF(SRV_TH!AM26="","*","S-SH-"&amp;SRV_TH!$B$42&amp;"_"&amp;SRV_TH!$A26)</f>
        <v>S-SH-CS_GAS_N5</v>
      </c>
      <c r="B69" s="46" t="str">
        <f>IF(A69="*","",$A$42&amp;" - "&amp;SRV_TH!B26)</f>
        <v>Commercial Services - Gas-driven Heat Pump absorption_SH-WH</v>
      </c>
      <c r="C69" s="46" t="str">
        <f>IF($A69="*","",SRV_TH!C26)</f>
        <v>SRVGAS</v>
      </c>
      <c r="D69" s="46" t="str">
        <f>IF($A69="*","",SRV_TH!D26)</f>
        <v>SRVAHT,SRVAHT2</v>
      </c>
      <c r="E69" s="46" t="str">
        <f>IF($A69="*","",CONCATENATE(Legend!$C$4,Legend!$C$32,"-",$B$42,", ",Legend!$C$4,Legend!$C$33,"-",$B$42))</f>
        <v>SRVSH-CS, SRVWH-CS</v>
      </c>
      <c r="F69" s="271">
        <f>IF($A69="*","",IF(SRV_TH!F26=0,"",SRV_TH!F26))</f>
        <v>1.3235294117647058</v>
      </c>
      <c r="G69" s="271">
        <f>IF($A69="*","",IF(SRV_TH!G26=0,"",SRV_TH!G26))</f>
        <v>1.4215686274509802</v>
      </c>
      <c r="H69" s="271">
        <f>IF($A69="*","",IF(SRV_TH!H26=0,"",SRV_TH!H26))</f>
        <v>1.6666666666666665</v>
      </c>
      <c r="I69" s="271">
        <f>IF($A69="*","",IF(SRV_TH!I26=0,"",SRV_TH!I26))</f>
        <v>1.6666666666666665</v>
      </c>
      <c r="J69" s="271">
        <f>IF($A69="*","",IF(SRV_TH!J26=0,"",SRV_TH!J26))</f>
        <v>1.6666666666666665</v>
      </c>
      <c r="K69" s="271" t="str">
        <f>IF($A69="*","",IF(SRV_TH!K26=0,"",SRV_TH!K26))</f>
        <v/>
      </c>
      <c r="L69" s="271" t="str">
        <f>IF($A69="*","",IF(SRV_TH!L26=0,"",SRV_TH!L26))</f>
        <v/>
      </c>
      <c r="M69" s="271" t="str">
        <f>IF($A69="*","",IF(SRV_TH!M26=0,"",SRV_TH!M26))</f>
        <v/>
      </c>
      <c r="N69" s="271" t="str">
        <f>IF($A69="*","",IF(SRV_TH!N26=0,"",SRV_TH!N26))</f>
        <v/>
      </c>
      <c r="O69" s="271" t="str">
        <f>IF($A69="*","",IF(SRV_TH!O26=0,"",SRV_TH!O26))</f>
        <v/>
      </c>
      <c r="P69" s="64">
        <f>IF($A69="*","",IF(SRV_TH!P26=0,"",SRV_TH!P26))</f>
        <v>0.92647058823529405</v>
      </c>
      <c r="Q69" s="64">
        <f>IF($A69="*","",IF(SRV_TH!Q26=0,"",SRV_TH!Q26))</f>
        <v>0.99509803921568607</v>
      </c>
      <c r="R69" s="64">
        <f>IF($A69="*","",IF(SRV_TH!R26=0,"",SRV_TH!R26))</f>
        <v>1.1666666666666665</v>
      </c>
      <c r="S69" s="64">
        <f>IF($A69="*","",IF(SRV_TH!S26=0,"",SRV_TH!S26))</f>
        <v>1.1666666666666665</v>
      </c>
      <c r="T69" s="64">
        <f>IF($A69="*","",IF(SRV_TH!T26=0,"",SRV_TH!T26))</f>
        <v>1.1666666666666665</v>
      </c>
      <c r="U69" s="87">
        <f>IF($A69="*","",IF(SRV_TH!U26=0,"",SRV_TH!U26))</f>
        <v>22</v>
      </c>
      <c r="V69" s="87" t="str">
        <f>IF($A69="*","",IF(SRV_TH!V26=0,"",SRV_TH!V26))</f>
        <v/>
      </c>
      <c r="W69" s="90"/>
      <c r="X69" s="90"/>
      <c r="Y69" s="90"/>
      <c r="Z69" s="90"/>
      <c r="AA69" s="90"/>
      <c r="AB69" s="90">
        <f>IF($A69="*","",IF(SRV_TH!AB26=0,"",SRV_TH!AB26))</f>
        <v>750</v>
      </c>
      <c r="AC69" s="90">
        <f>IF($A69="*","",IF(SRV_TH!AC26=0,"",SRV_TH!AC26))</f>
        <v>750</v>
      </c>
      <c r="AD69" s="90">
        <f>IF($A69="*","",IF(SRV_TH!AD26=0,"",SRV_TH!AD26))</f>
        <v>727.27272727272725</v>
      </c>
      <c r="AE69" s="90">
        <f>IF($A69="*","",IF(SRV_TH!AE26=0,"",SRV_TH!AE26))</f>
        <v>727.27272727272725</v>
      </c>
      <c r="AF69" s="90">
        <f>IF($A69="*","",IF(SRV_TH!AF26=0,"",SRV_TH!AF26))</f>
        <v>727.27272727272725</v>
      </c>
      <c r="AG69" s="44">
        <f>IF($A69="*","",IF(SRV_TH!AG26=0,"",SRV_TH!AG26))</f>
        <v>5.3409090909090908</v>
      </c>
      <c r="AH69" s="293" t="str">
        <f>IF($A69="*","",IF(SRV_TH!AH26=0,"",SRV_TH!AH26))</f>
        <v/>
      </c>
      <c r="AI69" s="92" t="str">
        <f>IF($A69="*","",IF(SRV_TH!AI26=0,"",SRV_TH!AI26))</f>
        <v/>
      </c>
      <c r="AJ69" s="92" t="str">
        <f>IF($A69="*","",IF(SRV_TH!AJ26=0,"",SRV_TH!AJ26))</f>
        <v/>
      </c>
      <c r="AK69" s="72">
        <f t="shared" si="32"/>
        <v>31.536000000000001</v>
      </c>
      <c r="AL69" s="44"/>
      <c r="AM69" s="87">
        <f t="shared" si="30"/>
        <v>2019</v>
      </c>
      <c r="AN69" s="218"/>
      <c r="AO69" s="218"/>
      <c r="AP69" s="179"/>
      <c r="AQ69" s="46" t="str">
        <f t="shared" si="24"/>
        <v>PRE</v>
      </c>
      <c r="AR69" s="46" t="str">
        <f>IF($AS69="","",_xlfn.TEXTJOIN(",",TRUE,IF(LEFT(Regions!$C$3,1)&lt;&gt;"*",Regions!$C$3,""),IF(LEFT(Regions!$D$3,1)&lt;&gt;"*",Regions!$D$3,"")))</f>
        <v>IE,National</v>
      </c>
      <c r="AS69" s="46" t="str">
        <f t="shared" si="25"/>
        <v>S-SH-CS_GAS_N5</v>
      </c>
      <c r="AT69" s="46" t="str">
        <f t="shared" si="25"/>
        <v>Commercial Services - Gas-driven Heat Pump absorption_SH-WH</v>
      </c>
      <c r="AU69" s="46" t="str">
        <f t="shared" si="26"/>
        <v>PJ</v>
      </c>
      <c r="AV69" s="46" t="str">
        <f t="shared" si="27"/>
        <v>GW</v>
      </c>
      <c r="AY69" s="46" t="str">
        <f t="shared" si="31"/>
        <v>YES</v>
      </c>
    </row>
    <row r="70" spans="1:51" s="46" customFormat="1" x14ac:dyDescent="0.25">
      <c r="A70" s="49" t="str">
        <f>IF(SRV_TH!AM27="","*","S-SH-"&amp;SRV_TH!$B$42&amp;"_"&amp;SRV_TH!$A27)</f>
        <v>S-SH-CS_GAS_N6</v>
      </c>
      <c r="B70" s="49" t="str">
        <f>IF(A70="*","",$A$42&amp;" - "&amp;SRV_TH!B27)</f>
        <v>Commercial Services - Gas-driven Heat Pump engine_SH-WH</v>
      </c>
      <c r="C70" s="49" t="str">
        <f>IF($A70="*","",SRV_TH!C27)</f>
        <v>SRVGAS</v>
      </c>
      <c r="D70" s="49" t="str">
        <f>IF($A70="*","",SRV_TH!D27)</f>
        <v>SRVAHT,SRVAHT2</v>
      </c>
      <c r="E70" s="49" t="str">
        <f>IF($A70="*","",CONCATENATE(Legend!$C$4,Legend!$C$32,"-",$B$42,", ",Legend!$C$4,Legend!$C$33,"-",$B$42))</f>
        <v>SRVSH-CS, SRVWH-CS</v>
      </c>
      <c r="F70" s="273">
        <f>IF($A70="*","",IF(SRV_TH!F27=0,"",SRV_TH!F27))</f>
        <v>1.4705882352941175</v>
      </c>
      <c r="G70" s="273">
        <f>IF($A70="*","",IF(SRV_TH!G27=0,"",SRV_TH!G27))</f>
        <v>1.5196078431372548</v>
      </c>
      <c r="H70" s="273">
        <f>IF($A70="*","",IF(SRV_TH!H27=0,"",SRV_TH!H27))</f>
        <v>1.5196078431372548</v>
      </c>
      <c r="I70" s="273">
        <f>IF($A70="*","",IF(SRV_TH!I27=0,"",SRV_TH!I27))</f>
        <v>1.5686274509803921</v>
      </c>
      <c r="J70" s="273">
        <f>IF($A70="*","",IF(SRV_TH!J27=0,"",SRV_TH!J27))</f>
        <v>1.5686274509803921</v>
      </c>
      <c r="K70" s="273" t="str">
        <f>IF($A70="*","",IF(SRV_TH!K27=0,"",SRV_TH!K27))</f>
        <v/>
      </c>
      <c r="L70" s="273" t="str">
        <f>IF($A70="*","",IF(SRV_TH!L27=0,"",SRV_TH!L27))</f>
        <v/>
      </c>
      <c r="M70" s="273" t="str">
        <f>IF($A70="*","",IF(SRV_TH!M27=0,"",SRV_TH!M27))</f>
        <v/>
      </c>
      <c r="N70" s="273" t="str">
        <f>IF($A70="*","",IF(SRV_TH!N27=0,"",SRV_TH!N27))</f>
        <v/>
      </c>
      <c r="O70" s="273" t="str">
        <f>IF($A70="*","",IF(SRV_TH!O27=0,"",SRV_TH!O27))</f>
        <v/>
      </c>
      <c r="P70" s="273">
        <f>IF($A70="*","",IF(SRV_TH!P27=0,"",SRV_TH!P27))</f>
        <v>1.0294117647058822</v>
      </c>
      <c r="Q70" s="273">
        <f>IF($A70="*","",IF(SRV_TH!Q27=0,"",SRV_TH!Q27))</f>
        <v>1.0637254901960782</v>
      </c>
      <c r="R70" s="273">
        <f>IF($A70="*","",IF(SRV_TH!R27=0,"",SRV_TH!R27))</f>
        <v>1.0637254901960782</v>
      </c>
      <c r="S70" s="273">
        <f>IF($A70="*","",IF(SRV_TH!S27=0,"",SRV_TH!S27))</f>
        <v>1.0980392156862744</v>
      </c>
      <c r="T70" s="273">
        <f>IF($A70="*","",IF(SRV_TH!T27=0,"",SRV_TH!T27))</f>
        <v>1.0980392156862744</v>
      </c>
      <c r="U70" s="215" t="str">
        <f>IF($A70="*","",IF(SRV_TH!U27=0,"",SRV_TH!U27))</f>
        <v>15-20</v>
      </c>
      <c r="V70" s="215" t="str">
        <f>IF($A70="*","",IF(SRV_TH!V27=0,"",SRV_TH!V27))</f>
        <v/>
      </c>
      <c r="W70" s="75"/>
      <c r="X70" s="75"/>
      <c r="Y70" s="75"/>
      <c r="Z70" s="75"/>
      <c r="AA70" s="75"/>
      <c r="AB70" s="75">
        <f>IF($A70="*","",IF(SRV_TH!AB27=0,"",SRV_TH!AB27))</f>
        <v>950</v>
      </c>
      <c r="AC70" s="75">
        <f>IF($A70="*","",IF(SRV_TH!AC27=0,"",SRV_TH!AC27))</f>
        <v>950</v>
      </c>
      <c r="AD70" s="75">
        <f>IF($A70="*","",IF(SRV_TH!AD27=0,"",SRV_TH!AD27))</f>
        <v>950</v>
      </c>
      <c r="AE70" s="75">
        <f>IF($A70="*","",IF(SRV_TH!AE27=0,"",SRV_TH!AE27))</f>
        <v>950</v>
      </c>
      <c r="AF70" s="75">
        <f>IF($A70="*","",IF(SRV_TH!AF27=0,"",SRV_TH!AF27))</f>
        <v>950</v>
      </c>
      <c r="AG70" s="50">
        <f>IF($A70="*","",IF(SRV_TH!AG27=0,"",SRV_TH!AG27))</f>
        <v>4.7</v>
      </c>
      <c r="AH70" s="294" t="str">
        <f>IF($A70="*","",IF(SRV_TH!AH27=0,"",SRV_TH!AH27))</f>
        <v/>
      </c>
      <c r="AI70" s="51" t="str">
        <f>IF($A70="*","",IF(SRV_TH!AI27=0,"",SRV_TH!AI27))</f>
        <v/>
      </c>
      <c r="AJ70" s="51" t="str">
        <f>IF($A70="*","",IF(SRV_TH!AJ27=0,"",SRV_TH!AJ27))</f>
        <v/>
      </c>
      <c r="AK70" s="73">
        <f t="shared" si="32"/>
        <v>31.536000000000001</v>
      </c>
      <c r="AL70" s="50"/>
      <c r="AM70" s="88">
        <f t="shared" si="30"/>
        <v>2019</v>
      </c>
      <c r="AN70" s="179"/>
      <c r="AO70" s="179"/>
      <c r="AP70" s="179"/>
      <c r="AQ70" s="49" t="str">
        <f t="shared" si="24"/>
        <v>PRE</v>
      </c>
      <c r="AR70" s="49" t="str">
        <f>IF($AS70="","",_xlfn.TEXTJOIN(",",TRUE,IF(LEFT(Regions!$C$3,1)&lt;&gt;"*",Regions!$C$3,""),IF(LEFT(Regions!$D$3,1)&lt;&gt;"*",Regions!$D$3,"")))</f>
        <v>IE,National</v>
      </c>
      <c r="AS70" s="49" t="str">
        <f t="shared" si="25"/>
        <v>S-SH-CS_GAS_N6</v>
      </c>
      <c r="AT70" s="49" t="str">
        <f t="shared" si="25"/>
        <v>Commercial Services - Gas-driven Heat Pump engine_SH-WH</v>
      </c>
      <c r="AU70" s="49" t="str">
        <f t="shared" si="26"/>
        <v>PJ</v>
      </c>
      <c r="AV70" s="49" t="str">
        <f t="shared" si="27"/>
        <v>GW</v>
      </c>
      <c r="AW70" s="49"/>
      <c r="AX70" s="49"/>
      <c r="AY70" s="49" t="str">
        <f t="shared" si="31"/>
        <v>YES</v>
      </c>
    </row>
    <row r="71" spans="1:51" s="46" customFormat="1" x14ac:dyDescent="0.25">
      <c r="A71" s="61" t="s">
        <v>103</v>
      </c>
      <c r="B71" s="61"/>
      <c r="C71" s="61"/>
      <c r="D71" s="61"/>
      <c r="E71" s="61"/>
      <c r="F71" s="270"/>
      <c r="G71" s="270"/>
      <c r="H71" s="270"/>
      <c r="I71" s="270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27"/>
      <c r="V71" s="227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16"/>
      <c r="AH71" s="299"/>
      <c r="AI71" s="222" t="str">
        <f>IF($A71="*","",IF(SRV_TH!AI28=0,"",SRV_TH!AI28))</f>
        <v/>
      </c>
      <c r="AJ71" s="222" t="str">
        <f>IF($A71="*","",IF(SRV_TH!AJ28=0,"",SRV_TH!AJ28))</f>
        <v/>
      </c>
      <c r="AK71" s="225"/>
      <c r="AL71" s="216"/>
      <c r="AM71" s="227"/>
      <c r="AN71" s="179"/>
      <c r="AO71" s="179"/>
      <c r="AP71" s="179"/>
      <c r="AQ71" s="61" t="str">
        <f t="shared" si="24"/>
        <v>*District Heating</v>
      </c>
      <c r="AR71" s="61" t="str">
        <f>IF($AS71="","",_xlfn.TEXTJOIN(",",TRUE,IF(LEFT(Regions!$C$3,1)&lt;&gt;"*",Regions!$C$3,""),IF(LEFT(Regions!$D$3,1)&lt;&gt;"*",Regions!$D$3,"")))</f>
        <v/>
      </c>
      <c r="AS71" s="61" t="str">
        <f t="shared" si="25"/>
        <v/>
      </c>
      <c r="AT71" s="61" t="str">
        <f t="shared" si="25"/>
        <v/>
      </c>
      <c r="AU71" s="61" t="str">
        <f t="shared" si="26"/>
        <v/>
      </c>
      <c r="AV71" s="61" t="str">
        <f t="shared" si="27"/>
        <v/>
      </c>
      <c r="AW71" s="61"/>
      <c r="AX71" s="61"/>
      <c r="AY71" s="61" t="str">
        <f t="shared" si="31"/>
        <v/>
      </c>
    </row>
    <row r="72" spans="1:51" s="46" customFormat="1" x14ac:dyDescent="0.25">
      <c r="A72" s="49" t="str">
        <f>IF(SRV_TH!AM29="","*","S-SH-"&amp;SRV_TH!$B$42&amp;"_"&amp;SRV_TH!$A29)</f>
        <v>S-SH-CS_HET_N1</v>
      </c>
      <c r="B72" s="49" t="str">
        <f>IF(A72="*","",$A$42&amp;" - "&amp;SRV_TH!B29)</f>
        <v>Commercial Services - Centralized DistrictH_Heat Exchanger_SH-WH</v>
      </c>
      <c r="C72" s="49" t="str">
        <f>IF($A72="*","",SRV_TH!C29)</f>
        <v>SRVHET</v>
      </c>
      <c r="D72" s="49"/>
      <c r="E72" s="49" t="str">
        <f>IF($A72="*","",CONCATENATE(Legend!$C$4,Legend!$C$32,"-",$B$42,", ",Legend!$C$4,Legend!$C$33,"-",$B$42))</f>
        <v>SRVSH-CS, SRVWH-CS</v>
      </c>
      <c r="F72" s="269">
        <f>IF($A72="*","",IF(SRV_TH!F29=0,"",SRV_TH!F29))</f>
        <v>0.96078431372549011</v>
      </c>
      <c r="G72" s="269">
        <f>IF($A72="*","",IF(SRV_TH!G29=0,"",SRV_TH!G29))</f>
        <v>0.96078431372549011</v>
      </c>
      <c r="H72" s="269">
        <f>IF($A72="*","",IF(SRV_TH!H29=0,"",SRV_TH!H29))</f>
        <v>0.96078431372549011</v>
      </c>
      <c r="I72" s="269">
        <f>IF($A72="*","",IF(SRV_TH!I29=0,"",SRV_TH!I29))</f>
        <v>0.96078431372549011</v>
      </c>
      <c r="J72" s="269">
        <f>IF($A72="*","",IF(SRV_TH!J29=0,"",SRV_TH!J29))</f>
        <v>0.96078431372549011</v>
      </c>
      <c r="K72" s="269" t="str">
        <f>IF($A72="*","",IF(SRV_TH!K29=0,"",SRV_TH!K29))</f>
        <v/>
      </c>
      <c r="L72" s="269" t="str">
        <f>IF($A72="*","",IF(SRV_TH!L29=0,"",SRV_TH!L29))</f>
        <v/>
      </c>
      <c r="M72" s="269" t="str">
        <f>IF($A72="*","",IF(SRV_TH!M29=0,"",SRV_TH!M29))</f>
        <v/>
      </c>
      <c r="N72" s="269" t="str">
        <f>IF($A72="*","",IF(SRV_TH!N29=0,"",SRV_TH!N29))</f>
        <v/>
      </c>
      <c r="O72" s="269" t="str">
        <f>IF($A72="*","",IF(SRV_TH!O29=0,"",SRV_TH!O29))</f>
        <v/>
      </c>
      <c r="P72" s="269">
        <f>IF($A72="*","",IF(SRV_TH!P29=0,"",SRV_TH!P29))</f>
        <v>0.96078431372549011</v>
      </c>
      <c r="Q72" s="269">
        <f>IF($A72="*","",IF(SRV_TH!Q29=0,"",SRV_TH!Q29))</f>
        <v>0.96078431372549011</v>
      </c>
      <c r="R72" s="269">
        <f>IF($A72="*","",IF(SRV_TH!R29=0,"",SRV_TH!R29))</f>
        <v>0.96078431372549011</v>
      </c>
      <c r="S72" s="269">
        <f>IF($A72="*","",IF(SRV_TH!S29=0,"",SRV_TH!S29))</f>
        <v>0.96078431372549011</v>
      </c>
      <c r="T72" s="269">
        <f>IF($A72="*","",IF(SRV_TH!T29=0,"",SRV_TH!T29))</f>
        <v>0.96078431372549011</v>
      </c>
      <c r="U72" s="219">
        <f>IF($A72="*","",IF(SRV_TH!U29=0,"",SRV_TH!U29))</f>
        <v>20</v>
      </c>
      <c r="V72" s="219" t="str">
        <f>IF($A72="*","",IF(SRV_TH!V29=0,"",SRV_TH!V29))</f>
        <v/>
      </c>
      <c r="W72" s="75"/>
      <c r="X72" s="75"/>
      <c r="Y72" s="75"/>
      <c r="Z72" s="75"/>
      <c r="AA72" s="75"/>
      <c r="AB72" s="75">
        <f>IF($A72="*","",IF(SRV_TH!AB29=0,"",SRV_TH!AB29))</f>
        <v>250</v>
      </c>
      <c r="AC72" s="75">
        <f>IF($A72="*","",IF(SRV_TH!AC29=0,"",SRV_TH!AC29))</f>
        <v>250</v>
      </c>
      <c r="AD72" s="75">
        <f>IF($A72="*","",IF(SRV_TH!AD29=0,"",SRV_TH!AD29))</f>
        <v>250</v>
      </c>
      <c r="AE72" s="75">
        <f>IF($A72="*","",IF(SRV_TH!AE29=0,"",SRV_TH!AE29))</f>
        <v>250</v>
      </c>
      <c r="AF72" s="75">
        <f>IF($A72="*","",IF(SRV_TH!AF29=0,"",SRV_TH!AF29))</f>
        <v>250</v>
      </c>
      <c r="AG72" s="217">
        <f>IF($A72="*","",IF(SRV_TH!AG29=0,"",SRV_TH!AG29))</f>
        <v>15</v>
      </c>
      <c r="AH72" s="298" t="str">
        <f>IF($A72="*","",IF(SRV_TH!AH29=0,"",SRV_TH!AH29))</f>
        <v/>
      </c>
      <c r="AI72" s="93" t="str">
        <f>IF($A72="*","",IF(SRV_TH!AI29=0,"",SRV_TH!AI29))</f>
        <v/>
      </c>
      <c r="AJ72" s="93" t="str">
        <f>IF($A72="*","",IF(SRV_TH!AJ29=0,"",SRV_TH!AJ29))</f>
        <v/>
      </c>
      <c r="AK72" s="221">
        <f>IF($A72="*","",31.536)</f>
        <v>31.536000000000001</v>
      </c>
      <c r="AL72" s="217"/>
      <c r="AM72" s="215">
        <f t="shared" si="30"/>
        <v>2019</v>
      </c>
      <c r="AN72" s="183"/>
      <c r="AO72" s="183"/>
      <c r="AP72" s="179"/>
      <c r="AQ72" s="49" t="str">
        <f t="shared" si="24"/>
        <v>PRE</v>
      </c>
      <c r="AR72" s="49" t="str">
        <f>IF($AS72="","",_xlfn.TEXTJOIN(",",TRUE,IF(LEFT(Regions!$C$3,1)&lt;&gt;"*",Regions!$C$3,""),IF(LEFT(Regions!$D$3,1)&lt;&gt;"*",Regions!$D$3,"")))</f>
        <v>IE,National</v>
      </c>
      <c r="AS72" s="49" t="str">
        <f t="shared" si="25"/>
        <v>S-SH-CS_HET_N1</v>
      </c>
      <c r="AT72" s="49" t="str">
        <f t="shared" si="25"/>
        <v>Commercial Services - Centralized DistrictH_Heat Exchanger_SH-WH</v>
      </c>
      <c r="AU72" s="49" t="str">
        <f t="shared" si="26"/>
        <v>PJ</v>
      </c>
      <c r="AV72" s="49" t="str">
        <f t="shared" si="27"/>
        <v>GW</v>
      </c>
      <c r="AW72" s="49"/>
      <c r="AX72" s="49"/>
      <c r="AY72" s="49" t="str">
        <f t="shared" si="31"/>
        <v>YES</v>
      </c>
    </row>
    <row r="73" spans="1:51" s="46" customFormat="1" x14ac:dyDescent="0.25">
      <c r="A73" s="61" t="s">
        <v>104</v>
      </c>
      <c r="B73" s="61"/>
      <c r="C73" s="61"/>
      <c r="D73" s="61"/>
      <c r="E73" s="61"/>
      <c r="F73" s="270"/>
      <c r="G73" s="270"/>
      <c r="H73" s="270"/>
      <c r="I73" s="270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27"/>
      <c r="V73" s="227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16"/>
      <c r="AH73" s="299"/>
      <c r="AI73" s="222" t="str">
        <f>IF($A73="*","",IF(SRV_TH!AI30=0,"",SRV_TH!AI30))</f>
        <v/>
      </c>
      <c r="AJ73" s="222" t="str">
        <f>IF($A73="*","",IF(SRV_TH!AJ30=0,"",SRV_TH!AJ30))</f>
        <v/>
      </c>
      <c r="AK73" s="225"/>
      <c r="AL73" s="216"/>
      <c r="AM73" s="227"/>
      <c r="AN73" s="179"/>
      <c r="AO73" s="179"/>
      <c r="AP73" s="179"/>
      <c r="AQ73" s="61" t="str">
        <f t="shared" si="24"/>
        <v>*Water Heat-only</v>
      </c>
      <c r="AR73" s="61" t="str">
        <f>IF($AS73="","",_xlfn.TEXTJOIN(",",TRUE,IF(LEFT(Regions!$C$3,1)&lt;&gt;"*",Regions!$C$3,""),IF(LEFT(Regions!$D$3,1)&lt;&gt;"*",Regions!$D$3,"")))</f>
        <v/>
      </c>
      <c r="AS73" s="61" t="str">
        <f t="shared" si="25"/>
        <v/>
      </c>
      <c r="AT73" s="61" t="str">
        <f t="shared" si="25"/>
        <v/>
      </c>
      <c r="AU73" s="61" t="str">
        <f t="shared" si="26"/>
        <v/>
      </c>
      <c r="AV73" s="61" t="str">
        <f t="shared" si="27"/>
        <v/>
      </c>
      <c r="AW73" s="61"/>
      <c r="AX73" s="61"/>
      <c r="AY73" s="61" t="str">
        <f t="shared" si="31"/>
        <v/>
      </c>
    </row>
    <row r="74" spans="1:51" s="46" customFormat="1" x14ac:dyDescent="0.25">
      <c r="A74" s="46" t="str">
        <f>IF(SRV_TH!AM31="","*","S-WH-"&amp;SRV_TH!$B$42&amp;"_"&amp;SRV_TH!$A31)</f>
        <v>S-WH-CS_ELC_N1</v>
      </c>
      <c r="B74" s="46" t="str">
        <f>IF(A74="*","",$A$42&amp;" - "&amp;SRV_TH!B31)</f>
        <v>Commercial Services - Electric water heater_WH</v>
      </c>
      <c r="C74" s="46" t="str">
        <f>IF($A74="*","",SRV_TH!C31)</f>
        <v>SRVELC</v>
      </c>
      <c r="E74" s="46" t="str">
        <f>IF($A74="*","",CONCATENATE(,Legend!$C$4,Legend!$C$33,"-",$B$42))</f>
        <v>SRVWH-CS</v>
      </c>
      <c r="F74" s="64" t="str">
        <f>IF($A74="*","",IF(SRV_TH!F31=0,"",SRV_TH!F31))</f>
        <v/>
      </c>
      <c r="G74" s="64" t="str">
        <f>IF($A74="*","",IF(SRV_TH!G31=0,"",SRV_TH!G31))</f>
        <v/>
      </c>
      <c r="H74" s="64" t="str">
        <f>IF($A74="*","",IF(SRV_TH!H31=0,"",SRV_TH!H31))</f>
        <v/>
      </c>
      <c r="I74" s="64" t="str">
        <f>IF($A74="*","",IF(SRV_TH!I31=0,"",SRV_TH!I31))</f>
        <v/>
      </c>
      <c r="J74" s="64" t="str">
        <f>IF($A74="*","",IF(SRV_TH!J31=0,"",SRV_TH!J31))</f>
        <v/>
      </c>
      <c r="K74" s="64" t="str">
        <f>IF($A74="*","",IF(SRV_TH!K31=0,"",SRV_TH!K31))</f>
        <v/>
      </c>
      <c r="L74" s="64" t="str">
        <f>IF($A74="*","",IF(SRV_TH!L31=0,"",SRV_TH!L31))</f>
        <v/>
      </c>
      <c r="M74" s="64" t="str">
        <f>IF($A74="*","",IF(SRV_TH!M31=0,"",SRV_TH!M31))</f>
        <v/>
      </c>
      <c r="N74" s="64" t="str">
        <f>IF($A74="*","",IF(SRV_TH!N31=0,"",SRV_TH!N31))</f>
        <v/>
      </c>
      <c r="O74" s="64" t="str">
        <f>IF($A74="*","",IF(SRV_TH!O31=0,"",SRV_TH!O31))</f>
        <v/>
      </c>
      <c r="P74" s="64">
        <f>IF($A74="*","",IF(SRV_TH!P31=0,"",SRV_TH!P31))</f>
        <v>1</v>
      </c>
      <c r="Q74" s="64">
        <f>IF($A74="*","",IF(SRV_TH!Q31=0,"",SRV_TH!Q31))</f>
        <v>1</v>
      </c>
      <c r="R74" s="64">
        <f>IF($A74="*","",IF(SRV_TH!R31=0,"",SRV_TH!R31))</f>
        <v>1</v>
      </c>
      <c r="S74" s="64">
        <f>IF($A74="*","",IF(SRV_TH!S31=0,"",SRV_TH!S31))</f>
        <v>1</v>
      </c>
      <c r="T74" s="64">
        <f>IF($A74="*","",IF(SRV_TH!T31=0,"",SRV_TH!T31))</f>
        <v>1</v>
      </c>
      <c r="U74" s="224">
        <f>IF($A74="*","",IF(SRV_TH!U31=0,"",SRV_TH!U31))</f>
        <v>30</v>
      </c>
      <c r="V74" s="224" t="str">
        <f>IF($A74="*","",IF(SRV_TH!V31=0,"",SRV_TH!V31))</f>
        <v/>
      </c>
      <c r="W74" s="90"/>
      <c r="X74" s="90"/>
      <c r="Y74" s="90"/>
      <c r="Z74" s="90"/>
      <c r="AA74" s="90"/>
      <c r="AB74" s="90">
        <f>IF($A74="*","",IF(SRV_TH!AB31=0,"",SRV_TH!AB31))</f>
        <v>665</v>
      </c>
      <c r="AC74" s="90">
        <f>IF($A74="*","",IF(SRV_TH!AC31=0,"",SRV_TH!AC31))</f>
        <v>665</v>
      </c>
      <c r="AD74" s="90">
        <f>IF($A74="*","",IF(SRV_TH!AD31=0,"",SRV_TH!AD31))</f>
        <v>665</v>
      </c>
      <c r="AE74" s="90">
        <f>IF($A74="*","",IF(SRV_TH!AE31=0,"",SRV_TH!AE31))</f>
        <v>665</v>
      </c>
      <c r="AF74" s="90">
        <f>IF($A74="*","",IF(SRV_TH!AF31=0,"",SRV_TH!AF31))</f>
        <v>665</v>
      </c>
      <c r="AG74" s="90">
        <f>IF($A74="*","",IF(SRV_TH!AG31=0,"",SRV_TH!AG31))</f>
        <v>10</v>
      </c>
      <c r="AH74" s="293" t="str">
        <f>IF($A74="*","",IF(SRV_TH!AH31=0,"",SRV_TH!AH31))</f>
        <v/>
      </c>
      <c r="AI74" s="92" t="str">
        <f>IF($A74="*","",IF(SRV_TH!AI31=0,"",SRV_TH!AI31))</f>
        <v/>
      </c>
      <c r="AJ74" s="92" t="str">
        <f>IF($A74="*","",IF(SRV_TH!AJ31=0,"",SRV_TH!AJ31))</f>
        <v/>
      </c>
      <c r="AK74" s="72">
        <f>IF($A74="*","",31.536)</f>
        <v>31.536000000000001</v>
      </c>
      <c r="AL74" s="90"/>
      <c r="AM74" s="87">
        <f t="shared" si="30"/>
        <v>2019</v>
      </c>
      <c r="AN74" s="179"/>
      <c r="AO74" s="179"/>
      <c r="AP74" s="179"/>
      <c r="AQ74" s="46" t="str">
        <f t="shared" si="24"/>
        <v>PRE</v>
      </c>
      <c r="AR74" s="46" t="str">
        <f>IF($AS74="","",_xlfn.TEXTJOIN(",",TRUE,IF(LEFT(Regions!$C$3,1)&lt;&gt;"*",Regions!$C$3,""),IF(LEFT(Regions!$D$3,1)&lt;&gt;"*",Regions!$D$3,"")))</f>
        <v>IE,National</v>
      </c>
      <c r="AS74" s="46" t="str">
        <f t="shared" si="25"/>
        <v>S-WH-CS_ELC_N1</v>
      </c>
      <c r="AT74" s="46" t="str">
        <f t="shared" si="25"/>
        <v>Commercial Services - Electric water heater_WH</v>
      </c>
      <c r="AU74" s="46" t="str">
        <f t="shared" si="26"/>
        <v>PJ</v>
      </c>
      <c r="AV74" s="46" t="str">
        <f t="shared" si="27"/>
        <v>GW</v>
      </c>
      <c r="AY74" s="46" t="str">
        <f t="shared" si="31"/>
        <v>YES</v>
      </c>
    </row>
    <row r="75" spans="1:51" s="46" customFormat="1" x14ac:dyDescent="0.25">
      <c r="A75" s="46" t="str">
        <f>IF(SRV_TH!AM32="","*","S-WH-"&amp;SRV_TH!$B$42&amp;"_"&amp;SRV_TH!$A32)</f>
        <v>S-WH-CS_SOL_N1</v>
      </c>
      <c r="B75" s="46" t="str">
        <f>IF(A75="*","",$A$42&amp;" - "&amp;SRV_TH!B32)</f>
        <v>Commercial Services - Solar water heater_WH</v>
      </c>
      <c r="C75" s="46" t="str">
        <f>IF($A75="*","",SRV_TH!C32)</f>
        <v>SRVSOL</v>
      </c>
      <c r="E75" s="46" t="str">
        <f>IF($A75="*","",CONCATENATE(,Legend!$C$4,Legend!$C$33,"-",$B$42))</f>
        <v>SRVWH-CS</v>
      </c>
      <c r="F75" s="64" t="str">
        <f>IF($A75="*","",IF(SRV_TH!F32=0,"",SRV_TH!F32))</f>
        <v/>
      </c>
      <c r="G75" s="64" t="str">
        <f>IF($A75="*","",IF(SRV_TH!G32=0,"",SRV_TH!G32))</f>
        <v/>
      </c>
      <c r="H75" s="64" t="str">
        <f>IF($A75="*","",IF(SRV_TH!H32=0,"",SRV_TH!H32))</f>
        <v/>
      </c>
      <c r="I75" s="64" t="str">
        <f>IF($A75="*","",IF(SRV_TH!I32=0,"",SRV_TH!I32))</f>
        <v/>
      </c>
      <c r="J75" s="64" t="str">
        <f>IF($A75="*","",IF(SRV_TH!J32=0,"",SRV_TH!J32))</f>
        <v/>
      </c>
      <c r="K75" s="64" t="str">
        <f>IF($A75="*","",IF(SRV_TH!K32=0,"",SRV_TH!K32))</f>
        <v/>
      </c>
      <c r="L75" s="64" t="str">
        <f>IF($A75="*","",IF(SRV_TH!L32=0,"",SRV_TH!L32))</f>
        <v/>
      </c>
      <c r="M75" s="64" t="str">
        <f>IF($A75="*","",IF(SRV_TH!M32=0,"",SRV_TH!M32))</f>
        <v/>
      </c>
      <c r="N75" s="64" t="str">
        <f>IF($A75="*","",IF(SRV_TH!N32=0,"",SRV_TH!N32))</f>
        <v/>
      </c>
      <c r="O75" s="64" t="str">
        <f>IF($A75="*","",IF(SRV_TH!O32=0,"",SRV_TH!O32))</f>
        <v/>
      </c>
      <c r="P75" s="64">
        <f>IF($A75="*","",IF(SRV_TH!P32=0,"",SRV_TH!P32))</f>
        <v>1</v>
      </c>
      <c r="Q75" s="64">
        <f>IF($A75="*","",IF(SRV_TH!Q32=0,"",SRV_TH!Q32))</f>
        <v>1</v>
      </c>
      <c r="R75" s="64">
        <f>IF($A75="*","",IF(SRV_TH!R32=0,"",SRV_TH!R32))</f>
        <v>1</v>
      </c>
      <c r="S75" s="64">
        <f>IF($A75="*","",IF(SRV_TH!S32=0,"",SRV_TH!S32))</f>
        <v>1</v>
      </c>
      <c r="T75" s="64">
        <f>IF($A75="*","",IF(SRV_TH!T32=0,"",SRV_TH!T32))</f>
        <v>1</v>
      </c>
      <c r="U75" s="224">
        <f>IF($A75="*","",IF(SRV_TH!U32=0,"",SRV_TH!U32))</f>
        <v>25</v>
      </c>
      <c r="V75" s="224">
        <f>IF($A75="*","",IF(SRV_TH!V32=0,"",SRV_TH!V32))</f>
        <v>30</v>
      </c>
      <c r="W75" s="90"/>
      <c r="X75" s="90"/>
      <c r="Y75" s="90"/>
      <c r="Z75" s="90"/>
      <c r="AA75" s="90"/>
      <c r="AB75" s="90">
        <f>IF($A75="*","",IF(SRV_TH!AB32=0,"",SRV_TH!AB32))</f>
        <v>642.85714285714289</v>
      </c>
      <c r="AC75" s="90">
        <f>IF($A75="*","",IF(SRV_TH!AC32=0,"",SRV_TH!AC32))</f>
        <v>642.85714285714289</v>
      </c>
      <c r="AD75" s="90">
        <f>IF($A75="*","",IF(SRV_TH!AD32=0,"",SRV_TH!AD32))</f>
        <v>642.85714285714289</v>
      </c>
      <c r="AE75" s="90">
        <f>IF($A75="*","",IF(SRV_TH!AE32=0,"",SRV_TH!AE32))</f>
        <v>642.85714285714289</v>
      </c>
      <c r="AF75" s="90">
        <f>IF($A75="*","",IF(SRV_TH!AF32=0,"",SRV_TH!AF32))</f>
        <v>642.85714285714289</v>
      </c>
      <c r="AG75" s="44">
        <f>IF($A75="*","",IF(SRV_TH!AG32=0,"",SRV_TH!AG32))</f>
        <v>4.2857142857142856</v>
      </c>
      <c r="AH75" s="293" t="str">
        <f>IF($A75="*","",IF(SRV_TH!AH32=0,"",SRV_TH!AH32))</f>
        <v/>
      </c>
      <c r="AI75" s="92" t="str">
        <f>IF($A75="*","",IF(SRV_TH!AI32=0,"",SRV_TH!AI32))</f>
        <v/>
      </c>
      <c r="AJ75" s="92" t="str">
        <f>IF($A75="*","",IF(SRV_TH!AJ32=0,"",SRV_TH!AJ32))</f>
        <v/>
      </c>
      <c r="AK75" s="72">
        <f>IF($A75="*","",31.536)</f>
        <v>31.536000000000001</v>
      </c>
      <c r="AL75" s="44"/>
      <c r="AM75" s="87">
        <f t="shared" si="30"/>
        <v>2019</v>
      </c>
      <c r="AN75" s="179"/>
      <c r="AO75" s="179"/>
      <c r="AP75" s="179"/>
      <c r="AQ75" s="46" t="str">
        <f t="shared" si="24"/>
        <v>PRE</v>
      </c>
      <c r="AR75" s="46" t="str">
        <f>IF($AS75="","",_xlfn.TEXTJOIN(",",TRUE,IF(LEFT(Regions!$C$3,1)&lt;&gt;"*",Regions!$C$3,""),IF(LEFT(Regions!$D$3,1)&lt;&gt;"*",Regions!$D$3,"")))</f>
        <v>IE,National</v>
      </c>
      <c r="AS75" s="46" t="str">
        <f t="shared" si="25"/>
        <v>S-WH-CS_SOL_N1</v>
      </c>
      <c r="AT75" s="46" t="str">
        <f t="shared" si="25"/>
        <v>Commercial Services - Solar water heater_WH</v>
      </c>
      <c r="AU75" s="46" t="str">
        <f t="shared" si="26"/>
        <v>PJ</v>
      </c>
      <c r="AV75" s="46" t="str">
        <f t="shared" si="27"/>
        <v>GW</v>
      </c>
      <c r="AY75" s="46" t="str">
        <f t="shared" si="31"/>
        <v>YES</v>
      </c>
    </row>
    <row r="76" spans="1:51" s="46" customFormat="1" x14ac:dyDescent="0.25">
      <c r="A76" s="46" t="str">
        <f>IF(SRV_TH!AM33="","*","S-WH-"&amp;SRV_TH!$B$42&amp;"_"&amp;SRV_TH!$A33)</f>
        <v>S-WH-CS_GAS_N1</v>
      </c>
      <c r="B76" s="46" t="str">
        <f>IF(A76="*","",$A$42&amp;" - "&amp;SRV_TH!B33)</f>
        <v>Commercial Services - Gas water heater_WH</v>
      </c>
      <c r="C76" s="46" t="str">
        <f>IF($A76="*","",SRV_TH!C33)</f>
        <v>SRVGAS</v>
      </c>
      <c r="E76" s="46" t="str">
        <f>IF($A76="*","",CONCATENATE(,Legend!$C$4,Legend!$C$33,"-",$B$42))</f>
        <v>SRVWH-CS</v>
      </c>
      <c r="F76" s="64" t="str">
        <f>IF($A76="*","",IF(SRV_TH!F33=0,"",SRV_TH!F33))</f>
        <v/>
      </c>
      <c r="G76" s="64" t="str">
        <f>IF($A76="*","",IF(SRV_TH!G33=0,"",SRV_TH!G33))</f>
        <v/>
      </c>
      <c r="H76" s="64" t="str">
        <f>IF($A76="*","",IF(SRV_TH!H33=0,"",SRV_TH!H33))</f>
        <v/>
      </c>
      <c r="I76" s="64" t="str">
        <f>IF($A76="*","",IF(SRV_TH!I33=0,"",SRV_TH!I33))</f>
        <v/>
      </c>
      <c r="J76" s="64" t="str">
        <f>IF($A76="*","",IF(SRV_TH!J33=0,"",SRV_TH!J33))</f>
        <v/>
      </c>
      <c r="K76" s="64" t="str">
        <f>IF($A76="*","",IF(SRV_TH!K33=0,"",SRV_TH!K33))</f>
        <v/>
      </c>
      <c r="L76" s="64" t="str">
        <f>IF($A76="*","",IF(SRV_TH!L33=0,"",SRV_TH!L33))</f>
        <v/>
      </c>
      <c r="M76" s="64" t="str">
        <f>IF($A76="*","",IF(SRV_TH!M33=0,"",SRV_TH!M33))</f>
        <v/>
      </c>
      <c r="N76" s="64" t="str">
        <f>IF($A76="*","",IF(SRV_TH!N33=0,"",SRV_TH!N33))</f>
        <v/>
      </c>
      <c r="O76" s="64" t="str">
        <f>IF($A76="*","",IF(SRV_TH!O33=0,"",SRV_TH!O33))</f>
        <v/>
      </c>
      <c r="P76" s="64">
        <f>IF($A76="*","",IF(SRV_TH!P33=0,"",SRV_TH!P33))</f>
        <v>0.7</v>
      </c>
      <c r="Q76" s="64">
        <f>IF($A76="*","",IF(SRV_TH!Q33=0,"",SRV_TH!Q33))</f>
        <v>0.7</v>
      </c>
      <c r="R76" s="64">
        <f>IF($A76="*","",IF(SRV_TH!R33=0,"",SRV_TH!R33))</f>
        <v>0.7</v>
      </c>
      <c r="S76" s="64">
        <f>IF($A76="*","",IF(SRV_TH!S33=0,"",SRV_TH!S33))</f>
        <v>0.7</v>
      </c>
      <c r="T76" s="64">
        <f>IF($A76="*","",IF(SRV_TH!T33=0,"",SRV_TH!T33))</f>
        <v>0.7</v>
      </c>
      <c r="U76" s="224">
        <f>IF($A76="*","",IF(SRV_TH!U33=0,"",SRV_TH!U33))</f>
        <v>25</v>
      </c>
      <c r="V76" s="224" t="str">
        <f>IF($A76="*","",IF(SRV_TH!V33=0,"",SRV_TH!V33))</f>
        <v/>
      </c>
      <c r="W76" s="90"/>
      <c r="X76" s="90"/>
      <c r="Y76" s="90"/>
      <c r="Z76" s="90"/>
      <c r="AA76" s="90"/>
      <c r="AB76" s="90">
        <f>IF($A76="*","",IF(SRV_TH!AB33=0,"",SRV_TH!AB33))</f>
        <v>58.441558441558442</v>
      </c>
      <c r="AC76" s="90">
        <f>IF($A76="*","",IF(SRV_TH!AC33=0,"",SRV_TH!AC33))</f>
        <v>51.948051948051948</v>
      </c>
      <c r="AD76" s="90">
        <f>IF($A76="*","",IF(SRV_TH!AD33=0,"",SRV_TH!AD33))</f>
        <v>45.454545454545453</v>
      </c>
      <c r="AE76" s="90">
        <f>IF($A76="*","",IF(SRV_TH!AE33=0,"",SRV_TH!AE33))</f>
        <v>45.454545454545453</v>
      </c>
      <c r="AF76" s="90">
        <f>IF($A76="*","",IF(SRV_TH!AF33=0,"",SRV_TH!AF33))</f>
        <v>45.454545454545453</v>
      </c>
      <c r="AG76" s="90">
        <f>IF($A76="*","",IF(SRV_TH!AG33=0,"",SRV_TH!AG33))</f>
        <v>4</v>
      </c>
      <c r="AH76" s="293">
        <f>IF($A76="*","",IF(SRV_TH!AH33=0,"",SRV_TH!AH33))</f>
        <v>2</v>
      </c>
      <c r="AI76" s="92" t="str">
        <f>IF($A76="*","",IF(SRV_TH!AI33=0,"",SRV_TH!AI33))</f>
        <v/>
      </c>
      <c r="AJ76" s="92" t="str">
        <f>IF($A76="*","",IF(SRV_TH!AJ33=0,"",SRV_TH!AJ33))</f>
        <v/>
      </c>
      <c r="AK76" s="72">
        <f>IF($A76="*","",31.536)</f>
        <v>31.536000000000001</v>
      </c>
      <c r="AL76" s="90"/>
      <c r="AM76" s="87">
        <f t="shared" si="30"/>
        <v>2019</v>
      </c>
      <c r="AN76" s="179"/>
      <c r="AO76" s="179"/>
      <c r="AP76" s="179"/>
      <c r="AQ76" s="46" t="str">
        <f t="shared" si="24"/>
        <v>PRE</v>
      </c>
      <c r="AR76" s="46" t="str">
        <f>IF($AS76="","",_xlfn.TEXTJOIN(",",TRUE,IF(LEFT(Regions!$C$3,1)&lt;&gt;"*",Regions!$C$3,""),IF(LEFT(Regions!$D$3,1)&lt;&gt;"*",Regions!$D$3,"")))</f>
        <v>IE,National</v>
      </c>
      <c r="AS76" s="46" t="str">
        <f t="shared" si="25"/>
        <v>S-WH-CS_GAS_N1</v>
      </c>
      <c r="AT76" s="46" t="str">
        <f t="shared" si="25"/>
        <v>Commercial Services - Gas water heater_WH</v>
      </c>
      <c r="AU76" s="46" t="str">
        <f t="shared" si="26"/>
        <v>PJ</v>
      </c>
      <c r="AV76" s="46" t="str">
        <f t="shared" si="27"/>
        <v>GW</v>
      </c>
      <c r="AY76" s="46" t="str">
        <f t="shared" si="31"/>
        <v>YES</v>
      </c>
    </row>
    <row r="77" spans="1:51" s="46" customFormat="1" x14ac:dyDescent="0.25">
      <c r="A77" s="46" t="str">
        <f>IF(SRV_TH!AM34="","*","S-WH-"&amp;SRV_TH!$B$42&amp;"_"&amp;SRV_TH!$A34)</f>
        <v>S-WH-CS_BIO_N1</v>
      </c>
      <c r="B77" s="46" t="str">
        <f>IF(A77="*","",$A$42&amp;" - "&amp;SRV_TH!B34)</f>
        <v>Commercial Services - Biomass water heater_WH</v>
      </c>
      <c r="C77" s="46" t="str">
        <f>IF($A77="*","",SRV_TH!C34)</f>
        <v>SRVBIO</v>
      </c>
      <c r="E77" s="46" t="str">
        <f>IF($A77="*","",CONCATENATE(,Legend!$C$4,Legend!$C$33,"-",$B$42))</f>
        <v>SRVWH-CS</v>
      </c>
      <c r="F77" s="64" t="str">
        <f>IF($A77="*","",IF(SRV_TH!F34=0,"",SRV_TH!F34))</f>
        <v/>
      </c>
      <c r="G77" s="64" t="str">
        <f>IF($A77="*","",IF(SRV_TH!G34=0,"",SRV_TH!G34))</f>
        <v/>
      </c>
      <c r="H77" s="64" t="str">
        <f>IF($A77="*","",IF(SRV_TH!H34=0,"",SRV_TH!H34))</f>
        <v/>
      </c>
      <c r="I77" s="64" t="str">
        <f>IF($A77="*","",IF(SRV_TH!I34=0,"",SRV_TH!I34))</f>
        <v/>
      </c>
      <c r="J77" s="64" t="str">
        <f>IF($A77="*","",IF(SRV_TH!J34=0,"",SRV_TH!J34))</f>
        <v/>
      </c>
      <c r="K77" s="64" t="str">
        <f>IF($A77="*","",IF(SRV_TH!K34=0,"",SRV_TH!K34))</f>
        <v/>
      </c>
      <c r="L77" s="64" t="str">
        <f>IF($A77="*","",IF(SRV_TH!L34=0,"",SRV_TH!L34))</f>
        <v/>
      </c>
      <c r="M77" s="64" t="str">
        <f>IF($A77="*","",IF(SRV_TH!M34=0,"",SRV_TH!M34))</f>
        <v/>
      </c>
      <c r="N77" s="64" t="str">
        <f>IF($A77="*","",IF(SRV_TH!N34=0,"",SRV_TH!N34))</f>
        <v/>
      </c>
      <c r="O77" s="64" t="str">
        <f>IF($A77="*","",IF(SRV_TH!O34=0,"",SRV_TH!O34))</f>
        <v/>
      </c>
      <c r="P77" s="64">
        <f>IF($A77="*","",IF(SRV_TH!P34=0,"",SRV_TH!P34))</f>
        <v>0.7</v>
      </c>
      <c r="Q77" s="64">
        <f>IF($A77="*","",IF(SRV_TH!Q34=0,"",SRV_TH!Q34))</f>
        <v>0.71647058823529397</v>
      </c>
      <c r="R77" s="64">
        <f>IF($A77="*","",IF(SRV_TH!R34=0,"",SRV_TH!R34))</f>
        <v>0.74941176470588233</v>
      </c>
      <c r="S77" s="64">
        <f>IF($A77="*","",IF(SRV_TH!S34=0,"",SRV_TH!S34))</f>
        <v>0.78235294117647058</v>
      </c>
      <c r="T77" s="64">
        <f>IF($A77="*","",IF(SRV_TH!T34=0,"",SRV_TH!T34))</f>
        <v>0.78235294117647058</v>
      </c>
      <c r="U77" s="224">
        <f>IF($A77="*","",IF(SRV_TH!U34=0,"",SRV_TH!U34))</f>
        <v>20</v>
      </c>
      <c r="V77" s="224" t="str">
        <f>IF($A77="*","",IF(SRV_TH!V34=0,"",SRV_TH!V34))</f>
        <v/>
      </c>
      <c r="W77" s="90"/>
      <c r="X77" s="90"/>
      <c r="Y77" s="90"/>
      <c r="Z77" s="90"/>
      <c r="AA77" s="90"/>
      <c r="AB77" s="90">
        <f>IF($A77="*","",IF(SRV_TH!AB34=0,"",SRV_TH!AB34))</f>
        <v>197.27272727272728</v>
      </c>
      <c r="AC77" s="90">
        <f>IF($A77="*","",IF(SRV_TH!AC34=0,"",SRV_TH!AC34))</f>
        <v>197.27272727272728</v>
      </c>
      <c r="AD77" s="90">
        <f>IF($A77="*","",IF(SRV_TH!AD34=0,"",SRV_TH!AD34))</f>
        <v>203.63636363636363</v>
      </c>
      <c r="AE77" s="90">
        <f>IF($A77="*","",IF(SRV_TH!AE34=0,"",SRV_TH!AE34))</f>
        <v>203.63636363636363</v>
      </c>
      <c r="AF77" s="90">
        <f>IF($A77="*","",IF(SRV_TH!AF34=0,"",SRV_TH!AF34))</f>
        <v>203.63636363636363</v>
      </c>
      <c r="AG77" s="90">
        <f>IF($A77="*","",IF(SRV_TH!AG34=0,"",SRV_TH!AG34))</f>
        <v>5.7272727272727274E-2</v>
      </c>
      <c r="AH77" s="293" t="str">
        <f>IF($A77="*","",IF(SRV_TH!AH34=0,"",SRV_TH!AH34))</f>
        <v/>
      </c>
      <c r="AI77" s="92" t="str">
        <f>IF($A77="*","",IF(SRV_TH!AI34=0,"",SRV_TH!AI34))</f>
        <v/>
      </c>
      <c r="AJ77" s="92" t="str">
        <f>IF($A77="*","",IF(SRV_TH!AJ34=0,"",SRV_TH!AJ34))</f>
        <v/>
      </c>
      <c r="AK77" s="72">
        <f t="shared" ref="AK77:AK78" si="36">IF($A77="*","",31.536)</f>
        <v>31.536000000000001</v>
      </c>
      <c r="AL77" s="90"/>
      <c r="AM77" s="87">
        <f t="shared" si="30"/>
        <v>2019</v>
      </c>
      <c r="AN77" s="179"/>
      <c r="AO77" s="179"/>
      <c r="AP77" s="179"/>
      <c r="AQ77" s="46" t="str">
        <f t="shared" si="24"/>
        <v>PRE</v>
      </c>
      <c r="AR77" s="46" t="str">
        <f>IF($AS77="","",_xlfn.TEXTJOIN(",",TRUE,IF(LEFT(Regions!$C$3,1)&lt;&gt;"*",Regions!$C$3,""),IF(LEFT(Regions!$D$3,1)&lt;&gt;"*",Regions!$D$3,"")))</f>
        <v>IE,National</v>
      </c>
      <c r="AS77" s="46" t="str">
        <f t="shared" si="25"/>
        <v>S-WH-CS_BIO_N1</v>
      </c>
      <c r="AT77" s="46" t="str">
        <f t="shared" si="25"/>
        <v>Commercial Services - Biomass water heater_WH</v>
      </c>
      <c r="AU77" s="46" t="str">
        <f t="shared" si="26"/>
        <v>PJ</v>
      </c>
      <c r="AV77" s="46" t="str">
        <f t="shared" si="27"/>
        <v>GW</v>
      </c>
      <c r="AY77" s="46" t="str">
        <f t="shared" si="31"/>
        <v>YES</v>
      </c>
    </row>
    <row r="78" spans="1:51" s="46" customFormat="1" x14ac:dyDescent="0.25">
      <c r="A78" s="49" t="str">
        <f>IF(SRV_TH!AM35="","*","S-WH-"&amp;SRV_TH!$B$42&amp;"_"&amp;SRV_TH!$A35)</f>
        <v>S-WH-CS_LPG_N1</v>
      </c>
      <c r="B78" s="49" t="str">
        <f>IF(A78="*","",$A$42&amp;" - "&amp;SRV_TH!B35)</f>
        <v>Commercial Services - LPG water heater_WH</v>
      </c>
      <c r="C78" s="49" t="str">
        <f>IF($A78="*","",SRV_TH!C35)</f>
        <v>SRVLPG</v>
      </c>
      <c r="D78" s="49"/>
      <c r="E78" s="49" t="str">
        <f>IF($A78="*","",CONCATENATE(,Legend!$C$4,Legend!$C$33,"-",$B$42))</f>
        <v>SRVWH-CS</v>
      </c>
      <c r="F78" s="269" t="str">
        <f>IF($A78="*","",IF(SRV_TH!F35=0,"",SRV_TH!F35))</f>
        <v/>
      </c>
      <c r="G78" s="269" t="str">
        <f>IF($A78="*","",IF(SRV_TH!G35=0,"",SRV_TH!G35))</f>
        <v/>
      </c>
      <c r="H78" s="269" t="str">
        <f>IF($A78="*","",IF(SRV_TH!H35=0,"",SRV_TH!H35))</f>
        <v/>
      </c>
      <c r="I78" s="269" t="str">
        <f>IF($A78="*","",IF(SRV_TH!I35=0,"",SRV_TH!I35))</f>
        <v/>
      </c>
      <c r="J78" s="269" t="str">
        <f>IF($A78="*","",IF(SRV_TH!J35=0,"",SRV_TH!J35))</f>
        <v/>
      </c>
      <c r="K78" s="269" t="str">
        <f>IF($A78="*","",IF(SRV_TH!K35=0,"",SRV_TH!K35))</f>
        <v/>
      </c>
      <c r="L78" s="269" t="str">
        <f>IF($A78="*","",IF(SRV_TH!L35=0,"",SRV_TH!L35))</f>
        <v/>
      </c>
      <c r="M78" s="269" t="str">
        <f>IF($A78="*","",IF(SRV_TH!M35=0,"",SRV_TH!M35))</f>
        <v/>
      </c>
      <c r="N78" s="269" t="str">
        <f>IF($A78="*","",IF(SRV_TH!N35=0,"",SRV_TH!N35))</f>
        <v/>
      </c>
      <c r="O78" s="269" t="str">
        <f>IF($A78="*","",IF(SRV_TH!O35=0,"",SRV_TH!O35))</f>
        <v/>
      </c>
      <c r="P78" s="269">
        <f>IF($A78="*","",IF(SRV_TH!P35=0,"",SRV_TH!P35))</f>
        <v>0.7</v>
      </c>
      <c r="Q78" s="269">
        <f>IF($A78="*","",IF(SRV_TH!Q35=0,"",SRV_TH!Q35))</f>
        <v>0.7</v>
      </c>
      <c r="R78" s="269">
        <f>IF($A78="*","",IF(SRV_TH!R35=0,"",SRV_TH!R35))</f>
        <v>0.7</v>
      </c>
      <c r="S78" s="269">
        <f>IF($A78="*","",IF(SRV_TH!S35=0,"",SRV_TH!S35))</f>
        <v>0.7</v>
      </c>
      <c r="T78" s="269">
        <f>IF($A78="*","",IF(SRV_TH!T35=0,"",SRV_TH!T35))</f>
        <v>0.7</v>
      </c>
      <c r="U78" s="219">
        <f>IF($A78="*","",IF(SRV_TH!U35=0,"",SRV_TH!U35))</f>
        <v>25</v>
      </c>
      <c r="V78" s="219" t="str">
        <f>IF($A78="*","",IF(SRV_TH!V35=0,"",SRV_TH!V35))</f>
        <v/>
      </c>
      <c r="W78" s="75"/>
      <c r="X78" s="75"/>
      <c r="Y78" s="75"/>
      <c r="Z78" s="75"/>
      <c r="AA78" s="75"/>
      <c r="AB78" s="75">
        <f>IF($A78="*","",IF(SRV_TH!AB35=0,"",SRV_TH!AB35))</f>
        <v>58.441558441558442</v>
      </c>
      <c r="AC78" s="75">
        <f>IF($A78="*","",IF(SRV_TH!AC35=0,"",SRV_TH!AC35))</f>
        <v>51.948051948051948</v>
      </c>
      <c r="AD78" s="75">
        <f>IF($A78="*","",IF(SRV_TH!AD35=0,"",SRV_TH!AD35))</f>
        <v>45.454545454545453</v>
      </c>
      <c r="AE78" s="75">
        <f>IF($A78="*","",IF(SRV_TH!AE35=0,"",SRV_TH!AE35))</f>
        <v>45.454545454545453</v>
      </c>
      <c r="AF78" s="75">
        <f>IF($A78="*","",IF(SRV_TH!AF35=0,"",SRV_TH!AF35))</f>
        <v>45.454545454545453</v>
      </c>
      <c r="AG78" s="75">
        <f>IF($A78="*","",IF(SRV_TH!AG35=0,"",SRV_TH!AG35))</f>
        <v>4</v>
      </c>
      <c r="AH78" s="298">
        <f>IF($A78="*","",IF(SRV_TH!AH35=0,"",SRV_TH!AH35))</f>
        <v>2</v>
      </c>
      <c r="AI78" s="93" t="str">
        <f>IF($A78="*","",IF(SRV_TH!AI35=0,"",SRV_TH!AI35))</f>
        <v/>
      </c>
      <c r="AJ78" s="93" t="str">
        <f>IF($A78="*","",IF(SRV_TH!AJ35=0,"",SRV_TH!AJ35))</f>
        <v/>
      </c>
      <c r="AK78" s="221">
        <f t="shared" si="36"/>
        <v>31.536000000000001</v>
      </c>
      <c r="AL78" s="75"/>
      <c r="AM78" s="215">
        <f t="shared" si="30"/>
        <v>2019</v>
      </c>
      <c r="AN78" s="218"/>
      <c r="AO78" s="218"/>
      <c r="AP78" s="179"/>
      <c r="AQ78" s="49" t="str">
        <f t="shared" si="24"/>
        <v>PRE</v>
      </c>
      <c r="AR78" s="49" t="str">
        <f>IF($AS78="","",_xlfn.TEXTJOIN(",",TRUE,IF(LEFT(Regions!$C$3,1)&lt;&gt;"*",Regions!$C$3,""),IF(LEFT(Regions!$D$3,1)&lt;&gt;"*",Regions!$D$3,"")))</f>
        <v>IE,National</v>
      </c>
      <c r="AS78" s="49" t="str">
        <f t="shared" si="25"/>
        <v>S-WH-CS_LPG_N1</v>
      </c>
      <c r="AT78" s="49" t="str">
        <f t="shared" si="25"/>
        <v>Commercial Services - LPG water heater_WH</v>
      </c>
      <c r="AU78" s="49" t="str">
        <f t="shared" si="26"/>
        <v>PJ</v>
      </c>
      <c r="AV78" s="49" t="str">
        <f t="shared" si="27"/>
        <v>GW</v>
      </c>
      <c r="AW78" s="49"/>
      <c r="AX78" s="49"/>
      <c r="AY78" s="49" t="str">
        <f t="shared" si="31"/>
        <v>YES</v>
      </c>
    </row>
    <row r="79" spans="1:51" s="46" customFormat="1" x14ac:dyDescent="0.25">
      <c r="A79" s="61" t="s">
        <v>105</v>
      </c>
      <c r="B79" s="61"/>
      <c r="C79" s="61"/>
      <c r="D79" s="61"/>
      <c r="E79" s="61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27"/>
      <c r="V79" s="227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99"/>
      <c r="AI79" s="222" t="str">
        <f>IF($A79="*","",IF(SRV_TH!AI36=0,"",SRV_TH!AI36))</f>
        <v/>
      </c>
      <c r="AJ79" s="222" t="str">
        <f>IF($A79="*","",IF(SRV_TH!AJ36=0,"",SRV_TH!AJ36))</f>
        <v/>
      </c>
      <c r="AK79" s="225"/>
      <c r="AL79" s="230"/>
      <c r="AM79" s="227"/>
      <c r="AN79" s="218"/>
      <c r="AO79" s="218"/>
      <c r="AP79" s="179"/>
      <c r="AQ79" s="61" t="str">
        <f t="shared" si="24"/>
        <v>*Cooling-only</v>
      </c>
      <c r="AR79" s="61" t="str">
        <f>IF($AS79="","",_xlfn.TEXTJOIN(",",TRUE,IF(LEFT(Regions!$C$3,1)&lt;&gt;"*",Regions!$C$3,""),IF(LEFT(Regions!$D$3,1)&lt;&gt;"*",Regions!$D$3,"")))</f>
        <v/>
      </c>
      <c r="AS79" s="61" t="str">
        <f t="shared" si="25"/>
        <v/>
      </c>
      <c r="AT79" s="61" t="str">
        <f t="shared" si="25"/>
        <v/>
      </c>
      <c r="AU79" s="61" t="str">
        <f t="shared" si="26"/>
        <v/>
      </c>
      <c r="AV79" s="61" t="str">
        <f t="shared" si="27"/>
        <v/>
      </c>
      <c r="AW79" s="61"/>
      <c r="AX79" s="61"/>
      <c r="AY79" s="61" t="str">
        <f t="shared" si="31"/>
        <v/>
      </c>
    </row>
    <row r="80" spans="1:51" s="46" customFormat="1" x14ac:dyDescent="0.25">
      <c r="A80" s="46" t="str">
        <f>IF(SRV_TH!AM37="","*","S-SC-"&amp;SRV_TH!$B$42&amp;"_"&amp;SRV_TH!$A37)</f>
        <v>S-SC-CS_ELC_N1</v>
      </c>
      <c r="B80" s="46" t="str">
        <f>IF(A80="*","",$A$42&amp;" - "&amp;SRV_TH!B37)</f>
        <v>Commercial Services - Room air conditioning Air-to-Air_SC</v>
      </c>
      <c r="C80" s="46" t="str">
        <f>IF($A80="*","",SRV_TH!C37)</f>
        <v>SRVELC</v>
      </c>
      <c r="E80" s="46" t="str">
        <f>IF($A80="*","",CONCATENATE(Legend!$C$4,Legend!$C$34,"-",$B$42))</f>
        <v>SRVSC-CS</v>
      </c>
      <c r="F80" s="271" t="str">
        <f>IF($A80="*","",IF(SRV_TH!F37=0,"",SRV_TH!F37))</f>
        <v/>
      </c>
      <c r="G80" s="271" t="str">
        <f>IF($A80="*","",IF(SRV_TH!G37=0,"",SRV_TH!G37))</f>
        <v/>
      </c>
      <c r="H80" s="271" t="str">
        <f>IF($A80="*","",IF(SRV_TH!H37=0,"",SRV_TH!H37))</f>
        <v/>
      </c>
      <c r="I80" s="271" t="str">
        <f>IF($A80="*","",IF(SRV_TH!I37=0,"",SRV_TH!I37))</f>
        <v/>
      </c>
      <c r="J80" s="271" t="str">
        <f>IF($A80="*","",IF(SRV_TH!J37=0,"",SRV_TH!J37))</f>
        <v/>
      </c>
      <c r="K80" s="271">
        <f>IF($A80="*","",IF(SRV_TH!K37=0,"",SRV_TH!K37))</f>
        <v>1</v>
      </c>
      <c r="L80" s="271">
        <f>IF($A80="*","",IF(SRV_TH!L37=0,"",SRV_TH!L37))</f>
        <v>1</v>
      </c>
      <c r="M80" s="271">
        <f>IF($A80="*","",IF(SRV_TH!M37=0,"",SRV_TH!M37))</f>
        <v>1</v>
      </c>
      <c r="N80" s="271">
        <f>IF($A80="*","",IF(SRV_TH!N37=0,"",SRV_TH!N37))</f>
        <v>1</v>
      </c>
      <c r="O80" s="271">
        <f>IF($A80="*","",IF(SRV_TH!O37=0,"",SRV_TH!O37))</f>
        <v>1</v>
      </c>
      <c r="P80" s="271" t="str">
        <f>IF($A80="*","",IF(SRV_TH!P37=0,"",SRV_TH!P37))</f>
        <v/>
      </c>
      <c r="Q80" s="271" t="str">
        <f>IF($A80="*","",IF(SRV_TH!Q37=0,"",SRV_TH!Q37))</f>
        <v/>
      </c>
      <c r="R80" s="271" t="str">
        <f>IF($A80="*","",IF(SRV_TH!R37=0,"",SRV_TH!R37))</f>
        <v/>
      </c>
      <c r="S80" s="271" t="str">
        <f>IF($A80="*","",IF(SRV_TH!S37=0,"",SRV_TH!S37))</f>
        <v/>
      </c>
      <c r="T80" s="271" t="str">
        <f>IF($A80="*","",IF(SRV_TH!T37=0,"",SRV_TH!T37))</f>
        <v/>
      </c>
      <c r="U80" s="87">
        <f>IF($A80="*","",IF(SRV_TH!U37=0,"",SRV_TH!U37))</f>
        <v>20</v>
      </c>
      <c r="V80" s="87" t="str">
        <f>IF($A80="*","",IF(SRV_TH!V37=0,"",SRV_TH!V37))</f>
        <v/>
      </c>
      <c r="W80" s="90"/>
      <c r="X80" s="90"/>
      <c r="Y80" s="90"/>
      <c r="Z80" s="90"/>
      <c r="AA80" s="90"/>
      <c r="AB80" s="90">
        <f>IF($A80="*","",IF(SRV_TH!AB37=0,"",SRV_TH!AB37))</f>
        <v>426.06279434850865</v>
      </c>
      <c r="AC80" s="90">
        <f>IF($A80="*","",IF(SRV_TH!AC37=0,"",SRV_TH!AC37))</f>
        <v>404.75965463108315</v>
      </c>
      <c r="AD80" s="90">
        <f>IF($A80="*","",IF(SRV_TH!AD37=0,"",SRV_TH!AD37))</f>
        <v>366.41400313971735</v>
      </c>
      <c r="AE80" s="90">
        <f>IF($A80="*","",IF(SRV_TH!AE37=0,"",SRV_TH!AE37))</f>
        <v>349.37149136577699</v>
      </c>
      <c r="AF80" s="90">
        <f>IF($A80="*","",IF(SRV_TH!AF37=0,"",SRV_TH!AF37))</f>
        <v>349.37149136577699</v>
      </c>
      <c r="AG80" s="90">
        <f>IF($A80="*","",IF(SRV_TH!AG37=0,"",SRV_TH!AG37))</f>
        <v>10.204081632653061</v>
      </c>
      <c r="AH80" s="293" t="str">
        <f>IF($A80="*","",IF(SRV_TH!AH37=0,"",SRV_TH!AH37))</f>
        <v/>
      </c>
      <c r="AI80" s="92" t="str">
        <f>IF($A80="*","",IF(SRV_TH!AI37=0,"",SRV_TH!AI37))</f>
        <v/>
      </c>
      <c r="AJ80" s="92" t="str">
        <f>IF($A80="*","",IF(SRV_TH!AJ37=0,"",SRV_TH!AJ37))</f>
        <v/>
      </c>
      <c r="AK80" s="72">
        <f>IF($A80="*","",31.536)</f>
        <v>31.536000000000001</v>
      </c>
      <c r="AL80" s="90"/>
      <c r="AM80" s="87">
        <f t="shared" si="30"/>
        <v>2019</v>
      </c>
      <c r="AN80" s="179"/>
      <c r="AO80" s="179"/>
      <c r="AP80" s="179"/>
      <c r="AQ80" s="46" t="str">
        <f t="shared" si="24"/>
        <v>PRE</v>
      </c>
      <c r="AR80" s="46" t="str">
        <f>IF($AS80="","",_xlfn.TEXTJOIN(",",TRUE,IF(LEFT(Regions!$C$3,1)&lt;&gt;"*",Regions!$C$3,""),IF(LEFT(Regions!$D$3,1)&lt;&gt;"*",Regions!$D$3,"")))</f>
        <v>IE,National</v>
      </c>
      <c r="AS80" s="46" t="str">
        <f t="shared" si="25"/>
        <v>S-SC-CS_ELC_N1</v>
      </c>
      <c r="AT80" s="46" t="str">
        <f t="shared" si="25"/>
        <v>Commercial Services - Room air conditioning Air-to-Air_SC</v>
      </c>
      <c r="AU80" s="46" t="str">
        <f t="shared" si="26"/>
        <v>PJ</v>
      </c>
      <c r="AV80" s="46" t="str">
        <f t="shared" si="27"/>
        <v>GW</v>
      </c>
      <c r="AY80" s="46" t="str">
        <f t="shared" si="31"/>
        <v>YES</v>
      </c>
    </row>
    <row r="81" spans="1:51" s="46" customFormat="1" x14ac:dyDescent="0.25">
      <c r="A81" s="49" t="str">
        <f>IF(SRV_TH!AM38="","*","S-SC-"&amp;SRV_TH!$B$42&amp;"_"&amp;SRV_TH!$A38)</f>
        <v>S-SC-CS_ELC_N2</v>
      </c>
      <c r="B81" s="49" t="str">
        <f>IF(A81="*","",$A$42&amp;" - "&amp;SRV_TH!B38)</f>
        <v>Commercial Services - Centralized air conditioning_SC</v>
      </c>
      <c r="C81" s="49" t="str">
        <f>IF($A81="*","",SRV_TH!C38)</f>
        <v>SRVELC</v>
      </c>
      <c r="D81" s="49"/>
      <c r="E81" s="49" t="str">
        <f>IF($A81="*","",CONCATENATE(Legend!$C$4,Legend!$C$34,"-",$B$42))</f>
        <v>SRVSC-CS</v>
      </c>
      <c r="F81" s="273" t="str">
        <f>IF($A81="*","",IF(SRV_TH!F38=0,"",SRV_TH!F38))</f>
        <v/>
      </c>
      <c r="G81" s="273" t="str">
        <f>IF($A81="*","",IF(SRV_TH!G38=0,"",SRV_TH!G38))</f>
        <v/>
      </c>
      <c r="H81" s="273" t="str">
        <f>IF($A81="*","",IF(SRV_TH!H38=0,"",SRV_TH!H38))</f>
        <v/>
      </c>
      <c r="I81" s="273" t="str">
        <f>IF($A81="*","",IF(SRV_TH!I38=0,"",SRV_TH!I38))</f>
        <v/>
      </c>
      <c r="J81" s="273" t="str">
        <f>IF($A81="*","",IF(SRV_TH!J38=0,"",SRV_TH!J38))</f>
        <v/>
      </c>
      <c r="K81" s="273">
        <f>IF($A81="*","",IF(SRV_TH!K38=0,"",SRV_TH!K38))</f>
        <v>0.81081081081081074</v>
      </c>
      <c r="L81" s="273">
        <f>IF($A81="*","",IF(SRV_TH!L38=0,"",SRV_TH!L38))</f>
        <v>0.83783783783783783</v>
      </c>
      <c r="M81" s="273">
        <f>IF($A81="*","",IF(SRV_TH!M38=0,"",SRV_TH!M38))</f>
        <v>0.91891891891891886</v>
      </c>
      <c r="N81" s="273">
        <f>IF($A81="*","",IF(SRV_TH!N38=0,"",SRV_TH!N38))</f>
        <v>0.94594594594594594</v>
      </c>
      <c r="O81" s="273">
        <f>IF($A81="*","",IF(SRV_TH!O38=0,"",SRV_TH!O38))</f>
        <v>0.94594594594594594</v>
      </c>
      <c r="P81" s="273" t="str">
        <f>IF($A81="*","",IF(SRV_TH!P38=0,"",SRV_TH!P38))</f>
        <v/>
      </c>
      <c r="Q81" s="273" t="str">
        <f>IF($A81="*","",IF(SRV_TH!Q38=0,"",SRV_TH!Q38))</f>
        <v/>
      </c>
      <c r="R81" s="273" t="str">
        <f>IF($A81="*","",IF(SRV_TH!R38=0,"",SRV_TH!R38))</f>
        <v/>
      </c>
      <c r="S81" s="273" t="str">
        <f>IF($A81="*","",IF(SRV_TH!S38=0,"",SRV_TH!S38))</f>
        <v/>
      </c>
      <c r="T81" s="273" t="str">
        <f>IF($A81="*","",IF(SRV_TH!T38=0,"",SRV_TH!T38))</f>
        <v/>
      </c>
      <c r="U81" s="215">
        <f>IF($A81="*","",IF(SRV_TH!U38=0,"",SRV_TH!U38))</f>
        <v>20</v>
      </c>
      <c r="V81" s="215" t="str">
        <f>IF($A81="*","",IF(SRV_TH!V38=0,"",SRV_TH!V38))</f>
        <v/>
      </c>
      <c r="W81" s="75"/>
      <c r="X81" s="75"/>
      <c r="Y81" s="75"/>
      <c r="Z81" s="75"/>
      <c r="AA81" s="75"/>
      <c r="AB81" s="75">
        <f>IF($A81="*","",IF(SRV_TH!AB38=0,"",SRV_TH!AB38))</f>
        <v>800</v>
      </c>
      <c r="AC81" s="75">
        <f>IF($A81="*","",IF(SRV_TH!AC38=0,"",SRV_TH!AC38))</f>
        <v>800</v>
      </c>
      <c r="AD81" s="75">
        <f>IF($A81="*","",IF(SRV_TH!AD38=0,"",SRV_TH!AD38))</f>
        <v>700</v>
      </c>
      <c r="AE81" s="75">
        <f>IF($A81="*","",IF(SRV_TH!AE38=0,"",SRV_TH!AE38))</f>
        <v>700</v>
      </c>
      <c r="AF81" s="75">
        <f>IF($A81="*","",IF(SRV_TH!AF38=0,"",SRV_TH!AF38))</f>
        <v>700</v>
      </c>
      <c r="AG81" s="75">
        <f>IF($A81="*","",IF(SRV_TH!AG38=0,"",SRV_TH!AG38))</f>
        <v>4.2056074766355138</v>
      </c>
      <c r="AH81" s="298" t="str">
        <f>IF($A81="*","",IF(SRV_TH!AH38=0,"",SRV_TH!AH38))</f>
        <v/>
      </c>
      <c r="AI81" s="93" t="str">
        <f>IF($A81="*","",IF(SRV_TH!AI38=0,"",SRV_TH!AI38))</f>
        <v/>
      </c>
      <c r="AJ81" s="93" t="str">
        <f>IF($A81="*","",IF(SRV_TH!AJ38=0,"",SRV_TH!AJ38))</f>
        <v/>
      </c>
      <c r="AK81" s="221">
        <f>IF($A81="*","",31.536)</f>
        <v>31.536000000000001</v>
      </c>
      <c r="AL81" s="75"/>
      <c r="AM81" s="215">
        <f t="shared" si="30"/>
        <v>2019</v>
      </c>
      <c r="AQ81" s="49" t="str">
        <f t="shared" ref="AQ81" si="37">IF(LEFT(A81)="*",A81,"PRE")</f>
        <v>PRE</v>
      </c>
      <c r="AR81" s="49" t="str">
        <f>IF($AS81="","",_xlfn.TEXTJOIN(",",TRUE,IF(LEFT(Regions!$C$3,1)&lt;&gt;"*",Regions!$C$3,""),IF(LEFT(Regions!$D$3,1)&lt;&gt;"*",Regions!$D$3,"")))</f>
        <v>IE,National</v>
      </c>
      <c r="AS81" s="49" t="str">
        <f t="shared" ref="AS81" si="38">IF(LEFT($A81)="*","",A81)</f>
        <v>S-SC-CS_ELC_N2</v>
      </c>
      <c r="AT81" s="49" t="str">
        <f t="shared" ref="AT81" si="39">IF(LEFT($A81)="*","",B81)</f>
        <v>Commercial Services - Centralized air conditioning_SC</v>
      </c>
      <c r="AU81" s="49" t="str">
        <f t="shared" si="26"/>
        <v>PJ</v>
      </c>
      <c r="AV81" s="49" t="str">
        <f t="shared" si="27"/>
        <v>GW</v>
      </c>
      <c r="AW81" s="49"/>
      <c r="AX81" s="49"/>
      <c r="AY81" s="49" t="str">
        <f t="shared" si="31"/>
        <v>YES</v>
      </c>
    </row>
    <row r="82" spans="1:51" x14ac:dyDescent="0.25">
      <c r="A82" s="36"/>
      <c r="B82" s="46"/>
      <c r="C82" s="36"/>
      <c r="D82" s="36"/>
      <c r="E82" s="36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274"/>
      <c r="R82" s="274"/>
      <c r="S82" s="274"/>
      <c r="T82" s="274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9"/>
      <c r="AH82" s="292"/>
      <c r="AI82" s="38"/>
      <c r="AJ82" s="38"/>
      <c r="AK82" s="36"/>
      <c r="AL82" s="36"/>
      <c r="AM82" s="36"/>
      <c r="AN82" s="36"/>
      <c r="AO82" s="36"/>
    </row>
    <row r="83" spans="1:51" ht="21" x14ac:dyDescent="0.25">
      <c r="A83" s="85" t="str">
        <f>Legend!A30</f>
        <v>Public Services</v>
      </c>
      <c r="B83" s="86" t="str">
        <f>Legend!C30</f>
        <v>PU</v>
      </c>
      <c r="C83" s="36"/>
      <c r="D83" s="36"/>
      <c r="E83" s="36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9"/>
      <c r="AH83" s="292"/>
      <c r="AI83" s="38"/>
      <c r="AJ83" s="38"/>
      <c r="AK83" s="36"/>
      <c r="AL83" s="36"/>
      <c r="AM83" s="36"/>
      <c r="AN83" s="36"/>
      <c r="AO83" s="36"/>
    </row>
    <row r="84" spans="1:51" x14ac:dyDescent="0.25">
      <c r="A84" s="67" t="s">
        <v>114</v>
      </c>
      <c r="B84" s="36"/>
      <c r="C84" s="46"/>
      <c r="D84" s="46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274"/>
      <c r="R84" s="274"/>
      <c r="S84" s="274"/>
      <c r="T84" s="274"/>
      <c r="U84" s="38"/>
      <c r="V84" s="38"/>
      <c r="W84" s="38"/>
      <c r="X84" s="38"/>
      <c r="Y84" s="38"/>
      <c r="Z84" s="38"/>
      <c r="AA84" s="38"/>
      <c r="AB84" s="38"/>
      <c r="AK84" s="38"/>
      <c r="AL84" s="36"/>
      <c r="AM84" s="36"/>
      <c r="AN84" s="36"/>
      <c r="AO84" s="36"/>
      <c r="AQ84" s="67" t="s">
        <v>115</v>
      </c>
      <c r="AR84" s="67"/>
      <c r="AS84" s="38"/>
      <c r="AT84" s="38"/>
      <c r="AU84" s="38"/>
      <c r="AV84" s="38"/>
      <c r="AW84" s="39"/>
      <c r="AX84" s="38"/>
      <c r="AY84" s="38"/>
    </row>
    <row r="85" spans="1:51" ht="45.75" thickBot="1" x14ac:dyDescent="0.3">
      <c r="A85" s="69" t="s">
        <v>116</v>
      </c>
      <c r="B85" s="68" t="s">
        <v>136</v>
      </c>
      <c r="C85" s="69" t="s">
        <v>117</v>
      </c>
      <c r="D85" s="232" t="s">
        <v>415</v>
      </c>
      <c r="E85" s="69" t="s">
        <v>118</v>
      </c>
      <c r="F85" s="275" t="str">
        <f>"CEFF~"&amp;CONCATENATE(Legend!$C$4,Legend!$C$32,"-",$B$83)</f>
        <v>CEFF~SRVSH-PU</v>
      </c>
      <c r="G85" s="275" t="str">
        <f>"CEFF~"&amp;CONCATENATE(Legend!$C$4,Legend!$C$32,"-",$B$83)&amp;"~"&amp;G$3</f>
        <v>CEFF~SRVSH-PU~2020</v>
      </c>
      <c r="H85" s="275" t="str">
        <f>"CEFF~"&amp;CONCATENATE(Legend!$C$4,Legend!$C$32,"-",$B$83)&amp;"~"&amp;H$3</f>
        <v>CEFF~SRVSH-PU~2030</v>
      </c>
      <c r="I85" s="275" t="str">
        <f>"CEFF~"&amp;CONCATENATE(Legend!$C$4,Legend!$C$32,"-",$B$83)&amp;"~"&amp;I$3</f>
        <v>CEFF~SRVSH-PU~2040</v>
      </c>
      <c r="J85" s="275" t="str">
        <f>"CEFF~"&amp;CONCATENATE(Legend!$C$4,Legend!$C$32,"-",$B$83)&amp;"~"&amp;J$3</f>
        <v>CEFF~SRVSH-PU~2050</v>
      </c>
      <c r="K85" s="275" t="str">
        <f>"CEFF~"&amp;CONCATENATE(Legend!$C$4,Legend!$C$34,"-",$B$83)</f>
        <v>CEFF~SRVSC-PU</v>
      </c>
      <c r="L85" s="275" t="str">
        <f>"CEFF~"&amp;CONCATENATE(Legend!$C$4,Legend!$C$34,"-",$B$83)&amp;"~"&amp;L$3</f>
        <v>CEFF~SRVSC-PU~2020</v>
      </c>
      <c r="M85" s="275" t="str">
        <f>"CEFF~"&amp;CONCATENATE(Legend!$C$4,Legend!$C$34,"-",$B$83)&amp;"~"&amp;M$3</f>
        <v>CEFF~SRVSC-PU~2030</v>
      </c>
      <c r="N85" s="275" t="str">
        <f>"CEFF~"&amp;CONCATENATE(Legend!$C$4,Legend!$C$34,"-",$B$83)&amp;"~"&amp;N$3</f>
        <v>CEFF~SRVSC-PU~2040</v>
      </c>
      <c r="O85" s="275" t="str">
        <f>"CEFF~"&amp;CONCATENATE(Legend!$C$4,Legend!$C$34,"-",$B$83)&amp;"~"&amp;O$3</f>
        <v>CEFF~SRVSC-PU~2050</v>
      </c>
      <c r="P85" s="275" t="str">
        <f>"CEFF~"&amp;CONCATENATE(Legend!$C$4,Legend!$C$33,"-",$B$83)</f>
        <v>CEFF~SRVWH-PU</v>
      </c>
      <c r="Q85" s="275" t="str">
        <f>"CEFF~"&amp;CONCATENATE(Legend!$C$4,Legend!$C$33,"-",$B$83)&amp;"~"&amp;Q3</f>
        <v>CEFF~SRVWH-PU~2020</v>
      </c>
      <c r="R85" s="275" t="str">
        <f>"CEFF~"&amp;CONCATENATE(Legend!$C$4,Legend!$C$33,"-",$B$83)&amp;"~"&amp;R3</f>
        <v>CEFF~SRVWH-PU~2030</v>
      </c>
      <c r="S85" s="275" t="str">
        <f>"CEFF~"&amp;CONCATENATE(Legend!$C$4,Legend!$C$33,"-",$B$83)&amp;"~"&amp;S3</f>
        <v>CEFF~SRVWH-PU~2040</v>
      </c>
      <c r="T85" s="275" t="str">
        <f>"CEFF~"&amp;CONCATENATE(Legend!$C$4,Legend!$C$33,"-",$B$83)&amp;"~"&amp;T3</f>
        <v>CEFF~SRVWH-PU~2050</v>
      </c>
      <c r="U85" s="71" t="s">
        <v>119</v>
      </c>
      <c r="V85" s="71" t="s">
        <v>139</v>
      </c>
      <c r="W85" s="71" t="s">
        <v>113</v>
      </c>
      <c r="X85" s="71" t="s">
        <v>113</v>
      </c>
      <c r="Y85" s="71" t="s">
        <v>113</v>
      </c>
      <c r="Z85" s="71" t="s">
        <v>113</v>
      </c>
      <c r="AA85" s="71" t="s">
        <v>113</v>
      </c>
      <c r="AB85" s="71" t="s">
        <v>144</v>
      </c>
      <c r="AC85" s="70" t="str">
        <f>"INVCOST~"&amp;SRV_TH!AC3</f>
        <v>INVCOST~2020</v>
      </c>
      <c r="AD85" s="70" t="str">
        <f>"INVCOST~"&amp;SRV_TH!AD3</f>
        <v>INVCOST~2030</v>
      </c>
      <c r="AE85" s="70" t="str">
        <f>"INVCOST~"&amp;SRV_TH!AE3</f>
        <v>INVCOST~2040</v>
      </c>
      <c r="AF85" s="70" t="str">
        <f>"INVCOST~"&amp;SRV_TH!AF3</f>
        <v>INVCOST~2050</v>
      </c>
      <c r="AG85" s="70" t="s">
        <v>147</v>
      </c>
      <c r="AH85" s="295" t="s">
        <v>152</v>
      </c>
      <c r="AI85" s="70" t="str">
        <f>"Share-I~UP~"&amp;Legend!$C$50</f>
        <v>Share-I~UP~SRVSOL</v>
      </c>
      <c r="AJ85" s="70" t="str">
        <f>"Share-I~UP~"&amp;Legend!$C$48</f>
        <v>Share-I~UP~SRVBIO</v>
      </c>
      <c r="AK85" s="70" t="s">
        <v>120</v>
      </c>
      <c r="AL85" s="70" t="s">
        <v>516</v>
      </c>
      <c r="AM85" s="70" t="s">
        <v>170</v>
      </c>
      <c r="AN85" s="36"/>
      <c r="AO85" s="36"/>
      <c r="AQ85" s="71" t="s">
        <v>121</v>
      </c>
      <c r="AR85" s="71"/>
      <c r="AS85" s="71" t="s">
        <v>116</v>
      </c>
      <c r="AT85" s="71" t="s">
        <v>122</v>
      </c>
      <c r="AU85" s="71" t="s">
        <v>123</v>
      </c>
      <c r="AV85" s="71" t="s">
        <v>124</v>
      </c>
      <c r="AW85" s="71" t="s">
        <v>125</v>
      </c>
      <c r="AX85" s="71" t="s">
        <v>126</v>
      </c>
      <c r="AY85" s="71" t="s">
        <v>127</v>
      </c>
    </row>
    <row r="86" spans="1:51" s="103" customFormat="1" ht="38.25" x14ac:dyDescent="0.25">
      <c r="A86" s="100" t="s">
        <v>187</v>
      </c>
      <c r="B86" s="100" t="s">
        <v>132</v>
      </c>
      <c r="C86" s="100" t="s">
        <v>137</v>
      </c>
      <c r="D86" s="233" t="s">
        <v>416</v>
      </c>
      <c r="E86" s="100" t="s">
        <v>138</v>
      </c>
      <c r="F86" s="276" t="s">
        <v>140</v>
      </c>
      <c r="G86" s="277"/>
      <c r="H86" s="277"/>
      <c r="I86" s="277"/>
      <c r="J86" s="277"/>
      <c r="K86" s="276" t="s">
        <v>141</v>
      </c>
      <c r="L86" s="277"/>
      <c r="M86" s="277"/>
      <c r="N86" s="277"/>
      <c r="O86" s="277"/>
      <c r="P86" s="276" t="s">
        <v>142</v>
      </c>
      <c r="Q86" s="277"/>
      <c r="R86" s="277"/>
      <c r="S86" s="277"/>
      <c r="T86" s="277"/>
      <c r="U86" s="101" t="s">
        <v>112</v>
      </c>
      <c r="V86" s="101"/>
      <c r="W86" s="100"/>
      <c r="X86" s="100"/>
      <c r="Y86" s="100"/>
      <c r="Z86" s="100"/>
      <c r="AA86" s="100"/>
      <c r="AB86" s="100" t="s">
        <v>145</v>
      </c>
      <c r="AC86" s="100"/>
      <c r="AD86" s="100"/>
      <c r="AE86" s="100"/>
      <c r="AF86" s="100"/>
      <c r="AG86" s="100"/>
      <c r="AH86" s="296"/>
      <c r="AI86" s="102" t="s">
        <v>178</v>
      </c>
      <c r="AJ86" s="102" t="s">
        <v>178</v>
      </c>
      <c r="AK86" s="100" t="s">
        <v>156</v>
      </c>
      <c r="AL86" s="100" t="s">
        <v>153</v>
      </c>
      <c r="AM86" s="100"/>
      <c r="AQ86" s="100" t="s">
        <v>130</v>
      </c>
      <c r="AR86" s="100"/>
      <c r="AS86" s="100" t="s">
        <v>131</v>
      </c>
      <c r="AT86" s="100" t="s">
        <v>132</v>
      </c>
      <c r="AU86" s="100" t="s">
        <v>133</v>
      </c>
      <c r="AV86" s="100" t="s">
        <v>134</v>
      </c>
      <c r="AW86" s="100"/>
      <c r="AX86" s="100" t="s">
        <v>135</v>
      </c>
      <c r="AY86" s="100"/>
    </row>
    <row r="87" spans="1:51" s="103" customFormat="1" ht="12.75" x14ac:dyDescent="0.25">
      <c r="A87" s="100" t="s">
        <v>128</v>
      </c>
      <c r="B87" s="100"/>
      <c r="C87" s="100"/>
      <c r="D87" s="100"/>
      <c r="E87" s="100"/>
      <c r="F87" s="100" t="s">
        <v>423</v>
      </c>
      <c r="G87" s="277"/>
      <c r="H87" s="277"/>
      <c r="I87" s="277"/>
      <c r="J87" s="277"/>
      <c r="K87" s="100" t="s">
        <v>423</v>
      </c>
      <c r="L87" s="277"/>
      <c r="M87" s="277"/>
      <c r="N87" s="277"/>
      <c r="O87" s="277"/>
      <c r="P87" s="100" t="s">
        <v>423</v>
      </c>
      <c r="Q87" s="277"/>
      <c r="R87" s="277"/>
      <c r="S87" s="277"/>
      <c r="T87" s="277"/>
      <c r="U87" s="100" t="s">
        <v>129</v>
      </c>
      <c r="V87" s="100"/>
      <c r="W87" s="100"/>
      <c r="X87" s="100"/>
      <c r="Y87" s="100"/>
      <c r="Z87" s="100"/>
      <c r="AA87" s="100"/>
      <c r="AB87" s="100" t="s">
        <v>146</v>
      </c>
      <c r="AC87" s="100"/>
      <c r="AD87" s="100"/>
      <c r="AE87" s="100"/>
      <c r="AF87" s="100"/>
      <c r="AG87" s="100" t="s">
        <v>148</v>
      </c>
      <c r="AH87" s="296" t="s">
        <v>149</v>
      </c>
      <c r="AI87" s="100" t="s">
        <v>143</v>
      </c>
      <c r="AJ87" s="100" t="s">
        <v>143</v>
      </c>
      <c r="AK87" s="104" t="s">
        <v>157</v>
      </c>
      <c r="AL87" s="100" t="s">
        <v>143</v>
      </c>
      <c r="AM87" s="100" t="s">
        <v>179</v>
      </c>
      <c r="AQ87" s="100" t="s">
        <v>113</v>
      </c>
      <c r="AR87" s="100"/>
      <c r="AS87" s="100"/>
      <c r="AT87" s="100"/>
      <c r="AU87" s="100"/>
      <c r="AV87" s="100"/>
      <c r="AW87" s="100"/>
      <c r="AX87" s="100"/>
      <c r="AY87" s="100"/>
    </row>
    <row r="88" spans="1:51" s="46" customFormat="1" x14ac:dyDescent="0.25">
      <c r="A88" s="231" t="s">
        <v>100</v>
      </c>
      <c r="B88" s="231"/>
      <c r="C88" s="231"/>
      <c r="D88" s="231"/>
      <c r="E88" s="231"/>
      <c r="F88" s="278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97"/>
      <c r="AI88" s="218"/>
      <c r="AJ88" s="218"/>
      <c r="AK88" s="218"/>
      <c r="AL88" s="218"/>
      <c r="AM88" s="218"/>
      <c r="AN88" s="218"/>
      <c r="AO88" s="218"/>
      <c r="AP88" s="179"/>
      <c r="AQ88" s="231" t="str">
        <f t="shared" ref="AQ88:AQ121" si="40">IF(LEFT(A88)="*",A88,"PRE")</f>
        <v>*Boilers</v>
      </c>
      <c r="AR88" s="231" t="str">
        <f>IF($AS88="","",_xlfn.TEXTJOIN(",",TRUE,IF(LEFT(Regions!$C$3,1)&lt;&gt;"*",Regions!$C$3,""),IF(LEFT(Regions!$D$3,1)&lt;&gt;"*",Regions!$D$3,"")))</f>
        <v/>
      </c>
      <c r="AS88" s="231" t="str">
        <f t="shared" ref="AS88:AT121" si="41">IF(LEFT($A88)="*","",A88)</f>
        <v/>
      </c>
      <c r="AT88" s="231" t="str">
        <f t="shared" si="41"/>
        <v/>
      </c>
      <c r="AU88" s="231" t="str">
        <f t="shared" ref="AU88:AU122" si="42">IF(LEFT($A88)="*","","PJ")</f>
        <v/>
      </c>
      <c r="AV88" s="231" t="str">
        <f t="shared" ref="AV88:AV122" si="43">IF(LEFT($A88)="*","","GW")</f>
        <v/>
      </c>
      <c r="AW88" s="46" t="str">
        <f>IF(LEFT($A88)="*","","DayNite")</f>
        <v/>
      </c>
      <c r="AX88" s="231"/>
      <c r="AY88" s="231" t="str">
        <f t="shared" ref="AY88:AY122" si="44">IF($AS88="","","YES")</f>
        <v/>
      </c>
    </row>
    <row r="89" spans="1:51" s="46" customFormat="1" x14ac:dyDescent="0.25">
      <c r="A89" s="46" t="str">
        <f>IF(SRV_TH!AN5="","*","S-SH-"&amp;SRV_TH!$B$83&amp;"_"&amp;SRV_TH!$A5)</f>
        <v>S-SH-PU_OIL_N1</v>
      </c>
      <c r="B89" s="46" t="str">
        <f>IF(A89="*","",$A$83&amp;" - "&amp;SRV_TH!B5)</f>
        <v>Public Services - Oil boiler condensing_SH</v>
      </c>
      <c r="C89" s="46" t="str">
        <f>IF($A89="*","",SRV_TH!C5)</f>
        <v>SRVOIL</v>
      </c>
      <c r="E89" s="46" t="str">
        <f>IF($A89="*","",CONCATENATE(Legend!$C$4,Legend!$C$32,"-",$B$83))</f>
        <v>SRVSH-PU</v>
      </c>
      <c r="F89" s="64">
        <f>IF($A89="*","",IF(SRV_TH!F5=0,"",SRV_TH!F5))</f>
        <v>1</v>
      </c>
      <c r="G89" s="64">
        <f>IF($A89="*","",IF(SRV_TH!G5=0,"",SRV_TH!G5))</f>
        <v>1</v>
      </c>
      <c r="H89" s="64">
        <f>IF($A89="*","",IF(SRV_TH!H5=0,"",SRV_TH!H5))</f>
        <v>1</v>
      </c>
      <c r="I89" s="64">
        <f>IF($A89="*","",IF(SRV_TH!I5=0,"",SRV_TH!I5))</f>
        <v>1</v>
      </c>
      <c r="J89" s="64">
        <f>IF($A89="*","",IF(SRV_TH!J5=0,"",SRV_TH!J5))</f>
        <v>1</v>
      </c>
      <c r="K89" s="64" t="str">
        <f>IF($A89="*","",IF(SRV_TH!K5=0,"",SRV_TH!K5))</f>
        <v/>
      </c>
      <c r="L89" s="64" t="str">
        <f>IF($A89="*","",IF(SRV_TH!L5=0,"",SRV_TH!L5))</f>
        <v/>
      </c>
      <c r="M89" s="64" t="str">
        <f>IF($A89="*","",IF(SRV_TH!M5=0,"",SRV_TH!M5))</f>
        <v/>
      </c>
      <c r="N89" s="64" t="str">
        <f>IF($A89="*","",IF(SRV_TH!N5=0,"",SRV_TH!N5))</f>
        <v/>
      </c>
      <c r="O89" s="64" t="str">
        <f>IF($A89="*","",IF(SRV_TH!O5=0,"",SRV_TH!O5))</f>
        <v/>
      </c>
      <c r="P89" s="64" t="str">
        <f>IF($A89="*","",IF(SRV_TH!P5=0,"",SRV_TH!P5))</f>
        <v/>
      </c>
      <c r="Q89" s="64" t="str">
        <f>IF($A89="*","",IF(SRV_TH!Q5=0,"",SRV_TH!Q5))</f>
        <v/>
      </c>
      <c r="R89" s="64" t="str">
        <f>IF($A89="*","",IF(SRV_TH!R5=0,"",SRV_TH!R5))</f>
        <v/>
      </c>
      <c r="S89" s="64" t="str">
        <f>IF($A89="*","",IF(SRV_TH!S5=0,"",SRV_TH!S5))</f>
        <v/>
      </c>
      <c r="T89" s="64" t="str">
        <f>IF($A89="*","",IF(SRV_TH!T5=0,"",SRV_TH!T5))</f>
        <v/>
      </c>
      <c r="U89" s="224">
        <f>IF($A89="*","",IF(SRV_TH!U5=0,"",SRV_TH!U5))</f>
        <v>20</v>
      </c>
      <c r="V89" s="224" t="str">
        <f>IF($A89="*","",IF(SRV_TH!V5=0,"",SRV_TH!V5))</f>
        <v/>
      </c>
      <c r="W89" s="90"/>
      <c r="X89" s="90"/>
      <c r="Y89" s="90"/>
      <c r="Z89" s="90"/>
      <c r="AA89" s="90"/>
      <c r="AB89" s="90">
        <f>IF($A89="*","",IF(SRV_TH!AB5=0,"",SRV_TH!AB5))</f>
        <v>80</v>
      </c>
      <c r="AC89" s="90">
        <f>IF($A89="*","",IF(SRV_TH!AC5=0,"",SRV_TH!AC5))</f>
        <v>80</v>
      </c>
      <c r="AD89" s="90">
        <f>IF($A89="*","",IF(SRV_TH!AD5=0,"",SRV_TH!AD5))</f>
        <v>80</v>
      </c>
      <c r="AE89" s="90">
        <f>IF($A89="*","",IF(SRV_TH!AE5=0,"",SRV_TH!AE5))</f>
        <v>80</v>
      </c>
      <c r="AF89" s="90">
        <f>IF($A89="*","",IF(SRV_TH!AF5=0,"",SRV_TH!AF5))</f>
        <v>80</v>
      </c>
      <c r="AG89" s="44">
        <f>IF($A89="*","",IF(SRV_TH!AG5=0,"",SRV_TH!AG5))</f>
        <v>1.25</v>
      </c>
      <c r="AH89" s="293" t="str">
        <f>IF($A89="*","",IF(SRV_TH!AH5=0,"",SRV_TH!AH5))</f>
        <v/>
      </c>
      <c r="AI89" s="44" t="str">
        <f>IF($A89="*","",IF(SRV_TH!AI5=0,"",SRV_TH!AI5))</f>
        <v/>
      </c>
      <c r="AJ89" s="44" t="str">
        <f>IF($A89="*","",IF(SRV_TH!AJ5=0,"",SRV_TH!AJ5))</f>
        <v/>
      </c>
      <c r="AK89" s="72">
        <f t="shared" ref="AK89:AK98" si="45">IF($A89="*","",31.536)</f>
        <v>31.536000000000001</v>
      </c>
      <c r="AL89" s="44"/>
      <c r="AM89" s="87">
        <f>IF($A89="*","",2019)</f>
        <v>2019</v>
      </c>
      <c r="AN89" s="218"/>
      <c r="AO89" s="218"/>
      <c r="AP89" s="179"/>
      <c r="AQ89" s="46" t="str">
        <f t="shared" si="40"/>
        <v>PRE</v>
      </c>
      <c r="AR89" s="46" t="str">
        <f>IF($AS89="","",_xlfn.TEXTJOIN(",",TRUE,IF(LEFT(Regions!$C$3,1)&lt;&gt;"*",Regions!$C$3,""),IF(LEFT(Regions!$D$3,1)&lt;&gt;"*",Regions!$D$3,"")))</f>
        <v>IE,National</v>
      </c>
      <c r="AS89" s="46" t="str">
        <f t="shared" si="41"/>
        <v>S-SH-PU_OIL_N1</v>
      </c>
      <c r="AT89" s="46" t="str">
        <f t="shared" si="41"/>
        <v>Public Services - Oil boiler condensing_SH</v>
      </c>
      <c r="AU89" s="46" t="str">
        <f t="shared" si="42"/>
        <v>PJ</v>
      </c>
      <c r="AV89" s="46" t="str">
        <f t="shared" si="43"/>
        <v>GW</v>
      </c>
      <c r="AY89" s="46" t="str">
        <f t="shared" si="44"/>
        <v>YES</v>
      </c>
    </row>
    <row r="90" spans="1:51" s="46" customFormat="1" x14ac:dyDescent="0.25">
      <c r="A90" s="46" t="str">
        <f>IF(SRV_TH!AN6="","*","S-SH-"&amp;SRV_TH!$B$83&amp;"_"&amp;SRV_TH!$A6)</f>
        <v>S-SH-PU_OIL_N2</v>
      </c>
      <c r="B90" s="46" t="str">
        <f>IF(A90="*","",$A$83&amp;" - "&amp;SRV_TH!B6)</f>
        <v>Public Services - Oil boiler condensing_SH-WH</v>
      </c>
      <c r="C90" s="46" t="str">
        <f>IF($A90="*","",SRV_TH!C6)</f>
        <v>SRVOIL</v>
      </c>
      <c r="E90" s="46" t="str">
        <f>IF($A90="*","",CONCATENATE(Legend!$C$4,Legend!$C$32,"-",$B$83,", ",Legend!$C$4,Legend!$C$33,"-",$B$83))</f>
        <v>SRVSH-PU, SRVWH-PU</v>
      </c>
      <c r="F90" s="64">
        <f>IF($A90="*","",IF(SRV_TH!F6=0,"",SRV_TH!F6))</f>
        <v>1</v>
      </c>
      <c r="G90" s="64">
        <f>IF($A90="*","",IF(SRV_TH!G6=0,"",SRV_TH!G6))</f>
        <v>1</v>
      </c>
      <c r="H90" s="64">
        <f>IF($A90="*","",IF(SRV_TH!H6=0,"",SRV_TH!H6))</f>
        <v>1</v>
      </c>
      <c r="I90" s="64">
        <f>IF($A90="*","",IF(SRV_TH!I6=0,"",SRV_TH!I6))</f>
        <v>1</v>
      </c>
      <c r="J90" s="64">
        <f>IF($A90="*","",IF(SRV_TH!J6=0,"",SRV_TH!J6))</f>
        <v>1</v>
      </c>
      <c r="K90" s="64" t="str">
        <f>IF($A90="*","",IF(SRV_TH!K6=0,"",SRV_TH!K6))</f>
        <v/>
      </c>
      <c r="L90" s="64" t="str">
        <f>IF($A90="*","",IF(SRV_TH!L6=0,"",SRV_TH!L6))</f>
        <v/>
      </c>
      <c r="M90" s="64" t="str">
        <f>IF($A90="*","",IF(SRV_TH!M6=0,"",SRV_TH!M6))</f>
        <v/>
      </c>
      <c r="N90" s="64" t="str">
        <f>IF($A90="*","",IF(SRV_TH!N6=0,"",SRV_TH!N6))</f>
        <v/>
      </c>
      <c r="O90" s="64" t="str">
        <f>IF($A90="*","",IF(SRV_TH!O6=0,"",SRV_TH!O6))</f>
        <v/>
      </c>
      <c r="P90" s="64">
        <f>IF($A90="*","",IF(SRV_TH!P6=0,"",SRV_TH!P6))</f>
        <v>0.7</v>
      </c>
      <c r="Q90" s="64">
        <f>IF($A90="*","",IF(SRV_TH!Q6=0,"",SRV_TH!Q6))</f>
        <v>0.7</v>
      </c>
      <c r="R90" s="64">
        <f>IF($A90="*","",IF(SRV_TH!R6=0,"",SRV_TH!R6))</f>
        <v>0.7</v>
      </c>
      <c r="S90" s="64">
        <f>IF($A90="*","",IF(SRV_TH!S6=0,"",SRV_TH!S6))</f>
        <v>0.7</v>
      </c>
      <c r="T90" s="64">
        <f>IF($A90="*","",IF(SRV_TH!T6=0,"",SRV_TH!T6))</f>
        <v>0.7</v>
      </c>
      <c r="U90" s="224">
        <f>IF($A90="*","",IF(SRV_TH!U6=0,"",SRV_TH!U6))</f>
        <v>20</v>
      </c>
      <c r="V90" s="224" t="str">
        <f>IF($A90="*","",IF(SRV_TH!V6=0,"",SRV_TH!V6))</f>
        <v/>
      </c>
      <c r="W90" s="90"/>
      <c r="X90" s="90"/>
      <c r="Y90" s="90"/>
      <c r="Z90" s="90"/>
      <c r="AA90" s="90"/>
      <c r="AB90" s="90">
        <f>IF($A90="*","",IF(SRV_TH!AB6=0,"",SRV_TH!AB6))</f>
        <v>84</v>
      </c>
      <c r="AC90" s="90">
        <f>IF($A90="*","",IF(SRV_TH!AC6=0,"",SRV_TH!AC6))</f>
        <v>84</v>
      </c>
      <c r="AD90" s="90">
        <f>IF($A90="*","",IF(SRV_TH!AD6=0,"",SRV_TH!AD6))</f>
        <v>84</v>
      </c>
      <c r="AE90" s="90">
        <f>IF($A90="*","",IF(SRV_TH!AE6=0,"",SRV_TH!AE6))</f>
        <v>84</v>
      </c>
      <c r="AF90" s="90">
        <f>IF($A90="*","",IF(SRV_TH!AF6=0,"",SRV_TH!AF6))</f>
        <v>84</v>
      </c>
      <c r="AG90" s="44">
        <f>IF($A90="*","",IF(SRV_TH!AG6=0,"",SRV_TH!AG6))</f>
        <v>1.25</v>
      </c>
      <c r="AH90" s="293" t="str">
        <f>IF($A90="*","",IF(SRV_TH!AH6=0,"",SRV_TH!AH6))</f>
        <v/>
      </c>
      <c r="AI90" s="92" t="str">
        <f>IF($A90="*","",IF(SRV_TH!AI6=0,"",SRV_TH!AI6))</f>
        <v/>
      </c>
      <c r="AJ90" s="92" t="str">
        <f>IF($A90="*","",IF(SRV_TH!AJ6=0,"",SRV_TH!AJ6))</f>
        <v/>
      </c>
      <c r="AK90" s="72">
        <f t="shared" si="45"/>
        <v>31.536000000000001</v>
      </c>
      <c r="AL90" s="44"/>
      <c r="AM90" s="87">
        <f t="shared" ref="AM90:AM122" si="46">IF($A90="*","",2019)</f>
        <v>2019</v>
      </c>
      <c r="AN90" s="218"/>
      <c r="AO90" s="218"/>
      <c r="AP90" s="179"/>
      <c r="AQ90" s="46" t="str">
        <f t="shared" si="40"/>
        <v>PRE</v>
      </c>
      <c r="AR90" s="46" t="str">
        <f>IF($AS90="","",_xlfn.TEXTJOIN(",",TRUE,IF(LEFT(Regions!$C$3,1)&lt;&gt;"*",Regions!$C$3,""),IF(LEFT(Regions!$D$3,1)&lt;&gt;"*",Regions!$D$3,"")))</f>
        <v>IE,National</v>
      </c>
      <c r="AS90" s="46" t="str">
        <f t="shared" si="41"/>
        <v>S-SH-PU_OIL_N2</v>
      </c>
      <c r="AT90" s="46" t="str">
        <f t="shared" si="41"/>
        <v>Public Services - Oil boiler condensing_SH-WH</v>
      </c>
      <c r="AU90" s="46" t="str">
        <f t="shared" si="42"/>
        <v>PJ</v>
      </c>
      <c r="AV90" s="46" t="str">
        <f t="shared" si="43"/>
        <v>GW</v>
      </c>
      <c r="AY90" s="46" t="str">
        <f t="shared" si="44"/>
        <v>YES</v>
      </c>
    </row>
    <row r="91" spans="1:51" s="46" customFormat="1" x14ac:dyDescent="0.25">
      <c r="A91" s="46" t="str">
        <f>IF(SRV_TH!AN7="","*","S-SH-"&amp;SRV_TH!$B$83&amp;"_"&amp;SRV_TH!$A7)</f>
        <v>S-SH-PU_GAS_N1</v>
      </c>
      <c r="B91" s="46" t="str">
        <f>IF(A91="*","",$A$83&amp;" - "&amp;SRV_TH!B7)</f>
        <v>Public Services - Gas boiler condensing_SH</v>
      </c>
      <c r="C91" s="46" t="str">
        <f>IF($A91="*","",SRV_TH!C7)</f>
        <v>SRVGAS</v>
      </c>
      <c r="E91" s="46" t="str">
        <f>IF($A91="*","",CONCATENATE(Legend!$C$4,Legend!$C$32,"-",$B$83))</f>
        <v>SRVSH-PU</v>
      </c>
      <c r="F91" s="64">
        <f>IF($A91="*","",IF(SRV_TH!F7=0,"",SRV_TH!F7))</f>
        <v>1</v>
      </c>
      <c r="G91" s="64">
        <f>IF($A91="*","",IF(SRV_TH!G7=0,"",SRV_TH!G7))</f>
        <v>1</v>
      </c>
      <c r="H91" s="64">
        <f>IF($A91="*","",IF(SRV_TH!H7=0,"",SRV_TH!H7))</f>
        <v>1</v>
      </c>
      <c r="I91" s="64">
        <f>IF($A91="*","",IF(SRV_TH!I7=0,"",SRV_TH!I7))</f>
        <v>1</v>
      </c>
      <c r="J91" s="64">
        <f>IF($A91="*","",IF(SRV_TH!J7=0,"",SRV_TH!J7))</f>
        <v>1</v>
      </c>
      <c r="K91" s="64" t="str">
        <f>IF($A91="*","",IF(SRV_TH!K7=0,"",SRV_TH!K7))</f>
        <v/>
      </c>
      <c r="L91" s="64" t="str">
        <f>IF($A91="*","",IF(SRV_TH!L7=0,"",SRV_TH!L7))</f>
        <v/>
      </c>
      <c r="M91" s="64" t="str">
        <f>IF($A91="*","",IF(SRV_TH!M7=0,"",SRV_TH!M7))</f>
        <v/>
      </c>
      <c r="N91" s="64" t="str">
        <f>IF($A91="*","",IF(SRV_TH!N7=0,"",SRV_TH!N7))</f>
        <v/>
      </c>
      <c r="O91" s="64" t="str">
        <f>IF($A91="*","",IF(SRV_TH!O7=0,"",SRV_TH!O7))</f>
        <v/>
      </c>
      <c r="P91" s="64" t="str">
        <f>IF($A91="*","",IF(SRV_TH!P7=0,"",SRV_TH!P7))</f>
        <v/>
      </c>
      <c r="Q91" s="64" t="str">
        <f>IF($A91="*","",IF(SRV_TH!Q7=0,"",SRV_TH!Q7))</f>
        <v/>
      </c>
      <c r="R91" s="64" t="str">
        <f>IF($A91="*","",IF(SRV_TH!R7=0,"",SRV_TH!R7))</f>
        <v/>
      </c>
      <c r="S91" s="64" t="str">
        <f>IF($A91="*","",IF(SRV_TH!S7=0,"",SRV_TH!S7))</f>
        <v/>
      </c>
      <c r="T91" s="64" t="str">
        <f>IF($A91="*","",IF(SRV_TH!T7=0,"",SRV_TH!T7))</f>
        <v/>
      </c>
      <c r="U91" s="224">
        <f>IF($A91="*","",IF(SRV_TH!U7=0,"",SRV_TH!U7))</f>
        <v>25</v>
      </c>
      <c r="V91" s="224" t="str">
        <f>IF($A91="*","",IF(SRV_TH!V7=0,"",SRV_TH!V7))</f>
        <v/>
      </c>
      <c r="W91" s="90"/>
      <c r="X91" s="90"/>
      <c r="Y91" s="90"/>
      <c r="Z91" s="90"/>
      <c r="AA91" s="90"/>
      <c r="AB91" s="90">
        <f>IF($A91="*","",IF(SRV_TH!AB7=0,"",SRV_TH!AB7))</f>
        <v>58.441558441558442</v>
      </c>
      <c r="AC91" s="90">
        <f>IF($A91="*","",IF(SRV_TH!AC7=0,"",SRV_TH!AC7))</f>
        <v>51.948051948051948</v>
      </c>
      <c r="AD91" s="90">
        <f>IF($A91="*","",IF(SRV_TH!AD7=0,"",SRV_TH!AD7))</f>
        <v>45.454545454545453</v>
      </c>
      <c r="AE91" s="90">
        <f>IF($A91="*","",IF(SRV_TH!AE7=0,"",SRV_TH!AE7))</f>
        <v>45.454545454545453</v>
      </c>
      <c r="AF91" s="90">
        <f>IF($A91="*","",IF(SRV_TH!AF7=0,"",SRV_TH!AF7))</f>
        <v>45.454545454545453</v>
      </c>
      <c r="AG91" s="44">
        <f>IF($A91="*","",IF(SRV_TH!AG7=0,"",SRV_TH!AG7))</f>
        <v>4</v>
      </c>
      <c r="AH91" s="293">
        <f>IF($A91="*","",IF(SRV_TH!AH7=0,"",SRV_TH!AH7))</f>
        <v>2</v>
      </c>
      <c r="AI91" s="92" t="str">
        <f>IF($A91="*","",IF(SRV_TH!AI7=0,"",SRV_TH!AI7))</f>
        <v/>
      </c>
      <c r="AJ91" s="92" t="str">
        <f>IF($A91="*","",IF(SRV_TH!AJ7=0,"",SRV_TH!AJ7))</f>
        <v/>
      </c>
      <c r="AK91" s="72">
        <f t="shared" si="45"/>
        <v>31.536000000000001</v>
      </c>
      <c r="AL91" s="44"/>
      <c r="AM91" s="87">
        <f t="shared" si="46"/>
        <v>2019</v>
      </c>
      <c r="AN91" s="218"/>
      <c r="AO91" s="218"/>
      <c r="AP91" s="179"/>
      <c r="AQ91" s="46" t="str">
        <f t="shared" si="40"/>
        <v>PRE</v>
      </c>
      <c r="AR91" s="46" t="str">
        <f>IF($AS91="","",_xlfn.TEXTJOIN(",",TRUE,IF(LEFT(Regions!$C$3,1)&lt;&gt;"*",Regions!$C$3,""),IF(LEFT(Regions!$D$3,1)&lt;&gt;"*",Regions!$D$3,"")))</f>
        <v>IE,National</v>
      </c>
      <c r="AS91" s="46" t="str">
        <f t="shared" si="41"/>
        <v>S-SH-PU_GAS_N1</v>
      </c>
      <c r="AT91" s="46" t="str">
        <f t="shared" si="41"/>
        <v>Public Services - Gas boiler condensing_SH</v>
      </c>
      <c r="AU91" s="46" t="str">
        <f t="shared" si="42"/>
        <v>PJ</v>
      </c>
      <c r="AV91" s="46" t="str">
        <f t="shared" si="43"/>
        <v>GW</v>
      </c>
      <c r="AY91" s="46" t="str">
        <f t="shared" si="44"/>
        <v>YES</v>
      </c>
    </row>
    <row r="92" spans="1:51" s="46" customFormat="1" x14ac:dyDescent="0.25">
      <c r="A92" s="46" t="str">
        <f>IF(SRV_TH!AN8="","*","S-SH-"&amp;SRV_TH!$B$83&amp;"_"&amp;SRV_TH!$A8)</f>
        <v>S-SH-PU_GAS_N2</v>
      </c>
      <c r="B92" s="46" t="str">
        <f>IF(A92="*","",$A$83&amp;" - "&amp;SRV_TH!B8)</f>
        <v xml:space="preserve">Public Services - Gas boiler condensing_SH-WH </v>
      </c>
      <c r="C92" s="46" t="str">
        <f>IF($A92="*","",SRV_TH!C8)</f>
        <v>SRVGAS</v>
      </c>
      <c r="E92" s="46" t="str">
        <f>IF($A92="*","",CONCATENATE(Legend!$C$4,Legend!$C$32,"-",$B$83,", ",Legend!$C$4,Legend!$C$33,"-",$B$83))</f>
        <v>SRVSH-PU, SRVWH-PU</v>
      </c>
      <c r="F92" s="64">
        <f>IF($A92="*","",IF(SRV_TH!F8=0,"",SRV_TH!F8))</f>
        <v>1</v>
      </c>
      <c r="G92" s="64">
        <f>IF($A92="*","",IF(SRV_TH!G8=0,"",SRV_TH!G8))</f>
        <v>1</v>
      </c>
      <c r="H92" s="64">
        <f>IF($A92="*","",IF(SRV_TH!H8=0,"",SRV_TH!H8))</f>
        <v>1</v>
      </c>
      <c r="I92" s="64">
        <f>IF($A92="*","",IF(SRV_TH!I8=0,"",SRV_TH!I8))</f>
        <v>1</v>
      </c>
      <c r="J92" s="64">
        <f>IF($A92="*","",IF(SRV_TH!J8=0,"",SRV_TH!J8))</f>
        <v>1</v>
      </c>
      <c r="K92" s="64" t="str">
        <f>IF($A92="*","",IF(SRV_TH!K8=0,"",SRV_TH!K8))</f>
        <v/>
      </c>
      <c r="L92" s="64" t="str">
        <f>IF($A92="*","",IF(SRV_TH!L8=0,"",SRV_TH!L8))</f>
        <v/>
      </c>
      <c r="M92" s="64" t="str">
        <f>IF($A92="*","",IF(SRV_TH!M8=0,"",SRV_TH!M8))</f>
        <v/>
      </c>
      <c r="N92" s="64" t="str">
        <f>IF($A92="*","",IF(SRV_TH!N8=0,"",SRV_TH!N8))</f>
        <v/>
      </c>
      <c r="O92" s="64" t="str">
        <f>IF($A92="*","",IF(SRV_TH!O8=0,"",SRV_TH!O8))</f>
        <v/>
      </c>
      <c r="P92" s="64">
        <f>IF($A92="*","",IF(SRV_TH!P8=0,"",SRV_TH!P8))</f>
        <v>0.7</v>
      </c>
      <c r="Q92" s="64">
        <f>IF($A92="*","",IF(SRV_TH!Q8=0,"",SRV_TH!Q8))</f>
        <v>0.7</v>
      </c>
      <c r="R92" s="64">
        <f>IF($A92="*","",IF(SRV_TH!R8=0,"",SRV_TH!R8))</f>
        <v>0.7</v>
      </c>
      <c r="S92" s="64">
        <f>IF($A92="*","",IF(SRV_TH!S8=0,"",SRV_TH!S8))</f>
        <v>0.7</v>
      </c>
      <c r="T92" s="64">
        <f>IF($A92="*","",IF(SRV_TH!T8=0,"",SRV_TH!T8))</f>
        <v>0.7</v>
      </c>
      <c r="U92" s="224">
        <f>IF($A92="*","",IF(SRV_TH!U8=0,"",SRV_TH!U8))</f>
        <v>25</v>
      </c>
      <c r="V92" s="224" t="str">
        <f>IF($A92="*","",IF(SRV_TH!V8=0,"",SRV_TH!V8))</f>
        <v/>
      </c>
      <c r="W92" s="90"/>
      <c r="X92" s="90"/>
      <c r="Y92" s="90"/>
      <c r="Z92" s="90"/>
      <c r="AA92" s="90"/>
      <c r="AB92" s="90">
        <f>IF($A92="*","",IF(SRV_TH!AB8=0,"",SRV_TH!AB8))</f>
        <v>61.363636363636367</v>
      </c>
      <c r="AC92" s="90">
        <f>IF($A92="*","",IF(SRV_TH!AC8=0,"",SRV_TH!AC8))</f>
        <v>54.545454545454547</v>
      </c>
      <c r="AD92" s="90">
        <f>IF($A92="*","",IF(SRV_TH!AD8=0,"",SRV_TH!AD8))</f>
        <v>47.727272727272727</v>
      </c>
      <c r="AE92" s="90">
        <f>IF($A92="*","",IF(SRV_TH!AE8=0,"",SRV_TH!AE8))</f>
        <v>47.727272727272727</v>
      </c>
      <c r="AF92" s="90">
        <f>IF($A92="*","",IF(SRV_TH!AF8=0,"",SRV_TH!AF8))</f>
        <v>47.727272727272727</v>
      </c>
      <c r="AG92" s="44">
        <f>IF($A92="*","",IF(SRV_TH!AG8=0,"",SRV_TH!AG8))</f>
        <v>4</v>
      </c>
      <c r="AH92" s="293">
        <f>IF($A92="*","",IF(SRV_TH!AH8=0,"",SRV_TH!AH8))</f>
        <v>2</v>
      </c>
      <c r="AI92" s="92" t="str">
        <f>IF($A92="*","",IF(SRV_TH!AI8=0,"",SRV_TH!AI8))</f>
        <v/>
      </c>
      <c r="AJ92" s="92" t="str">
        <f>IF($A92="*","",IF(SRV_TH!AJ8=0,"",SRV_TH!AJ8))</f>
        <v/>
      </c>
      <c r="AK92" s="72">
        <f t="shared" si="45"/>
        <v>31.536000000000001</v>
      </c>
      <c r="AL92" s="44"/>
      <c r="AM92" s="87">
        <f t="shared" si="46"/>
        <v>2019</v>
      </c>
      <c r="AN92" s="218"/>
      <c r="AO92" s="218"/>
      <c r="AP92" s="179"/>
      <c r="AQ92" s="46" t="str">
        <f t="shared" si="40"/>
        <v>PRE</v>
      </c>
      <c r="AR92" s="46" t="str">
        <f>IF($AS92="","",_xlfn.TEXTJOIN(",",TRUE,IF(LEFT(Regions!$C$3,1)&lt;&gt;"*",Regions!$C$3,""),IF(LEFT(Regions!$D$3,1)&lt;&gt;"*",Regions!$D$3,"")))</f>
        <v>IE,National</v>
      </c>
      <c r="AS92" s="46" t="str">
        <f t="shared" si="41"/>
        <v>S-SH-PU_GAS_N2</v>
      </c>
      <c r="AT92" s="46" t="str">
        <f t="shared" si="41"/>
        <v xml:space="preserve">Public Services - Gas boiler condensing_SH-WH </v>
      </c>
      <c r="AU92" s="46" t="str">
        <f t="shared" si="42"/>
        <v>PJ</v>
      </c>
      <c r="AV92" s="46" t="str">
        <f t="shared" si="43"/>
        <v>GW</v>
      </c>
      <c r="AY92" s="46" t="str">
        <f t="shared" si="44"/>
        <v>YES</v>
      </c>
    </row>
    <row r="93" spans="1:51" s="46" customFormat="1" x14ac:dyDescent="0.25">
      <c r="A93" s="46" t="str">
        <f>IF(SRV_TH!AN9="","*","S-SH-"&amp;SRV_TH!$B$83&amp;"_"&amp;SRV_TH!$A9)</f>
        <v>S-SH-PU_GAS_N3</v>
      </c>
      <c r="B93" s="46" t="str">
        <f>IF(A93="*","",$A$83&amp;" - "&amp;SRV_TH!B9)</f>
        <v xml:space="preserve">Public Services - Gas boiler condensing + Solar thermal_SH-WH </v>
      </c>
      <c r="C93" s="46" t="str">
        <f>IF($A93="*","",SRV_TH!C9)</f>
        <v>SRVGAS, SRVSOL</v>
      </c>
      <c r="E93" s="46" t="str">
        <f>IF($A93="*","",CONCATENATE(Legend!$C$4,Legend!$C$32,"-",$B$83,", ",Legend!$C$4,Legend!$C$33,"-",$B$83))</f>
        <v>SRVSH-PU, SRVWH-PU</v>
      </c>
      <c r="F93" s="64">
        <f>IF($A93="*","",IF(SRV_TH!F9=0,"",SRV_TH!F9))</f>
        <v>1</v>
      </c>
      <c r="G93" s="64">
        <f>IF($A93="*","",IF(SRV_TH!G9=0,"",SRV_TH!G9))</f>
        <v>1</v>
      </c>
      <c r="H93" s="64">
        <f>IF($A93="*","",IF(SRV_TH!H9=0,"",SRV_TH!H9))</f>
        <v>1</v>
      </c>
      <c r="I93" s="64">
        <f>IF($A93="*","",IF(SRV_TH!I9=0,"",SRV_TH!I9))</f>
        <v>1</v>
      </c>
      <c r="J93" s="64">
        <f>IF($A93="*","",IF(SRV_TH!J9=0,"",SRV_TH!J9))</f>
        <v>1</v>
      </c>
      <c r="K93" s="64" t="str">
        <f>IF($A93="*","",IF(SRV_TH!K9=0,"",SRV_TH!K9))</f>
        <v/>
      </c>
      <c r="L93" s="64" t="str">
        <f>IF($A93="*","",IF(SRV_TH!L9=0,"",SRV_TH!L9))</f>
        <v/>
      </c>
      <c r="M93" s="64" t="str">
        <f>IF($A93="*","",IF(SRV_TH!M9=0,"",SRV_TH!M9))</f>
        <v/>
      </c>
      <c r="N93" s="64" t="str">
        <f>IF($A93="*","",IF(SRV_TH!N9=0,"",SRV_TH!N9))</f>
        <v/>
      </c>
      <c r="O93" s="64" t="str">
        <f>IF($A93="*","",IF(SRV_TH!O9=0,"",SRV_TH!O9))</f>
        <v/>
      </c>
      <c r="P93" s="64">
        <f>IF($A93="*","",IF(SRV_TH!P9=0,"",SRV_TH!P9))</f>
        <v>0.7</v>
      </c>
      <c r="Q93" s="64">
        <f>IF($A93="*","",IF(SRV_TH!Q9=0,"",SRV_TH!Q9))</f>
        <v>0.7</v>
      </c>
      <c r="R93" s="64">
        <f>IF($A93="*","",IF(SRV_TH!R9=0,"",SRV_TH!R9))</f>
        <v>0.7</v>
      </c>
      <c r="S93" s="64">
        <f>IF($A93="*","",IF(SRV_TH!S9=0,"",SRV_TH!S9))</f>
        <v>0.7</v>
      </c>
      <c r="T93" s="64">
        <f>IF($A93="*","",IF(SRV_TH!T9=0,"",SRV_TH!T9))</f>
        <v>0.7</v>
      </c>
      <c r="U93" s="224">
        <f>IF($A93="*","",IF(SRV_TH!U9=0,"",SRV_TH!U9))</f>
        <v>25</v>
      </c>
      <c r="V93" s="224" t="str">
        <f>IF($A93="*","",IF(SRV_TH!V9=0,"",SRV_TH!V9))</f>
        <v/>
      </c>
      <c r="W93" s="90"/>
      <c r="X93" s="90"/>
      <c r="Y93" s="90"/>
      <c r="Z93" s="90"/>
      <c r="AA93" s="90"/>
      <c r="AB93" s="90">
        <f>IF($A93="*","",IF(SRV_TH!AB9=0,"",SRV_TH!AB9))</f>
        <v>214.28571428571428</v>
      </c>
      <c r="AC93" s="90">
        <f>IF($A93="*","",IF(SRV_TH!AC9=0,"",SRV_TH!AC9))</f>
        <v>209.52380952380952</v>
      </c>
      <c r="AD93" s="90">
        <f>IF($A93="*","",IF(SRV_TH!AD9=0,"",SRV_TH!AD9))</f>
        <v>204.76190476190476</v>
      </c>
      <c r="AE93" s="90">
        <f>IF($A93="*","",IF(SRV_TH!AE9=0,"",SRV_TH!AE9))</f>
        <v>204.76190476190476</v>
      </c>
      <c r="AF93" s="90">
        <f>IF($A93="*","",IF(SRV_TH!AF9=0,"",SRV_TH!AF9))</f>
        <v>204.76190476190476</v>
      </c>
      <c r="AG93" s="44">
        <f>IF($A93="*","",IF(SRV_TH!AG9=0,"",SRV_TH!AG9))</f>
        <v>6.6285714285714281</v>
      </c>
      <c r="AH93" s="293" t="str">
        <f>IF($A93="*","",IF(SRV_TH!AH9=0,"",SRV_TH!AH9))</f>
        <v/>
      </c>
      <c r="AI93" s="92">
        <f>IF($A93="*","",IF(SRV_TH!AI9=0,"",SRV_TH!AI9))</f>
        <v>0.1221556886227545</v>
      </c>
      <c r="AJ93" s="92" t="str">
        <f>IF($A93="*","",IF(SRV_TH!AJ9=0,"",SRV_TH!AJ9))</f>
        <v/>
      </c>
      <c r="AK93" s="72">
        <f t="shared" si="45"/>
        <v>31.536000000000001</v>
      </c>
      <c r="AL93" s="44"/>
      <c r="AM93" s="87">
        <f t="shared" si="46"/>
        <v>2019</v>
      </c>
      <c r="AN93" s="218"/>
      <c r="AO93" s="218"/>
      <c r="AP93" s="179"/>
      <c r="AQ93" s="46" t="str">
        <f t="shared" si="40"/>
        <v>PRE</v>
      </c>
      <c r="AR93" s="46" t="str">
        <f>IF($AS93="","",_xlfn.TEXTJOIN(",",TRUE,IF(LEFT(Regions!$C$3,1)&lt;&gt;"*",Regions!$C$3,""),IF(LEFT(Regions!$D$3,1)&lt;&gt;"*",Regions!$D$3,"")))</f>
        <v>IE,National</v>
      </c>
      <c r="AS93" s="46" t="str">
        <f t="shared" si="41"/>
        <v>S-SH-PU_GAS_N3</v>
      </c>
      <c r="AT93" s="46" t="str">
        <f t="shared" si="41"/>
        <v xml:space="preserve">Public Services - Gas boiler condensing + Solar thermal_SH-WH </v>
      </c>
      <c r="AU93" s="46" t="str">
        <f t="shared" si="42"/>
        <v>PJ</v>
      </c>
      <c r="AV93" s="46" t="str">
        <f t="shared" si="43"/>
        <v>GW</v>
      </c>
      <c r="AY93" s="46" t="str">
        <f t="shared" si="44"/>
        <v>YES</v>
      </c>
    </row>
    <row r="94" spans="1:51" s="46" customFormat="1" x14ac:dyDescent="0.25">
      <c r="A94" s="46" t="str">
        <f>IF(SRV_TH!AN10="","*","S-SH-"&amp;SRV_TH!$B$83&amp;"_"&amp;SRV_TH!$A10)</f>
        <v>S-SH-PU_GAS_N4</v>
      </c>
      <c r="B94" s="46" t="str">
        <f>IF(A94="*","",$A$83&amp;" - "&amp;SRV_TH!B10)</f>
        <v xml:space="preserve">Public Services - Gas boiler condensing + Wood stove_SH-WH </v>
      </c>
      <c r="C94" s="46" t="str">
        <f>IF($A94="*","",SRV_TH!C10)</f>
        <v>SRVGAS, SRVBIO</v>
      </c>
      <c r="E94" s="46" t="str">
        <f>IF($A94="*","",CONCATENATE(Legend!$C$4,Legend!$C$32,"-",$B$83,", ",Legend!$C$4,Legend!$C$33,"-",$B$83))</f>
        <v>SRVSH-PU, SRVWH-PU</v>
      </c>
      <c r="F94" s="64">
        <f>IF($A94="*","",IF(SRV_TH!F10=0,"",SRV_TH!F10))</f>
        <v>0.86</v>
      </c>
      <c r="G94" s="64">
        <f>IF($A94="*","",IF(SRV_TH!G10=0,"",SRV_TH!G10))</f>
        <v>0.87999999999999989</v>
      </c>
      <c r="H94" s="64">
        <f>IF($A94="*","",IF(SRV_TH!H10=0,"",SRV_TH!H10))</f>
        <v>0.9</v>
      </c>
      <c r="I94" s="64">
        <f>IF($A94="*","",IF(SRV_TH!I10=0,"",SRV_TH!I10))</f>
        <v>0.9</v>
      </c>
      <c r="J94" s="64">
        <f>IF($A94="*","",IF(SRV_TH!J10=0,"",SRV_TH!J10))</f>
        <v>0.9</v>
      </c>
      <c r="K94" s="64" t="str">
        <f>IF($A94="*","",IF(SRV_TH!K10=0,"",SRV_TH!K10))</f>
        <v/>
      </c>
      <c r="L94" s="64" t="str">
        <f>IF($A94="*","",IF(SRV_TH!L10=0,"",SRV_TH!L10))</f>
        <v/>
      </c>
      <c r="M94" s="64" t="str">
        <f>IF($A94="*","",IF(SRV_TH!M10=0,"",SRV_TH!M10))</f>
        <v/>
      </c>
      <c r="N94" s="64" t="str">
        <f>IF($A94="*","",IF(SRV_TH!N10=0,"",SRV_TH!N10))</f>
        <v/>
      </c>
      <c r="O94" s="64" t="str">
        <f>IF($A94="*","",IF(SRV_TH!O10=0,"",SRV_TH!O10))</f>
        <v/>
      </c>
      <c r="P94" s="64">
        <f>IF($A94="*","",IF(SRV_TH!P10=0,"",SRV_TH!P10))</f>
        <v>0.60199999999999998</v>
      </c>
      <c r="Q94" s="64">
        <f>IF($A94="*","",IF(SRV_TH!Q10=0,"",SRV_TH!Q10))</f>
        <v>0.61599999999999988</v>
      </c>
      <c r="R94" s="64">
        <f>IF($A94="*","",IF(SRV_TH!R10=0,"",SRV_TH!R10))</f>
        <v>0.63</v>
      </c>
      <c r="S94" s="64">
        <f>IF($A94="*","",IF(SRV_TH!S10=0,"",SRV_TH!S10))</f>
        <v>0.63</v>
      </c>
      <c r="T94" s="64">
        <f>IF($A94="*","",IF(SRV_TH!T10=0,"",SRV_TH!T10))</f>
        <v>0.63</v>
      </c>
      <c r="U94" s="224">
        <f>IF($A94="*","",IF(SRV_TH!U10=0,"",SRV_TH!U10))</f>
        <v>24</v>
      </c>
      <c r="V94" s="224" t="str">
        <f>IF($A94="*","",IF(SRV_TH!V10=0,"",SRV_TH!V10))</f>
        <v/>
      </c>
      <c r="W94" s="90"/>
      <c r="X94" s="90"/>
      <c r="Y94" s="90"/>
      <c r="Z94" s="90"/>
      <c r="AA94" s="90"/>
      <c r="AB94" s="90">
        <f>IF($A94="*","",IF(SRV_TH!AB10=0,"",SRV_TH!AB10))</f>
        <v>68.41768097373479</v>
      </c>
      <c r="AC94" s="90">
        <f>IF($A94="*","",IF(SRV_TH!AC10=0,"",SRV_TH!AC10))</f>
        <v>62.011531069827036</v>
      </c>
      <c r="AD94" s="90">
        <f>IF($A94="*","",IF(SRV_TH!AD10=0,"",SRV_TH!AD10))</f>
        <v>57.911595131326074</v>
      </c>
      <c r="AE94" s="90">
        <f>IF($A94="*","",IF(SRV_TH!AE10=0,"",SRV_TH!AE10))</f>
        <v>57.911595131326074</v>
      </c>
      <c r="AF94" s="90">
        <f>IF($A94="*","",IF(SRV_TH!AF10=0,"",SRV_TH!AF10))</f>
        <v>57.911595131326074</v>
      </c>
      <c r="AG94" s="44">
        <f>IF($A94="*","",IF(SRV_TH!AG10=0,"",SRV_TH!AG10))</f>
        <v>3.3142857142857149</v>
      </c>
      <c r="AH94" s="293" t="str">
        <f>IF($A94="*","",IF(SRV_TH!AH10=0,"",SRV_TH!AH10))</f>
        <v/>
      </c>
      <c r="AI94" s="92" t="str">
        <f>IF($A94="*","",IF(SRV_TH!AI10=0,"",SRV_TH!AI10))</f>
        <v/>
      </c>
      <c r="AJ94" s="92">
        <f>IF($A94="*","",IF(SRV_TH!AJ10=0,"",SRV_TH!AJ10))</f>
        <v>0.51127819548872178</v>
      </c>
      <c r="AK94" s="72">
        <f t="shared" si="45"/>
        <v>31.536000000000001</v>
      </c>
      <c r="AL94" s="44"/>
      <c r="AM94" s="87">
        <f t="shared" si="46"/>
        <v>2019</v>
      </c>
      <c r="AN94" s="218"/>
      <c r="AO94" s="218"/>
      <c r="AP94" s="179"/>
      <c r="AQ94" s="46" t="str">
        <f t="shared" si="40"/>
        <v>PRE</v>
      </c>
      <c r="AR94" s="46" t="str">
        <f>IF($AS94="","",_xlfn.TEXTJOIN(",",TRUE,IF(LEFT(Regions!$C$3,1)&lt;&gt;"*",Regions!$C$3,""),IF(LEFT(Regions!$D$3,1)&lt;&gt;"*",Regions!$D$3,"")))</f>
        <v>IE,National</v>
      </c>
      <c r="AS94" s="46" t="str">
        <f t="shared" si="41"/>
        <v>S-SH-PU_GAS_N4</v>
      </c>
      <c r="AT94" s="46" t="str">
        <f t="shared" si="41"/>
        <v xml:space="preserve">Public Services - Gas boiler condensing + Wood stove_SH-WH </v>
      </c>
      <c r="AU94" s="46" t="str">
        <f t="shared" si="42"/>
        <v>PJ</v>
      </c>
      <c r="AV94" s="46" t="str">
        <f t="shared" si="43"/>
        <v>GW</v>
      </c>
      <c r="AY94" s="46" t="str">
        <f t="shared" si="44"/>
        <v>YES</v>
      </c>
    </row>
    <row r="95" spans="1:51" s="46" customFormat="1" x14ac:dyDescent="0.25">
      <c r="A95" s="46" t="str">
        <f>IF(SRV_TH!AN11="","*","S-SH-"&amp;SRV_TH!$B$83&amp;"_"&amp;SRV_TH!$A11)</f>
        <v>S-SH-PU_LPG_N1</v>
      </c>
      <c r="B95" s="46" t="str">
        <f>IF(A95="*","",$A$83&amp;" - "&amp;SRV_TH!B11)</f>
        <v>Public Services - LPG boiler condensing_SH</v>
      </c>
      <c r="C95" s="46" t="str">
        <f>IF($A95="*","",SRV_TH!C11)</f>
        <v>SRVLPG</v>
      </c>
      <c r="E95" s="46" t="str">
        <f>IF($A95="*","",CONCATENATE(Legend!$C$4,Legend!$C$32,"-",$B$83))</f>
        <v>SRVSH-PU</v>
      </c>
      <c r="F95" s="64">
        <f>IF($A95="*","",IF(SRV_TH!F11=0,"",SRV_TH!F11))</f>
        <v>1</v>
      </c>
      <c r="G95" s="64">
        <f>IF($A95="*","",IF(SRV_TH!G11=0,"",SRV_TH!G11))</f>
        <v>1</v>
      </c>
      <c r="H95" s="64">
        <f>IF($A95="*","",IF(SRV_TH!H11=0,"",SRV_TH!H11))</f>
        <v>1</v>
      </c>
      <c r="I95" s="64">
        <f>IF($A95="*","",IF(SRV_TH!I11=0,"",SRV_TH!I11))</f>
        <v>1</v>
      </c>
      <c r="J95" s="64">
        <f>IF($A95="*","",IF(SRV_TH!J11=0,"",SRV_TH!J11))</f>
        <v>1</v>
      </c>
      <c r="K95" s="64" t="str">
        <f>IF($A95="*","",IF(SRV_TH!K11=0,"",SRV_TH!K11))</f>
        <v/>
      </c>
      <c r="L95" s="64" t="str">
        <f>IF($A95="*","",IF(SRV_TH!L11=0,"",SRV_TH!L11))</f>
        <v/>
      </c>
      <c r="M95" s="64" t="str">
        <f>IF($A95="*","",IF(SRV_TH!M11=0,"",SRV_TH!M11))</f>
        <v/>
      </c>
      <c r="N95" s="64" t="str">
        <f>IF($A95="*","",IF(SRV_TH!N11=0,"",SRV_TH!N11))</f>
        <v/>
      </c>
      <c r="O95" s="64" t="str">
        <f>IF($A95="*","",IF(SRV_TH!O11=0,"",SRV_TH!O11))</f>
        <v/>
      </c>
      <c r="P95" s="64" t="str">
        <f>IF($A95="*","",IF(SRV_TH!P11=0,"",SRV_TH!P11))</f>
        <v/>
      </c>
      <c r="Q95" s="64" t="str">
        <f>IF($A95="*","",IF(SRV_TH!Q11=0,"",SRV_TH!Q11))</f>
        <v/>
      </c>
      <c r="R95" s="64" t="str">
        <f>IF($A95="*","",IF(SRV_TH!R11=0,"",SRV_TH!R11))</f>
        <v/>
      </c>
      <c r="S95" s="64" t="str">
        <f>IF($A95="*","",IF(SRV_TH!S11=0,"",SRV_TH!S11))</f>
        <v/>
      </c>
      <c r="T95" s="64" t="str">
        <f>IF($A95="*","",IF(SRV_TH!T11=0,"",SRV_TH!T11))</f>
        <v/>
      </c>
      <c r="U95" s="224">
        <f>IF($A95="*","",IF(SRV_TH!U11=0,"",SRV_TH!U11))</f>
        <v>25</v>
      </c>
      <c r="V95" s="224" t="str">
        <f>IF($A95="*","",IF(SRV_TH!V11=0,"",SRV_TH!V11))</f>
        <v/>
      </c>
      <c r="W95" s="90"/>
      <c r="X95" s="90"/>
      <c r="Y95" s="90"/>
      <c r="Z95" s="90"/>
      <c r="AA95" s="90"/>
      <c r="AB95" s="90">
        <f>IF($A95="*","",IF(SRV_TH!AB11=0,"",SRV_TH!AB11))</f>
        <v>58.441558441558442</v>
      </c>
      <c r="AC95" s="90">
        <f>IF($A95="*","",IF(SRV_TH!AC11=0,"",SRV_TH!AC11))</f>
        <v>51.948051948051948</v>
      </c>
      <c r="AD95" s="90">
        <f>IF($A95="*","",IF(SRV_TH!AD11=0,"",SRV_TH!AD11))</f>
        <v>45.454545454545453</v>
      </c>
      <c r="AE95" s="90">
        <f>IF($A95="*","",IF(SRV_TH!AE11=0,"",SRV_TH!AE11))</f>
        <v>45.454545454545453</v>
      </c>
      <c r="AF95" s="90">
        <f>IF($A95="*","",IF(SRV_TH!AF11=0,"",SRV_TH!AF11))</f>
        <v>45.454545454545453</v>
      </c>
      <c r="AG95" s="90">
        <f>IF($A95="*","",IF(SRV_TH!AG11=0,"",SRV_TH!AG11))</f>
        <v>4</v>
      </c>
      <c r="AH95" s="293">
        <f>IF($A95="*","",IF(SRV_TH!AH11=0,"",SRV_TH!AH11))</f>
        <v>2</v>
      </c>
      <c r="AI95" s="92" t="str">
        <f>IF($A95="*","",IF(SRV_TH!AI11=0,"",SRV_TH!AI11))</f>
        <v/>
      </c>
      <c r="AJ95" s="92" t="str">
        <f>IF($A95="*","",IF(SRV_TH!AJ11=0,"",SRV_TH!AJ11))</f>
        <v/>
      </c>
      <c r="AK95" s="72">
        <f t="shared" si="45"/>
        <v>31.536000000000001</v>
      </c>
      <c r="AL95" s="90"/>
      <c r="AM95" s="87">
        <f t="shared" si="46"/>
        <v>2019</v>
      </c>
      <c r="AN95" s="218"/>
      <c r="AO95" s="218"/>
      <c r="AP95" s="179"/>
      <c r="AQ95" s="46" t="str">
        <f t="shared" si="40"/>
        <v>PRE</v>
      </c>
      <c r="AR95" s="46" t="str">
        <f>IF($AS95="","",_xlfn.TEXTJOIN(",",TRUE,IF(LEFT(Regions!$C$3,1)&lt;&gt;"*",Regions!$C$3,""),IF(LEFT(Regions!$D$3,1)&lt;&gt;"*",Regions!$D$3,"")))</f>
        <v>IE,National</v>
      </c>
      <c r="AS95" s="46" t="str">
        <f t="shared" si="41"/>
        <v>S-SH-PU_LPG_N1</v>
      </c>
      <c r="AT95" s="46" t="str">
        <f t="shared" si="41"/>
        <v>Public Services - LPG boiler condensing_SH</v>
      </c>
      <c r="AU95" s="46" t="str">
        <f t="shared" si="42"/>
        <v>PJ</v>
      </c>
      <c r="AV95" s="46" t="str">
        <f t="shared" si="43"/>
        <v>GW</v>
      </c>
      <c r="AY95" s="46" t="str">
        <f t="shared" si="44"/>
        <v>YES</v>
      </c>
    </row>
    <row r="96" spans="1:51" s="46" customFormat="1" x14ac:dyDescent="0.25">
      <c r="A96" s="46" t="str">
        <f>IF(SRV_TH!AN12="","*","S-SH-"&amp;SRV_TH!$B$83&amp;"_"&amp;SRV_TH!$A12)</f>
        <v>S-SH-PU_LPG_N2</v>
      </c>
      <c r="B96" s="46" t="str">
        <f>IF(A96="*","",$A$83&amp;" - "&amp;SRV_TH!B12)</f>
        <v>Public Services - LPG boiler condensing_SH-WH</v>
      </c>
      <c r="C96" s="46" t="str">
        <f>IF($A96="*","",SRV_TH!C12)</f>
        <v>SRVLPG</v>
      </c>
      <c r="E96" s="46" t="str">
        <f>IF($A96="*","",CONCATENATE(Legend!$C$4,Legend!$C$32,"-",$B$83,", ",Legend!$C$4,Legend!$C$33,"-",$B$83))</f>
        <v>SRVSH-PU, SRVWH-PU</v>
      </c>
      <c r="F96" s="64">
        <f>IF($A96="*","",IF(SRV_TH!F12=0,"",SRV_TH!F12))</f>
        <v>1</v>
      </c>
      <c r="G96" s="64">
        <f>IF($A96="*","",IF(SRV_TH!G12=0,"",SRV_TH!G12))</f>
        <v>1</v>
      </c>
      <c r="H96" s="64">
        <f>IF($A96="*","",IF(SRV_TH!H12=0,"",SRV_TH!H12))</f>
        <v>1</v>
      </c>
      <c r="I96" s="64">
        <f>IF($A96="*","",IF(SRV_TH!I12=0,"",SRV_TH!I12))</f>
        <v>1</v>
      </c>
      <c r="J96" s="64">
        <f>IF($A96="*","",IF(SRV_TH!J12=0,"",SRV_TH!J12))</f>
        <v>1</v>
      </c>
      <c r="K96" s="64" t="str">
        <f>IF($A96="*","",IF(SRV_TH!K12=0,"",SRV_TH!K12))</f>
        <v/>
      </c>
      <c r="L96" s="64" t="str">
        <f>IF($A96="*","",IF(SRV_TH!L12=0,"",SRV_TH!L12))</f>
        <v/>
      </c>
      <c r="M96" s="64" t="str">
        <f>IF($A96="*","",IF(SRV_TH!M12=0,"",SRV_TH!M12))</f>
        <v/>
      </c>
      <c r="N96" s="64" t="str">
        <f>IF($A96="*","",IF(SRV_TH!N12=0,"",SRV_TH!N12))</f>
        <v/>
      </c>
      <c r="O96" s="64" t="str">
        <f>IF($A96="*","",IF(SRV_TH!O12=0,"",SRV_TH!O12))</f>
        <v/>
      </c>
      <c r="P96" s="64">
        <f>IF($A96="*","",IF(SRV_TH!P12=0,"",SRV_TH!P12))</f>
        <v>0.7</v>
      </c>
      <c r="Q96" s="64">
        <f>IF($A96="*","",IF(SRV_TH!Q12=0,"",SRV_TH!Q12))</f>
        <v>0.7</v>
      </c>
      <c r="R96" s="64">
        <f>IF($A96="*","",IF(SRV_TH!R12=0,"",SRV_TH!R12))</f>
        <v>0.7</v>
      </c>
      <c r="S96" s="64">
        <f>IF($A96="*","",IF(SRV_TH!S12=0,"",SRV_TH!S12))</f>
        <v>0.7</v>
      </c>
      <c r="T96" s="64">
        <f>IF($A96="*","",IF(SRV_TH!T12=0,"",SRV_TH!T12))</f>
        <v>0.7</v>
      </c>
      <c r="U96" s="224">
        <f>IF($A96="*","",IF(SRV_TH!U12=0,"",SRV_TH!U12))</f>
        <v>25</v>
      </c>
      <c r="V96" s="224" t="str">
        <f>IF($A96="*","",IF(SRV_TH!V12=0,"",SRV_TH!V12))</f>
        <v/>
      </c>
      <c r="W96" s="90"/>
      <c r="X96" s="90"/>
      <c r="Y96" s="90"/>
      <c r="Z96" s="90"/>
      <c r="AA96" s="90"/>
      <c r="AB96" s="90">
        <f>IF($A96="*","",IF(SRV_TH!AB12=0,"",SRV_TH!AB12))</f>
        <v>61.363636363636367</v>
      </c>
      <c r="AC96" s="90">
        <f>IF($A96="*","",IF(SRV_TH!AC12=0,"",SRV_TH!AC12))</f>
        <v>54.545454545454547</v>
      </c>
      <c r="AD96" s="90">
        <f>IF($A96="*","",IF(SRV_TH!AD12=0,"",SRV_TH!AD12))</f>
        <v>47.727272727272727</v>
      </c>
      <c r="AE96" s="90">
        <f>IF($A96="*","",IF(SRV_TH!AE12=0,"",SRV_TH!AE12))</f>
        <v>47.727272727272727</v>
      </c>
      <c r="AF96" s="90">
        <f>IF($A96="*","",IF(SRV_TH!AF12=0,"",SRV_TH!AF12))</f>
        <v>47.727272727272727</v>
      </c>
      <c r="AG96" s="90">
        <f>IF($A96="*","",IF(SRV_TH!AG12=0,"",SRV_TH!AG12))</f>
        <v>4</v>
      </c>
      <c r="AH96" s="293">
        <f>IF($A96="*","",IF(SRV_TH!AH12=0,"",SRV_TH!AH12))</f>
        <v>2</v>
      </c>
      <c r="AI96" s="92" t="str">
        <f>IF($A96="*","",IF(SRV_TH!AI12=0,"",SRV_TH!AI12))</f>
        <v/>
      </c>
      <c r="AJ96" s="92" t="str">
        <f>IF($A96="*","",IF(SRV_TH!AJ12=0,"",SRV_TH!AJ12))</f>
        <v/>
      </c>
      <c r="AK96" s="72">
        <f t="shared" si="45"/>
        <v>31.536000000000001</v>
      </c>
      <c r="AL96" s="90"/>
      <c r="AM96" s="87">
        <f t="shared" si="46"/>
        <v>2019</v>
      </c>
      <c r="AN96" s="218"/>
      <c r="AO96" s="218"/>
      <c r="AP96" s="179"/>
      <c r="AQ96" s="46" t="str">
        <f t="shared" si="40"/>
        <v>PRE</v>
      </c>
      <c r="AR96" s="46" t="str">
        <f>IF($AS96="","",_xlfn.TEXTJOIN(",",TRUE,IF(LEFT(Regions!$C$3,1)&lt;&gt;"*",Regions!$C$3,""),IF(LEFT(Regions!$D$3,1)&lt;&gt;"*",Regions!$D$3,"")))</f>
        <v>IE,National</v>
      </c>
      <c r="AS96" s="46" t="str">
        <f t="shared" si="41"/>
        <v>S-SH-PU_LPG_N2</v>
      </c>
      <c r="AT96" s="46" t="str">
        <f t="shared" si="41"/>
        <v>Public Services - LPG boiler condensing_SH-WH</v>
      </c>
      <c r="AU96" s="46" t="str">
        <f t="shared" si="42"/>
        <v>PJ</v>
      </c>
      <c r="AV96" s="46" t="str">
        <f t="shared" si="43"/>
        <v>GW</v>
      </c>
      <c r="AY96" s="46" t="str">
        <f t="shared" si="44"/>
        <v>YES</v>
      </c>
    </row>
    <row r="97" spans="1:51" s="46" customFormat="1" x14ac:dyDescent="0.25">
      <c r="A97" s="46" t="str">
        <f>IF(SRV_TH!AN13="","*","S-SH-"&amp;SRV_TH!$B$83&amp;"_"&amp;SRV_TH!$A13)</f>
        <v>S-SH-PU_BIO_N1</v>
      </c>
      <c r="B97" s="46" t="str">
        <f>IF(A97="*","",$A$83&amp;" - "&amp;SRV_TH!B13)</f>
        <v>Public Services - Biomass boiler_SH</v>
      </c>
      <c r="C97" s="220" t="str">
        <f>IF($A97="*","",SRV_TH!C13)</f>
        <v>SRVBIO</v>
      </c>
      <c r="D97" s="220"/>
      <c r="E97" s="46" t="str">
        <f>IF($A97="*","",CONCATENATE(Legend!$C$4,Legend!$C$32,"-",$B$83))</f>
        <v>SRVSH-PU</v>
      </c>
      <c r="F97" s="64">
        <f>IF($A97="*","",IF(SRV_TH!F13=0,"",SRV_TH!F13))</f>
        <v>1</v>
      </c>
      <c r="G97" s="64">
        <f>IF($A97="*","",IF(SRV_TH!G13=0,"",SRV_TH!G13))</f>
        <v>1.0235294117647058</v>
      </c>
      <c r="H97" s="64">
        <f>IF($A97="*","",IF(SRV_TH!H13=0,"",SRV_TH!H13))</f>
        <v>1.0705882352941176</v>
      </c>
      <c r="I97" s="64">
        <f>IF($A97="*","",IF(SRV_TH!I13=0,"",SRV_TH!I13))</f>
        <v>1.1176470588235294</v>
      </c>
      <c r="J97" s="64">
        <f>IF($A97="*","",IF(SRV_TH!J13=0,"",SRV_TH!J13))</f>
        <v>1.1176470588235294</v>
      </c>
      <c r="K97" s="64" t="str">
        <f>IF($A97="*","",IF(SRV_TH!K13=0,"",SRV_TH!K13))</f>
        <v/>
      </c>
      <c r="L97" s="64" t="str">
        <f>IF($A97="*","",IF(SRV_TH!L13=0,"",SRV_TH!L13))</f>
        <v/>
      </c>
      <c r="M97" s="64" t="str">
        <f>IF($A97="*","",IF(SRV_TH!M13=0,"",SRV_TH!M13))</f>
        <v/>
      </c>
      <c r="N97" s="64" t="str">
        <f>IF($A97="*","",IF(SRV_TH!N13=0,"",SRV_TH!N13))</f>
        <v/>
      </c>
      <c r="O97" s="64" t="str">
        <f>IF($A97="*","",IF(SRV_TH!O13=0,"",SRV_TH!O13))</f>
        <v/>
      </c>
      <c r="P97" s="64" t="str">
        <f>IF($A97="*","",IF(SRV_TH!P13=0,"",SRV_TH!P13))</f>
        <v/>
      </c>
      <c r="Q97" s="64" t="str">
        <f>IF($A97="*","",IF(SRV_TH!Q13=0,"",SRV_TH!Q13))</f>
        <v/>
      </c>
      <c r="R97" s="64" t="str">
        <f>IF($A97="*","",IF(SRV_TH!R13=0,"",SRV_TH!R13))</f>
        <v/>
      </c>
      <c r="S97" s="64" t="str">
        <f>IF($A97="*","",IF(SRV_TH!S13=0,"",SRV_TH!S13))</f>
        <v/>
      </c>
      <c r="T97" s="64" t="str">
        <f>IF($A97="*","",IF(SRV_TH!T13=0,"",SRV_TH!T13))</f>
        <v/>
      </c>
      <c r="U97" s="224">
        <f>IF($A97="*","",IF(SRV_TH!U13=0,"",SRV_TH!U13))</f>
        <v>20</v>
      </c>
      <c r="V97" s="224" t="str">
        <f>IF($A97="*","",IF(SRV_TH!V13=0,"",SRV_TH!V13))</f>
        <v/>
      </c>
      <c r="W97" s="90"/>
      <c r="X97" s="90"/>
      <c r="Y97" s="90"/>
      <c r="Z97" s="90"/>
      <c r="AA97" s="90"/>
      <c r="AB97" s="90">
        <f>IF($A97="*","",IF(SRV_TH!AB13=0,"",SRV_TH!AB13))</f>
        <v>197.27272727272728</v>
      </c>
      <c r="AC97" s="90">
        <f>IF($A97="*","",IF(SRV_TH!AC13=0,"",SRV_TH!AC13))</f>
        <v>197.27272727272728</v>
      </c>
      <c r="AD97" s="90">
        <f>IF($A97="*","",IF(SRV_TH!AD13=0,"",SRV_TH!AD13))</f>
        <v>203.63636363636363</v>
      </c>
      <c r="AE97" s="90">
        <f>IF($A97="*","",IF(SRV_TH!AE13=0,"",SRV_TH!AE13))</f>
        <v>203.63636363636363</v>
      </c>
      <c r="AF97" s="90">
        <f>IF($A97="*","",IF(SRV_TH!AF13=0,"",SRV_TH!AF13))</f>
        <v>203.63636363636363</v>
      </c>
      <c r="AG97" s="44">
        <f>IF($A97="*","",IF(SRV_TH!AG13=0,"",SRV_TH!AG13))</f>
        <v>5.7272727272727274E-2</v>
      </c>
      <c r="AH97" s="293" t="str">
        <f>IF($A97="*","",IF(SRV_TH!AH13=0,"",SRV_TH!AH13))</f>
        <v/>
      </c>
      <c r="AI97" s="92" t="str">
        <f>IF($A97="*","",IF(SRV_TH!AI13=0,"",SRV_TH!AI13))</f>
        <v/>
      </c>
      <c r="AJ97" s="92" t="str">
        <f>IF($A97="*","",IF(SRV_TH!AJ13=0,"",SRV_TH!AJ13))</f>
        <v/>
      </c>
      <c r="AK97" s="72">
        <f t="shared" si="45"/>
        <v>31.536000000000001</v>
      </c>
      <c r="AL97" s="44"/>
      <c r="AM97" s="87">
        <f t="shared" si="46"/>
        <v>2019</v>
      </c>
      <c r="AN97" s="218"/>
      <c r="AO97" s="218"/>
      <c r="AP97" s="179"/>
      <c r="AQ97" s="46" t="str">
        <f t="shared" si="40"/>
        <v>PRE</v>
      </c>
      <c r="AR97" s="46" t="str">
        <f>IF($AS97="","",_xlfn.TEXTJOIN(",",TRUE,IF(LEFT(Regions!$C$3,1)&lt;&gt;"*",Regions!$C$3,""),IF(LEFT(Regions!$D$3,1)&lt;&gt;"*",Regions!$D$3,"")))</f>
        <v>IE,National</v>
      </c>
      <c r="AS97" s="46" t="str">
        <f t="shared" si="41"/>
        <v>S-SH-PU_BIO_N1</v>
      </c>
      <c r="AT97" s="46" t="str">
        <f t="shared" si="41"/>
        <v>Public Services - Biomass boiler_SH</v>
      </c>
      <c r="AU97" s="46" t="str">
        <f t="shared" si="42"/>
        <v>PJ</v>
      </c>
      <c r="AV97" s="46" t="str">
        <f t="shared" si="43"/>
        <v>GW</v>
      </c>
      <c r="AY97" s="46" t="str">
        <f t="shared" si="44"/>
        <v>YES</v>
      </c>
    </row>
    <row r="98" spans="1:51" s="46" customFormat="1" x14ac:dyDescent="0.25">
      <c r="A98" s="49" t="str">
        <f>IF(SRV_TH!AN14="","*","S-SH-"&amp;SRV_TH!$B$83&amp;"_"&amp;SRV_TH!$A14)</f>
        <v>S-SH-PU_BIO_N2</v>
      </c>
      <c r="B98" s="49" t="str">
        <f>IF(A98="*","",$A$83&amp;" - "&amp;SRV_TH!B14)</f>
        <v>Public Services - Biomass boiler_SH-WH</v>
      </c>
      <c r="C98" s="223" t="str">
        <f>IF($A98="*","",SRV_TH!C14)</f>
        <v>SRVBIO</v>
      </c>
      <c r="D98" s="223"/>
      <c r="E98" s="49" t="str">
        <f>IF($A98="*","",CONCATENATE(Legend!$C$4,Legend!$C$32,"-",$B$83,", ",Legend!$C$4,Legend!$C$33,"-",$B$83))</f>
        <v>SRVSH-PU, SRVWH-PU</v>
      </c>
      <c r="F98" s="269">
        <f>IF($A98="*","",IF(SRV_TH!F14=0,"",SRV_TH!F14))</f>
        <v>1</v>
      </c>
      <c r="G98" s="269">
        <f>IF($A98="*","",IF(SRV_TH!G14=0,"",SRV_TH!G14))</f>
        <v>1.0235294117647058</v>
      </c>
      <c r="H98" s="269">
        <f>IF($A98="*","",IF(SRV_TH!H14=0,"",SRV_TH!H14))</f>
        <v>1.0705882352941176</v>
      </c>
      <c r="I98" s="269">
        <f>IF($A98="*","",IF(SRV_TH!I14=0,"",SRV_TH!I14))</f>
        <v>1.1176470588235294</v>
      </c>
      <c r="J98" s="269">
        <f>IF($A98="*","",IF(SRV_TH!J14=0,"",SRV_TH!J14))</f>
        <v>1.1176470588235294</v>
      </c>
      <c r="K98" s="269" t="str">
        <f>IF($A98="*","",IF(SRV_TH!K14=0,"",SRV_TH!K14))</f>
        <v/>
      </c>
      <c r="L98" s="269" t="str">
        <f>IF($A98="*","",IF(SRV_TH!L14=0,"",SRV_TH!L14))</f>
        <v/>
      </c>
      <c r="M98" s="269" t="str">
        <f>IF($A98="*","",IF(SRV_TH!M14=0,"",SRV_TH!M14))</f>
        <v/>
      </c>
      <c r="N98" s="269" t="str">
        <f>IF($A98="*","",IF(SRV_TH!N14=0,"",SRV_TH!N14))</f>
        <v/>
      </c>
      <c r="O98" s="269" t="str">
        <f>IF($A98="*","",IF(SRV_TH!O14=0,"",SRV_TH!O14))</f>
        <v/>
      </c>
      <c r="P98" s="269">
        <f>IF($A98="*","",IF(SRV_TH!P14=0,"",SRV_TH!P14))</f>
        <v>0.7</v>
      </c>
      <c r="Q98" s="269">
        <f>IF($A98="*","",IF(SRV_TH!Q14=0,"",SRV_TH!Q14))</f>
        <v>0.71647058823529397</v>
      </c>
      <c r="R98" s="269">
        <f>IF($A98="*","",IF(SRV_TH!R14=0,"",SRV_TH!R14))</f>
        <v>0.74941176470588233</v>
      </c>
      <c r="S98" s="269">
        <f>IF($A98="*","",IF(SRV_TH!S14=0,"",SRV_TH!S14))</f>
        <v>0.78235294117647058</v>
      </c>
      <c r="T98" s="269">
        <f>IF($A98="*","",IF(SRV_TH!T14=0,"",SRV_TH!T14))</f>
        <v>0.78235294117647058</v>
      </c>
      <c r="U98" s="219">
        <f>IF($A98="*","",IF(SRV_TH!U14=0,"",SRV_TH!U14))</f>
        <v>20</v>
      </c>
      <c r="V98" s="219" t="str">
        <f>IF($A98="*","",IF(SRV_TH!V14=0,"",SRV_TH!V14))</f>
        <v/>
      </c>
      <c r="W98" s="75"/>
      <c r="X98" s="75"/>
      <c r="Y98" s="75"/>
      <c r="Z98" s="75"/>
      <c r="AA98" s="75"/>
      <c r="AB98" s="75">
        <f>IF($A98="*","",IF(SRV_TH!AB14=0,"",SRV_TH!AB14))</f>
        <v>217.00000000000003</v>
      </c>
      <c r="AC98" s="75">
        <f>IF($A98="*","",IF(SRV_TH!AC14=0,"",SRV_TH!AC14))</f>
        <v>217.00000000000003</v>
      </c>
      <c r="AD98" s="75">
        <f>IF($A98="*","",IF(SRV_TH!AD14=0,"",SRV_TH!AD14))</f>
        <v>224</v>
      </c>
      <c r="AE98" s="75">
        <f>IF($A98="*","",IF(SRV_TH!AE14=0,"",SRV_TH!AE14))</f>
        <v>224</v>
      </c>
      <c r="AF98" s="75">
        <f>IF($A98="*","",IF(SRV_TH!AF14=0,"",SRV_TH!AF14))</f>
        <v>224</v>
      </c>
      <c r="AG98" s="217">
        <f>IF($A98="*","",IF(SRV_TH!AG14=0,"",SRV_TH!AG14))</f>
        <v>5.7272727272727274E-2</v>
      </c>
      <c r="AH98" s="298" t="str">
        <f>IF($A98="*","",IF(SRV_TH!AH14=0,"",SRV_TH!AH14))</f>
        <v/>
      </c>
      <c r="AI98" s="93" t="str">
        <f>IF($A98="*","",IF(SRV_TH!AI14=0,"",SRV_TH!AI14))</f>
        <v/>
      </c>
      <c r="AJ98" s="93" t="str">
        <f>IF($A98="*","",IF(SRV_TH!AJ14=0,"",SRV_TH!AJ14))</f>
        <v/>
      </c>
      <c r="AK98" s="221">
        <f t="shared" si="45"/>
        <v>31.536000000000001</v>
      </c>
      <c r="AL98" s="217"/>
      <c r="AM98" s="215">
        <f t="shared" si="46"/>
        <v>2019</v>
      </c>
      <c r="AN98" s="218"/>
      <c r="AO98" s="218"/>
      <c r="AP98" s="179"/>
      <c r="AQ98" s="49" t="str">
        <f t="shared" si="40"/>
        <v>PRE</v>
      </c>
      <c r="AR98" s="49" t="str">
        <f>IF($AS98="","",_xlfn.TEXTJOIN(",",TRUE,IF(LEFT(Regions!$C$3,1)&lt;&gt;"*",Regions!$C$3,""),IF(LEFT(Regions!$D$3,1)&lt;&gt;"*",Regions!$D$3,"")))</f>
        <v>IE,National</v>
      </c>
      <c r="AS98" s="49" t="str">
        <f t="shared" si="41"/>
        <v>S-SH-PU_BIO_N2</v>
      </c>
      <c r="AT98" s="49" t="str">
        <f t="shared" si="41"/>
        <v>Public Services - Biomass boiler_SH-WH</v>
      </c>
      <c r="AU98" s="49" t="str">
        <f t="shared" si="42"/>
        <v>PJ</v>
      </c>
      <c r="AV98" s="49" t="str">
        <f t="shared" si="43"/>
        <v>GW</v>
      </c>
      <c r="AW98" s="49"/>
      <c r="AX98" s="49"/>
      <c r="AY98" s="49" t="str">
        <f t="shared" si="44"/>
        <v>YES</v>
      </c>
    </row>
    <row r="99" spans="1:51" s="46" customFormat="1" x14ac:dyDescent="0.25">
      <c r="A99" s="61" t="s">
        <v>101</v>
      </c>
      <c r="B99" s="61"/>
      <c r="C99" s="37"/>
      <c r="D99" s="37"/>
      <c r="E99" s="61"/>
      <c r="F99" s="270"/>
      <c r="G99" s="270"/>
      <c r="H99" s="270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27"/>
      <c r="V99" s="227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16"/>
      <c r="AH99" s="299"/>
      <c r="AI99" s="222" t="str">
        <f>IF($A99="*","",IF(SRV_TH!AI15=0,"",SRV_TH!AI15))</f>
        <v/>
      </c>
      <c r="AJ99" s="222" t="str">
        <f>IF($A99="*","",IF(SRV_TH!AJ15=0,"",SRV_TH!AJ15))</f>
        <v/>
      </c>
      <c r="AK99" s="225"/>
      <c r="AL99" s="216"/>
      <c r="AM99" s="227"/>
      <c r="AN99" s="218"/>
      <c r="AO99" s="218"/>
      <c r="AP99" s="179"/>
      <c r="AQ99" s="61" t="str">
        <f t="shared" si="40"/>
        <v>*Heaters</v>
      </c>
      <c r="AR99" s="61" t="str">
        <f>IF($AS99="","",_xlfn.TEXTJOIN(",",TRUE,IF(LEFT(Regions!$C$3,1)&lt;&gt;"*",Regions!$C$3,""),IF(LEFT(Regions!$D$3,1)&lt;&gt;"*",Regions!$D$3,"")))</f>
        <v/>
      </c>
      <c r="AS99" s="61" t="str">
        <f t="shared" si="41"/>
        <v/>
      </c>
      <c r="AT99" s="61" t="str">
        <f t="shared" si="41"/>
        <v/>
      </c>
      <c r="AU99" s="61" t="str">
        <f t="shared" si="42"/>
        <v/>
      </c>
      <c r="AV99" s="61" t="str">
        <f t="shared" si="43"/>
        <v/>
      </c>
      <c r="AW99" s="61"/>
      <c r="AX99" s="61"/>
      <c r="AY99" s="61" t="str">
        <f t="shared" si="44"/>
        <v/>
      </c>
    </row>
    <row r="100" spans="1:51" s="46" customFormat="1" x14ac:dyDescent="0.25">
      <c r="A100" s="49" t="str">
        <f>IF(SRV_TH!AN16="","*","S-SH-"&amp;SRV_TH!$B$83&amp;"_"&amp;SRV_TH!$A16)</f>
        <v>S-SH-PU_ELC_N1</v>
      </c>
      <c r="B100" s="49" t="str">
        <f>IF(A100="*","",$A$83&amp;" - "&amp;SRV_TH!B16)</f>
        <v>Public Services - Electric boiler_SH</v>
      </c>
      <c r="C100" s="49" t="str">
        <f>IF($A100="*","",SRV_TH!C16)</f>
        <v>SRVELC</v>
      </c>
      <c r="D100" s="49"/>
      <c r="E100" s="49" t="str">
        <f>IF($A100="*","",CONCATENATE(Legend!$C$4,Legend!$C$32,"-",$B$83))</f>
        <v>SRVSH-PU</v>
      </c>
      <c r="F100" s="269">
        <f>IF($A100="*","",IF(SRV_TH!F16=0,"",SRV_TH!F16))</f>
        <v>1</v>
      </c>
      <c r="G100" s="269">
        <f>IF($A100="*","",IF(SRV_TH!G16=0,"",SRV_TH!G16))</f>
        <v>1</v>
      </c>
      <c r="H100" s="269">
        <f>IF($A100="*","",IF(SRV_TH!H16=0,"",SRV_TH!H16))</f>
        <v>1</v>
      </c>
      <c r="I100" s="269">
        <f>IF($A100="*","",IF(SRV_TH!I16=0,"",SRV_TH!I16))</f>
        <v>1</v>
      </c>
      <c r="J100" s="269">
        <f>IF($A100="*","",IF(SRV_TH!J16=0,"",SRV_TH!J16))</f>
        <v>1</v>
      </c>
      <c r="K100" s="269" t="str">
        <f>IF($A100="*","",IF(SRV_TH!K16=0,"",SRV_TH!K16))</f>
        <v/>
      </c>
      <c r="L100" s="269" t="str">
        <f>IF($A100="*","",IF(SRV_TH!L16=0,"",SRV_TH!L16))</f>
        <v/>
      </c>
      <c r="M100" s="269" t="str">
        <f>IF($A100="*","",IF(SRV_TH!M16=0,"",SRV_TH!M16))</f>
        <v/>
      </c>
      <c r="N100" s="269" t="str">
        <f>IF($A100="*","",IF(SRV_TH!N16=0,"",SRV_TH!N16))</f>
        <v/>
      </c>
      <c r="O100" s="269" t="str">
        <f>IF($A100="*","",IF(SRV_TH!O16=0,"",SRV_TH!O16))</f>
        <v/>
      </c>
      <c r="P100" s="269" t="str">
        <f>IF($A100="*","",IF(SRV_TH!P16=0,"",SRV_TH!P16))</f>
        <v/>
      </c>
      <c r="Q100" s="269" t="str">
        <f>IF($A100="*","",IF(SRV_TH!Q16=0,"",SRV_TH!Q16))</f>
        <v/>
      </c>
      <c r="R100" s="269" t="str">
        <f>IF($A100="*","",IF(SRV_TH!R16=0,"",SRV_TH!R16))</f>
        <v/>
      </c>
      <c r="S100" s="269" t="str">
        <f>IF($A100="*","",IF(SRV_TH!S16=0,"",SRV_TH!S16))</f>
        <v/>
      </c>
      <c r="T100" s="269" t="str">
        <f>IF($A100="*","",IF(SRV_TH!T16=0,"",SRV_TH!T16))</f>
        <v/>
      </c>
      <c r="U100" s="219">
        <f>IF($A100="*","",IF(SRV_TH!U16=0,"",SRV_TH!U16))</f>
        <v>30</v>
      </c>
      <c r="V100" s="219" t="str">
        <f>IF($A100="*","",IF(SRV_TH!V16=0,"",SRV_TH!V16))</f>
        <v/>
      </c>
      <c r="W100" s="75"/>
      <c r="X100" s="75"/>
      <c r="Y100" s="75"/>
      <c r="Z100" s="75"/>
      <c r="AA100" s="75"/>
      <c r="AB100" s="75">
        <f>IF($A100="*","",IF(SRV_TH!AB16=0,"",SRV_TH!AB16))</f>
        <v>665</v>
      </c>
      <c r="AC100" s="75">
        <f>IF($A100="*","",IF(SRV_TH!AC16=0,"",SRV_TH!AC16))</f>
        <v>665</v>
      </c>
      <c r="AD100" s="75">
        <f>IF($A100="*","",IF(SRV_TH!AD16=0,"",SRV_TH!AD16))</f>
        <v>665</v>
      </c>
      <c r="AE100" s="75">
        <f>IF($A100="*","",IF(SRV_TH!AE16=0,"",SRV_TH!AE16))</f>
        <v>665</v>
      </c>
      <c r="AF100" s="75">
        <f>IF($A100="*","",IF(SRV_TH!AF16=0,"",SRV_TH!AF16))</f>
        <v>665</v>
      </c>
      <c r="AG100" s="50">
        <f>IF($A100="*","",IF(SRV_TH!AG16=0,"",SRV_TH!AG16))</f>
        <v>10</v>
      </c>
      <c r="AH100" s="294" t="str">
        <f>IF($A100="*","",IF(SRV_TH!AH16=0,"",SRV_TH!AH16))</f>
        <v/>
      </c>
      <c r="AI100" s="51" t="str">
        <f>IF($A100="*","",IF(SRV_TH!AI16=0,"",SRV_TH!AI16))</f>
        <v/>
      </c>
      <c r="AJ100" s="51" t="str">
        <f>IF($A100="*","",IF(SRV_TH!AJ16=0,"",SRV_TH!AJ16))</f>
        <v/>
      </c>
      <c r="AK100" s="73">
        <f>IF($A100="*","",31.536)</f>
        <v>31.536000000000001</v>
      </c>
      <c r="AL100" s="50"/>
      <c r="AM100" s="88">
        <f t="shared" si="46"/>
        <v>2019</v>
      </c>
      <c r="AN100" s="218"/>
      <c r="AO100" s="218"/>
      <c r="AP100" s="179"/>
      <c r="AQ100" s="49" t="str">
        <f t="shared" si="40"/>
        <v>PRE</v>
      </c>
      <c r="AR100" s="49" t="str">
        <f>IF($AS100="","",_xlfn.TEXTJOIN(",",TRUE,IF(LEFT(Regions!$C$3,1)&lt;&gt;"*",Regions!$C$3,""),IF(LEFT(Regions!$D$3,1)&lt;&gt;"*",Regions!$D$3,"")))</f>
        <v>IE,National</v>
      </c>
      <c r="AS100" s="49" t="str">
        <f t="shared" si="41"/>
        <v>S-SH-PU_ELC_N1</v>
      </c>
      <c r="AT100" s="49" t="str">
        <f t="shared" si="41"/>
        <v>Public Services - Electric boiler_SH</v>
      </c>
      <c r="AU100" s="49" t="str">
        <f t="shared" si="42"/>
        <v>PJ</v>
      </c>
      <c r="AV100" s="49" t="str">
        <f t="shared" si="43"/>
        <v>GW</v>
      </c>
      <c r="AW100" s="49"/>
      <c r="AX100" s="49"/>
      <c r="AY100" s="49" t="str">
        <f t="shared" si="44"/>
        <v>YES</v>
      </c>
    </row>
    <row r="101" spans="1:51" s="46" customFormat="1" x14ac:dyDescent="0.25">
      <c r="A101" s="61" t="s">
        <v>102</v>
      </c>
      <c r="B101" s="61"/>
      <c r="C101" s="61"/>
      <c r="D101" s="61"/>
      <c r="E101" s="61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27"/>
      <c r="V101" s="227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60"/>
      <c r="AH101" s="300"/>
      <c r="AI101" s="226" t="str">
        <f>IF($A101="*","",IF(SRV_TH!AI17=0,"",SRV_TH!AI17))</f>
        <v/>
      </c>
      <c r="AJ101" s="226" t="str">
        <f>IF($A101="*","",IF(SRV_TH!AJ17=0,"",SRV_TH!AJ17))</f>
        <v/>
      </c>
      <c r="AK101" s="74"/>
      <c r="AL101" s="60"/>
      <c r="AM101" s="89"/>
      <c r="AN101" s="218"/>
      <c r="AO101" s="218"/>
      <c r="AP101" s="179"/>
      <c r="AQ101" s="61" t="str">
        <f t="shared" si="40"/>
        <v>*Heat Pumps</v>
      </c>
      <c r="AR101" s="61" t="str">
        <f>IF($AS101="","",_xlfn.TEXTJOIN(",",TRUE,IF(LEFT(Regions!$C$3,1)&lt;&gt;"*",Regions!$C$3,""),IF(LEFT(Regions!$D$3,1)&lt;&gt;"*",Regions!$D$3,"")))</f>
        <v/>
      </c>
      <c r="AS101" s="61" t="str">
        <f t="shared" si="41"/>
        <v/>
      </c>
      <c r="AT101" s="61" t="str">
        <f t="shared" si="41"/>
        <v/>
      </c>
      <c r="AU101" s="61" t="str">
        <f t="shared" si="42"/>
        <v/>
      </c>
      <c r="AV101" s="61" t="str">
        <f t="shared" si="43"/>
        <v/>
      </c>
      <c r="AW101" s="61"/>
      <c r="AX101" s="61"/>
      <c r="AY101" s="61" t="str">
        <f t="shared" si="44"/>
        <v/>
      </c>
    </row>
    <row r="102" spans="1:51" s="46" customFormat="1" x14ac:dyDescent="0.25">
      <c r="A102" s="46" t="str">
        <f>IF(SRV_TH!AN18="","*","S-SH-"&amp;SRV_TH!$B$83&amp;"_"&amp;SRV_TH!$A18)</f>
        <v>S-SH-PU_ELC_N2</v>
      </c>
      <c r="B102" s="46" t="str">
        <f>IF(A102="*","",$A$83&amp;" - "&amp;SRV_TH!B18)</f>
        <v>Public Services - Heat Pump Air-to-Air_SH</v>
      </c>
      <c r="C102" s="46" t="str">
        <f>IF($A102="*","",SRV_TH!C18)</f>
        <v>SRVELC</v>
      </c>
      <c r="D102" s="46" t="str">
        <f>IF($A102="*","",SRV_TH!D18)</f>
        <v>SRVAHT</v>
      </c>
      <c r="E102" s="46" t="str">
        <f>IF($A102="*","",CONCATENATE(Legend!$C$4,Legend!$C$32,"-",$B$83))</f>
        <v>SRVSH-PU</v>
      </c>
      <c r="F102" s="271">
        <f>IF($A102="*","",IF(SRV_TH!F18=0,"",SRV_TH!F18))</f>
        <v>1</v>
      </c>
      <c r="G102" s="271">
        <f>IF($A102="*","",IF(SRV_TH!G18=0,"",SRV_TH!G18))</f>
        <v>1.0666666666666667</v>
      </c>
      <c r="H102" s="271">
        <f>IF($A102="*","",IF(SRV_TH!H18=0,"",SRV_TH!H18))</f>
        <v>1.2333333333333334</v>
      </c>
      <c r="I102" s="271">
        <f>IF($A102="*","",IF(SRV_TH!I18=0,"",SRV_TH!I18))</f>
        <v>1.3333333333333333</v>
      </c>
      <c r="J102" s="271">
        <f>IF($A102="*","",IF(SRV_TH!J18=0,"",SRV_TH!J18))</f>
        <v>1.3333333333333333</v>
      </c>
      <c r="K102" s="271" t="str">
        <f>IF($A102="*","",IF(SRV_TH!K18=0,"",SRV_TH!K18))</f>
        <v/>
      </c>
      <c r="L102" s="271" t="str">
        <f>IF($A102="*","",IF(SRV_TH!L18=0,"",SRV_TH!L18))</f>
        <v/>
      </c>
      <c r="M102" s="271" t="str">
        <f>IF($A102="*","",IF(SRV_TH!M18=0,"",SRV_TH!M18))</f>
        <v/>
      </c>
      <c r="N102" s="271" t="str">
        <f>IF($A102="*","",IF(SRV_TH!N18=0,"",SRV_TH!N18))</f>
        <v/>
      </c>
      <c r="O102" s="271" t="str">
        <f>IF($A102="*","",IF(SRV_TH!O18=0,"",SRV_TH!O18))</f>
        <v/>
      </c>
      <c r="P102" s="271" t="str">
        <f>IF($A102="*","",IF(SRV_TH!P18=0,"",SRV_TH!P18))</f>
        <v/>
      </c>
      <c r="Q102" s="271" t="str">
        <f>IF($A102="*","",IF(SRV_TH!Q18=0,"",SRV_TH!Q18))</f>
        <v/>
      </c>
      <c r="R102" s="271" t="str">
        <f>IF($A102="*","",IF(SRV_TH!R18=0,"",SRV_TH!R18))</f>
        <v/>
      </c>
      <c r="S102" s="271" t="str">
        <f>IF($A102="*","",IF(SRV_TH!S18=0,"",SRV_TH!S18))</f>
        <v/>
      </c>
      <c r="T102" s="271" t="str">
        <f>IF($A102="*","",IF(SRV_TH!T18=0,"",SRV_TH!T18))</f>
        <v/>
      </c>
      <c r="U102" s="87">
        <f>IF($A102="*","",IF(SRV_TH!U18=0,"",SRV_TH!U18))</f>
        <v>20</v>
      </c>
      <c r="V102" s="87" t="str">
        <f>IF($A102="*","",IF(SRV_TH!V18=0,"",SRV_TH!V18))</f>
        <v/>
      </c>
      <c r="W102" s="90"/>
      <c r="X102" s="90"/>
      <c r="Y102" s="90"/>
      <c r="Z102" s="90"/>
      <c r="AA102" s="90"/>
      <c r="AB102" s="90">
        <f>IF($A102="*","",IF(SRV_TH!AB18=0,"",SRV_TH!AB18))</f>
        <v>426.06279434850865</v>
      </c>
      <c r="AC102" s="90">
        <f>IF($A102="*","",IF(SRV_TH!AC18=0,"",SRV_TH!AC18))</f>
        <v>404.75965463108315</v>
      </c>
      <c r="AD102" s="90">
        <f>IF($A102="*","",IF(SRV_TH!AD18=0,"",SRV_TH!AD18))</f>
        <v>366.41400313971735</v>
      </c>
      <c r="AE102" s="90">
        <f>IF($A102="*","",IF(SRV_TH!AE18=0,"",SRV_TH!AE18))</f>
        <v>349.37149136577699</v>
      </c>
      <c r="AF102" s="90">
        <f>IF($A102="*","",IF(SRV_TH!AF18=0,"",SRV_TH!AF18))</f>
        <v>349.37149136577699</v>
      </c>
      <c r="AG102" s="44">
        <f>IF($A102="*","",IF(SRV_TH!AG18=0,"",SRV_TH!AG18))</f>
        <v>10.204081632653061</v>
      </c>
      <c r="AH102" s="293" t="str">
        <f>IF($A102="*","",IF(SRV_TH!AH18=0,"",SRV_TH!AH18))</f>
        <v/>
      </c>
      <c r="AI102" s="92" t="str">
        <f>IF($A102="*","",IF(SRV_TH!AI18=0,"",SRV_TH!AI18))</f>
        <v/>
      </c>
      <c r="AJ102" s="92" t="str">
        <f>IF($A102="*","",IF(SRV_TH!AJ18=0,"",SRV_TH!AJ18))</f>
        <v/>
      </c>
      <c r="AK102" s="72">
        <f t="shared" ref="AK102:AK111" si="47">IF($A102="*","",31.536)</f>
        <v>31.536000000000001</v>
      </c>
      <c r="AL102" s="44"/>
      <c r="AM102" s="87">
        <f t="shared" si="46"/>
        <v>2019</v>
      </c>
      <c r="AN102" s="218"/>
      <c r="AO102" s="218"/>
      <c r="AP102" s="179"/>
      <c r="AQ102" s="46" t="str">
        <f t="shared" si="40"/>
        <v>PRE</v>
      </c>
      <c r="AR102" s="46" t="str">
        <f>IF($AS102="","",_xlfn.TEXTJOIN(",",TRUE,IF(LEFT(Regions!$C$3,1)&lt;&gt;"*",Regions!$C$3,""),IF(LEFT(Regions!$D$3,1)&lt;&gt;"*",Regions!$D$3,"")))</f>
        <v>IE,National</v>
      </c>
      <c r="AS102" s="46" t="str">
        <f t="shared" si="41"/>
        <v>S-SH-PU_ELC_N2</v>
      </c>
      <c r="AT102" s="46" t="str">
        <f t="shared" si="41"/>
        <v>Public Services - Heat Pump Air-to-Air_SH</v>
      </c>
      <c r="AU102" s="46" t="str">
        <f t="shared" si="42"/>
        <v>PJ</v>
      </c>
      <c r="AV102" s="46" t="str">
        <f t="shared" si="43"/>
        <v>GW</v>
      </c>
      <c r="AY102" s="46" t="str">
        <f t="shared" si="44"/>
        <v>YES</v>
      </c>
    </row>
    <row r="103" spans="1:51" s="46" customFormat="1" x14ac:dyDescent="0.25">
      <c r="A103" s="46" t="str">
        <f>IF(SRV_TH!AN19="","*","S-SH-"&amp;SRV_TH!$B$83&amp;"_"&amp;SRV_TH!$A19)</f>
        <v>S-SH-PU_ELC_N3</v>
      </c>
      <c r="B103" s="46" t="str">
        <f>IF(A103="*","",$A$83&amp;" - "&amp;SRV_TH!B19)</f>
        <v>Public Services - Heat Pump Air-to-Air_SH-SC</v>
      </c>
      <c r="C103" s="46" t="str">
        <f>IF($A103="*","",SRV_TH!C19)</f>
        <v>SRVELC</v>
      </c>
      <c r="D103" s="46" t="str">
        <f>IF($A103="*","",SRV_TH!D19)</f>
        <v>SRVAHT</v>
      </c>
      <c r="E103" s="46" t="str">
        <f>IF($A103="*","",CONCATENATE(Legend!$C$4,Legend!$C$32,"-",$B$83,", ",Legend!$C$4,Legend!$C$34,"-",$B$83))</f>
        <v>SRVSH-PU, SRVSC-PU</v>
      </c>
      <c r="F103" s="271">
        <f>IF($A103="*","",IF(SRV_TH!F19=0,"",SRV_TH!F19))</f>
        <v>1</v>
      </c>
      <c r="G103" s="271">
        <f>IF($A103="*","",IF(SRV_TH!G19=0,"",SRV_TH!G19))</f>
        <v>1.0666666666666667</v>
      </c>
      <c r="H103" s="271">
        <f>IF($A103="*","",IF(SRV_TH!H19=0,"",SRV_TH!H19))</f>
        <v>1.2333333333333334</v>
      </c>
      <c r="I103" s="271">
        <f>IF($A103="*","",IF(SRV_TH!I19=0,"",SRV_TH!I19))</f>
        <v>1.3333333333333333</v>
      </c>
      <c r="J103" s="271">
        <f>IF($A103="*","",IF(SRV_TH!J19=0,"",SRV_TH!J19))</f>
        <v>1.3333333333333333</v>
      </c>
      <c r="K103" s="271">
        <f>IF($A103="*","",IF(SRV_TH!K19=0,"",SRV_TH!K19))</f>
        <v>1</v>
      </c>
      <c r="L103" s="271">
        <f>IF($A103="*","",IF(SRV_TH!L19=0,"",SRV_TH!L19))</f>
        <v>1</v>
      </c>
      <c r="M103" s="271">
        <f>IF($A103="*","",IF(SRV_TH!M19=0,"",SRV_TH!M19))</f>
        <v>1</v>
      </c>
      <c r="N103" s="271">
        <f>IF($A103="*","",IF(SRV_TH!N19=0,"",SRV_TH!N19))</f>
        <v>1</v>
      </c>
      <c r="O103" s="271">
        <f>IF($A103="*","",IF(SRV_TH!O19=0,"",SRV_TH!O19))</f>
        <v>1</v>
      </c>
      <c r="P103" s="271" t="str">
        <f>IF($A103="*","",IF(SRV_TH!P19=0,"",SRV_TH!P19))</f>
        <v/>
      </c>
      <c r="Q103" s="271" t="str">
        <f>IF($A103="*","",IF(SRV_TH!Q19=0,"",SRV_TH!Q19))</f>
        <v/>
      </c>
      <c r="R103" s="271" t="str">
        <f>IF($A103="*","",IF(SRV_TH!R19=0,"",SRV_TH!R19))</f>
        <v/>
      </c>
      <c r="S103" s="271" t="str">
        <f>IF($A103="*","",IF(SRV_TH!S19=0,"",SRV_TH!S19))</f>
        <v/>
      </c>
      <c r="T103" s="271" t="str">
        <f>IF($A103="*","",IF(SRV_TH!T19=0,"",SRV_TH!T19))</f>
        <v/>
      </c>
      <c r="U103" s="87">
        <f>IF($A103="*","",IF(SRV_TH!U19=0,"",SRV_TH!U19))</f>
        <v>20</v>
      </c>
      <c r="V103" s="87" t="str">
        <f>IF($A103="*","",IF(SRV_TH!V19=0,"",SRV_TH!V19))</f>
        <v/>
      </c>
      <c r="W103" s="90"/>
      <c r="X103" s="90"/>
      <c r="Y103" s="90"/>
      <c r="Z103" s="90"/>
      <c r="AA103" s="90"/>
      <c r="AB103" s="90">
        <f>IF($A103="*","",IF(SRV_TH!AB19=0,"",SRV_TH!AB19))</f>
        <v>447.36593406593408</v>
      </c>
      <c r="AC103" s="90">
        <f>IF($A103="*","",IF(SRV_TH!AC19=0,"",SRV_TH!AC19))</f>
        <v>424.99763736263731</v>
      </c>
      <c r="AD103" s="90">
        <f>IF($A103="*","",IF(SRV_TH!AD19=0,"",SRV_TH!AD19))</f>
        <v>384.73470329670323</v>
      </c>
      <c r="AE103" s="90">
        <f>IF($A103="*","",IF(SRV_TH!AE19=0,"",SRV_TH!AE19))</f>
        <v>366.84006593406588</v>
      </c>
      <c r="AF103" s="90">
        <f>IF($A103="*","",IF(SRV_TH!AF19=0,"",SRV_TH!AF19))</f>
        <v>366.84006593406588</v>
      </c>
      <c r="AG103" s="44">
        <f>IF($A103="*","",IF(SRV_TH!AG19=0,"",SRV_TH!AG19))</f>
        <v>10.204081632653061</v>
      </c>
      <c r="AH103" s="293" t="str">
        <f>IF($A103="*","",IF(SRV_TH!AH19=0,"",SRV_TH!AH19))</f>
        <v/>
      </c>
      <c r="AI103" s="92" t="str">
        <f>IF($A103="*","",IF(SRV_TH!AI19=0,"",SRV_TH!AI19))</f>
        <v/>
      </c>
      <c r="AJ103" s="92" t="str">
        <f>IF($A103="*","",IF(SRV_TH!AJ19=0,"",SRV_TH!AJ19))</f>
        <v/>
      </c>
      <c r="AK103" s="72">
        <f t="shared" si="47"/>
        <v>31.536000000000001</v>
      </c>
      <c r="AL103" s="44"/>
      <c r="AM103" s="87">
        <f t="shared" si="46"/>
        <v>2019</v>
      </c>
      <c r="AN103" s="218"/>
      <c r="AO103" s="218"/>
      <c r="AP103" s="179"/>
      <c r="AQ103" s="46" t="str">
        <f t="shared" si="40"/>
        <v>PRE</v>
      </c>
      <c r="AR103" s="46" t="str">
        <f>IF($AS103="","",_xlfn.TEXTJOIN(",",TRUE,IF(LEFT(Regions!$C$3,1)&lt;&gt;"*",Regions!$C$3,""),IF(LEFT(Regions!$D$3,1)&lt;&gt;"*",Regions!$D$3,"")))</f>
        <v>IE,National</v>
      </c>
      <c r="AS103" s="46" t="str">
        <f t="shared" si="41"/>
        <v>S-SH-PU_ELC_N3</v>
      </c>
      <c r="AT103" s="46" t="str">
        <f t="shared" si="41"/>
        <v>Public Services - Heat Pump Air-to-Air_SH-SC</v>
      </c>
      <c r="AU103" s="46" t="str">
        <f t="shared" si="42"/>
        <v>PJ</v>
      </c>
      <c r="AV103" s="46" t="str">
        <f t="shared" si="43"/>
        <v>GW</v>
      </c>
      <c r="AY103" s="46" t="str">
        <f t="shared" si="44"/>
        <v>YES</v>
      </c>
    </row>
    <row r="104" spans="1:51" s="46" customFormat="1" x14ac:dyDescent="0.25">
      <c r="A104" s="46" t="str">
        <f>IF(SRV_TH!AN20="","*","S-SH-"&amp;SRV_TH!$B$83&amp;"_"&amp;SRV_TH!$A20)</f>
        <v>S-SH-PU_ELC_N4</v>
      </c>
      <c r="B104" s="46" t="str">
        <f>IF(A104="*","",$A$83&amp;" - "&amp;SRV_TH!B20)</f>
        <v>Public Services - Heat Pump Air-to-Water_SH</v>
      </c>
      <c r="C104" s="46" t="str">
        <f>IF($A104="*","",SRV_TH!C20)</f>
        <v>SRVELC</v>
      </c>
      <c r="D104" s="46" t="str">
        <f>IF($A104="*","",SRV_TH!D20)</f>
        <v>SRVAHT</v>
      </c>
      <c r="E104" s="46" t="str">
        <f>IF($A104="*","",CONCATENATE(Legend!$C$4,Legend!$C$32,"-",$B$83))</f>
        <v>SRVSH-PU</v>
      </c>
      <c r="F104" s="271">
        <f>IF($A104="*","",IF(SRV_TH!F20=0,"",SRV_TH!F20))</f>
        <v>1</v>
      </c>
      <c r="G104" s="271">
        <f>IF($A104="*","",IF(SRV_TH!G20=0,"",SRV_TH!G20))</f>
        <v>1.0999999999999999</v>
      </c>
      <c r="H104" s="271">
        <f>IF($A104="*","",IF(SRV_TH!H20=0,"",SRV_TH!H20))</f>
        <v>1.2333333333333334</v>
      </c>
      <c r="I104" s="271">
        <f>IF($A104="*","",IF(SRV_TH!I20=0,"",SRV_TH!I20))</f>
        <v>1.3333333333333333</v>
      </c>
      <c r="J104" s="271">
        <f>IF($A104="*","",IF(SRV_TH!J20=0,"",SRV_TH!J20))</f>
        <v>1.3333333333333333</v>
      </c>
      <c r="K104" s="271" t="str">
        <f>IF($A104="*","",IF(SRV_TH!K20=0,"",SRV_TH!K20))</f>
        <v/>
      </c>
      <c r="L104" s="271" t="str">
        <f>IF($A104="*","",IF(SRV_TH!L20=0,"",SRV_TH!L20))</f>
        <v/>
      </c>
      <c r="M104" s="271" t="str">
        <f>IF($A104="*","",IF(SRV_TH!M20=0,"",SRV_TH!M20))</f>
        <v/>
      </c>
      <c r="N104" s="271" t="str">
        <f>IF($A104="*","",IF(SRV_TH!N20=0,"",SRV_TH!N20))</f>
        <v/>
      </c>
      <c r="O104" s="271" t="str">
        <f>IF($A104="*","",IF(SRV_TH!O20=0,"",SRV_TH!O20))</f>
        <v/>
      </c>
      <c r="P104" s="271" t="str">
        <f>IF($A104="*","",IF(SRV_TH!P20=0,"",SRV_TH!P20))</f>
        <v/>
      </c>
      <c r="Q104" s="271" t="str">
        <f>IF($A104="*","",IF(SRV_TH!Q20=0,"",SRV_TH!Q20))</f>
        <v/>
      </c>
      <c r="R104" s="271" t="str">
        <f>IF($A104="*","",IF(SRV_TH!R20=0,"",SRV_TH!R20))</f>
        <v/>
      </c>
      <c r="S104" s="271" t="str">
        <f>IF($A104="*","",IF(SRV_TH!S20=0,"",SRV_TH!S20))</f>
        <v/>
      </c>
      <c r="T104" s="271" t="str">
        <f>IF($A104="*","",IF(SRV_TH!T20=0,"",SRV_TH!T20))</f>
        <v/>
      </c>
      <c r="U104" s="87">
        <f>IF($A104="*","",IF(SRV_TH!U20=0,"",SRV_TH!U20))</f>
        <v>20</v>
      </c>
      <c r="V104" s="87" t="str">
        <f>IF($A104="*","",IF(SRV_TH!V20=0,"",SRV_TH!V20))</f>
        <v/>
      </c>
      <c r="W104" s="90"/>
      <c r="X104" s="90"/>
      <c r="Y104" s="90"/>
      <c r="Z104" s="90"/>
      <c r="AA104" s="90"/>
      <c r="AB104" s="90">
        <f>IF($A104="*","",IF(SRV_TH!AB20=0,"",SRV_TH!AB20))</f>
        <v>800</v>
      </c>
      <c r="AC104" s="90">
        <f>IF($A104="*","",IF(SRV_TH!AC20=0,"",SRV_TH!AC20))</f>
        <v>800</v>
      </c>
      <c r="AD104" s="90">
        <f>IF($A104="*","",IF(SRV_TH!AD20=0,"",SRV_TH!AD20))</f>
        <v>700</v>
      </c>
      <c r="AE104" s="90">
        <f>IF($A104="*","",IF(SRV_TH!AE20=0,"",SRV_TH!AE20))</f>
        <v>700</v>
      </c>
      <c r="AF104" s="90">
        <f>IF($A104="*","",IF(SRV_TH!AF20=0,"",SRV_TH!AF20))</f>
        <v>700</v>
      </c>
      <c r="AG104" s="44">
        <f>IF($A104="*","",IF(SRV_TH!AG20=0,"",SRV_TH!AG20))</f>
        <v>1.125</v>
      </c>
      <c r="AH104" s="293" t="str">
        <f>IF($A104="*","",IF(SRV_TH!AH20=0,"",SRV_TH!AH20))</f>
        <v/>
      </c>
      <c r="AI104" s="92" t="str">
        <f>IF($A104="*","",IF(SRV_TH!AI20=0,"",SRV_TH!AI20))</f>
        <v/>
      </c>
      <c r="AJ104" s="92" t="str">
        <f>IF($A104="*","",IF(SRV_TH!AJ20=0,"",SRV_TH!AJ20))</f>
        <v/>
      </c>
      <c r="AK104" s="72">
        <f t="shared" si="47"/>
        <v>31.536000000000001</v>
      </c>
      <c r="AL104" s="44"/>
      <c r="AM104" s="87">
        <f t="shared" si="46"/>
        <v>2019</v>
      </c>
      <c r="AN104" s="218"/>
      <c r="AO104" s="218"/>
      <c r="AP104" s="179"/>
      <c r="AQ104" s="46" t="str">
        <f t="shared" si="40"/>
        <v>PRE</v>
      </c>
      <c r="AR104" s="46" t="str">
        <f>IF($AS104="","",_xlfn.TEXTJOIN(",",TRUE,IF(LEFT(Regions!$C$3,1)&lt;&gt;"*",Regions!$C$3,""),IF(LEFT(Regions!$D$3,1)&lt;&gt;"*",Regions!$D$3,"")))</f>
        <v>IE,National</v>
      </c>
      <c r="AS104" s="46" t="str">
        <f t="shared" si="41"/>
        <v>S-SH-PU_ELC_N4</v>
      </c>
      <c r="AT104" s="46" t="str">
        <f t="shared" si="41"/>
        <v>Public Services - Heat Pump Air-to-Water_SH</v>
      </c>
      <c r="AU104" s="46" t="str">
        <f t="shared" si="42"/>
        <v>PJ</v>
      </c>
      <c r="AV104" s="46" t="str">
        <f t="shared" si="43"/>
        <v>GW</v>
      </c>
      <c r="AY104" s="46" t="str">
        <f t="shared" si="44"/>
        <v>YES</v>
      </c>
    </row>
    <row r="105" spans="1:51" s="46" customFormat="1" x14ac:dyDescent="0.25">
      <c r="A105" s="46" t="str">
        <f>IF(SRV_TH!AN21="","*","S-SH-"&amp;SRV_TH!$B$83&amp;"_"&amp;SRV_TH!$A21)</f>
        <v>S-SH-PU_ELC_N5</v>
      </c>
      <c r="B105" s="46" t="str">
        <f>IF(A105="*","",$A$83&amp;" - "&amp;SRV_TH!B21)</f>
        <v>Public Services - Heat Pump Air-to-Water_SH-WH</v>
      </c>
      <c r="C105" s="46" t="str">
        <f>IF($A105="*","",SRV_TH!C21)</f>
        <v>SRVELC</v>
      </c>
      <c r="D105" s="46" t="str">
        <f>IF($A105="*","",SRV_TH!D21)</f>
        <v>SRVAHT,SRVAHT2</v>
      </c>
      <c r="E105" s="46" t="str">
        <f>IF($A105="*","",CONCATENATE(Legend!$C$4,Legend!$C$32,"-",$B$83,", ",Legend!$C$4,Legend!$C$33,"-",$B$83))</f>
        <v>SRVSH-PU, SRVWH-PU</v>
      </c>
      <c r="F105" s="271">
        <f>IF($A105="*","",IF(SRV_TH!F21=0,"",SRV_TH!F21))</f>
        <v>1</v>
      </c>
      <c r="G105" s="271">
        <f>IF($A105="*","",IF(SRV_TH!G21=0,"",SRV_TH!G21))</f>
        <v>1.0999999999999999</v>
      </c>
      <c r="H105" s="271">
        <f>IF($A105="*","",IF(SRV_TH!H21=0,"",SRV_TH!H21))</f>
        <v>1.2333333333333334</v>
      </c>
      <c r="I105" s="271">
        <f>IF($A105="*","",IF(SRV_TH!I21=0,"",SRV_TH!I21))</f>
        <v>1.3333333333333333</v>
      </c>
      <c r="J105" s="271">
        <f>IF($A105="*","",IF(SRV_TH!J21=0,"",SRV_TH!J21))</f>
        <v>1.3333333333333333</v>
      </c>
      <c r="K105" s="271" t="str">
        <f>IF($A105="*","",IF(SRV_TH!K21=0,"",SRV_TH!K21))</f>
        <v/>
      </c>
      <c r="L105" s="271" t="str">
        <f>IF($A105="*","",IF(SRV_TH!L21=0,"",SRV_TH!L21))</f>
        <v/>
      </c>
      <c r="M105" s="271" t="str">
        <f>IF($A105="*","",IF(SRV_TH!M21=0,"",SRV_TH!M21))</f>
        <v/>
      </c>
      <c r="N105" s="271" t="str">
        <f>IF($A105="*","",IF(SRV_TH!N21=0,"",SRV_TH!N21))</f>
        <v/>
      </c>
      <c r="O105" s="271" t="str">
        <f>IF($A105="*","",IF(SRV_TH!O21=0,"",SRV_TH!O21))</f>
        <v/>
      </c>
      <c r="P105" s="64">
        <f>IF($A105="*","",IF(SRV_TH!P21=0,"",SRV_TH!P21))</f>
        <v>0.7</v>
      </c>
      <c r="Q105" s="64">
        <f>IF($A105="*","",IF(SRV_TH!Q21=0,"",SRV_TH!Q21))</f>
        <v>0.76999999999999991</v>
      </c>
      <c r="R105" s="64">
        <f>IF($A105="*","",IF(SRV_TH!R21=0,"",SRV_TH!R21))</f>
        <v>0.86333333333333329</v>
      </c>
      <c r="S105" s="64">
        <f>IF($A105="*","",IF(SRV_TH!S21=0,"",SRV_TH!S21))</f>
        <v>0.93333333333333324</v>
      </c>
      <c r="T105" s="64">
        <f>IF($A105="*","",IF(SRV_TH!T21=0,"",SRV_TH!T21))</f>
        <v>0.93333333333333324</v>
      </c>
      <c r="U105" s="87">
        <f>IF($A105="*","",IF(SRV_TH!U21=0,"",SRV_TH!U21))</f>
        <v>20</v>
      </c>
      <c r="V105" s="87" t="str">
        <f>IF($A105="*","",IF(SRV_TH!V21=0,"",SRV_TH!V21))</f>
        <v/>
      </c>
      <c r="W105" s="90"/>
      <c r="X105" s="90"/>
      <c r="Y105" s="90"/>
      <c r="Z105" s="90"/>
      <c r="AA105" s="90"/>
      <c r="AB105" s="90">
        <f>IF($A105="*","",IF(SRV_TH!AB21=0,"",SRV_TH!AB21))</f>
        <v>800</v>
      </c>
      <c r="AC105" s="90">
        <f>IF($A105="*","",IF(SRV_TH!AC21=0,"",SRV_TH!AC21))</f>
        <v>800</v>
      </c>
      <c r="AD105" s="90">
        <f>IF($A105="*","",IF(SRV_TH!AD21=0,"",SRV_TH!AD21))</f>
        <v>700</v>
      </c>
      <c r="AE105" s="90">
        <f>IF($A105="*","",IF(SRV_TH!AE21=0,"",SRV_TH!AE21))</f>
        <v>700</v>
      </c>
      <c r="AF105" s="90">
        <f>IF($A105="*","",IF(SRV_TH!AF21=0,"",SRV_TH!AF21))</f>
        <v>700</v>
      </c>
      <c r="AG105" s="44">
        <f>IF($A105="*","",IF(SRV_TH!AG21=0,"",SRV_TH!AG21))</f>
        <v>1.125</v>
      </c>
      <c r="AH105" s="293" t="str">
        <f>IF($A105="*","",IF(SRV_TH!AH21=0,"",SRV_TH!AH21))</f>
        <v/>
      </c>
      <c r="AI105" s="92" t="str">
        <f>IF($A105="*","",IF(SRV_TH!AI21=0,"",SRV_TH!AI21))</f>
        <v/>
      </c>
      <c r="AJ105" s="92" t="str">
        <f>IF($A105="*","",IF(SRV_TH!AJ21=0,"",SRV_TH!AJ21))</f>
        <v/>
      </c>
      <c r="AK105" s="72">
        <f t="shared" si="47"/>
        <v>31.536000000000001</v>
      </c>
      <c r="AL105" s="44"/>
      <c r="AM105" s="87">
        <f t="shared" si="46"/>
        <v>2019</v>
      </c>
      <c r="AN105" s="218"/>
      <c r="AO105" s="218"/>
      <c r="AP105" s="179"/>
      <c r="AQ105" s="46" t="str">
        <f t="shared" si="40"/>
        <v>PRE</v>
      </c>
      <c r="AR105" s="46" t="str">
        <f>IF($AS105="","",_xlfn.TEXTJOIN(",",TRUE,IF(LEFT(Regions!$C$3,1)&lt;&gt;"*",Regions!$C$3,""),IF(LEFT(Regions!$D$3,1)&lt;&gt;"*",Regions!$D$3,"")))</f>
        <v>IE,National</v>
      </c>
      <c r="AS105" s="46" t="str">
        <f t="shared" si="41"/>
        <v>S-SH-PU_ELC_N5</v>
      </c>
      <c r="AT105" s="46" t="str">
        <f t="shared" si="41"/>
        <v>Public Services - Heat Pump Air-to-Water_SH-WH</v>
      </c>
      <c r="AU105" s="46" t="str">
        <f t="shared" si="42"/>
        <v>PJ</v>
      </c>
      <c r="AV105" s="46" t="str">
        <f t="shared" si="43"/>
        <v>GW</v>
      </c>
      <c r="AY105" s="46" t="str">
        <f t="shared" si="44"/>
        <v>YES</v>
      </c>
    </row>
    <row r="106" spans="1:51" s="46" customFormat="1" x14ac:dyDescent="0.25">
      <c r="A106" s="46" t="str">
        <f>IF(SRV_TH!AN22="","*","S-SH-"&amp;SRV_TH!$B$83&amp;"_"&amp;SRV_TH!$A22)</f>
        <v>S-SH-PU_ELC_N6</v>
      </c>
      <c r="B106" s="46" t="str">
        <f>IF(A106="*","",$A$83&amp;" - "&amp;SRV_TH!B22)</f>
        <v>Public Services - Heat Pump Air-to-Water + Solar thermal_SH-WH</v>
      </c>
      <c r="C106" s="46" t="str">
        <f>IF($A106="*","",SRV_TH!C22)</f>
        <v>SRVELC, SRVSOL</v>
      </c>
      <c r="D106" s="46" t="str">
        <f>IF($A106="*","",SRV_TH!D22)</f>
        <v>SRVAHT,SRVAHT2</v>
      </c>
      <c r="E106" s="46" t="str">
        <f>IF($A106="*","",CONCATENATE(Legend!$C$4,Legend!$C$32,"-",$B$83,", ",Legend!$C$4,Legend!$C$33,"-",$B$83))</f>
        <v>SRVSH-PU, SRVWH-PU</v>
      </c>
      <c r="F106" s="272">
        <f>IF($A106="*","",IF(SRV_TH!F22=0,"",SRV_TH!F22))</f>
        <v>1</v>
      </c>
      <c r="G106" s="272">
        <f>IF($A106="*","",IF(SRV_TH!G22=0,"",SRV_TH!G22))</f>
        <v>1.0899999999999999</v>
      </c>
      <c r="H106" s="272">
        <f>IF($A106="*","",IF(SRV_TH!H22=0,"",SRV_TH!H22))</f>
        <v>1.2053333333333334</v>
      </c>
      <c r="I106" s="272">
        <f>IF($A106="*","",IF(SRV_TH!I22=0,"",SRV_TH!I22))</f>
        <v>1.2933333333333334</v>
      </c>
      <c r="J106" s="272">
        <f>IF($A106="*","",IF(SRV_TH!J22=0,"",SRV_TH!J22))</f>
        <v>1.2933333333333334</v>
      </c>
      <c r="K106" s="272" t="str">
        <f>IF($A106="*","",IF(SRV_TH!K22=0,"",SRV_TH!K22))</f>
        <v/>
      </c>
      <c r="L106" s="272" t="str">
        <f>IF($A106="*","",IF(SRV_TH!L22=0,"",SRV_TH!L22))</f>
        <v/>
      </c>
      <c r="M106" s="272" t="str">
        <f>IF($A106="*","",IF(SRV_TH!M22=0,"",SRV_TH!M22))</f>
        <v/>
      </c>
      <c r="N106" s="272" t="str">
        <f>IF($A106="*","",IF(SRV_TH!N22=0,"",SRV_TH!N22))</f>
        <v/>
      </c>
      <c r="O106" s="272" t="str">
        <f>IF($A106="*","",IF(SRV_TH!O22=0,"",SRV_TH!O22))</f>
        <v/>
      </c>
      <c r="P106" s="64">
        <f>IF($A106="*","",IF(SRV_TH!P22=0,"",SRV_TH!P22))</f>
        <v>1.3849999999999998</v>
      </c>
      <c r="Q106" s="64">
        <f>IF($A106="*","",IF(SRV_TH!Q22=0,"",SRV_TH!Q22))</f>
        <v>1.4584999999999999</v>
      </c>
      <c r="R106" s="64">
        <f>IF($A106="*","",IF(SRV_TH!R22=0,"",SRV_TH!R22))</f>
        <v>1.4770000000000001</v>
      </c>
      <c r="S106" s="64">
        <f>IF($A106="*","",IF(SRV_TH!S22=0,"",SRV_TH!S22))</f>
        <v>1.54</v>
      </c>
      <c r="T106" s="64">
        <f>IF($A106="*","",IF(SRV_TH!T22=0,"",SRV_TH!T22))</f>
        <v>1.54</v>
      </c>
      <c r="U106" s="242">
        <f>IF($A106="*","",IF(SRV_TH!U22=0,"",SRV_TH!U22))</f>
        <v>20</v>
      </c>
      <c r="V106" s="242" t="str">
        <f>IF($A106="*","",IF(SRV_TH!V22=0,"",SRV_TH!V22))</f>
        <v/>
      </c>
      <c r="W106" s="90"/>
      <c r="X106" s="90"/>
      <c r="Y106" s="90"/>
      <c r="Z106" s="90"/>
      <c r="AA106" s="90"/>
      <c r="AB106" s="90">
        <f>IF($A106="*","",IF(SRV_TH!AB22=0,"",SRV_TH!AB22))</f>
        <v>759.25925925925924</v>
      </c>
      <c r="AC106" s="90">
        <f>IF($A106="*","",IF(SRV_TH!AC22=0,"",SRV_TH!AC22))</f>
        <v>759.25925925925924</v>
      </c>
      <c r="AD106" s="90">
        <f>IF($A106="*","",IF(SRV_TH!AD22=0,"",SRV_TH!AD22))</f>
        <v>685.18518518518522</v>
      </c>
      <c r="AE106" s="90">
        <f>IF($A106="*","",IF(SRV_TH!AE22=0,"",SRV_TH!AE22))</f>
        <v>685.18518518518522</v>
      </c>
      <c r="AF106" s="90">
        <f>IF($A106="*","",IF(SRV_TH!AF22=0,"",SRV_TH!AF22))</f>
        <v>685.18518518518522</v>
      </c>
      <c r="AG106" s="44">
        <f>IF($A106="*","",IF(SRV_TH!AG22=0,"",SRV_TH!AG22))</f>
        <v>4.3285714285714283</v>
      </c>
      <c r="AH106" s="293" t="str">
        <f>IF($A106="*","",IF(SRV_TH!AH22=0,"",SRV_TH!AH22))</f>
        <v/>
      </c>
      <c r="AI106" s="92">
        <f>IF($A106="*","",IF(SRV_TH!AI22=0,"",SRV_TH!AI22))</f>
        <v>0.35294117647058826</v>
      </c>
      <c r="AJ106" s="92" t="str">
        <f>IF($A106="*","",IF(SRV_TH!AJ22=0,"",SRV_TH!AJ22))</f>
        <v/>
      </c>
      <c r="AK106" s="72">
        <f t="shared" si="47"/>
        <v>31.536000000000001</v>
      </c>
      <c r="AL106" s="44"/>
      <c r="AM106" s="87">
        <f t="shared" si="46"/>
        <v>2019</v>
      </c>
      <c r="AN106" s="218"/>
      <c r="AO106" s="218"/>
      <c r="AP106" s="179"/>
      <c r="AQ106" s="46" t="str">
        <f t="shared" si="40"/>
        <v>PRE</v>
      </c>
      <c r="AR106" s="46" t="str">
        <f>IF($AS106="","",_xlfn.TEXTJOIN(",",TRUE,IF(LEFT(Regions!$C$3,1)&lt;&gt;"*",Regions!$C$3,""),IF(LEFT(Regions!$D$3,1)&lt;&gt;"*",Regions!$D$3,"")))</f>
        <v>IE,National</v>
      </c>
      <c r="AS106" s="46" t="str">
        <f t="shared" si="41"/>
        <v>S-SH-PU_ELC_N6</v>
      </c>
      <c r="AT106" s="46" t="str">
        <f t="shared" si="41"/>
        <v>Public Services - Heat Pump Air-to-Water + Solar thermal_SH-WH</v>
      </c>
      <c r="AU106" s="46" t="str">
        <f t="shared" si="42"/>
        <v>PJ</v>
      </c>
      <c r="AV106" s="46" t="str">
        <f t="shared" si="43"/>
        <v>GW</v>
      </c>
      <c r="AY106" s="46" t="str">
        <f t="shared" si="44"/>
        <v>YES</v>
      </c>
    </row>
    <row r="107" spans="1:51" s="46" customFormat="1" x14ac:dyDescent="0.25">
      <c r="A107" s="46" t="str">
        <f>IF(SRV_TH!AN23="","*","S-SH-"&amp;SRV_TH!$B$83&amp;"_"&amp;SRV_TH!$A23)</f>
        <v>S-SH-PU_ELC_N7</v>
      </c>
      <c r="B107" s="46" t="str">
        <f>IF(A107="*","",$A$83&amp;" - "&amp;SRV_TH!B23)</f>
        <v>Public Services - Heat Pump Ground Source_SH</v>
      </c>
      <c r="C107" s="46" t="str">
        <f>IF($A107="*","",SRV_TH!C23)</f>
        <v>SRVELC</v>
      </c>
      <c r="D107" s="46" t="str">
        <f>IF($A107="*","",SRV_TH!D23)</f>
        <v>SRVAHT</v>
      </c>
      <c r="E107" s="46" t="str">
        <f>IF($A107="*","",CONCATENATE(Legend!$C$4,Legend!$C$32,"-",$B$83))</f>
        <v>SRVSH-PU</v>
      </c>
      <c r="F107" s="271">
        <f>IF($A107="*","",IF(SRV_TH!F23=0,"",SRV_TH!F23))</f>
        <v>1.0999999999999999</v>
      </c>
      <c r="G107" s="271">
        <f>IF($A107="*","",IF(SRV_TH!G23=0,"",SRV_TH!G23))</f>
        <v>1.1666666666666667</v>
      </c>
      <c r="H107" s="271">
        <f>IF($A107="*","",IF(SRV_TH!H23=0,"",SRV_TH!H23))</f>
        <v>1.3333333333333333</v>
      </c>
      <c r="I107" s="271">
        <f>IF($A107="*","",IF(SRV_TH!I23=0,"",SRV_TH!I23))</f>
        <v>1.5</v>
      </c>
      <c r="J107" s="271">
        <f>IF($A107="*","",IF(SRV_TH!J23=0,"",SRV_TH!J23))</f>
        <v>1.5</v>
      </c>
      <c r="K107" s="271" t="str">
        <f>IF($A107="*","",IF(SRV_TH!K23=0,"",SRV_TH!K23))</f>
        <v/>
      </c>
      <c r="L107" s="271" t="str">
        <f>IF($A107="*","",IF(SRV_TH!L23=0,"",SRV_TH!L23))</f>
        <v/>
      </c>
      <c r="M107" s="271" t="str">
        <f>IF($A107="*","",IF(SRV_TH!M23=0,"",SRV_TH!M23))</f>
        <v/>
      </c>
      <c r="N107" s="271" t="str">
        <f>IF($A107="*","",IF(SRV_TH!N23=0,"",SRV_TH!N23))</f>
        <v/>
      </c>
      <c r="O107" s="271" t="str">
        <f>IF($A107="*","",IF(SRV_TH!O23=0,"",SRV_TH!O23))</f>
        <v/>
      </c>
      <c r="P107" s="271" t="str">
        <f>IF($A107="*","",IF(SRV_TH!P23=0,"",SRV_TH!P23))</f>
        <v/>
      </c>
      <c r="Q107" s="271" t="str">
        <f>IF($A107="*","",IF(SRV_TH!Q23=0,"",SRV_TH!Q23))</f>
        <v/>
      </c>
      <c r="R107" s="271" t="str">
        <f>IF($A107="*","",IF(SRV_TH!R23=0,"",SRV_TH!R23))</f>
        <v/>
      </c>
      <c r="S107" s="271" t="str">
        <f>IF($A107="*","",IF(SRV_TH!S23=0,"",SRV_TH!S23))</f>
        <v/>
      </c>
      <c r="T107" s="271" t="str">
        <f>IF($A107="*","",IF(SRV_TH!T23=0,"",SRV_TH!T23))</f>
        <v/>
      </c>
      <c r="U107" s="87">
        <f>IF($A107="*","",IF(SRV_TH!U23=0,"",SRV_TH!U23))</f>
        <v>20</v>
      </c>
      <c r="V107" s="87" t="str">
        <f>IF($A107="*","",IF(SRV_TH!V23=0,"",SRV_TH!V23))</f>
        <v/>
      </c>
      <c r="W107" s="90"/>
      <c r="X107" s="90"/>
      <c r="Y107" s="90"/>
      <c r="Z107" s="90"/>
      <c r="AA107" s="90"/>
      <c r="AB107" s="90">
        <f>IF($A107="*","",IF(SRV_TH!AB23=0,"",SRV_TH!AB23))</f>
        <v>901.35</v>
      </c>
      <c r="AC107" s="90">
        <f>IF($A107="*","",IF(SRV_TH!AC23=0,"",SRV_TH!AC23))</f>
        <v>901.35</v>
      </c>
      <c r="AD107" s="90">
        <f>IF($A107="*","",IF(SRV_TH!AD23=0,"",SRV_TH!AD23))</f>
        <v>801.35</v>
      </c>
      <c r="AE107" s="90">
        <f>IF($A107="*","",IF(SRV_TH!AE23=0,"",SRV_TH!AE23))</f>
        <v>701.35</v>
      </c>
      <c r="AF107" s="90">
        <f>IF($A107="*","",IF(SRV_TH!AF23=0,"",SRV_TH!AF23))</f>
        <v>701.35</v>
      </c>
      <c r="AG107" s="44">
        <f>IF($A107="*","",IF(SRV_TH!AG23=0,"",SRV_TH!AG23))</f>
        <v>1.5</v>
      </c>
      <c r="AH107" s="293" t="str">
        <f>IF($A107="*","",IF(SRV_TH!AH23=0,"",SRV_TH!AH23))</f>
        <v/>
      </c>
      <c r="AI107" s="92" t="str">
        <f>IF($A107="*","",IF(SRV_TH!AI23=0,"",SRV_TH!AI23))</f>
        <v/>
      </c>
      <c r="AJ107" s="92" t="str">
        <f>IF($A107="*","",IF(SRV_TH!AJ23=0,"",SRV_TH!AJ23))</f>
        <v/>
      </c>
      <c r="AK107" s="72">
        <f t="shared" si="47"/>
        <v>31.536000000000001</v>
      </c>
      <c r="AL107" s="44"/>
      <c r="AM107" s="87">
        <f t="shared" si="46"/>
        <v>2019</v>
      </c>
      <c r="AN107" s="218"/>
      <c r="AO107" s="218"/>
      <c r="AP107" s="179"/>
      <c r="AQ107" s="46" t="str">
        <f t="shared" si="40"/>
        <v>PRE</v>
      </c>
      <c r="AR107" s="46" t="str">
        <f>IF($AS107="","",_xlfn.TEXTJOIN(",",TRUE,IF(LEFT(Regions!$C$3,1)&lt;&gt;"*",Regions!$C$3,""),IF(LEFT(Regions!$D$3,1)&lt;&gt;"*",Regions!$D$3,"")))</f>
        <v>IE,National</v>
      </c>
      <c r="AS107" s="46" t="str">
        <f t="shared" si="41"/>
        <v>S-SH-PU_ELC_N7</v>
      </c>
      <c r="AT107" s="46" t="str">
        <f t="shared" si="41"/>
        <v>Public Services - Heat Pump Ground Source_SH</v>
      </c>
      <c r="AU107" s="46" t="str">
        <f t="shared" si="42"/>
        <v>PJ</v>
      </c>
      <c r="AV107" s="46" t="str">
        <f t="shared" si="43"/>
        <v>GW</v>
      </c>
      <c r="AY107" s="46" t="str">
        <f t="shared" si="44"/>
        <v>YES</v>
      </c>
    </row>
    <row r="108" spans="1:51" s="46" customFormat="1" x14ac:dyDescent="0.25">
      <c r="A108" s="46" t="str">
        <f>IF(SRV_TH!AN24="","*","S-SH-"&amp;SRV_TH!$B$83&amp;"_"&amp;SRV_TH!$A24)</f>
        <v>S-SH-PU_ELC_N8</v>
      </c>
      <c r="B108" s="46" t="str">
        <f>IF(A108="*","",$A$83&amp;" - "&amp;SRV_TH!B24)</f>
        <v>Public Services - Heat Pump Ground Source_SH-SC</v>
      </c>
      <c r="C108" s="46" t="str">
        <f>IF($A108="*","",SRV_TH!C24)</f>
        <v>SRVELC</v>
      </c>
      <c r="D108" s="46" t="str">
        <f>IF($A108="*","",SRV_TH!D24)</f>
        <v>SRVAHT</v>
      </c>
      <c r="E108" s="46" t="str">
        <f>IF($A108="*","",CONCATENATE(Legend!$C$4,Legend!$C$32,"-",$B$83,", ",Legend!$C$4,Legend!$C$34,"-",$B$83))</f>
        <v>SRVSH-PU, SRVSC-PU</v>
      </c>
      <c r="F108" s="271">
        <f>IF($A108="*","",IF(SRV_TH!F24=0,"",SRV_TH!F24))</f>
        <v>1.0999999999999999</v>
      </c>
      <c r="G108" s="271">
        <f>IF($A108="*","",IF(SRV_TH!G24=0,"",SRV_TH!G24))</f>
        <v>1.1666666666666667</v>
      </c>
      <c r="H108" s="271">
        <f>IF($A108="*","",IF(SRV_TH!H24=0,"",SRV_TH!H24))</f>
        <v>1.3333333333333333</v>
      </c>
      <c r="I108" s="271">
        <f>IF($A108="*","",IF(SRV_TH!I24=0,"",SRV_TH!I24))</f>
        <v>1.5</v>
      </c>
      <c r="J108" s="271">
        <f>IF($A108="*","",IF(SRV_TH!J24=0,"",SRV_TH!J24))</f>
        <v>1.5</v>
      </c>
      <c r="K108" s="271">
        <f>IF($A108="*","",IF(SRV_TH!K24=0,"",SRV_TH!K24))</f>
        <v>1.0999999999999999</v>
      </c>
      <c r="L108" s="271">
        <f>IF($A108="*","",IF(SRV_TH!L24=0,"",SRV_TH!L24))</f>
        <v>1.1666666666666667</v>
      </c>
      <c r="M108" s="271">
        <f>IF($A108="*","",IF(SRV_TH!M24=0,"",SRV_TH!M24))</f>
        <v>1.3333333333333333</v>
      </c>
      <c r="N108" s="271">
        <f>IF($A108="*","",IF(SRV_TH!N24=0,"",SRV_TH!N24))</f>
        <v>1.5</v>
      </c>
      <c r="O108" s="271">
        <f>IF($A108="*","",IF(SRV_TH!O24=0,"",SRV_TH!O24))</f>
        <v>1.5</v>
      </c>
      <c r="P108" s="271" t="str">
        <f>IF($A108="*","",IF(SRV_TH!P24=0,"",SRV_TH!P24))</f>
        <v/>
      </c>
      <c r="Q108" s="271" t="str">
        <f>IF($A108="*","",IF(SRV_TH!Q24=0,"",SRV_TH!Q24))</f>
        <v/>
      </c>
      <c r="R108" s="271" t="str">
        <f>IF($A108="*","",IF(SRV_TH!R24=0,"",SRV_TH!R24))</f>
        <v/>
      </c>
      <c r="S108" s="271" t="str">
        <f>IF($A108="*","",IF(SRV_TH!S24=0,"",SRV_TH!S24))</f>
        <v/>
      </c>
      <c r="T108" s="271" t="str">
        <f>IF($A108="*","",IF(SRV_TH!T24=0,"",SRV_TH!T24))</f>
        <v/>
      </c>
      <c r="U108" s="87">
        <f>IF($A108="*","",IF(SRV_TH!U24=0,"",SRV_TH!U24))</f>
        <v>20</v>
      </c>
      <c r="V108" s="87" t="str">
        <f>IF($A108="*","",IF(SRV_TH!V24=0,"",SRV_TH!V24))</f>
        <v/>
      </c>
      <c r="W108" s="90"/>
      <c r="X108" s="90"/>
      <c r="Y108" s="90"/>
      <c r="Z108" s="90"/>
      <c r="AA108" s="90"/>
      <c r="AB108" s="90">
        <f>IF($A108="*","",IF(SRV_TH!AB24=0,"",SRV_TH!AB24))</f>
        <v>901.35</v>
      </c>
      <c r="AC108" s="90">
        <f>IF($A108="*","",IF(SRV_TH!AC24=0,"",SRV_TH!AC24))</f>
        <v>901.35</v>
      </c>
      <c r="AD108" s="90">
        <f>IF($A108="*","",IF(SRV_TH!AD24=0,"",SRV_TH!AD24))</f>
        <v>801.35</v>
      </c>
      <c r="AE108" s="90">
        <f>IF($A108="*","",IF(SRV_TH!AE24=0,"",SRV_TH!AE24))</f>
        <v>701.35</v>
      </c>
      <c r="AF108" s="90">
        <f>IF($A108="*","",IF(SRV_TH!AF24=0,"",SRV_TH!AF24))</f>
        <v>701.35</v>
      </c>
      <c r="AG108" s="44">
        <f>IF($A108="*","",IF(SRV_TH!AG24=0,"",SRV_TH!AG24))</f>
        <v>1.5</v>
      </c>
      <c r="AH108" s="293" t="str">
        <f>IF($A108="*","",IF(SRV_TH!AH24=0,"",SRV_TH!AH24))</f>
        <v/>
      </c>
      <c r="AI108" s="92" t="str">
        <f>IF($A108="*","",IF(SRV_TH!AI24=0,"",SRV_TH!AI24))</f>
        <v/>
      </c>
      <c r="AJ108" s="92" t="str">
        <f>IF($A108="*","",IF(SRV_TH!AJ24=0,"",SRV_TH!AJ24))</f>
        <v/>
      </c>
      <c r="AK108" s="72">
        <f t="shared" si="47"/>
        <v>31.536000000000001</v>
      </c>
      <c r="AL108" s="44"/>
      <c r="AM108" s="87">
        <f t="shared" si="46"/>
        <v>2019</v>
      </c>
      <c r="AN108" s="218"/>
      <c r="AO108" s="218"/>
      <c r="AP108" s="179"/>
      <c r="AQ108" s="46" t="str">
        <f t="shared" si="40"/>
        <v>PRE</v>
      </c>
      <c r="AR108" s="46" t="str">
        <f>IF($AS108="","",_xlfn.TEXTJOIN(",",TRUE,IF(LEFT(Regions!$C$3,1)&lt;&gt;"*",Regions!$C$3,""),IF(LEFT(Regions!$D$3,1)&lt;&gt;"*",Regions!$D$3,"")))</f>
        <v>IE,National</v>
      </c>
      <c r="AS108" s="46" t="str">
        <f t="shared" si="41"/>
        <v>S-SH-PU_ELC_N8</v>
      </c>
      <c r="AT108" s="46" t="str">
        <f t="shared" si="41"/>
        <v>Public Services - Heat Pump Ground Source_SH-SC</v>
      </c>
      <c r="AU108" s="46" t="str">
        <f t="shared" si="42"/>
        <v>PJ</v>
      </c>
      <c r="AV108" s="46" t="str">
        <f t="shared" si="43"/>
        <v>GW</v>
      </c>
      <c r="AY108" s="46" t="str">
        <f t="shared" si="44"/>
        <v>YES</v>
      </c>
    </row>
    <row r="109" spans="1:51" s="46" customFormat="1" x14ac:dyDescent="0.25">
      <c r="A109" s="46" t="str">
        <f>IF(SRV_TH!AN25="","*","S-SH-"&amp;SRV_TH!$B$83&amp;"_"&amp;SRV_TH!$A25)</f>
        <v>S-SH-PU_ELC_N9</v>
      </c>
      <c r="B109" s="46" t="str">
        <f>IF(A109="*","",$A$83&amp;" - "&amp;SRV_TH!B25)</f>
        <v>Public Services - Centralized Air-to-Air heat pump_SH-SC</v>
      </c>
      <c r="C109" s="46" t="str">
        <f>IF($A109="*","",SRV_TH!C25)</f>
        <v>SRVELC</v>
      </c>
      <c r="D109" s="46" t="str">
        <f>IF($A109="*","",SRV_TH!D25)</f>
        <v>SRVAHT</v>
      </c>
      <c r="E109" s="46" t="str">
        <f>IF($A109="*","",CONCATENATE(Legend!$C$4,Legend!$C$32,"-",$B$83,", ",Legend!$C$4,Legend!$C$34,"-",$B$83))</f>
        <v>SRVSH-PU, SRVSC-PU</v>
      </c>
      <c r="F109" s="271">
        <f>IF($A109="*","",IF(SRV_TH!F25=0,"",SRV_TH!F25))</f>
        <v>1</v>
      </c>
      <c r="G109" s="271">
        <f>IF($A109="*","",IF(SRV_TH!G25=0,"",SRV_TH!G25))</f>
        <v>1.0333333333333334</v>
      </c>
      <c r="H109" s="271">
        <f>IF($A109="*","",IF(SRV_TH!H25=0,"",SRV_TH!H25))</f>
        <v>1.1333333333333333</v>
      </c>
      <c r="I109" s="271">
        <f>IF($A109="*","",IF(SRV_TH!I25=0,"",SRV_TH!I25))</f>
        <v>1.1666666666666667</v>
      </c>
      <c r="J109" s="271">
        <f>IF($A109="*","",IF(SRV_TH!J25=0,"",SRV_TH!J25))</f>
        <v>1.1666666666666667</v>
      </c>
      <c r="K109" s="271">
        <f>IF($A109="*","",IF(SRV_TH!K25=0,"",SRV_TH!K25))</f>
        <v>1</v>
      </c>
      <c r="L109" s="271">
        <f>IF($A109="*","",IF(SRV_TH!L25=0,"",SRV_TH!L25))</f>
        <v>1.0333333333333334</v>
      </c>
      <c r="M109" s="271">
        <f>IF($A109="*","",IF(SRV_TH!M25=0,"",SRV_TH!M25))</f>
        <v>1.1333333333333333</v>
      </c>
      <c r="N109" s="271">
        <f>IF($A109="*","",IF(SRV_TH!N25=0,"",SRV_TH!N25))</f>
        <v>1.1666666666666667</v>
      </c>
      <c r="O109" s="271">
        <f>IF($A109="*","",IF(SRV_TH!O25=0,"",SRV_TH!O25))</f>
        <v>1.1666666666666667</v>
      </c>
      <c r="P109" s="271" t="str">
        <f>IF($A109="*","",IF(SRV_TH!P25=0,"",SRV_TH!P25))</f>
        <v/>
      </c>
      <c r="Q109" s="271" t="str">
        <f>IF($A109="*","",IF(SRV_TH!Q25=0,"",SRV_TH!Q25))</f>
        <v/>
      </c>
      <c r="R109" s="271" t="str">
        <f>IF($A109="*","",IF(SRV_TH!R25=0,"",SRV_TH!R25))</f>
        <v/>
      </c>
      <c r="S109" s="271" t="str">
        <f>IF($A109="*","",IF(SRV_TH!S25=0,"",SRV_TH!S25))</f>
        <v/>
      </c>
      <c r="T109" s="271" t="str">
        <f>IF($A109="*","",IF(SRV_TH!T25=0,"",SRV_TH!T25))</f>
        <v/>
      </c>
      <c r="U109" s="87">
        <f>IF($A109="*","",IF(SRV_TH!U25=0,"",SRV_TH!U25))</f>
        <v>20</v>
      </c>
      <c r="V109" s="87" t="str">
        <f>IF($A109="*","",IF(SRV_TH!V25=0,"",SRV_TH!V25))</f>
        <v/>
      </c>
      <c r="W109" s="90"/>
      <c r="X109" s="90"/>
      <c r="Y109" s="90"/>
      <c r="Z109" s="90"/>
      <c r="AA109" s="90"/>
      <c r="AB109" s="90">
        <f>IF($A109="*","",IF(SRV_TH!AB25=0,"",SRV_TH!AB25))</f>
        <v>800</v>
      </c>
      <c r="AC109" s="90">
        <f>IF($A109="*","",IF(SRV_TH!AC25=0,"",SRV_TH!AC25))</f>
        <v>800</v>
      </c>
      <c r="AD109" s="90">
        <f>IF($A109="*","",IF(SRV_TH!AD25=0,"",SRV_TH!AD25))</f>
        <v>700</v>
      </c>
      <c r="AE109" s="90">
        <f>IF($A109="*","",IF(SRV_TH!AE25=0,"",SRV_TH!AE25))</f>
        <v>700</v>
      </c>
      <c r="AF109" s="90">
        <f>IF($A109="*","",IF(SRV_TH!AF25=0,"",SRV_TH!AF25))</f>
        <v>700</v>
      </c>
      <c r="AG109" s="44">
        <f>IF($A109="*","",IF(SRV_TH!AG25=0,"",SRV_TH!AG25))</f>
        <v>4.2056074766355138</v>
      </c>
      <c r="AH109" s="293" t="str">
        <f>IF($A109="*","",IF(SRV_TH!AH25=0,"",SRV_TH!AH25))</f>
        <v/>
      </c>
      <c r="AI109" s="92" t="str">
        <f>IF($A109="*","",IF(SRV_TH!AI25=0,"",SRV_TH!AI25))</f>
        <v/>
      </c>
      <c r="AJ109" s="92" t="str">
        <f>IF($A109="*","",IF(SRV_TH!AJ25=0,"",SRV_TH!AJ25))</f>
        <v/>
      </c>
      <c r="AK109" s="72">
        <f t="shared" si="47"/>
        <v>31.536000000000001</v>
      </c>
      <c r="AL109" s="44"/>
      <c r="AM109" s="87">
        <f t="shared" si="46"/>
        <v>2019</v>
      </c>
      <c r="AN109" s="218"/>
      <c r="AO109" s="218"/>
      <c r="AP109" s="179"/>
      <c r="AQ109" s="46" t="str">
        <f t="shared" ref="AQ109" si="48">IF(LEFT(A109)="*",A109,"PRE")</f>
        <v>PRE</v>
      </c>
      <c r="AR109" s="46" t="str">
        <f>IF($AS109="","",_xlfn.TEXTJOIN(",",TRUE,IF(LEFT(Regions!$C$3,1)&lt;&gt;"*",Regions!$C$3,""),IF(LEFT(Regions!$D$3,1)&lt;&gt;"*",Regions!$D$3,"")))</f>
        <v>IE,National</v>
      </c>
      <c r="AS109" s="46" t="str">
        <f t="shared" ref="AS109" si="49">IF(LEFT($A109)="*","",A109)</f>
        <v>S-SH-PU_ELC_N9</v>
      </c>
      <c r="AT109" s="46" t="str">
        <f t="shared" ref="AT109" si="50">IF(LEFT($A109)="*","",B109)</f>
        <v>Public Services - Centralized Air-to-Air heat pump_SH-SC</v>
      </c>
      <c r="AU109" s="46" t="str">
        <f t="shared" si="42"/>
        <v>PJ</v>
      </c>
      <c r="AV109" s="46" t="str">
        <f t="shared" si="43"/>
        <v>GW</v>
      </c>
      <c r="AY109" s="46" t="str">
        <f t="shared" si="44"/>
        <v>YES</v>
      </c>
    </row>
    <row r="110" spans="1:51" s="46" customFormat="1" x14ac:dyDescent="0.25">
      <c r="A110" s="46" t="str">
        <f>IF(SRV_TH!AN26="","*","S-SH-"&amp;SRV_TH!$B$83&amp;"_"&amp;SRV_TH!$A26)</f>
        <v>S-SH-PU_GAS_N5</v>
      </c>
      <c r="B110" s="46" t="str">
        <f>IF(A110="*","",$A$83&amp;" - "&amp;SRV_TH!B26)</f>
        <v>Public Services - Gas-driven Heat Pump absorption_SH-WH</v>
      </c>
      <c r="C110" s="46" t="str">
        <f>IF($A110="*","",SRV_TH!C26)</f>
        <v>SRVGAS</v>
      </c>
      <c r="D110" s="46" t="str">
        <f>IF($A110="*","",SRV_TH!D26)</f>
        <v>SRVAHT,SRVAHT2</v>
      </c>
      <c r="E110" s="46" t="str">
        <f>IF($A110="*","",CONCATENATE(Legend!$C$4,Legend!$C$32,"-",$B$83,", ",Legend!$C$4,Legend!$C$33,"-",$B$83))</f>
        <v>SRVSH-PU, SRVWH-PU</v>
      </c>
      <c r="F110" s="271">
        <f>IF($A110="*","",IF(SRV_TH!F26=0,"",SRV_TH!F26))</f>
        <v>1.3235294117647058</v>
      </c>
      <c r="G110" s="271">
        <f>IF($A110="*","",IF(SRV_TH!G26=0,"",SRV_TH!G26))</f>
        <v>1.4215686274509802</v>
      </c>
      <c r="H110" s="271">
        <f>IF($A110="*","",IF(SRV_TH!H26=0,"",SRV_TH!H26))</f>
        <v>1.6666666666666665</v>
      </c>
      <c r="I110" s="271">
        <f>IF($A110="*","",IF(SRV_TH!I26=0,"",SRV_TH!I26))</f>
        <v>1.6666666666666665</v>
      </c>
      <c r="J110" s="271">
        <f>IF($A110="*","",IF(SRV_TH!J26=0,"",SRV_TH!J26))</f>
        <v>1.6666666666666665</v>
      </c>
      <c r="K110" s="271" t="str">
        <f>IF($A110="*","",IF(SRV_TH!K26=0,"",SRV_TH!K26))</f>
        <v/>
      </c>
      <c r="L110" s="271" t="str">
        <f>IF($A110="*","",IF(SRV_TH!L26=0,"",SRV_TH!L26))</f>
        <v/>
      </c>
      <c r="M110" s="271" t="str">
        <f>IF($A110="*","",IF(SRV_TH!M26=0,"",SRV_TH!M26))</f>
        <v/>
      </c>
      <c r="N110" s="271" t="str">
        <f>IF($A110="*","",IF(SRV_TH!N26=0,"",SRV_TH!N26))</f>
        <v/>
      </c>
      <c r="O110" s="271" t="str">
        <f>IF($A110="*","",IF(SRV_TH!O26=0,"",SRV_TH!O26))</f>
        <v/>
      </c>
      <c r="P110" s="64">
        <f>IF($A110="*","",IF(SRV_TH!P26=0,"",SRV_TH!P26))</f>
        <v>0.92647058823529405</v>
      </c>
      <c r="Q110" s="64">
        <f>IF($A110="*","",IF(SRV_TH!Q26=0,"",SRV_TH!Q26))</f>
        <v>0.99509803921568607</v>
      </c>
      <c r="R110" s="64">
        <f>IF($A110="*","",IF(SRV_TH!R26=0,"",SRV_TH!R26))</f>
        <v>1.1666666666666665</v>
      </c>
      <c r="S110" s="64">
        <f>IF($A110="*","",IF(SRV_TH!S26=0,"",SRV_TH!S26))</f>
        <v>1.1666666666666665</v>
      </c>
      <c r="T110" s="64">
        <f>IF($A110="*","",IF(SRV_TH!T26=0,"",SRV_TH!T26))</f>
        <v>1.1666666666666665</v>
      </c>
      <c r="U110" s="87">
        <f>IF($A110="*","",IF(SRV_TH!U26=0,"",SRV_TH!U26))</f>
        <v>22</v>
      </c>
      <c r="V110" s="87" t="str">
        <f>IF($A110="*","",IF(SRV_TH!V26=0,"",SRV_TH!V26))</f>
        <v/>
      </c>
      <c r="W110" s="90"/>
      <c r="X110" s="90"/>
      <c r="Y110" s="90"/>
      <c r="Z110" s="90"/>
      <c r="AA110" s="90"/>
      <c r="AB110" s="90">
        <f>IF($A110="*","",IF(SRV_TH!AB26=0,"",SRV_TH!AB26))</f>
        <v>750</v>
      </c>
      <c r="AC110" s="90">
        <f>IF($A110="*","",IF(SRV_TH!AC26=0,"",SRV_TH!AC26))</f>
        <v>750</v>
      </c>
      <c r="AD110" s="90">
        <f>IF($A110="*","",IF(SRV_TH!AD26=0,"",SRV_TH!AD26))</f>
        <v>727.27272727272725</v>
      </c>
      <c r="AE110" s="90">
        <f>IF($A110="*","",IF(SRV_TH!AE26=0,"",SRV_TH!AE26))</f>
        <v>727.27272727272725</v>
      </c>
      <c r="AF110" s="90">
        <f>IF($A110="*","",IF(SRV_TH!AF26=0,"",SRV_TH!AF26))</f>
        <v>727.27272727272725</v>
      </c>
      <c r="AG110" s="44">
        <f>IF($A110="*","",IF(SRV_TH!AG26=0,"",SRV_TH!AG26))</f>
        <v>5.3409090909090908</v>
      </c>
      <c r="AH110" s="293" t="str">
        <f>IF($A110="*","",IF(SRV_TH!AH26=0,"",SRV_TH!AH26))</f>
        <v/>
      </c>
      <c r="AI110" s="92" t="str">
        <f>IF($A110="*","",IF(SRV_TH!AI26=0,"",SRV_TH!AI26))</f>
        <v/>
      </c>
      <c r="AJ110" s="92" t="str">
        <f>IF($A110="*","",IF(SRV_TH!AJ26=0,"",SRV_TH!AJ26))</f>
        <v/>
      </c>
      <c r="AK110" s="72">
        <f t="shared" si="47"/>
        <v>31.536000000000001</v>
      </c>
      <c r="AL110" s="44"/>
      <c r="AM110" s="87">
        <f t="shared" si="46"/>
        <v>2019</v>
      </c>
      <c r="AN110" s="218"/>
      <c r="AO110" s="218"/>
      <c r="AP110" s="179"/>
      <c r="AQ110" s="46" t="str">
        <f t="shared" si="40"/>
        <v>PRE</v>
      </c>
      <c r="AR110" s="46" t="str">
        <f>IF($AS110="","",_xlfn.TEXTJOIN(",",TRUE,IF(LEFT(Regions!$C$3,1)&lt;&gt;"*",Regions!$C$3,""),IF(LEFT(Regions!$D$3,1)&lt;&gt;"*",Regions!$D$3,"")))</f>
        <v>IE,National</v>
      </c>
      <c r="AS110" s="46" t="str">
        <f t="shared" si="41"/>
        <v>S-SH-PU_GAS_N5</v>
      </c>
      <c r="AT110" s="46" t="str">
        <f t="shared" si="41"/>
        <v>Public Services - Gas-driven Heat Pump absorption_SH-WH</v>
      </c>
      <c r="AU110" s="46" t="str">
        <f t="shared" si="42"/>
        <v>PJ</v>
      </c>
      <c r="AV110" s="46" t="str">
        <f t="shared" si="43"/>
        <v>GW</v>
      </c>
      <c r="AY110" s="46" t="str">
        <f t="shared" si="44"/>
        <v>YES</v>
      </c>
    </row>
    <row r="111" spans="1:51" s="46" customFormat="1" x14ac:dyDescent="0.25">
      <c r="A111" s="49" t="str">
        <f>IF(SRV_TH!AN27="","*","S-SH-"&amp;SRV_TH!$B$83&amp;"_"&amp;SRV_TH!$A27)</f>
        <v>S-SH-PU_GAS_N6</v>
      </c>
      <c r="B111" s="49" t="str">
        <f>IF(A111="*","",$A$83&amp;" - "&amp;SRV_TH!B27)</f>
        <v>Public Services - Gas-driven Heat Pump engine_SH-WH</v>
      </c>
      <c r="C111" s="49" t="str">
        <f>IF($A111="*","",SRV_TH!C27)</f>
        <v>SRVGAS</v>
      </c>
      <c r="D111" s="49" t="str">
        <f>IF($A111="*","",SRV_TH!D27)</f>
        <v>SRVAHT,SRVAHT2</v>
      </c>
      <c r="E111" s="49" t="str">
        <f>IF($A111="*","",CONCATENATE(Legend!$C$4,Legend!$C$32,"-",$B$83,", ",Legend!$C$4,Legend!$C$33,"-",$B$83))</f>
        <v>SRVSH-PU, SRVWH-PU</v>
      </c>
      <c r="F111" s="273">
        <f>IF($A111="*","",IF(SRV_TH!F27=0,"",SRV_TH!F27))</f>
        <v>1.4705882352941175</v>
      </c>
      <c r="G111" s="273">
        <f>IF($A111="*","",IF(SRV_TH!G27=0,"",SRV_TH!G27))</f>
        <v>1.5196078431372548</v>
      </c>
      <c r="H111" s="273">
        <f>IF($A111="*","",IF(SRV_TH!H27=0,"",SRV_TH!H27))</f>
        <v>1.5196078431372548</v>
      </c>
      <c r="I111" s="273">
        <f>IF($A111="*","",IF(SRV_TH!I27=0,"",SRV_TH!I27))</f>
        <v>1.5686274509803921</v>
      </c>
      <c r="J111" s="273">
        <f>IF($A111="*","",IF(SRV_TH!J27=0,"",SRV_TH!J27))</f>
        <v>1.5686274509803921</v>
      </c>
      <c r="K111" s="273" t="str">
        <f>IF($A111="*","",IF(SRV_TH!K27=0,"",SRV_TH!K27))</f>
        <v/>
      </c>
      <c r="L111" s="273" t="str">
        <f>IF($A111="*","",IF(SRV_TH!L27=0,"",SRV_TH!L27))</f>
        <v/>
      </c>
      <c r="M111" s="273" t="str">
        <f>IF($A111="*","",IF(SRV_TH!M27=0,"",SRV_TH!M27))</f>
        <v/>
      </c>
      <c r="N111" s="273" t="str">
        <f>IF($A111="*","",IF(SRV_TH!N27=0,"",SRV_TH!N27))</f>
        <v/>
      </c>
      <c r="O111" s="273" t="str">
        <f>IF($A111="*","",IF(SRV_TH!O27=0,"",SRV_TH!O27))</f>
        <v/>
      </c>
      <c r="P111" s="273">
        <f>IF($A111="*","",IF(SRV_TH!P27=0,"",SRV_TH!P27))</f>
        <v>1.0294117647058822</v>
      </c>
      <c r="Q111" s="273">
        <f>IF($A111="*","",IF(SRV_TH!Q27=0,"",SRV_TH!Q27))</f>
        <v>1.0637254901960782</v>
      </c>
      <c r="R111" s="273">
        <f>IF($A111="*","",IF(SRV_TH!R27=0,"",SRV_TH!R27))</f>
        <v>1.0637254901960782</v>
      </c>
      <c r="S111" s="273">
        <f>IF($A111="*","",IF(SRV_TH!S27=0,"",SRV_TH!S27))</f>
        <v>1.0980392156862744</v>
      </c>
      <c r="T111" s="273">
        <f>IF($A111="*","",IF(SRV_TH!T27=0,"",SRV_TH!T27))</f>
        <v>1.0980392156862744</v>
      </c>
      <c r="U111" s="215" t="str">
        <f>IF($A111="*","",IF(SRV_TH!U27=0,"",SRV_TH!U27))</f>
        <v>15-20</v>
      </c>
      <c r="V111" s="215" t="str">
        <f>IF($A111="*","",IF(SRV_TH!V27=0,"",SRV_TH!V27))</f>
        <v/>
      </c>
      <c r="W111" s="75"/>
      <c r="X111" s="75"/>
      <c r="Y111" s="75"/>
      <c r="Z111" s="75"/>
      <c r="AA111" s="75"/>
      <c r="AB111" s="75">
        <f>IF($A111="*","",IF(SRV_TH!AB27=0,"",SRV_TH!AB27))</f>
        <v>950</v>
      </c>
      <c r="AC111" s="75">
        <f>IF($A111="*","",IF(SRV_TH!AC27=0,"",SRV_TH!AC27))</f>
        <v>950</v>
      </c>
      <c r="AD111" s="75">
        <f>IF($A111="*","",IF(SRV_TH!AD27=0,"",SRV_TH!AD27))</f>
        <v>950</v>
      </c>
      <c r="AE111" s="75">
        <f>IF($A111="*","",IF(SRV_TH!AE27=0,"",SRV_TH!AE27))</f>
        <v>950</v>
      </c>
      <c r="AF111" s="75">
        <f>IF($A111="*","",IF(SRV_TH!AF27=0,"",SRV_TH!AF27))</f>
        <v>950</v>
      </c>
      <c r="AG111" s="50">
        <f>IF($A111="*","",IF(SRV_TH!AG27=0,"",SRV_TH!AG27))</f>
        <v>4.7</v>
      </c>
      <c r="AH111" s="294" t="str">
        <f>IF($A111="*","",IF(SRV_TH!AH27=0,"",SRV_TH!AH27))</f>
        <v/>
      </c>
      <c r="AI111" s="51" t="str">
        <f>IF($A111="*","",IF(SRV_TH!AI27=0,"",SRV_TH!AI27))</f>
        <v/>
      </c>
      <c r="AJ111" s="51" t="str">
        <f>IF($A111="*","",IF(SRV_TH!AJ27=0,"",SRV_TH!AJ27))</f>
        <v/>
      </c>
      <c r="AK111" s="73">
        <f t="shared" si="47"/>
        <v>31.536000000000001</v>
      </c>
      <c r="AL111" s="50"/>
      <c r="AM111" s="88">
        <f t="shared" si="46"/>
        <v>2019</v>
      </c>
      <c r="AN111" s="218"/>
      <c r="AO111" s="218"/>
      <c r="AP111" s="179"/>
      <c r="AQ111" s="49" t="str">
        <f t="shared" si="40"/>
        <v>PRE</v>
      </c>
      <c r="AR111" s="49" t="str">
        <f>IF($AS111="","",_xlfn.TEXTJOIN(",",TRUE,IF(LEFT(Regions!$C$3,1)&lt;&gt;"*",Regions!$C$3,""),IF(LEFT(Regions!$D$3,1)&lt;&gt;"*",Regions!$D$3,"")))</f>
        <v>IE,National</v>
      </c>
      <c r="AS111" s="49" t="str">
        <f t="shared" si="41"/>
        <v>S-SH-PU_GAS_N6</v>
      </c>
      <c r="AT111" s="49" t="str">
        <f t="shared" si="41"/>
        <v>Public Services - Gas-driven Heat Pump engine_SH-WH</v>
      </c>
      <c r="AU111" s="49" t="str">
        <f t="shared" si="42"/>
        <v>PJ</v>
      </c>
      <c r="AV111" s="49" t="str">
        <f t="shared" si="43"/>
        <v>GW</v>
      </c>
      <c r="AW111" s="49"/>
      <c r="AX111" s="49"/>
      <c r="AY111" s="49" t="str">
        <f t="shared" si="44"/>
        <v>YES</v>
      </c>
    </row>
    <row r="112" spans="1:51" s="46" customFormat="1" x14ac:dyDescent="0.25">
      <c r="A112" s="61" t="s">
        <v>103</v>
      </c>
      <c r="B112" s="61"/>
      <c r="C112" s="61"/>
      <c r="D112" s="61"/>
      <c r="E112" s="61"/>
      <c r="F112" s="270"/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70"/>
      <c r="S112" s="270"/>
      <c r="T112" s="270"/>
      <c r="U112" s="227"/>
      <c r="V112" s="227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16"/>
      <c r="AH112" s="299"/>
      <c r="AI112" s="222" t="str">
        <f>IF($A112="*","",IF(SRV_TH!AI28=0,"",SRV_TH!AI28))</f>
        <v/>
      </c>
      <c r="AJ112" s="222" t="str">
        <f>IF($A112="*","",IF(SRV_TH!AJ28=0,"",SRV_TH!AJ28))</f>
        <v/>
      </c>
      <c r="AK112" s="225"/>
      <c r="AL112" s="216"/>
      <c r="AM112" s="227"/>
      <c r="AN112" s="218"/>
      <c r="AO112" s="218"/>
      <c r="AP112" s="179"/>
      <c r="AQ112" s="61" t="str">
        <f t="shared" si="40"/>
        <v>*District Heating</v>
      </c>
      <c r="AR112" s="61" t="str">
        <f>IF($AS112="","",_xlfn.TEXTJOIN(",",TRUE,IF(LEFT(Regions!$C$3,1)&lt;&gt;"*",Regions!$C$3,""),IF(LEFT(Regions!$D$3,1)&lt;&gt;"*",Regions!$D$3,"")))</f>
        <v/>
      </c>
      <c r="AS112" s="61" t="str">
        <f t="shared" si="41"/>
        <v/>
      </c>
      <c r="AT112" s="61" t="str">
        <f t="shared" si="41"/>
        <v/>
      </c>
      <c r="AU112" s="61" t="str">
        <f t="shared" si="42"/>
        <v/>
      </c>
      <c r="AV112" s="61" t="str">
        <f t="shared" si="43"/>
        <v/>
      </c>
      <c r="AW112" s="61"/>
      <c r="AX112" s="61"/>
      <c r="AY112" s="61" t="str">
        <f t="shared" si="44"/>
        <v/>
      </c>
    </row>
    <row r="113" spans="1:51" s="46" customFormat="1" x14ac:dyDescent="0.25">
      <c r="A113" s="49" t="str">
        <f>IF(SRV_TH!AN29="","*","S-SH-"&amp;SRV_TH!$B$83&amp;"_"&amp;SRV_TH!$A29)</f>
        <v>S-SH-PU_HET_N1</v>
      </c>
      <c r="B113" s="49" t="str">
        <f>IF(A113="*","",$A$83&amp;" - "&amp;SRV_TH!B29)</f>
        <v>Public Services - Centralized DistrictH_Heat Exchanger_SH-WH</v>
      </c>
      <c r="C113" s="49" t="str">
        <f>IF($A113="*","",SRV_TH!C29)</f>
        <v>SRVHET</v>
      </c>
      <c r="D113" s="49"/>
      <c r="E113" s="49" t="str">
        <f>IF($A113="*","",CONCATENATE(Legend!$C$4,Legend!$C$32,"-",$B$83,", ",Legend!$C$4,Legend!$C$33,"-",$B$83))</f>
        <v>SRVSH-PU, SRVWH-PU</v>
      </c>
      <c r="F113" s="269">
        <f>IF($A113="*","",IF(SRV_TH!F29=0,"",SRV_TH!F29))</f>
        <v>0.96078431372549011</v>
      </c>
      <c r="G113" s="269">
        <f>IF($A113="*","",IF(SRV_TH!G29=0,"",SRV_TH!G29))</f>
        <v>0.96078431372549011</v>
      </c>
      <c r="H113" s="269">
        <f>IF($A113="*","",IF(SRV_TH!H29=0,"",SRV_TH!H29))</f>
        <v>0.96078431372549011</v>
      </c>
      <c r="I113" s="269">
        <f>IF($A113="*","",IF(SRV_TH!I29=0,"",SRV_TH!I29))</f>
        <v>0.96078431372549011</v>
      </c>
      <c r="J113" s="269">
        <f>IF($A113="*","",IF(SRV_TH!J29=0,"",SRV_TH!J29))</f>
        <v>0.96078431372549011</v>
      </c>
      <c r="K113" s="269" t="str">
        <f>IF($A113="*","",IF(SRV_TH!K29=0,"",SRV_TH!K29))</f>
        <v/>
      </c>
      <c r="L113" s="269" t="str">
        <f>IF($A113="*","",IF(SRV_TH!L29=0,"",SRV_TH!L29))</f>
        <v/>
      </c>
      <c r="M113" s="269" t="str">
        <f>IF($A113="*","",IF(SRV_TH!M29=0,"",SRV_TH!M29))</f>
        <v/>
      </c>
      <c r="N113" s="269" t="str">
        <f>IF($A113="*","",IF(SRV_TH!N29=0,"",SRV_TH!N29))</f>
        <v/>
      </c>
      <c r="O113" s="269" t="str">
        <f>IF($A113="*","",IF(SRV_TH!O29=0,"",SRV_TH!O29))</f>
        <v/>
      </c>
      <c r="P113" s="269">
        <f>IF($A113="*","",IF(SRV_TH!P29=0,"",SRV_TH!P29))</f>
        <v>0.96078431372549011</v>
      </c>
      <c r="Q113" s="269">
        <f>IF($A113="*","",IF(SRV_TH!Q29=0,"",SRV_TH!Q29))</f>
        <v>0.96078431372549011</v>
      </c>
      <c r="R113" s="269">
        <f>IF($A113="*","",IF(SRV_TH!R29=0,"",SRV_TH!R29))</f>
        <v>0.96078431372549011</v>
      </c>
      <c r="S113" s="269">
        <f>IF($A113="*","",IF(SRV_TH!S29=0,"",SRV_TH!S29))</f>
        <v>0.96078431372549011</v>
      </c>
      <c r="T113" s="269">
        <f>IF($A113="*","",IF(SRV_TH!T29=0,"",SRV_TH!T29))</f>
        <v>0.96078431372549011</v>
      </c>
      <c r="U113" s="219">
        <f>IF($A113="*","",IF(SRV_TH!U29=0,"",SRV_TH!U29))</f>
        <v>20</v>
      </c>
      <c r="V113" s="219" t="str">
        <f>IF($A113="*","",IF(SRV_TH!V29=0,"",SRV_TH!V29))</f>
        <v/>
      </c>
      <c r="W113" s="75"/>
      <c r="X113" s="75"/>
      <c r="Y113" s="75"/>
      <c r="Z113" s="75"/>
      <c r="AA113" s="75"/>
      <c r="AB113" s="75">
        <f>IF($A113="*","",IF(SRV_TH!AB29=0,"",SRV_TH!AB29))</f>
        <v>250</v>
      </c>
      <c r="AC113" s="75">
        <f>IF($A113="*","",IF(SRV_TH!AC29=0,"",SRV_TH!AC29))</f>
        <v>250</v>
      </c>
      <c r="AD113" s="75">
        <f>IF($A113="*","",IF(SRV_TH!AD29=0,"",SRV_TH!AD29))</f>
        <v>250</v>
      </c>
      <c r="AE113" s="75">
        <f>IF($A113="*","",IF(SRV_TH!AE29=0,"",SRV_TH!AE29))</f>
        <v>250</v>
      </c>
      <c r="AF113" s="75">
        <f>IF($A113="*","",IF(SRV_TH!AF29=0,"",SRV_TH!AF29))</f>
        <v>250</v>
      </c>
      <c r="AG113" s="217">
        <f>IF($A113="*","",IF(SRV_TH!AG29=0,"",SRV_TH!AG29))</f>
        <v>15</v>
      </c>
      <c r="AH113" s="298" t="str">
        <f>IF($A113="*","",IF(SRV_TH!AH29=0,"",SRV_TH!AH29))</f>
        <v/>
      </c>
      <c r="AI113" s="93" t="str">
        <f>IF($A113="*","",IF(SRV_TH!AI29=0,"",SRV_TH!AI29))</f>
        <v/>
      </c>
      <c r="AJ113" s="93" t="str">
        <f>IF($A113="*","",IF(SRV_TH!AJ29=0,"",SRV_TH!AJ29))</f>
        <v/>
      </c>
      <c r="AK113" s="221">
        <f>IF($A113="*","",31.536)</f>
        <v>31.536000000000001</v>
      </c>
      <c r="AL113" s="217"/>
      <c r="AM113" s="215">
        <f t="shared" si="46"/>
        <v>2019</v>
      </c>
      <c r="AN113" s="183"/>
      <c r="AO113" s="183"/>
      <c r="AP113" s="179"/>
      <c r="AQ113" s="49" t="str">
        <f t="shared" si="40"/>
        <v>PRE</v>
      </c>
      <c r="AR113" s="49" t="str">
        <f>IF($AS113="","",_xlfn.TEXTJOIN(",",TRUE,IF(LEFT(Regions!$C$3,1)&lt;&gt;"*",Regions!$C$3,""),IF(LEFT(Regions!$D$3,1)&lt;&gt;"*",Regions!$D$3,"")))</f>
        <v>IE,National</v>
      </c>
      <c r="AS113" s="49" t="str">
        <f t="shared" si="41"/>
        <v>S-SH-PU_HET_N1</v>
      </c>
      <c r="AT113" s="49" t="str">
        <f t="shared" si="41"/>
        <v>Public Services - Centralized DistrictH_Heat Exchanger_SH-WH</v>
      </c>
      <c r="AU113" s="49" t="str">
        <f t="shared" si="42"/>
        <v>PJ</v>
      </c>
      <c r="AV113" s="49" t="str">
        <f t="shared" si="43"/>
        <v>GW</v>
      </c>
      <c r="AW113" s="49"/>
      <c r="AX113" s="49"/>
      <c r="AY113" s="49" t="str">
        <f t="shared" si="44"/>
        <v>YES</v>
      </c>
    </row>
    <row r="114" spans="1:51" s="46" customFormat="1" x14ac:dyDescent="0.25">
      <c r="A114" s="61" t="s">
        <v>104</v>
      </c>
      <c r="B114" s="61"/>
      <c r="C114" s="61"/>
      <c r="D114" s="61"/>
      <c r="E114" s="61"/>
      <c r="F114" s="270"/>
      <c r="G114" s="270"/>
      <c r="H114" s="270"/>
      <c r="I114" s="270"/>
      <c r="J114" s="270"/>
      <c r="K114" s="270"/>
      <c r="L114" s="270"/>
      <c r="M114" s="270"/>
      <c r="N114" s="270"/>
      <c r="O114" s="270"/>
      <c r="P114" s="270"/>
      <c r="Q114" s="270"/>
      <c r="R114" s="270"/>
      <c r="S114" s="270"/>
      <c r="T114" s="270"/>
      <c r="U114" s="227"/>
      <c r="V114" s="227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16"/>
      <c r="AH114" s="299"/>
      <c r="AI114" s="222" t="str">
        <f>IF($A114="*","",IF(SRV_TH!AI30=0,"",SRV_TH!AI30))</f>
        <v/>
      </c>
      <c r="AJ114" s="222" t="str">
        <f>IF($A114="*","",IF(SRV_TH!AJ30=0,"",SRV_TH!AJ30))</f>
        <v/>
      </c>
      <c r="AK114" s="225"/>
      <c r="AL114" s="216"/>
      <c r="AM114" s="227"/>
      <c r="AN114" s="218"/>
      <c r="AO114" s="218"/>
      <c r="AP114" s="179"/>
      <c r="AQ114" s="61" t="str">
        <f t="shared" si="40"/>
        <v>*Water Heat-only</v>
      </c>
      <c r="AR114" s="61" t="str">
        <f>IF($AS114="","",_xlfn.TEXTJOIN(",",TRUE,IF(LEFT(Regions!$C$3,1)&lt;&gt;"*",Regions!$C$3,""),IF(LEFT(Regions!$D$3,1)&lt;&gt;"*",Regions!$D$3,"")))</f>
        <v/>
      </c>
      <c r="AS114" s="61" t="str">
        <f t="shared" si="41"/>
        <v/>
      </c>
      <c r="AT114" s="61" t="str">
        <f t="shared" si="41"/>
        <v/>
      </c>
      <c r="AU114" s="61" t="str">
        <f t="shared" si="42"/>
        <v/>
      </c>
      <c r="AV114" s="61" t="str">
        <f t="shared" si="43"/>
        <v/>
      </c>
      <c r="AW114" s="61"/>
      <c r="AX114" s="61"/>
      <c r="AY114" s="61" t="str">
        <f t="shared" si="44"/>
        <v/>
      </c>
    </row>
    <row r="115" spans="1:51" s="46" customFormat="1" x14ac:dyDescent="0.25">
      <c r="A115" s="46" t="str">
        <f>IF(SRV_TH!AN31="","*","S-WH-"&amp;SRV_TH!$B$83&amp;"_"&amp;SRV_TH!$A31)</f>
        <v>S-WH-PU_ELC_N1</v>
      </c>
      <c r="B115" s="46" t="str">
        <f>IF(A115="*","",$A$83&amp;" - "&amp;SRV_TH!B31)</f>
        <v>Public Services - Electric water heater_WH</v>
      </c>
      <c r="C115" s="46" t="str">
        <f>IF($A115="*","",SRV_TH!C31)</f>
        <v>SRVELC</v>
      </c>
      <c r="E115" s="46" t="str">
        <f>IF($A115="*","",CONCATENATE(,Legend!$C$4,Legend!$C$33,"-",$B$83))</f>
        <v>SRVWH-PU</v>
      </c>
      <c r="F115" s="64" t="str">
        <f>IF($A115="*","",IF(SRV_TH!F31=0,"",SRV_TH!F31))</f>
        <v/>
      </c>
      <c r="G115" s="64" t="str">
        <f>IF($A115="*","",IF(SRV_TH!G31=0,"",SRV_TH!G31))</f>
        <v/>
      </c>
      <c r="H115" s="64" t="str">
        <f>IF($A115="*","",IF(SRV_TH!H31=0,"",SRV_TH!H31))</f>
        <v/>
      </c>
      <c r="I115" s="64" t="str">
        <f>IF($A115="*","",IF(SRV_TH!I31=0,"",SRV_TH!I31))</f>
        <v/>
      </c>
      <c r="J115" s="64" t="str">
        <f>IF($A115="*","",IF(SRV_TH!J31=0,"",SRV_TH!J31))</f>
        <v/>
      </c>
      <c r="K115" s="64" t="str">
        <f>IF($A115="*","",IF(SRV_TH!K31=0,"",SRV_TH!K31))</f>
        <v/>
      </c>
      <c r="L115" s="64" t="str">
        <f>IF($A115="*","",IF(SRV_TH!L31=0,"",SRV_TH!L31))</f>
        <v/>
      </c>
      <c r="M115" s="64" t="str">
        <f>IF($A115="*","",IF(SRV_TH!M31=0,"",SRV_TH!M31))</f>
        <v/>
      </c>
      <c r="N115" s="64" t="str">
        <f>IF($A115="*","",IF(SRV_TH!N31=0,"",SRV_TH!N31))</f>
        <v/>
      </c>
      <c r="O115" s="64" t="str">
        <f>IF($A115="*","",IF(SRV_TH!O31=0,"",SRV_TH!O31))</f>
        <v/>
      </c>
      <c r="P115" s="64">
        <f>IF($A115="*","",IF(SRV_TH!P31=0,"",SRV_TH!P31))</f>
        <v>1</v>
      </c>
      <c r="Q115" s="64">
        <f>IF($A115="*","",IF(SRV_TH!Q31=0,"",SRV_TH!Q31))</f>
        <v>1</v>
      </c>
      <c r="R115" s="64">
        <f>IF($A115="*","",IF(SRV_TH!R31=0,"",SRV_TH!R31))</f>
        <v>1</v>
      </c>
      <c r="S115" s="64">
        <f>IF($A115="*","",IF(SRV_TH!S31=0,"",SRV_TH!S31))</f>
        <v>1</v>
      </c>
      <c r="T115" s="64">
        <f>IF($A115="*","",IF(SRV_TH!T31=0,"",SRV_TH!T31))</f>
        <v>1</v>
      </c>
      <c r="U115" s="224">
        <f>IF($A115="*","",IF(SRV_TH!U31=0,"",SRV_TH!U31))</f>
        <v>30</v>
      </c>
      <c r="V115" s="224" t="str">
        <f>IF($A115="*","",IF(SRV_TH!V31=0,"",SRV_TH!V31))</f>
        <v/>
      </c>
      <c r="W115" s="90"/>
      <c r="X115" s="90"/>
      <c r="Y115" s="90"/>
      <c r="Z115" s="90"/>
      <c r="AA115" s="90"/>
      <c r="AB115" s="90">
        <f>IF($A115="*","",IF(SRV_TH!AB31=0,"",SRV_TH!AB31))</f>
        <v>665</v>
      </c>
      <c r="AC115" s="90">
        <f>IF($A115="*","",IF(SRV_TH!AC31=0,"",SRV_TH!AC31))</f>
        <v>665</v>
      </c>
      <c r="AD115" s="90">
        <f>IF($A115="*","",IF(SRV_TH!AD31=0,"",SRV_TH!AD31))</f>
        <v>665</v>
      </c>
      <c r="AE115" s="90">
        <f>IF($A115="*","",IF(SRV_TH!AE31=0,"",SRV_TH!AE31))</f>
        <v>665</v>
      </c>
      <c r="AF115" s="90">
        <f>IF($A115="*","",IF(SRV_TH!AF31=0,"",SRV_TH!AF31))</f>
        <v>665</v>
      </c>
      <c r="AG115" s="90">
        <f>IF($A115="*","",IF(SRV_TH!AG31=0,"",SRV_TH!AG31))</f>
        <v>10</v>
      </c>
      <c r="AH115" s="293" t="str">
        <f>IF($A115="*","",IF(SRV_TH!AH31=0,"",SRV_TH!AH31))</f>
        <v/>
      </c>
      <c r="AI115" s="92" t="str">
        <f>IF($A115="*","",IF(SRV_TH!AI31=0,"",SRV_TH!AI31))</f>
        <v/>
      </c>
      <c r="AJ115" s="92" t="str">
        <f>IF($A115="*","",IF(SRV_TH!AJ31=0,"",SRV_TH!AJ31))</f>
        <v/>
      </c>
      <c r="AK115" s="72">
        <f>IF($A115="*","",31.536)</f>
        <v>31.536000000000001</v>
      </c>
      <c r="AL115" s="90"/>
      <c r="AM115" s="87">
        <f t="shared" si="46"/>
        <v>2019</v>
      </c>
      <c r="AN115" s="218"/>
      <c r="AO115" s="218"/>
      <c r="AP115" s="179"/>
      <c r="AQ115" s="46" t="str">
        <f t="shared" si="40"/>
        <v>PRE</v>
      </c>
      <c r="AR115" s="46" t="str">
        <f>IF($AS115="","",_xlfn.TEXTJOIN(",",TRUE,IF(LEFT(Regions!$C$3,1)&lt;&gt;"*",Regions!$C$3,""),IF(LEFT(Regions!$D$3,1)&lt;&gt;"*",Regions!$D$3,"")))</f>
        <v>IE,National</v>
      </c>
      <c r="AS115" s="46" t="str">
        <f t="shared" si="41"/>
        <v>S-WH-PU_ELC_N1</v>
      </c>
      <c r="AT115" s="46" t="str">
        <f t="shared" si="41"/>
        <v>Public Services - Electric water heater_WH</v>
      </c>
      <c r="AU115" s="46" t="str">
        <f t="shared" si="42"/>
        <v>PJ</v>
      </c>
      <c r="AV115" s="46" t="str">
        <f t="shared" si="43"/>
        <v>GW</v>
      </c>
      <c r="AY115" s="46" t="str">
        <f t="shared" si="44"/>
        <v>YES</v>
      </c>
    </row>
    <row r="116" spans="1:51" s="46" customFormat="1" x14ac:dyDescent="0.25">
      <c r="A116" s="46" t="str">
        <f>IF(SRV_TH!AN32="","*","S-WH-"&amp;SRV_TH!$B$83&amp;"_"&amp;SRV_TH!$A32)</f>
        <v>S-WH-PU_SOL_N1</v>
      </c>
      <c r="B116" s="46" t="str">
        <f>IF(A116="*","",$A$83&amp;" - "&amp;SRV_TH!B32)</f>
        <v>Public Services - Solar water heater_WH</v>
      </c>
      <c r="C116" s="46" t="str">
        <f>IF($A116="*","",SRV_TH!C32)</f>
        <v>SRVSOL</v>
      </c>
      <c r="E116" s="46" t="str">
        <f>IF($A116="*","",CONCATENATE(,Legend!$C$4,Legend!$C$33,"-",$B$83))</f>
        <v>SRVWH-PU</v>
      </c>
      <c r="F116" s="64" t="str">
        <f>IF($A116="*","",IF(SRV_TH!F32=0,"",SRV_TH!F32))</f>
        <v/>
      </c>
      <c r="G116" s="64" t="str">
        <f>IF($A116="*","",IF(SRV_TH!G32=0,"",SRV_TH!G32))</f>
        <v/>
      </c>
      <c r="H116" s="64" t="str">
        <f>IF($A116="*","",IF(SRV_TH!H32=0,"",SRV_TH!H32))</f>
        <v/>
      </c>
      <c r="I116" s="64" t="str">
        <f>IF($A116="*","",IF(SRV_TH!I32=0,"",SRV_TH!I32))</f>
        <v/>
      </c>
      <c r="J116" s="64" t="str">
        <f>IF($A116="*","",IF(SRV_TH!J32=0,"",SRV_TH!J32))</f>
        <v/>
      </c>
      <c r="K116" s="64" t="str">
        <f>IF($A116="*","",IF(SRV_TH!K32=0,"",SRV_TH!K32))</f>
        <v/>
      </c>
      <c r="L116" s="64" t="str">
        <f>IF($A116="*","",IF(SRV_TH!L32=0,"",SRV_TH!L32))</f>
        <v/>
      </c>
      <c r="M116" s="64" t="str">
        <f>IF($A116="*","",IF(SRV_TH!M32=0,"",SRV_TH!M32))</f>
        <v/>
      </c>
      <c r="N116" s="64" t="str">
        <f>IF($A116="*","",IF(SRV_TH!N32=0,"",SRV_TH!N32))</f>
        <v/>
      </c>
      <c r="O116" s="64" t="str">
        <f>IF($A116="*","",IF(SRV_TH!O32=0,"",SRV_TH!O32))</f>
        <v/>
      </c>
      <c r="P116" s="64">
        <f>IF($A116="*","",IF(SRV_TH!P32=0,"",SRV_TH!P32))</f>
        <v>1</v>
      </c>
      <c r="Q116" s="64">
        <f>IF($A116="*","",IF(SRV_TH!Q32=0,"",SRV_TH!Q32))</f>
        <v>1</v>
      </c>
      <c r="R116" s="64">
        <f>IF($A116="*","",IF(SRV_TH!R32=0,"",SRV_TH!R32))</f>
        <v>1</v>
      </c>
      <c r="S116" s="64">
        <f>IF($A116="*","",IF(SRV_TH!S32=0,"",SRV_TH!S32))</f>
        <v>1</v>
      </c>
      <c r="T116" s="64">
        <f>IF($A116="*","",IF(SRV_TH!T32=0,"",SRV_TH!T32))</f>
        <v>1</v>
      </c>
      <c r="U116" s="224">
        <f>IF($A116="*","",IF(SRV_TH!U32=0,"",SRV_TH!U32))</f>
        <v>25</v>
      </c>
      <c r="V116" s="224">
        <f>IF($A116="*","",IF(SRV_TH!V32=0,"",SRV_TH!V32))</f>
        <v>30</v>
      </c>
      <c r="W116" s="90"/>
      <c r="X116" s="90"/>
      <c r="Y116" s="90"/>
      <c r="Z116" s="90"/>
      <c r="AA116" s="90"/>
      <c r="AB116" s="90">
        <f>IF($A116="*","",IF(SRV_TH!AB32=0,"",SRV_TH!AB32))</f>
        <v>642.85714285714289</v>
      </c>
      <c r="AC116" s="90">
        <f>IF($A116="*","",IF(SRV_TH!AC32=0,"",SRV_TH!AC32))</f>
        <v>642.85714285714289</v>
      </c>
      <c r="AD116" s="90">
        <f>IF($A116="*","",IF(SRV_TH!AD32=0,"",SRV_TH!AD32))</f>
        <v>642.85714285714289</v>
      </c>
      <c r="AE116" s="90">
        <f>IF($A116="*","",IF(SRV_TH!AE32=0,"",SRV_TH!AE32))</f>
        <v>642.85714285714289</v>
      </c>
      <c r="AF116" s="90">
        <f>IF($A116="*","",IF(SRV_TH!AF32=0,"",SRV_TH!AF32))</f>
        <v>642.85714285714289</v>
      </c>
      <c r="AG116" s="44">
        <f>IF($A116="*","",IF(SRV_TH!AG32=0,"",SRV_TH!AG32))</f>
        <v>4.2857142857142856</v>
      </c>
      <c r="AH116" s="293" t="str">
        <f>IF($A116="*","",IF(SRV_TH!AH32=0,"",SRV_TH!AH32))</f>
        <v/>
      </c>
      <c r="AI116" s="92" t="str">
        <f>IF($A116="*","",IF(SRV_TH!AI32=0,"",SRV_TH!AI32))</f>
        <v/>
      </c>
      <c r="AJ116" s="92" t="str">
        <f>IF($A116="*","",IF(SRV_TH!AJ32=0,"",SRV_TH!AJ32))</f>
        <v/>
      </c>
      <c r="AK116" s="72">
        <f>IF($A116="*","",31.536)</f>
        <v>31.536000000000001</v>
      </c>
      <c r="AL116" s="44"/>
      <c r="AM116" s="87">
        <f t="shared" si="46"/>
        <v>2019</v>
      </c>
      <c r="AN116" s="218"/>
      <c r="AO116" s="218"/>
      <c r="AP116" s="179"/>
      <c r="AQ116" s="46" t="str">
        <f t="shared" si="40"/>
        <v>PRE</v>
      </c>
      <c r="AR116" s="46" t="str">
        <f>IF($AS116="","",_xlfn.TEXTJOIN(",",TRUE,IF(LEFT(Regions!$C$3,1)&lt;&gt;"*",Regions!$C$3,""),IF(LEFT(Regions!$D$3,1)&lt;&gt;"*",Regions!$D$3,"")))</f>
        <v>IE,National</v>
      </c>
      <c r="AS116" s="46" t="str">
        <f t="shared" si="41"/>
        <v>S-WH-PU_SOL_N1</v>
      </c>
      <c r="AT116" s="46" t="str">
        <f t="shared" si="41"/>
        <v>Public Services - Solar water heater_WH</v>
      </c>
      <c r="AU116" s="46" t="str">
        <f t="shared" si="42"/>
        <v>PJ</v>
      </c>
      <c r="AV116" s="46" t="str">
        <f t="shared" si="43"/>
        <v>GW</v>
      </c>
      <c r="AY116" s="46" t="str">
        <f t="shared" si="44"/>
        <v>YES</v>
      </c>
    </row>
    <row r="117" spans="1:51" s="46" customFormat="1" x14ac:dyDescent="0.25">
      <c r="A117" s="46" t="str">
        <f>IF(SRV_TH!AN33="","*","S-WH-"&amp;SRV_TH!$B$83&amp;"_"&amp;SRV_TH!$A33)</f>
        <v>S-WH-PU_GAS_N1</v>
      </c>
      <c r="B117" s="46" t="str">
        <f>IF(A117="*","",$A$83&amp;" - "&amp;SRV_TH!B33)</f>
        <v>Public Services - Gas water heater_WH</v>
      </c>
      <c r="C117" s="46" t="str">
        <f>IF($A117="*","",SRV_TH!C33)</f>
        <v>SRVGAS</v>
      </c>
      <c r="E117" s="46" t="str">
        <f>IF($A117="*","",CONCATENATE(,Legend!$C$4,Legend!$C$33,"-",$B$83))</f>
        <v>SRVWH-PU</v>
      </c>
      <c r="F117" s="64" t="str">
        <f>IF($A117="*","",IF(SRV_TH!F33=0,"",SRV_TH!F33))</f>
        <v/>
      </c>
      <c r="G117" s="64" t="str">
        <f>IF($A117="*","",IF(SRV_TH!G33=0,"",SRV_TH!G33))</f>
        <v/>
      </c>
      <c r="H117" s="64" t="str">
        <f>IF($A117="*","",IF(SRV_TH!H33=0,"",SRV_TH!H33))</f>
        <v/>
      </c>
      <c r="I117" s="64" t="str">
        <f>IF($A117="*","",IF(SRV_TH!I33=0,"",SRV_TH!I33))</f>
        <v/>
      </c>
      <c r="J117" s="64" t="str">
        <f>IF($A117="*","",IF(SRV_TH!J33=0,"",SRV_TH!J33))</f>
        <v/>
      </c>
      <c r="K117" s="64" t="str">
        <f>IF($A117="*","",IF(SRV_TH!K33=0,"",SRV_TH!K33))</f>
        <v/>
      </c>
      <c r="L117" s="64" t="str">
        <f>IF($A117="*","",IF(SRV_TH!L33=0,"",SRV_TH!L33))</f>
        <v/>
      </c>
      <c r="M117" s="64" t="str">
        <f>IF($A117="*","",IF(SRV_TH!M33=0,"",SRV_TH!M33))</f>
        <v/>
      </c>
      <c r="N117" s="64" t="str">
        <f>IF($A117="*","",IF(SRV_TH!N33=0,"",SRV_TH!N33))</f>
        <v/>
      </c>
      <c r="O117" s="64" t="str">
        <f>IF($A117="*","",IF(SRV_TH!O33=0,"",SRV_TH!O33))</f>
        <v/>
      </c>
      <c r="P117" s="64">
        <f>IF($A117="*","",IF(SRV_TH!P33=0,"",SRV_TH!P33))</f>
        <v>0.7</v>
      </c>
      <c r="Q117" s="64">
        <f>IF($A117="*","",IF(SRV_TH!Q33=0,"",SRV_TH!Q33))</f>
        <v>0.7</v>
      </c>
      <c r="R117" s="64">
        <f>IF($A117="*","",IF(SRV_TH!R33=0,"",SRV_TH!R33))</f>
        <v>0.7</v>
      </c>
      <c r="S117" s="64">
        <f>IF($A117="*","",IF(SRV_TH!S33=0,"",SRV_TH!S33))</f>
        <v>0.7</v>
      </c>
      <c r="T117" s="64">
        <f>IF($A117="*","",IF(SRV_TH!T33=0,"",SRV_TH!T33))</f>
        <v>0.7</v>
      </c>
      <c r="U117" s="224">
        <f>IF($A117="*","",IF(SRV_TH!U33=0,"",SRV_TH!U33))</f>
        <v>25</v>
      </c>
      <c r="V117" s="224" t="str">
        <f>IF($A117="*","",IF(SRV_TH!V33=0,"",SRV_TH!V33))</f>
        <v/>
      </c>
      <c r="W117" s="90"/>
      <c r="X117" s="90"/>
      <c r="Y117" s="90"/>
      <c r="Z117" s="90"/>
      <c r="AA117" s="90"/>
      <c r="AB117" s="90">
        <f>IF($A117="*","",IF(SRV_TH!AB33=0,"",SRV_TH!AB33))</f>
        <v>58.441558441558442</v>
      </c>
      <c r="AC117" s="90">
        <f>IF($A117="*","",IF(SRV_TH!AC33=0,"",SRV_TH!AC33))</f>
        <v>51.948051948051948</v>
      </c>
      <c r="AD117" s="90">
        <f>IF($A117="*","",IF(SRV_TH!AD33=0,"",SRV_TH!AD33))</f>
        <v>45.454545454545453</v>
      </c>
      <c r="AE117" s="90">
        <f>IF($A117="*","",IF(SRV_TH!AE33=0,"",SRV_TH!AE33))</f>
        <v>45.454545454545453</v>
      </c>
      <c r="AF117" s="90">
        <f>IF($A117="*","",IF(SRV_TH!AF33=0,"",SRV_TH!AF33))</f>
        <v>45.454545454545453</v>
      </c>
      <c r="AG117" s="90">
        <f>IF($A117="*","",IF(SRV_TH!AG33=0,"",SRV_TH!AG33))</f>
        <v>4</v>
      </c>
      <c r="AH117" s="293">
        <f>IF($A117="*","",IF(SRV_TH!AH33=0,"",SRV_TH!AH33))</f>
        <v>2</v>
      </c>
      <c r="AI117" s="92" t="str">
        <f>IF($A117="*","",IF(SRV_TH!AI33=0,"",SRV_TH!AI33))</f>
        <v/>
      </c>
      <c r="AJ117" s="92" t="str">
        <f>IF($A117="*","",IF(SRV_TH!AJ33=0,"",SRV_TH!AJ33))</f>
        <v/>
      </c>
      <c r="AK117" s="72">
        <f>IF($A117="*","",31.536)</f>
        <v>31.536000000000001</v>
      </c>
      <c r="AL117" s="90"/>
      <c r="AM117" s="87">
        <f t="shared" si="46"/>
        <v>2019</v>
      </c>
      <c r="AN117" s="179"/>
      <c r="AO117" s="179"/>
      <c r="AP117" s="179"/>
      <c r="AQ117" s="46" t="str">
        <f t="shared" si="40"/>
        <v>PRE</v>
      </c>
      <c r="AR117" s="46" t="str">
        <f>IF($AS117="","",_xlfn.TEXTJOIN(",",TRUE,IF(LEFT(Regions!$C$3,1)&lt;&gt;"*",Regions!$C$3,""),IF(LEFT(Regions!$D$3,1)&lt;&gt;"*",Regions!$D$3,"")))</f>
        <v>IE,National</v>
      </c>
      <c r="AS117" s="46" t="str">
        <f t="shared" si="41"/>
        <v>S-WH-PU_GAS_N1</v>
      </c>
      <c r="AT117" s="46" t="str">
        <f t="shared" si="41"/>
        <v>Public Services - Gas water heater_WH</v>
      </c>
      <c r="AU117" s="46" t="str">
        <f t="shared" si="42"/>
        <v>PJ</v>
      </c>
      <c r="AV117" s="46" t="str">
        <f t="shared" si="43"/>
        <v>GW</v>
      </c>
      <c r="AY117" s="46" t="str">
        <f t="shared" si="44"/>
        <v>YES</v>
      </c>
    </row>
    <row r="118" spans="1:51" s="46" customFormat="1" x14ac:dyDescent="0.25">
      <c r="A118" s="46" t="str">
        <f>IF(SRV_TH!AN34="","*","S-WH-"&amp;SRV_TH!$B$83&amp;"_"&amp;SRV_TH!$A34)</f>
        <v>S-WH-PU_BIO_N1</v>
      </c>
      <c r="B118" s="46" t="str">
        <f>IF(A118="*","",$A$83&amp;" - "&amp;SRV_TH!B34)</f>
        <v>Public Services - Biomass water heater_WH</v>
      </c>
      <c r="C118" s="46" t="str">
        <f>IF($A118="*","",SRV_TH!C34)</f>
        <v>SRVBIO</v>
      </c>
      <c r="E118" s="46" t="str">
        <f>IF($A118="*","",CONCATENATE(,Legend!$C$4,Legend!$C$33,"-",$B$83))</f>
        <v>SRVWH-PU</v>
      </c>
      <c r="F118" s="64" t="str">
        <f>IF($A118="*","",IF(SRV_TH!F34=0,"",SRV_TH!F34))</f>
        <v/>
      </c>
      <c r="G118" s="64" t="str">
        <f>IF($A118="*","",IF(SRV_TH!G34=0,"",SRV_TH!G34))</f>
        <v/>
      </c>
      <c r="H118" s="64" t="str">
        <f>IF($A118="*","",IF(SRV_TH!H34=0,"",SRV_TH!H34))</f>
        <v/>
      </c>
      <c r="I118" s="64" t="str">
        <f>IF($A118="*","",IF(SRV_TH!I34=0,"",SRV_TH!I34))</f>
        <v/>
      </c>
      <c r="J118" s="64" t="str">
        <f>IF($A118="*","",IF(SRV_TH!J34=0,"",SRV_TH!J34))</f>
        <v/>
      </c>
      <c r="K118" s="64" t="str">
        <f>IF($A118="*","",IF(SRV_TH!K34=0,"",SRV_TH!K34))</f>
        <v/>
      </c>
      <c r="L118" s="64" t="str">
        <f>IF($A118="*","",IF(SRV_TH!L34=0,"",SRV_TH!L34))</f>
        <v/>
      </c>
      <c r="M118" s="64" t="str">
        <f>IF($A118="*","",IF(SRV_TH!M34=0,"",SRV_TH!M34))</f>
        <v/>
      </c>
      <c r="N118" s="64" t="str">
        <f>IF($A118="*","",IF(SRV_TH!N34=0,"",SRV_TH!N34))</f>
        <v/>
      </c>
      <c r="O118" s="64" t="str">
        <f>IF($A118="*","",IF(SRV_TH!O34=0,"",SRV_TH!O34))</f>
        <v/>
      </c>
      <c r="P118" s="64">
        <f>IF($A118="*","",IF(SRV_TH!P34=0,"",SRV_TH!P34))</f>
        <v>0.7</v>
      </c>
      <c r="Q118" s="64">
        <f>IF($A118="*","",IF(SRV_TH!Q34=0,"",SRV_TH!Q34))</f>
        <v>0.71647058823529397</v>
      </c>
      <c r="R118" s="64">
        <f>IF($A118="*","",IF(SRV_TH!R34=0,"",SRV_TH!R34))</f>
        <v>0.74941176470588233</v>
      </c>
      <c r="S118" s="64">
        <f>IF($A118="*","",IF(SRV_TH!S34=0,"",SRV_TH!S34))</f>
        <v>0.78235294117647058</v>
      </c>
      <c r="T118" s="64">
        <f>IF($A118="*","",IF(SRV_TH!T34=0,"",SRV_TH!T34))</f>
        <v>0.78235294117647058</v>
      </c>
      <c r="U118" s="224">
        <f>IF($A118="*","",IF(SRV_TH!U34=0,"",SRV_TH!U34))</f>
        <v>20</v>
      </c>
      <c r="V118" s="224" t="str">
        <f>IF($A118="*","",IF(SRV_TH!V34=0,"",SRV_TH!V34))</f>
        <v/>
      </c>
      <c r="W118" s="90"/>
      <c r="X118" s="90"/>
      <c r="Y118" s="90"/>
      <c r="Z118" s="90"/>
      <c r="AA118" s="90"/>
      <c r="AB118" s="90">
        <f>IF($A118="*","",IF(SRV_TH!AB34=0,"",SRV_TH!AB34))</f>
        <v>197.27272727272728</v>
      </c>
      <c r="AC118" s="90">
        <f>IF($A118="*","",IF(SRV_TH!AC34=0,"",SRV_TH!AC34))</f>
        <v>197.27272727272728</v>
      </c>
      <c r="AD118" s="90">
        <f>IF($A118="*","",IF(SRV_TH!AD34=0,"",SRV_TH!AD34))</f>
        <v>203.63636363636363</v>
      </c>
      <c r="AE118" s="90">
        <f>IF($A118="*","",IF(SRV_TH!AE34=0,"",SRV_TH!AE34))</f>
        <v>203.63636363636363</v>
      </c>
      <c r="AF118" s="90">
        <f>IF($A118="*","",IF(SRV_TH!AF34=0,"",SRV_TH!AF34))</f>
        <v>203.63636363636363</v>
      </c>
      <c r="AG118" s="90">
        <f>IF($A118="*","",IF(SRV_TH!AG34=0,"",SRV_TH!AG34))</f>
        <v>5.7272727272727274E-2</v>
      </c>
      <c r="AH118" s="293" t="str">
        <f>IF($A118="*","",IF(SRV_TH!AH34=0,"",SRV_TH!AH34))</f>
        <v/>
      </c>
      <c r="AI118" s="92" t="str">
        <f>IF($A118="*","",IF(SRV_TH!AI34=0,"",SRV_TH!AI34))</f>
        <v/>
      </c>
      <c r="AJ118" s="92" t="str">
        <f>IF($A118="*","",IF(SRV_TH!AJ34=0,"",SRV_TH!AJ34))</f>
        <v/>
      </c>
      <c r="AK118" s="72">
        <f t="shared" ref="AK118:AK119" si="51">IF($A118="*","",31.536)</f>
        <v>31.536000000000001</v>
      </c>
      <c r="AL118" s="90"/>
      <c r="AM118" s="87">
        <f t="shared" si="46"/>
        <v>2019</v>
      </c>
      <c r="AN118" s="179"/>
      <c r="AO118" s="179"/>
      <c r="AP118" s="179"/>
      <c r="AQ118" s="46" t="str">
        <f t="shared" si="40"/>
        <v>PRE</v>
      </c>
      <c r="AR118" s="46" t="str">
        <f>IF($AS118="","",_xlfn.TEXTJOIN(",",TRUE,IF(LEFT(Regions!$C$3,1)&lt;&gt;"*",Regions!$C$3,""),IF(LEFT(Regions!$D$3,1)&lt;&gt;"*",Regions!$D$3,"")))</f>
        <v>IE,National</v>
      </c>
      <c r="AS118" s="46" t="str">
        <f t="shared" si="41"/>
        <v>S-WH-PU_BIO_N1</v>
      </c>
      <c r="AT118" s="46" t="str">
        <f t="shared" si="41"/>
        <v>Public Services - Biomass water heater_WH</v>
      </c>
      <c r="AU118" s="46" t="str">
        <f t="shared" si="42"/>
        <v>PJ</v>
      </c>
      <c r="AV118" s="46" t="str">
        <f t="shared" si="43"/>
        <v>GW</v>
      </c>
      <c r="AY118" s="46" t="str">
        <f t="shared" si="44"/>
        <v>YES</v>
      </c>
    </row>
    <row r="119" spans="1:51" s="46" customFormat="1" x14ac:dyDescent="0.25">
      <c r="A119" s="49" t="str">
        <f>IF(SRV_TH!AN35="","*","S-WH-"&amp;SRV_TH!$B$83&amp;"_"&amp;SRV_TH!$A35)</f>
        <v>S-WH-PU_LPG_N1</v>
      </c>
      <c r="B119" s="49" t="str">
        <f>IF(A119="*","",$A$83&amp;" - "&amp;SRV_TH!B35)</f>
        <v>Public Services - LPG water heater_WH</v>
      </c>
      <c r="C119" s="49" t="str">
        <f>IF($A119="*","",SRV_TH!C35)</f>
        <v>SRVLPG</v>
      </c>
      <c r="D119" s="49"/>
      <c r="E119" s="49" t="str">
        <f>IF($A119="*","",CONCATENATE(,Legend!$C$4,Legend!$C$33,"-",$B$83))</f>
        <v>SRVWH-PU</v>
      </c>
      <c r="F119" s="269" t="str">
        <f>IF($A119="*","",IF(SRV_TH!F35=0,"",SRV_TH!F35))</f>
        <v/>
      </c>
      <c r="G119" s="269" t="str">
        <f>IF($A119="*","",IF(SRV_TH!G35=0,"",SRV_TH!G35))</f>
        <v/>
      </c>
      <c r="H119" s="269" t="str">
        <f>IF($A119="*","",IF(SRV_TH!H35=0,"",SRV_TH!H35))</f>
        <v/>
      </c>
      <c r="I119" s="269" t="str">
        <f>IF($A119="*","",IF(SRV_TH!I35=0,"",SRV_TH!I35))</f>
        <v/>
      </c>
      <c r="J119" s="269" t="str">
        <f>IF($A119="*","",IF(SRV_TH!J35=0,"",SRV_TH!J35))</f>
        <v/>
      </c>
      <c r="K119" s="269" t="str">
        <f>IF($A119="*","",IF(SRV_TH!K35=0,"",SRV_TH!K35))</f>
        <v/>
      </c>
      <c r="L119" s="269" t="str">
        <f>IF($A119="*","",IF(SRV_TH!L35=0,"",SRV_TH!L35))</f>
        <v/>
      </c>
      <c r="M119" s="269" t="str">
        <f>IF($A119="*","",IF(SRV_TH!M35=0,"",SRV_TH!M35))</f>
        <v/>
      </c>
      <c r="N119" s="269" t="str">
        <f>IF($A119="*","",IF(SRV_TH!N35=0,"",SRV_TH!N35))</f>
        <v/>
      </c>
      <c r="O119" s="269" t="str">
        <f>IF($A119="*","",IF(SRV_TH!O35=0,"",SRV_TH!O35))</f>
        <v/>
      </c>
      <c r="P119" s="269">
        <f>IF($A119="*","",IF(SRV_TH!P35=0,"",SRV_TH!P35))</f>
        <v>0.7</v>
      </c>
      <c r="Q119" s="269">
        <f>IF($A119="*","",IF(SRV_TH!Q35=0,"",SRV_TH!Q35))</f>
        <v>0.7</v>
      </c>
      <c r="R119" s="269">
        <f>IF($A119="*","",IF(SRV_TH!R35=0,"",SRV_TH!R35))</f>
        <v>0.7</v>
      </c>
      <c r="S119" s="269">
        <f>IF($A119="*","",IF(SRV_TH!S35=0,"",SRV_TH!S35))</f>
        <v>0.7</v>
      </c>
      <c r="T119" s="269">
        <f>IF($A119="*","",IF(SRV_TH!T35=0,"",SRV_TH!T35))</f>
        <v>0.7</v>
      </c>
      <c r="U119" s="219">
        <f>IF($A119="*","",IF(SRV_TH!U35=0,"",SRV_TH!U35))</f>
        <v>25</v>
      </c>
      <c r="V119" s="219" t="str">
        <f>IF($A119="*","",IF(SRV_TH!V35=0,"",SRV_TH!V35))</f>
        <v/>
      </c>
      <c r="W119" s="75"/>
      <c r="X119" s="75"/>
      <c r="Y119" s="75"/>
      <c r="Z119" s="75"/>
      <c r="AA119" s="75"/>
      <c r="AB119" s="75">
        <f>IF($A119="*","",IF(SRV_TH!AB35=0,"",SRV_TH!AB35))</f>
        <v>58.441558441558442</v>
      </c>
      <c r="AC119" s="75">
        <f>IF($A119="*","",IF(SRV_TH!AC35=0,"",SRV_TH!AC35))</f>
        <v>51.948051948051948</v>
      </c>
      <c r="AD119" s="75">
        <f>IF($A119="*","",IF(SRV_TH!AD35=0,"",SRV_TH!AD35))</f>
        <v>45.454545454545453</v>
      </c>
      <c r="AE119" s="75">
        <f>IF($A119="*","",IF(SRV_TH!AE35=0,"",SRV_TH!AE35))</f>
        <v>45.454545454545453</v>
      </c>
      <c r="AF119" s="75">
        <f>IF($A119="*","",IF(SRV_TH!AF35=0,"",SRV_TH!AF35))</f>
        <v>45.454545454545453</v>
      </c>
      <c r="AG119" s="75">
        <f>IF($A119="*","",IF(SRV_TH!AG35=0,"",SRV_TH!AG35))</f>
        <v>4</v>
      </c>
      <c r="AH119" s="298">
        <f>IF($A119="*","",IF(SRV_TH!AH35=0,"",SRV_TH!AH35))</f>
        <v>2</v>
      </c>
      <c r="AI119" s="93" t="str">
        <f>IF($A119="*","",IF(SRV_TH!AI35=0,"",SRV_TH!AI35))</f>
        <v/>
      </c>
      <c r="AJ119" s="93" t="str">
        <f>IF($A119="*","",IF(SRV_TH!AJ35=0,"",SRV_TH!AJ35))</f>
        <v/>
      </c>
      <c r="AK119" s="221">
        <f t="shared" si="51"/>
        <v>31.536000000000001</v>
      </c>
      <c r="AL119" s="75"/>
      <c r="AM119" s="215">
        <f t="shared" si="46"/>
        <v>2019</v>
      </c>
      <c r="AN119" s="218"/>
      <c r="AO119" s="218"/>
      <c r="AP119" s="179"/>
      <c r="AQ119" s="49" t="str">
        <f t="shared" si="40"/>
        <v>PRE</v>
      </c>
      <c r="AR119" s="49" t="str">
        <f>IF($AS119="","",_xlfn.TEXTJOIN(",",TRUE,IF(LEFT(Regions!$C$3,1)&lt;&gt;"*",Regions!$C$3,""),IF(LEFT(Regions!$D$3,1)&lt;&gt;"*",Regions!$D$3,"")))</f>
        <v>IE,National</v>
      </c>
      <c r="AS119" s="49" t="str">
        <f t="shared" si="41"/>
        <v>S-WH-PU_LPG_N1</v>
      </c>
      <c r="AT119" s="49" t="str">
        <f t="shared" si="41"/>
        <v>Public Services - LPG water heater_WH</v>
      </c>
      <c r="AU119" s="49" t="str">
        <f t="shared" si="42"/>
        <v>PJ</v>
      </c>
      <c r="AV119" s="49" t="str">
        <f t="shared" si="43"/>
        <v>GW</v>
      </c>
      <c r="AW119" s="49"/>
      <c r="AX119" s="49"/>
      <c r="AY119" s="49" t="str">
        <f t="shared" si="44"/>
        <v>YES</v>
      </c>
    </row>
    <row r="120" spans="1:51" s="46" customFormat="1" x14ac:dyDescent="0.25">
      <c r="A120" s="61" t="s">
        <v>105</v>
      </c>
      <c r="B120" s="61"/>
      <c r="C120" s="61"/>
      <c r="D120" s="61"/>
      <c r="E120" s="61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0"/>
      <c r="R120" s="270"/>
      <c r="S120" s="270"/>
      <c r="T120" s="270"/>
      <c r="U120" s="227"/>
      <c r="V120" s="227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99"/>
      <c r="AI120" s="222" t="str">
        <f>IF($A120="*","",IF(SRV_TH!AI36=0,"",SRV_TH!AI36))</f>
        <v/>
      </c>
      <c r="AJ120" s="222" t="str">
        <f>IF($A120="*","",IF(SRV_TH!AJ36=0,"",SRV_TH!AJ36))</f>
        <v/>
      </c>
      <c r="AK120" s="225"/>
      <c r="AL120" s="230"/>
      <c r="AM120" s="227"/>
      <c r="AN120" s="218"/>
      <c r="AO120" s="218"/>
      <c r="AP120" s="179"/>
      <c r="AQ120" s="61" t="str">
        <f t="shared" si="40"/>
        <v>*Cooling-only</v>
      </c>
      <c r="AR120" s="61" t="str">
        <f>IF($AS120="","",_xlfn.TEXTJOIN(",",TRUE,IF(LEFT(Regions!$C$3,1)&lt;&gt;"*",Regions!$C$3,""),IF(LEFT(Regions!$D$3,1)&lt;&gt;"*",Regions!$D$3,"")))</f>
        <v/>
      </c>
      <c r="AS120" s="61" t="str">
        <f t="shared" si="41"/>
        <v/>
      </c>
      <c r="AT120" s="61" t="str">
        <f t="shared" si="41"/>
        <v/>
      </c>
      <c r="AU120" s="61" t="str">
        <f t="shared" si="42"/>
        <v/>
      </c>
      <c r="AV120" s="61" t="str">
        <f t="shared" si="43"/>
        <v/>
      </c>
      <c r="AW120" s="61"/>
      <c r="AX120" s="61"/>
      <c r="AY120" s="61" t="str">
        <f t="shared" si="44"/>
        <v/>
      </c>
    </row>
    <row r="121" spans="1:51" s="46" customFormat="1" x14ac:dyDescent="0.25">
      <c r="A121" s="46" t="str">
        <f>IF(SRV_TH!AN37="","*","S-SC-"&amp;SRV_TH!$B$83&amp;"_"&amp;SRV_TH!$A37)</f>
        <v>S-SC-PU_ELC_N1</v>
      </c>
      <c r="B121" s="46" t="str">
        <f>IF(A121="*","",$A$83&amp;" - "&amp;SRV_TH!B37)</f>
        <v>Public Services - Room air conditioning Air-to-Air_SC</v>
      </c>
      <c r="C121" s="46" t="str">
        <f>IF($A121="*","",SRV_TH!C37)</f>
        <v>SRVELC</v>
      </c>
      <c r="E121" s="46" t="str">
        <f>IF($A121="*","",CONCATENATE(Legend!$C$4,Legend!$C$34,"-",$B$83))</f>
        <v>SRVSC-PU</v>
      </c>
      <c r="F121" s="271" t="str">
        <f>IF($A121="*","",IF(SRV_TH!F37=0,"",SRV_TH!F37))</f>
        <v/>
      </c>
      <c r="G121" s="271" t="str">
        <f>IF($A121="*","",IF(SRV_TH!G37=0,"",SRV_TH!G37))</f>
        <v/>
      </c>
      <c r="H121" s="271" t="str">
        <f>IF($A121="*","",IF(SRV_TH!H37=0,"",SRV_TH!H37))</f>
        <v/>
      </c>
      <c r="I121" s="271" t="str">
        <f>IF($A121="*","",IF(SRV_TH!I37=0,"",SRV_TH!I37))</f>
        <v/>
      </c>
      <c r="J121" s="271" t="str">
        <f>IF($A121="*","",IF(SRV_TH!J37=0,"",SRV_TH!J37))</f>
        <v/>
      </c>
      <c r="K121" s="271">
        <f>IF($A121="*","",IF(SRV_TH!K37=0,"",SRV_TH!K37))</f>
        <v>1</v>
      </c>
      <c r="L121" s="271">
        <f>IF($A121="*","",IF(SRV_TH!L37=0,"",SRV_TH!L37))</f>
        <v>1</v>
      </c>
      <c r="M121" s="271">
        <f>IF($A121="*","",IF(SRV_TH!M37=0,"",SRV_TH!M37))</f>
        <v>1</v>
      </c>
      <c r="N121" s="271">
        <f>IF($A121="*","",IF(SRV_TH!N37=0,"",SRV_TH!N37))</f>
        <v>1</v>
      </c>
      <c r="O121" s="271">
        <f>IF($A121="*","",IF(SRV_TH!O37=0,"",SRV_TH!O37))</f>
        <v>1</v>
      </c>
      <c r="P121" s="271" t="str">
        <f>IF($A121="*","",IF(SRV_TH!P37=0,"",SRV_TH!P37))</f>
        <v/>
      </c>
      <c r="Q121" s="271" t="str">
        <f>IF($A121="*","",IF(SRV_TH!Q37=0,"",SRV_TH!Q37))</f>
        <v/>
      </c>
      <c r="R121" s="271" t="str">
        <f>IF($A121="*","",IF(SRV_TH!R37=0,"",SRV_TH!R37))</f>
        <v/>
      </c>
      <c r="S121" s="271" t="str">
        <f>IF($A121="*","",IF(SRV_TH!S37=0,"",SRV_TH!S37))</f>
        <v/>
      </c>
      <c r="T121" s="271" t="str">
        <f>IF($A121="*","",IF(SRV_TH!T37=0,"",SRV_TH!T37))</f>
        <v/>
      </c>
      <c r="U121" s="87">
        <f>IF($A121="*","",IF(SRV_TH!U37=0,"",SRV_TH!U37))</f>
        <v>20</v>
      </c>
      <c r="V121" s="87" t="str">
        <f>IF($A121="*","",IF(SRV_TH!V37=0,"",SRV_TH!V37))</f>
        <v/>
      </c>
      <c r="W121" s="90"/>
      <c r="X121" s="90"/>
      <c r="Y121" s="90"/>
      <c r="Z121" s="90"/>
      <c r="AA121" s="90"/>
      <c r="AB121" s="90">
        <f>IF($A121="*","",IF(SRV_TH!AB37=0,"",SRV_TH!AB37))</f>
        <v>426.06279434850865</v>
      </c>
      <c r="AC121" s="90">
        <f>IF($A121="*","",IF(SRV_TH!AC37=0,"",SRV_TH!AC37))</f>
        <v>404.75965463108315</v>
      </c>
      <c r="AD121" s="90">
        <f>IF($A121="*","",IF(SRV_TH!AD37=0,"",SRV_TH!AD37))</f>
        <v>366.41400313971735</v>
      </c>
      <c r="AE121" s="90">
        <f>IF($A121="*","",IF(SRV_TH!AE37=0,"",SRV_TH!AE37))</f>
        <v>349.37149136577699</v>
      </c>
      <c r="AF121" s="90">
        <f>IF($A121="*","",IF(SRV_TH!AF37=0,"",SRV_TH!AF37))</f>
        <v>349.37149136577699</v>
      </c>
      <c r="AG121" s="90">
        <f>IF($A121="*","",IF(SRV_TH!AG37=0,"",SRV_TH!AG37))</f>
        <v>10.204081632653061</v>
      </c>
      <c r="AH121" s="293" t="str">
        <f>IF($A121="*","",IF(SRV_TH!AH37=0,"",SRV_TH!AH37))</f>
        <v/>
      </c>
      <c r="AI121" s="92" t="str">
        <f>IF($A121="*","",IF(SRV_TH!AI37=0,"",SRV_TH!AI37))</f>
        <v/>
      </c>
      <c r="AJ121" s="92" t="str">
        <f>IF($A121="*","",IF(SRV_TH!AJ37=0,"",SRV_TH!AJ37))</f>
        <v/>
      </c>
      <c r="AK121" s="72">
        <f>IF($A121="*","",31.536)</f>
        <v>31.536000000000001</v>
      </c>
      <c r="AL121" s="90"/>
      <c r="AM121" s="87">
        <f t="shared" si="46"/>
        <v>2019</v>
      </c>
      <c r="AN121" s="179"/>
      <c r="AO121" s="179"/>
      <c r="AP121" s="179"/>
      <c r="AQ121" s="46" t="str">
        <f t="shared" si="40"/>
        <v>PRE</v>
      </c>
      <c r="AR121" s="46" t="str">
        <f>IF($AS121="","",_xlfn.TEXTJOIN(",",TRUE,IF(LEFT(Regions!$C$3,1)&lt;&gt;"*",Regions!$C$3,""),IF(LEFT(Regions!$D$3,1)&lt;&gt;"*",Regions!$D$3,"")))</f>
        <v>IE,National</v>
      </c>
      <c r="AS121" s="46" t="str">
        <f t="shared" si="41"/>
        <v>S-SC-PU_ELC_N1</v>
      </c>
      <c r="AT121" s="46" t="str">
        <f t="shared" si="41"/>
        <v>Public Services - Room air conditioning Air-to-Air_SC</v>
      </c>
      <c r="AU121" s="46" t="str">
        <f t="shared" si="42"/>
        <v>PJ</v>
      </c>
      <c r="AV121" s="46" t="str">
        <f t="shared" si="43"/>
        <v>GW</v>
      </c>
      <c r="AY121" s="46" t="str">
        <f t="shared" si="44"/>
        <v>YES</v>
      </c>
    </row>
    <row r="122" spans="1:51" s="46" customFormat="1" x14ac:dyDescent="0.25">
      <c r="A122" s="49" t="str">
        <f>IF(SRV_TH!AN38="","*","S-SC-"&amp;SRV_TH!$B$83&amp;"_"&amp;SRV_TH!$A38)</f>
        <v>S-SC-PU_ELC_N2</v>
      </c>
      <c r="B122" s="49" t="str">
        <f>IF(A122="*","",$A$83&amp;" - "&amp;SRV_TH!B38)</f>
        <v>Public Services - Centralized air conditioning_SC</v>
      </c>
      <c r="C122" s="49" t="str">
        <f>IF($A122="*","",SRV_TH!C38)</f>
        <v>SRVELC</v>
      </c>
      <c r="D122" s="49"/>
      <c r="E122" s="49" t="str">
        <f>IF($A122="*","",CONCATENATE(Legend!$C$4,Legend!$C$34,"-",$B$83))</f>
        <v>SRVSC-PU</v>
      </c>
      <c r="F122" s="273" t="str">
        <f>IF($A122="*","",IF(SRV_TH!F38=0,"",SRV_TH!F38))</f>
        <v/>
      </c>
      <c r="G122" s="273" t="str">
        <f>IF($A122="*","",IF(SRV_TH!G38=0,"",SRV_TH!G38))</f>
        <v/>
      </c>
      <c r="H122" s="273" t="str">
        <f>IF($A122="*","",IF(SRV_TH!H38=0,"",SRV_TH!H38))</f>
        <v/>
      </c>
      <c r="I122" s="273" t="str">
        <f>IF($A122="*","",IF(SRV_TH!I38=0,"",SRV_TH!I38))</f>
        <v/>
      </c>
      <c r="J122" s="273" t="str">
        <f>IF($A122="*","",IF(SRV_TH!J38=0,"",SRV_TH!J38))</f>
        <v/>
      </c>
      <c r="K122" s="273">
        <f>IF($A122="*","",IF(SRV_TH!K38=0,"",SRV_TH!K38))</f>
        <v>0.81081081081081074</v>
      </c>
      <c r="L122" s="273">
        <f>IF($A122="*","",IF(SRV_TH!L38=0,"",SRV_TH!L38))</f>
        <v>0.83783783783783783</v>
      </c>
      <c r="M122" s="273">
        <f>IF($A122="*","",IF(SRV_TH!M38=0,"",SRV_TH!M38))</f>
        <v>0.91891891891891886</v>
      </c>
      <c r="N122" s="273">
        <f>IF($A122="*","",IF(SRV_TH!N38=0,"",SRV_TH!N38))</f>
        <v>0.94594594594594594</v>
      </c>
      <c r="O122" s="273">
        <f>IF($A122="*","",IF(SRV_TH!O38=0,"",SRV_TH!O38))</f>
        <v>0.94594594594594594</v>
      </c>
      <c r="P122" s="273" t="str">
        <f>IF($A122="*","",IF(SRV_TH!P38=0,"",SRV_TH!P38))</f>
        <v/>
      </c>
      <c r="Q122" s="273" t="str">
        <f>IF($A122="*","",IF(SRV_TH!Q38=0,"",SRV_TH!Q38))</f>
        <v/>
      </c>
      <c r="R122" s="273" t="str">
        <f>IF($A122="*","",IF(SRV_TH!R38=0,"",SRV_TH!R38))</f>
        <v/>
      </c>
      <c r="S122" s="273" t="str">
        <f>IF($A122="*","",IF(SRV_TH!S38=0,"",SRV_TH!S38))</f>
        <v/>
      </c>
      <c r="T122" s="273" t="str">
        <f>IF($A122="*","",IF(SRV_TH!T38=0,"",SRV_TH!T38))</f>
        <v/>
      </c>
      <c r="U122" s="215">
        <f>IF($A122="*","",IF(SRV_TH!U38=0,"",SRV_TH!U38))</f>
        <v>20</v>
      </c>
      <c r="V122" s="215" t="str">
        <f>IF($A122="*","",IF(SRV_TH!V38=0,"",SRV_TH!V38))</f>
        <v/>
      </c>
      <c r="W122" s="75"/>
      <c r="X122" s="75"/>
      <c r="Y122" s="75"/>
      <c r="Z122" s="75"/>
      <c r="AA122" s="75"/>
      <c r="AB122" s="75">
        <f>IF($A122="*","",IF(SRV_TH!AB38=0,"",SRV_TH!AB38))</f>
        <v>800</v>
      </c>
      <c r="AC122" s="75">
        <f>IF($A122="*","",IF(SRV_TH!AC38=0,"",SRV_TH!AC38))</f>
        <v>800</v>
      </c>
      <c r="AD122" s="75">
        <f>IF($A122="*","",IF(SRV_TH!AD38=0,"",SRV_TH!AD38))</f>
        <v>700</v>
      </c>
      <c r="AE122" s="75">
        <f>IF($A122="*","",IF(SRV_TH!AE38=0,"",SRV_TH!AE38))</f>
        <v>700</v>
      </c>
      <c r="AF122" s="75">
        <f>IF($A122="*","",IF(SRV_TH!AF38=0,"",SRV_TH!AF38))</f>
        <v>700</v>
      </c>
      <c r="AG122" s="75">
        <f>IF($A122="*","",IF(SRV_TH!AG38=0,"",SRV_TH!AG38))</f>
        <v>4.2056074766355138</v>
      </c>
      <c r="AH122" s="298" t="str">
        <f>IF($A122="*","",IF(SRV_TH!AH38=0,"",SRV_TH!AH38))</f>
        <v/>
      </c>
      <c r="AI122" s="93" t="str">
        <f>IF($A122="*","",IF(SRV_TH!AI38=0,"",SRV_TH!AI38))</f>
        <v/>
      </c>
      <c r="AJ122" s="93" t="str">
        <f>IF($A122="*","",IF(SRV_TH!AJ38=0,"",SRV_TH!AJ38))</f>
        <v/>
      </c>
      <c r="AK122" s="221">
        <f>IF($A122="*","",31.536)</f>
        <v>31.536000000000001</v>
      </c>
      <c r="AL122" s="75"/>
      <c r="AM122" s="215">
        <f t="shared" si="46"/>
        <v>2019</v>
      </c>
      <c r="AN122" s="91"/>
      <c r="AO122" s="91"/>
      <c r="AQ122" s="49" t="str">
        <f t="shared" ref="AQ122" si="52">IF(LEFT(A122)="*",A122,"PRE")</f>
        <v>PRE</v>
      </c>
      <c r="AR122" s="49" t="str">
        <f>IF($AS122="","",_xlfn.TEXTJOIN(",",TRUE,IF(LEFT(Regions!$C$3,1)&lt;&gt;"*",Regions!$C$3,""),IF(LEFT(Regions!$D$3,1)&lt;&gt;"*",Regions!$D$3,"")))</f>
        <v>IE,National</v>
      </c>
      <c r="AS122" s="49" t="str">
        <f t="shared" ref="AS122" si="53">IF(LEFT($A122)="*","",A122)</f>
        <v>S-SC-PU_ELC_N2</v>
      </c>
      <c r="AT122" s="49" t="str">
        <f t="shared" ref="AT122" si="54">IF(LEFT($A122)="*","",B122)</f>
        <v>Public Services - Centralized air conditioning_SC</v>
      </c>
      <c r="AU122" s="49" t="str">
        <f t="shared" si="42"/>
        <v>PJ</v>
      </c>
      <c r="AV122" s="49" t="str">
        <f t="shared" si="43"/>
        <v>GW</v>
      </c>
      <c r="AW122" s="49"/>
      <c r="AX122" s="49"/>
      <c r="AY122" s="49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305" customWidth="1"/>
    <col min="2" max="2" width="45.42578125" style="305" bestFit="1" customWidth="1"/>
    <col min="3" max="4" width="12.5703125" style="305" customWidth="1"/>
    <col min="5" max="13" width="10.42578125" style="305" customWidth="1"/>
    <col min="14" max="14" width="3.7109375" style="305" customWidth="1"/>
    <col min="15" max="15" width="12.5703125" style="305" customWidth="1"/>
    <col min="16" max="16" width="10.7109375" style="305" customWidth="1"/>
    <col min="17" max="17" width="16" style="305" bestFit="1" customWidth="1"/>
    <col min="18" max="18" width="44" style="305" bestFit="1" customWidth="1"/>
    <col min="19" max="23" width="10.7109375" style="305" customWidth="1"/>
    <col min="24" max="26" width="9.85546875" style="305" customWidth="1"/>
    <col min="27" max="29" width="10.7109375" style="305" customWidth="1"/>
    <col min="30" max="30" width="34.140625" style="305" bestFit="1" customWidth="1"/>
    <col min="31" max="31" width="10.42578125" style="305" customWidth="1"/>
    <col min="32" max="16384" width="9.140625" style="305"/>
  </cols>
  <sheetData>
    <row r="1" spans="1:35" ht="23.25" x14ac:dyDescent="0.25">
      <c r="A1" s="66" t="s">
        <v>514</v>
      </c>
    </row>
    <row r="2" spans="1:35" ht="15" x14ac:dyDescent="0.25">
      <c r="A2" s="67" t="s">
        <v>114</v>
      </c>
      <c r="B2" s="306"/>
      <c r="C2" s="306"/>
      <c r="E2" s="306"/>
      <c r="F2" s="306"/>
      <c r="G2" s="306"/>
      <c r="H2" s="306"/>
      <c r="I2" s="306"/>
      <c r="J2" s="306"/>
      <c r="O2" s="67" t="s">
        <v>115</v>
      </c>
      <c r="Y2" s="326" t="s">
        <v>517</v>
      </c>
      <c r="AD2" s="345" t="s">
        <v>521</v>
      </c>
    </row>
    <row r="3" spans="1:35" ht="30.75" thickBot="1" x14ac:dyDescent="0.3">
      <c r="A3" s="232" t="s">
        <v>116</v>
      </c>
      <c r="B3" s="302" t="s">
        <v>136</v>
      </c>
      <c r="C3" s="232" t="s">
        <v>117</v>
      </c>
      <c r="D3" s="232" t="s">
        <v>118</v>
      </c>
      <c r="E3" s="232" t="s">
        <v>119</v>
      </c>
      <c r="F3" s="232" t="s">
        <v>486</v>
      </c>
      <c r="G3" s="232" t="s">
        <v>487</v>
      </c>
      <c r="H3" s="232" t="s">
        <v>488</v>
      </c>
      <c r="I3" s="232" t="s">
        <v>489</v>
      </c>
      <c r="J3" s="385" t="s">
        <v>144</v>
      </c>
      <c r="K3" s="232" t="s">
        <v>516</v>
      </c>
      <c r="L3" s="232" t="s">
        <v>120</v>
      </c>
      <c r="M3" s="232" t="s">
        <v>170</v>
      </c>
      <c r="O3" s="232" t="s">
        <v>121</v>
      </c>
      <c r="P3" s="69" t="s">
        <v>483</v>
      </c>
      <c r="Q3" s="232" t="s">
        <v>116</v>
      </c>
      <c r="R3" s="232" t="s">
        <v>122</v>
      </c>
      <c r="S3" s="232" t="s">
        <v>123</v>
      </c>
      <c r="T3" s="232" t="s">
        <v>124</v>
      </c>
      <c r="U3" s="232" t="s">
        <v>125</v>
      </c>
      <c r="V3" s="232" t="s">
        <v>126</v>
      </c>
      <c r="W3" s="232" t="s">
        <v>127</v>
      </c>
      <c r="Y3" s="439" t="s">
        <v>494</v>
      </c>
      <c r="Z3" s="439"/>
      <c r="AA3" s="322" t="s">
        <v>495</v>
      </c>
      <c r="AD3" s="333" t="s">
        <v>60</v>
      </c>
      <c r="AE3" s="341" t="s">
        <v>519</v>
      </c>
      <c r="AF3" s="334" t="s">
        <v>490</v>
      </c>
      <c r="AG3" s="334" t="s">
        <v>491</v>
      </c>
      <c r="AH3" s="334" t="s">
        <v>492</v>
      </c>
      <c r="AI3" s="334" t="s">
        <v>493</v>
      </c>
    </row>
    <row r="4" spans="1:35" ht="38.25" x14ac:dyDescent="0.25">
      <c r="A4" s="303" t="s">
        <v>187</v>
      </c>
      <c r="B4" s="303" t="s">
        <v>132</v>
      </c>
      <c r="C4" s="303" t="s">
        <v>137</v>
      </c>
      <c r="D4" s="303" t="s">
        <v>138</v>
      </c>
      <c r="E4" s="303" t="s">
        <v>112</v>
      </c>
      <c r="F4" s="303" t="s">
        <v>522</v>
      </c>
      <c r="G4" s="303"/>
      <c r="H4" s="303"/>
      <c r="I4" s="303"/>
      <c r="J4" s="303" t="s">
        <v>145</v>
      </c>
      <c r="K4" s="303" t="s">
        <v>153</v>
      </c>
      <c r="L4" s="303" t="s">
        <v>156</v>
      </c>
      <c r="M4" s="303" t="s">
        <v>523</v>
      </c>
      <c r="O4" s="100" t="s">
        <v>130</v>
      </c>
      <c r="P4" s="102" t="s">
        <v>484</v>
      </c>
      <c r="Q4" s="100" t="s">
        <v>131</v>
      </c>
      <c r="R4" s="100" t="s">
        <v>132</v>
      </c>
      <c r="S4" s="100" t="s">
        <v>133</v>
      </c>
      <c r="T4" s="100" t="s">
        <v>134</v>
      </c>
      <c r="U4" s="100"/>
      <c r="V4" s="100" t="s">
        <v>135</v>
      </c>
      <c r="W4" s="100"/>
      <c r="Y4" s="323" t="s">
        <v>497</v>
      </c>
      <c r="Z4" s="324" t="s">
        <v>498</v>
      </c>
      <c r="AA4" s="323" t="s">
        <v>499</v>
      </c>
      <c r="AD4" s="335"/>
      <c r="AE4" s="335"/>
      <c r="AF4" s="440" t="s">
        <v>145</v>
      </c>
      <c r="AG4" s="440"/>
      <c r="AH4" s="440"/>
      <c r="AI4" s="440"/>
    </row>
    <row r="5" spans="1:35" ht="15" x14ac:dyDescent="0.25">
      <c r="A5" s="304" t="s">
        <v>113</v>
      </c>
      <c r="B5" s="304"/>
      <c r="C5" s="304"/>
      <c r="D5" s="304"/>
      <c r="E5" s="304" t="s">
        <v>129</v>
      </c>
      <c r="F5" s="304" t="s">
        <v>143</v>
      </c>
      <c r="G5" s="304"/>
      <c r="H5" s="304"/>
      <c r="I5" s="304"/>
      <c r="J5" s="304" t="s">
        <v>496</v>
      </c>
      <c r="K5" s="304" t="s">
        <v>143</v>
      </c>
      <c r="L5" s="304" t="s">
        <v>518</v>
      </c>
      <c r="M5" s="304" t="s">
        <v>179</v>
      </c>
      <c r="O5" s="100" t="s">
        <v>113</v>
      </c>
      <c r="P5" s="286"/>
      <c r="Q5" s="100"/>
      <c r="R5" s="100"/>
      <c r="S5" s="100"/>
      <c r="T5" s="100"/>
      <c r="U5" s="100"/>
      <c r="V5" s="100"/>
      <c r="W5" s="100"/>
      <c r="Y5" s="325"/>
      <c r="Z5" s="325"/>
      <c r="AA5" s="325"/>
      <c r="AD5" s="336"/>
      <c r="AE5" s="336"/>
      <c r="AF5" s="337" t="s">
        <v>146</v>
      </c>
      <c r="AG5" s="337"/>
      <c r="AH5" s="337"/>
      <c r="AI5" s="337"/>
    </row>
    <row r="6" spans="1:35" customFormat="1" ht="15" x14ac:dyDescent="0.25">
      <c r="A6" s="316" t="str">
        <f>O6</f>
        <v>*Cooking - Commercial Services</v>
      </c>
      <c r="O6" s="317" t="str">
        <f>"*"&amp;Legend!$A$36&amp;" - "&amp;Legend!A29</f>
        <v>*Cooking - Commercial Services</v>
      </c>
      <c r="P6" s="305"/>
      <c r="Q6" s="305"/>
      <c r="R6" s="305"/>
      <c r="S6" s="305"/>
      <c r="T6" s="305"/>
      <c r="U6" s="305"/>
      <c r="V6" s="305"/>
      <c r="Y6" s="319"/>
      <c r="Z6" s="319"/>
      <c r="AA6" s="319"/>
      <c r="AD6" s="321"/>
      <c r="AE6" s="321"/>
      <c r="AF6" s="321"/>
      <c r="AG6" s="321"/>
      <c r="AH6" s="321"/>
      <c r="AI6" s="321"/>
    </row>
    <row r="7" spans="1:35" s="175" customFormat="1" ht="15" x14ac:dyDescent="0.25">
      <c r="A7" s="310" t="str">
        <f t="shared" ref="A7:B9" si="0">Q7</f>
        <v>S-CK-CS_ELC_N1</v>
      </c>
      <c r="B7" s="310" t="str">
        <f t="shared" si="0"/>
        <v>Commercial Services Cooking - Electricity - New</v>
      </c>
      <c r="C7" s="310" t="str">
        <f>Legend!$C$51</f>
        <v>SRVELC</v>
      </c>
      <c r="D7" s="310" t="str">
        <f>CONCATENATE(Legend!$C$4,Legend!$C$36,"-",Legend!$C$29)</f>
        <v>SRVCK-CS</v>
      </c>
      <c r="E7" s="386">
        <v>15</v>
      </c>
      <c r="F7" s="318">
        <v>0.74</v>
      </c>
      <c r="G7" s="318">
        <v>0.75</v>
      </c>
      <c r="H7" s="318">
        <v>0.8</v>
      </c>
      <c r="I7" s="318">
        <v>0.85</v>
      </c>
      <c r="J7" s="311">
        <f>$AA7/1000</f>
        <v>3.7275</v>
      </c>
      <c r="K7" s="310"/>
      <c r="L7" s="312">
        <f>31.536*(Y7/1000)</f>
        <v>0.47304000000000002</v>
      </c>
      <c r="M7" s="310">
        <v>2019</v>
      </c>
      <c r="N7" s="305"/>
      <c r="O7" s="309" t="s">
        <v>506</v>
      </c>
      <c r="P7" s="287" t="str">
        <f>IF($Q7="","",_xlfn.TEXTJOIN(",",TRUE,IF(LEFT(Regions!$C$3,1)&lt;&gt;"*",Regions!$C$3,""),IF(LEFT(Regions!$D$3,1)&lt;&gt;"*",Regions!$D$3,"")))</f>
        <v>IE,National</v>
      </c>
      <c r="Q7" s="309" t="str">
        <f>CONCATENATE(LEFT(Legend!$C$4),"-",Legend!$C$36,"-",Legend!$C$29,"_",Legend!$B$51,"_N1")</f>
        <v>S-CK-CS_ELC_N1</v>
      </c>
      <c r="R7" s="309" t="str">
        <f>CONCATENATE(Legend!$A$29," ",Legend!$A$36," - ",Legend!$A$51&amp;" - New")</f>
        <v>Commercial Services Cooking - Electricity - New</v>
      </c>
      <c r="S7" s="309" t="s">
        <v>508</v>
      </c>
      <c r="T7" s="309" t="s">
        <v>509</v>
      </c>
      <c r="U7" s="309"/>
      <c r="V7" s="309"/>
      <c r="W7" s="309" t="s">
        <v>510</v>
      </c>
      <c r="Y7" s="320">
        <v>15</v>
      </c>
      <c r="Z7" s="307">
        <f>1/Y7</f>
        <v>6.6666666666666666E-2</v>
      </c>
      <c r="AA7" s="329">
        <f>AA8*1.42</f>
        <v>3727.5</v>
      </c>
      <c r="AD7" s="321" t="s">
        <v>513</v>
      </c>
      <c r="AE7" s="321" t="s">
        <v>367</v>
      </c>
      <c r="AF7" s="339">
        <v>175</v>
      </c>
      <c r="AG7" s="339">
        <v>175</v>
      </c>
      <c r="AH7" s="339">
        <v>175</v>
      </c>
      <c r="AI7" s="339">
        <v>175</v>
      </c>
    </row>
    <row r="8" spans="1:35" s="175" customFormat="1" ht="15" x14ac:dyDescent="0.25">
      <c r="A8" s="310" t="str">
        <f t="shared" si="0"/>
        <v>S-CK-CS_GAS_N1</v>
      </c>
      <c r="B8" s="310" t="str">
        <f t="shared" si="0"/>
        <v>Commercial Services Cooking - Natural Gas - New</v>
      </c>
      <c r="C8" s="310" t="str">
        <f>Legend!$C$47</f>
        <v>SRVGAS</v>
      </c>
      <c r="D8" s="310" t="str">
        <f>CONCATENATE(Legend!$C$4,Legend!$C$36,"-",Legend!$C$29)</f>
        <v>SRVCK-CS</v>
      </c>
      <c r="E8" s="386">
        <v>15</v>
      </c>
      <c r="F8" s="318">
        <v>0.57999999999999996</v>
      </c>
      <c r="G8" s="318">
        <v>0.57999999999999996</v>
      </c>
      <c r="H8" s="318">
        <v>0.57999999999999996</v>
      </c>
      <c r="I8" s="318">
        <v>0.57999999999999996</v>
      </c>
      <c r="J8" s="311">
        <f>$AA8/1000</f>
        <v>2.625</v>
      </c>
      <c r="K8" s="310"/>
      <c r="L8" s="312">
        <f>31.536*(Y8/1000)</f>
        <v>0.47304000000000002</v>
      </c>
      <c r="M8" s="310">
        <v>2019</v>
      </c>
      <c r="N8" s="305"/>
      <c r="O8" s="309" t="s">
        <v>506</v>
      </c>
      <c r="P8" s="287" t="str">
        <f>IF($Q8="","",_xlfn.TEXTJOIN(",",TRUE,IF(LEFT(Regions!$C$3,1)&lt;&gt;"*",Regions!$C$3,""),IF(LEFT(Regions!$D$3,1)&lt;&gt;"*",Regions!$D$3,"")))</f>
        <v>IE,National</v>
      </c>
      <c r="Q8" s="309" t="str">
        <f>CONCATENATE(LEFT(Legend!$C$4),"-",Legend!$C$36,"-",Legend!$C$29,"_",Legend!$B$47,"_N1")</f>
        <v>S-CK-CS_GAS_N1</v>
      </c>
      <c r="R8" s="309" t="str">
        <f>CONCATENATE(Legend!$A$29," ",Legend!$A$36," - ",Legend!$A$47&amp;" - New")</f>
        <v>Commercial Services Cooking - Natural Gas - New</v>
      </c>
      <c r="S8" s="309" t="s">
        <v>508</v>
      </c>
      <c r="T8" s="309" t="s">
        <v>509</v>
      </c>
      <c r="U8" s="309"/>
      <c r="V8" s="309"/>
      <c r="W8" s="309" t="s">
        <v>510</v>
      </c>
      <c r="Y8" s="320">
        <v>15</v>
      </c>
      <c r="Z8" s="307">
        <f>1/Y8</f>
        <v>6.6666666666666666E-2</v>
      </c>
      <c r="AA8" s="329">
        <f>AF8/Z8</f>
        <v>2625</v>
      </c>
      <c r="AD8" s="321"/>
      <c r="AE8" s="321" t="s">
        <v>357</v>
      </c>
      <c r="AF8" s="339">
        <v>175</v>
      </c>
      <c r="AG8" s="339">
        <v>175</v>
      </c>
      <c r="AH8" s="339">
        <v>175</v>
      </c>
      <c r="AI8" s="339">
        <v>175</v>
      </c>
    </row>
    <row r="9" spans="1:35" s="175" customFormat="1" ht="15" x14ac:dyDescent="0.25">
      <c r="A9" s="310" t="str">
        <f t="shared" si="0"/>
        <v>S-CK-CS_LPG_N1</v>
      </c>
      <c r="B9" s="310" t="str">
        <f t="shared" si="0"/>
        <v>Commercial Services Cooking - LPG - New</v>
      </c>
      <c r="C9" s="310" t="str">
        <f>Legend!$C$45</f>
        <v>SRVLPG</v>
      </c>
      <c r="D9" s="310" t="str">
        <f>CONCATENATE(Legend!$C$4,Legend!$C$36,"-",Legend!$C$29)</f>
        <v>SRVCK-CS</v>
      </c>
      <c r="E9" s="386">
        <v>15</v>
      </c>
      <c r="F9" s="318">
        <v>0.57999999999999996</v>
      </c>
      <c r="G9" s="318">
        <v>0.57999999999999996</v>
      </c>
      <c r="H9" s="318">
        <v>0.57999999999999996</v>
      </c>
      <c r="I9" s="318">
        <v>0.57999999999999996</v>
      </c>
      <c r="J9" s="311">
        <f>$AA9/1000</f>
        <v>2.625</v>
      </c>
      <c r="K9" s="310"/>
      <c r="L9" s="312">
        <f>31.536*(Y9/1000)</f>
        <v>0.47304000000000002</v>
      </c>
      <c r="M9" s="310">
        <v>2019</v>
      </c>
      <c r="N9" s="305"/>
      <c r="O9" s="309" t="s">
        <v>506</v>
      </c>
      <c r="P9" s="287" t="str">
        <f>IF($Q9="","",_xlfn.TEXTJOIN(",",TRUE,IF(LEFT(Regions!$C$3,1)&lt;&gt;"*",Regions!$C$3,""),IF(LEFT(Regions!$D$3,1)&lt;&gt;"*",Regions!$D$3,"")))</f>
        <v>IE,National</v>
      </c>
      <c r="Q9" s="309" t="str">
        <f>CONCATENATE(LEFT(Legend!$C$4),"-",Legend!$C$36,"-",Legend!$C$29,"_",Legend!$B$45,"_N1")</f>
        <v>S-CK-CS_LPG_N1</v>
      </c>
      <c r="R9" s="309" t="str">
        <f>CONCATENATE(Legend!$A$29," ",Legend!$A$36," - ",Legend!$A$45&amp;" - New")</f>
        <v>Commercial Services Cooking - LPG - New</v>
      </c>
      <c r="S9" s="309" t="s">
        <v>508</v>
      </c>
      <c r="T9" s="309" t="s">
        <v>509</v>
      </c>
      <c r="U9" s="309"/>
      <c r="V9" s="309"/>
      <c r="W9" s="309" t="s">
        <v>510</v>
      </c>
      <c r="Y9" s="320">
        <v>15</v>
      </c>
      <c r="Z9" s="307">
        <f>1/Y9</f>
        <v>6.6666666666666666E-2</v>
      </c>
      <c r="AA9" s="329">
        <f>AF9/Z9</f>
        <v>2625</v>
      </c>
      <c r="AD9" s="338"/>
      <c r="AE9" s="338" t="s">
        <v>351</v>
      </c>
      <c r="AF9" s="340">
        <v>175</v>
      </c>
      <c r="AG9" s="340">
        <v>175</v>
      </c>
      <c r="AH9" s="340">
        <v>175</v>
      </c>
      <c r="AI9" s="340">
        <v>175</v>
      </c>
    </row>
    <row r="10" spans="1:35" s="175" customFormat="1" ht="15" x14ac:dyDescent="0.25">
      <c r="A10" s="316" t="str">
        <f>O10</f>
        <v>*Cooking - Public Services</v>
      </c>
      <c r="D10" s="310"/>
      <c r="E10" s="387"/>
      <c r="O10" s="316" t="str">
        <f>"*"&amp;Legend!$A$36&amp;" - "&amp;Legend!A30</f>
        <v>*Cooking - Public Services</v>
      </c>
      <c r="R10" s="309"/>
      <c r="Y10" s="319"/>
      <c r="Z10" s="390"/>
      <c r="AA10" s="330"/>
      <c r="AD10" s="305"/>
      <c r="AE10" s="305"/>
      <c r="AF10" s="305"/>
      <c r="AG10" s="305"/>
      <c r="AH10" s="305"/>
      <c r="AI10" s="305"/>
    </row>
    <row r="11" spans="1:35" ht="15" x14ac:dyDescent="0.25">
      <c r="A11" s="309" t="str">
        <f t="shared" ref="A11:B13" si="1">Q11</f>
        <v>S-CK-CS_ELC_N1</v>
      </c>
      <c r="B11" s="309" t="str">
        <f t="shared" si="1"/>
        <v>Public Services Cooking - Electricity - New</v>
      </c>
      <c r="C11" s="310" t="str">
        <f>Legend!$C$51</f>
        <v>SRVELC</v>
      </c>
      <c r="D11" s="310" t="str">
        <f>CONCATENATE(Legend!$C$4,Legend!$C$36,"-",Legend!$C$30)</f>
        <v>SRVCK-PU</v>
      </c>
      <c r="E11" s="386">
        <v>15</v>
      </c>
      <c r="F11" s="318">
        <v>0.74</v>
      </c>
      <c r="G11" s="318">
        <v>0.75</v>
      </c>
      <c r="H11" s="318">
        <v>0.8</v>
      </c>
      <c r="I11" s="318">
        <v>0.85</v>
      </c>
      <c r="J11" s="311">
        <f t="shared" ref="J11:J13" si="2">$AA11/1000</f>
        <v>3.7275</v>
      </c>
      <c r="K11" s="310"/>
      <c r="L11" s="312">
        <f>31.536*(Y11/1000)</f>
        <v>0.47304000000000002</v>
      </c>
      <c r="M11" s="310">
        <v>2019</v>
      </c>
      <c r="O11" s="309" t="s">
        <v>506</v>
      </c>
      <c r="P11" s="287" t="str">
        <f>IF($Q11="","",_xlfn.TEXTJOIN(",",TRUE,IF(LEFT(Regions!$C$3,1)&lt;&gt;"*",Regions!$C$3,""),IF(LEFT(Regions!$D$3,1)&lt;&gt;"*",Regions!$D$3,"")))</f>
        <v>IE,National</v>
      </c>
      <c r="Q11" s="309" t="str">
        <f>CONCATENATE(LEFT(Legend!$C$4),"-",Legend!$C$36,"-",Legend!$C$29,"_",Legend!$B$51,"_N1")</f>
        <v>S-CK-CS_ELC_N1</v>
      </c>
      <c r="R11" s="309" t="str">
        <f>CONCATENATE(Legend!$A$30," ",Legend!$A$36," - ",Legend!$A$51&amp;" - New")</f>
        <v>Public Services Cooking - Electricity - New</v>
      </c>
      <c r="S11" s="309" t="s">
        <v>508</v>
      </c>
      <c r="T11" s="309" t="s">
        <v>509</v>
      </c>
      <c r="U11" s="309"/>
      <c r="V11" s="309"/>
      <c r="W11" s="309" t="s">
        <v>510</v>
      </c>
      <c r="Y11" s="320">
        <f>Y7</f>
        <v>15</v>
      </c>
      <c r="Z11" s="307">
        <f t="shared" ref="Z11:AA11" si="3">Z7</f>
        <v>6.6666666666666666E-2</v>
      </c>
      <c r="AA11" s="329">
        <f t="shared" si="3"/>
        <v>3727.5</v>
      </c>
      <c r="AD11" s="326" t="s">
        <v>520</v>
      </c>
    </row>
    <row r="12" spans="1:35" ht="15" x14ac:dyDescent="0.2">
      <c r="A12" s="309" t="str">
        <f t="shared" si="1"/>
        <v>S-CK-CS_GAS_N1</v>
      </c>
      <c r="B12" s="309" t="str">
        <f t="shared" si="1"/>
        <v>Public Services Cooking - Natural Gas - New</v>
      </c>
      <c r="C12" s="310" t="str">
        <f>Legend!$C$47</f>
        <v>SRVGAS</v>
      </c>
      <c r="D12" s="310" t="str">
        <f>CONCATENATE(Legend!$C$4,Legend!$C$36,"-",Legend!$C$30)</f>
        <v>SRVCK-PU</v>
      </c>
      <c r="E12" s="386">
        <v>15</v>
      </c>
      <c r="F12" s="318">
        <v>0.57999999999999996</v>
      </c>
      <c r="G12" s="318">
        <v>0.57999999999999996</v>
      </c>
      <c r="H12" s="318">
        <v>0.57999999999999996</v>
      </c>
      <c r="I12" s="318">
        <v>0.57999999999999996</v>
      </c>
      <c r="J12" s="311">
        <f t="shared" si="2"/>
        <v>2.625</v>
      </c>
      <c r="K12" s="310"/>
      <c r="L12" s="312">
        <f>31.536*(Y12/1000)</f>
        <v>0.47304000000000002</v>
      </c>
      <c r="M12" s="310">
        <v>2019</v>
      </c>
      <c r="O12" s="309" t="s">
        <v>506</v>
      </c>
      <c r="P12" s="287" t="str">
        <f>IF($Q12="","",_xlfn.TEXTJOIN(",",TRUE,IF(LEFT(Regions!$C$3,1)&lt;&gt;"*",Regions!$C$3,""),IF(LEFT(Regions!$D$3,1)&lt;&gt;"*",Regions!$D$3,"")))</f>
        <v>IE,National</v>
      </c>
      <c r="Q12" s="309" t="str">
        <f>CONCATENATE(LEFT(Legend!$C$4),"-",Legend!$C$36,"-",Legend!$C$29,"_",Legend!$B$47,"_N1")</f>
        <v>S-CK-CS_GAS_N1</v>
      </c>
      <c r="R12" s="309" t="str">
        <f>CONCATENATE(Legend!$A$30," ",Legend!$A$36," - ",Legend!$A$47&amp;" - New")</f>
        <v>Public Services Cooking - Natural Gas - New</v>
      </c>
      <c r="S12" s="309" t="s">
        <v>508</v>
      </c>
      <c r="T12" s="309" t="s">
        <v>509</v>
      </c>
      <c r="W12" s="309" t="s">
        <v>510</v>
      </c>
      <c r="Y12" s="320">
        <f t="shared" ref="Y12:AA12" si="4">Y8</f>
        <v>15</v>
      </c>
      <c r="Z12" s="307">
        <f t="shared" si="4"/>
        <v>6.6666666666666666E-2</v>
      </c>
      <c r="AA12" s="329">
        <f t="shared" si="4"/>
        <v>2625</v>
      </c>
      <c r="AD12" s="305" t="s">
        <v>500</v>
      </c>
      <c r="AE12" s="344" t="s">
        <v>501</v>
      </c>
    </row>
    <row r="13" spans="1:35" ht="15" x14ac:dyDescent="0.25">
      <c r="A13" s="346" t="str">
        <f t="shared" si="1"/>
        <v>S-CK-CS_LPG_N1</v>
      </c>
      <c r="B13" s="346" t="str">
        <f t="shared" si="1"/>
        <v>Public Services Cooking - LPG - New</v>
      </c>
      <c r="C13" s="347" t="str">
        <f>Legend!$C$45</f>
        <v>SRVLPG</v>
      </c>
      <c r="D13" s="347" t="str">
        <f>CONCATENATE(Legend!$C$4,Legend!$C$36,"-",Legend!$C$30)</f>
        <v>SRVCK-PU</v>
      </c>
      <c r="E13" s="388">
        <v>15</v>
      </c>
      <c r="F13" s="348">
        <v>0.57999999999999996</v>
      </c>
      <c r="G13" s="348">
        <v>0.57999999999999996</v>
      </c>
      <c r="H13" s="348">
        <v>0.57999999999999996</v>
      </c>
      <c r="I13" s="348">
        <v>0.57999999999999996</v>
      </c>
      <c r="J13" s="349">
        <f t="shared" si="2"/>
        <v>2.625</v>
      </c>
      <c r="K13" s="347"/>
      <c r="L13" s="351">
        <f>31.536*(Y13/1000)</f>
        <v>0.47304000000000002</v>
      </c>
      <c r="M13" s="347">
        <v>2019</v>
      </c>
      <c r="O13" s="346" t="s">
        <v>506</v>
      </c>
      <c r="P13" s="352" t="str">
        <f>IF($Q13="","",_xlfn.TEXTJOIN(",",TRUE,IF(LEFT(Regions!$C$3,1)&lt;&gt;"*",Regions!$C$3,""),IF(LEFT(Regions!$D$3,1)&lt;&gt;"*",Regions!$D$3,"")))</f>
        <v>IE,National</v>
      </c>
      <c r="Q13" s="346" t="str">
        <f>CONCATENATE(LEFT(Legend!$C$4),"-",Legend!$C$36,"-",Legend!$C$29,"_",Legend!$B$45,"_N1")</f>
        <v>S-CK-CS_LPG_N1</v>
      </c>
      <c r="R13" s="346" t="str">
        <f>CONCATENATE(Legend!$A$30," ",Legend!$A$36," - ",Legend!$A$45&amp;" - New")</f>
        <v>Public Services Cooking - LPG - New</v>
      </c>
      <c r="S13" s="346" t="s">
        <v>508</v>
      </c>
      <c r="T13" s="346" t="s">
        <v>509</v>
      </c>
      <c r="U13" s="350"/>
      <c r="V13" s="350"/>
      <c r="W13" s="346" t="s">
        <v>510</v>
      </c>
      <c r="Y13" s="320">
        <f t="shared" ref="Y13:AA13" si="5">Y9</f>
        <v>15</v>
      </c>
      <c r="Z13" s="307">
        <f t="shared" si="5"/>
        <v>6.6666666666666666E-2</v>
      </c>
      <c r="AA13" s="329">
        <f t="shared" si="5"/>
        <v>2625</v>
      </c>
      <c r="AD13" s="305" t="s">
        <v>502</v>
      </c>
      <c r="AE13" s="305" t="s">
        <v>503</v>
      </c>
    </row>
    <row r="14" spans="1:35" x14ac:dyDescent="0.25">
      <c r="AD14" s="305" t="s">
        <v>4</v>
      </c>
      <c r="AE14" s="305" t="s">
        <v>504</v>
      </c>
    </row>
    <row r="15" spans="1:35" ht="15" x14ac:dyDescent="0.25">
      <c r="A15" s="310"/>
      <c r="B15" s="310"/>
      <c r="C15" s="310"/>
      <c r="D15" s="310"/>
      <c r="E15" s="310"/>
      <c r="F15" s="310"/>
      <c r="G15" s="310"/>
      <c r="H15" s="310"/>
      <c r="I15" s="310"/>
      <c r="J15" s="311"/>
      <c r="K15" s="310"/>
      <c r="L15" s="312"/>
      <c r="M15" s="310"/>
      <c r="O15" s="309"/>
      <c r="P15" s="287"/>
      <c r="Q15" s="309"/>
      <c r="R15" s="309"/>
      <c r="S15" s="309"/>
      <c r="T15" s="309"/>
      <c r="U15" s="309"/>
      <c r="V15" s="309"/>
      <c r="W15" s="309"/>
      <c r="AE15" s="305" t="s">
        <v>505</v>
      </c>
    </row>
    <row r="16" spans="1:35" ht="15" x14ac:dyDescent="0.25">
      <c r="A16" s="310"/>
      <c r="B16" s="310"/>
      <c r="C16" s="310"/>
      <c r="D16" s="310"/>
      <c r="E16" s="310"/>
      <c r="F16" s="310"/>
      <c r="G16" s="310"/>
      <c r="H16" s="310"/>
      <c r="I16" s="310"/>
      <c r="J16" s="311"/>
      <c r="K16" s="310"/>
      <c r="L16" s="312"/>
      <c r="M16" s="310"/>
      <c r="O16" s="309"/>
      <c r="P16" s="287"/>
      <c r="Q16" s="309"/>
      <c r="R16" s="309"/>
      <c r="S16" s="309"/>
      <c r="T16" s="309"/>
      <c r="U16" s="309"/>
      <c r="V16" s="309"/>
      <c r="W16" s="309"/>
      <c r="AE16" s="305" t="s">
        <v>511</v>
      </c>
    </row>
    <row r="17" spans="1:27" ht="15" x14ac:dyDescent="0.25">
      <c r="A17" s="310"/>
      <c r="B17" s="310"/>
      <c r="C17" s="310"/>
      <c r="D17" s="310"/>
      <c r="E17" s="310"/>
      <c r="F17" s="310"/>
      <c r="G17" s="310"/>
      <c r="H17" s="310"/>
      <c r="I17" s="310"/>
      <c r="J17" s="311"/>
      <c r="K17" s="310"/>
      <c r="L17" s="312"/>
      <c r="M17" s="310"/>
      <c r="O17" s="309"/>
      <c r="P17" s="287"/>
      <c r="Q17" s="309"/>
      <c r="R17" s="309"/>
      <c r="S17" s="309"/>
      <c r="T17" s="309"/>
      <c r="U17" s="309"/>
      <c r="V17" s="309"/>
      <c r="W17" s="309"/>
    </row>
    <row r="18" spans="1:27" ht="15" x14ac:dyDescent="0.25">
      <c r="A18" s="310"/>
      <c r="B18" s="310"/>
      <c r="C18" s="310"/>
      <c r="D18" s="310"/>
      <c r="E18" s="310"/>
      <c r="F18" s="310"/>
      <c r="G18" s="310"/>
      <c r="H18" s="310"/>
      <c r="I18" s="310"/>
      <c r="J18" s="313"/>
      <c r="K18" s="310"/>
      <c r="L18" s="314"/>
      <c r="M18" s="310"/>
      <c r="O18" s="309"/>
      <c r="P18" s="287"/>
      <c r="Q18" s="309"/>
      <c r="R18" s="309"/>
      <c r="S18" s="309"/>
      <c r="T18" s="309"/>
      <c r="U18" s="309"/>
      <c r="V18" s="309"/>
      <c r="W18" s="309"/>
    </row>
    <row r="19" spans="1:27" ht="15" x14ac:dyDescent="0.25">
      <c r="A19" s="310"/>
      <c r="B19" s="310"/>
      <c r="C19" s="310"/>
      <c r="D19" s="310"/>
      <c r="E19" s="310"/>
      <c r="F19" s="310"/>
      <c r="G19" s="310"/>
      <c r="H19" s="310"/>
      <c r="I19" s="310"/>
      <c r="J19" s="313"/>
      <c r="K19" s="310"/>
      <c r="L19" s="314"/>
      <c r="M19" s="310"/>
      <c r="O19" s="309"/>
      <c r="P19" s="287"/>
      <c r="Q19" s="309"/>
      <c r="R19" s="309"/>
      <c r="S19" s="309"/>
      <c r="T19" s="309"/>
      <c r="U19" s="309"/>
      <c r="V19" s="309"/>
      <c r="W19" s="309"/>
    </row>
    <row r="21" spans="1:27" x14ac:dyDescent="0.25">
      <c r="Y21" s="315"/>
      <c r="Z21" s="315"/>
      <c r="AA21" s="315"/>
    </row>
    <row r="22" spans="1:27" x14ac:dyDescent="0.25">
      <c r="L22" s="343"/>
      <c r="M22" s="343"/>
      <c r="Y22" s="315"/>
      <c r="Z22" s="315"/>
      <c r="AA22" s="315"/>
    </row>
    <row r="23" spans="1:27" x14ac:dyDescent="0.25">
      <c r="L23" s="343"/>
      <c r="M23" s="343"/>
      <c r="Y23" s="315"/>
      <c r="Z23" s="315"/>
      <c r="AA23" s="315"/>
    </row>
    <row r="24" spans="1:27" x14ac:dyDescent="0.25">
      <c r="L24" s="343"/>
      <c r="M24" s="343"/>
      <c r="Y24" s="315"/>
      <c r="Z24" s="315"/>
      <c r="AA24" s="315"/>
    </row>
    <row r="25" spans="1:27" x14ac:dyDescent="0.25">
      <c r="L25" s="343"/>
      <c r="M25" s="343"/>
      <c r="Y25" s="315"/>
      <c r="Z25" s="315"/>
      <c r="AA25" s="315"/>
    </row>
    <row r="26" spans="1:27" x14ac:dyDescent="0.25">
      <c r="L26" s="343"/>
      <c r="M26" s="343"/>
      <c r="Y26" s="315"/>
      <c r="Z26" s="315"/>
      <c r="AA26" s="31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305" customWidth="1"/>
    <col min="2" max="2" width="45.42578125" style="305" bestFit="1" customWidth="1"/>
    <col min="3" max="3" width="14.42578125" style="305" bestFit="1" customWidth="1"/>
    <col min="4" max="4" width="17" style="305" bestFit="1" customWidth="1"/>
    <col min="5" max="5" width="12.85546875" style="305" customWidth="1"/>
    <col min="6" max="10" width="10.7109375" style="305" customWidth="1"/>
    <col min="11" max="11" width="12.42578125" style="305" customWidth="1"/>
    <col min="12" max="12" width="12.28515625" style="305" customWidth="1"/>
    <col min="13" max="14" width="10.7109375" style="305" customWidth="1"/>
    <col min="15" max="15" width="12.5703125" style="305" customWidth="1"/>
    <col min="16" max="16" width="10.7109375" style="305" customWidth="1"/>
    <col min="17" max="17" width="16.7109375" style="305" bestFit="1" customWidth="1"/>
    <col min="18" max="18" width="52.140625" style="305" bestFit="1" customWidth="1"/>
    <col min="19" max="23" width="10.7109375" style="305" customWidth="1"/>
    <col min="24" max="26" width="9.85546875" style="305" customWidth="1"/>
    <col min="27" max="29" width="10.7109375" style="305" customWidth="1"/>
    <col min="30" max="30" width="34.140625" style="305" bestFit="1" customWidth="1"/>
    <col min="31" max="16384" width="9.140625" style="305"/>
  </cols>
  <sheetData>
    <row r="1" spans="1:42" ht="23.25" x14ac:dyDescent="0.25">
      <c r="A1" s="66" t="s">
        <v>514</v>
      </c>
    </row>
    <row r="2" spans="1:42" ht="15" x14ac:dyDescent="0.25">
      <c r="A2" s="306"/>
      <c r="B2" s="67" t="s">
        <v>114</v>
      </c>
      <c r="C2" s="306"/>
      <c r="E2" s="306"/>
      <c r="F2" s="306"/>
      <c r="G2" s="306"/>
      <c r="H2" s="306"/>
      <c r="I2" s="306"/>
      <c r="J2" s="306"/>
      <c r="O2" s="67" t="s">
        <v>115</v>
      </c>
      <c r="Y2" s="326" t="s">
        <v>517</v>
      </c>
      <c r="AF2" s="305" t="s">
        <v>500</v>
      </c>
      <c r="AG2" s="308" t="s">
        <v>501</v>
      </c>
    </row>
    <row r="3" spans="1:42" ht="30.75" thickBot="1" x14ac:dyDescent="0.3">
      <c r="A3" s="232" t="s">
        <v>116</v>
      </c>
      <c r="B3" s="302" t="s">
        <v>136</v>
      </c>
      <c r="C3" s="232" t="s">
        <v>117</v>
      </c>
      <c r="D3" s="232" t="s">
        <v>118</v>
      </c>
      <c r="E3" s="232" t="s">
        <v>119</v>
      </c>
      <c r="F3" s="232" t="s">
        <v>486</v>
      </c>
      <c r="G3" s="232" t="s">
        <v>487</v>
      </c>
      <c r="H3" s="232" t="s">
        <v>488</v>
      </c>
      <c r="I3" s="232" t="s">
        <v>489</v>
      </c>
      <c r="J3" s="232" t="s">
        <v>144</v>
      </c>
      <c r="K3" s="232" t="s">
        <v>516</v>
      </c>
      <c r="L3" s="232" t="s">
        <v>120</v>
      </c>
      <c r="M3" s="232" t="s">
        <v>170</v>
      </c>
      <c r="O3" s="232" t="s">
        <v>121</v>
      </c>
      <c r="P3" s="69" t="s">
        <v>483</v>
      </c>
      <c r="Q3" s="232" t="s">
        <v>116</v>
      </c>
      <c r="R3" s="232" t="s">
        <v>122</v>
      </c>
      <c r="S3" s="232" t="s">
        <v>123</v>
      </c>
      <c r="T3" s="232" t="s">
        <v>124</v>
      </c>
      <c r="U3" s="232" t="s">
        <v>125</v>
      </c>
      <c r="V3" s="232" t="s">
        <v>126</v>
      </c>
      <c r="W3" s="232" t="s">
        <v>127</v>
      </c>
      <c r="Y3" s="439" t="s">
        <v>494</v>
      </c>
      <c r="Z3" s="439"/>
      <c r="AA3" s="322" t="s">
        <v>495</v>
      </c>
      <c r="AD3" s="333" t="s">
        <v>60</v>
      </c>
      <c r="AE3" s="341" t="s">
        <v>519</v>
      </c>
      <c r="AF3" s="334" t="s">
        <v>490</v>
      </c>
      <c r="AG3" s="334" t="s">
        <v>491</v>
      </c>
      <c r="AH3" s="334" t="s">
        <v>492</v>
      </c>
      <c r="AI3" s="334" t="s">
        <v>493</v>
      </c>
      <c r="AJ3" s="334" t="s">
        <v>524</v>
      </c>
      <c r="AK3" s="334" t="s">
        <v>487</v>
      </c>
      <c r="AL3" s="334" t="s">
        <v>488</v>
      </c>
      <c r="AM3" s="334" t="s">
        <v>489</v>
      </c>
    </row>
    <row r="4" spans="1:42" ht="38.25" x14ac:dyDescent="0.25">
      <c r="A4" s="303" t="s">
        <v>187</v>
      </c>
      <c r="B4" s="303" t="s">
        <v>132</v>
      </c>
      <c r="C4" s="303" t="s">
        <v>137</v>
      </c>
      <c r="D4" s="303" t="s">
        <v>138</v>
      </c>
      <c r="E4" s="303" t="s">
        <v>112</v>
      </c>
      <c r="F4" s="303"/>
      <c r="G4" s="303"/>
      <c r="H4" s="303"/>
      <c r="I4" s="303"/>
      <c r="J4" s="303" t="s">
        <v>145</v>
      </c>
      <c r="K4" s="303" t="s">
        <v>153</v>
      </c>
      <c r="L4" s="303" t="s">
        <v>156</v>
      </c>
      <c r="M4" s="303"/>
      <c r="O4" s="100" t="s">
        <v>130</v>
      </c>
      <c r="P4" s="102" t="s">
        <v>484</v>
      </c>
      <c r="Q4" s="100" t="s">
        <v>131</v>
      </c>
      <c r="R4" s="100" t="s">
        <v>132</v>
      </c>
      <c r="S4" s="100" t="s">
        <v>133</v>
      </c>
      <c r="T4" s="100" t="s">
        <v>134</v>
      </c>
      <c r="U4" s="100"/>
      <c r="V4" s="100" t="s">
        <v>135</v>
      </c>
      <c r="W4" s="100"/>
      <c r="Y4" s="323" t="s">
        <v>497</v>
      </c>
      <c r="Z4" s="324" t="s">
        <v>498</v>
      </c>
      <c r="AA4" s="323" t="s">
        <v>499</v>
      </c>
      <c r="AD4" s="335"/>
      <c r="AE4" s="335"/>
      <c r="AF4" s="440" t="s">
        <v>145</v>
      </c>
      <c r="AG4" s="440"/>
      <c r="AH4" s="440"/>
      <c r="AI4" s="440"/>
      <c r="AJ4" s="440" t="s">
        <v>522</v>
      </c>
      <c r="AK4" s="440"/>
      <c r="AL4" s="440"/>
      <c r="AM4" s="440"/>
    </row>
    <row r="5" spans="1:42" ht="25.5" x14ac:dyDescent="0.25">
      <c r="A5" s="304" t="s">
        <v>113</v>
      </c>
      <c r="B5" s="304"/>
      <c r="C5" s="304"/>
      <c r="D5" s="304"/>
      <c r="E5" s="304" t="s">
        <v>129</v>
      </c>
      <c r="F5" s="391" t="s">
        <v>423</v>
      </c>
      <c r="G5" s="304"/>
      <c r="H5" s="304"/>
      <c r="I5" s="304"/>
      <c r="J5" s="304" t="s">
        <v>545</v>
      </c>
      <c r="K5" s="304" t="s">
        <v>143</v>
      </c>
      <c r="L5" s="286" t="s">
        <v>525</v>
      </c>
      <c r="M5" s="304" t="s">
        <v>179</v>
      </c>
      <c r="O5" s="100" t="s">
        <v>113</v>
      </c>
      <c r="P5" s="286"/>
      <c r="Q5" s="100"/>
      <c r="R5" s="100"/>
      <c r="S5" s="100"/>
      <c r="T5" s="100"/>
      <c r="U5" s="100"/>
      <c r="V5" s="100"/>
      <c r="W5" s="100"/>
      <c r="Y5" s="325"/>
      <c r="Z5" s="325"/>
      <c r="AA5" s="325"/>
      <c r="AD5" s="336"/>
      <c r="AE5" s="336"/>
      <c r="AF5" s="337"/>
      <c r="AG5" s="337"/>
      <c r="AH5" s="337"/>
      <c r="AI5" s="337"/>
      <c r="AJ5" s="392"/>
      <c r="AK5" s="392"/>
      <c r="AL5" s="392"/>
      <c r="AM5" s="392"/>
    </row>
    <row r="6" spans="1:42" s="175" customFormat="1" ht="15" x14ac:dyDescent="0.25">
      <c r="A6" s="316" t="str">
        <f>O6</f>
        <v>*Refrigeration</v>
      </c>
      <c r="O6" s="317" t="str">
        <f>"*"&amp;Legend!$A$38</f>
        <v>*Refrigeration</v>
      </c>
      <c r="P6" s="305"/>
      <c r="Q6" s="305"/>
      <c r="R6" s="305"/>
      <c r="S6" s="305"/>
      <c r="T6" s="305"/>
      <c r="U6" s="305"/>
      <c r="V6" s="305"/>
      <c r="Y6" s="319"/>
      <c r="Z6" s="319"/>
      <c r="AA6" s="319"/>
    </row>
    <row r="7" spans="1:42" s="175" customFormat="1" ht="15" x14ac:dyDescent="0.25">
      <c r="A7" s="310" t="str">
        <f>Q7</f>
        <v>S-REF-CS_ELC_N1</v>
      </c>
      <c r="B7" s="310" t="str">
        <f>R7</f>
        <v>Commercial Services Refrigeration - Electricity - New</v>
      </c>
      <c r="C7" s="310" t="str">
        <f>Legend!$C$51</f>
        <v>SRVELC</v>
      </c>
      <c r="D7" s="310" t="str">
        <f>CONCATENATE(Legend!$C$4,Legend!$C$38,"-",Legend!$C$29)</f>
        <v>SRVREF-CS</v>
      </c>
      <c r="E7" s="386">
        <v>10</v>
      </c>
      <c r="F7" s="311">
        <f>AJ7/$AJ$7</f>
        <v>1</v>
      </c>
      <c r="G7" s="311">
        <f>AK7/$AJ$7</f>
        <v>1</v>
      </c>
      <c r="H7" s="311">
        <f>AL7/$AJ$7</f>
        <v>1.0249999999999999</v>
      </c>
      <c r="I7" s="311">
        <f>AM7/$AJ$7</f>
        <v>1.0625</v>
      </c>
      <c r="J7" s="311">
        <f>AF7/$Z8/1000</f>
        <v>0.432</v>
      </c>
      <c r="K7" s="411">
        <v>1</v>
      </c>
      <c r="L7" s="395">
        <v>1</v>
      </c>
      <c r="M7" s="310">
        <v>2019</v>
      </c>
      <c r="N7" s="305"/>
      <c r="O7" s="309" t="s">
        <v>506</v>
      </c>
      <c r="P7" s="287" t="str">
        <f>IF($Q7="","",_xlfn.TEXTJOIN(",",TRUE,IF(LEFT(Regions!$C$3,1)&lt;&gt;"*",Regions!$C$3,""),IF(LEFT(Regions!$D$3,1)&lt;&gt;"*",Regions!$D$3,"")))</f>
        <v>IE,National</v>
      </c>
      <c r="Q7" s="309" t="str">
        <f>CONCATENATE(LEFT(Legend!$C$4),"-",Legend!$C$38,"-",Legend!$C$29,"_",Legend!$B$51,"_N1")</f>
        <v>S-REF-CS_ELC_N1</v>
      </c>
      <c r="R7" s="309" t="str">
        <f>CONCATENATE(Legend!$A$29," ",Legend!$A$38," - ",Legend!$A$51&amp;" - New")</f>
        <v>Commercial Services Refrigeration - Electricity - New</v>
      </c>
      <c r="S7" s="309" t="s">
        <v>526</v>
      </c>
      <c r="T7" s="309" t="s">
        <v>526</v>
      </c>
      <c r="U7" s="309"/>
      <c r="V7" s="309"/>
      <c r="W7" s="309" t="s">
        <v>510</v>
      </c>
      <c r="Y7" s="320">
        <v>0.18</v>
      </c>
      <c r="Z7" s="389">
        <f>1/Y7</f>
        <v>5.5555555555555554</v>
      </c>
      <c r="AA7" s="315">
        <f>AF7/Z7</f>
        <v>432</v>
      </c>
      <c r="AD7" s="305" t="s">
        <v>507</v>
      </c>
      <c r="AE7" s="332" t="s">
        <v>146</v>
      </c>
      <c r="AF7" s="318">
        <v>2400</v>
      </c>
      <c r="AG7" s="318">
        <v>2400</v>
      </c>
      <c r="AH7" s="318">
        <v>2400</v>
      </c>
      <c r="AI7" s="318">
        <v>2400</v>
      </c>
      <c r="AJ7" s="318">
        <v>0.8</v>
      </c>
      <c r="AK7" s="318">
        <v>0.8</v>
      </c>
      <c r="AL7" s="318">
        <v>0.82</v>
      </c>
      <c r="AM7" s="318">
        <v>0.85</v>
      </c>
      <c r="AO7" s="305"/>
    </row>
    <row r="8" spans="1:42" s="175" customFormat="1" ht="15" x14ac:dyDescent="0.25">
      <c r="A8" s="347" t="str">
        <f>Q8</f>
        <v>S-REF-PU_ELC_N1</v>
      </c>
      <c r="B8" s="347" t="str">
        <f>R8</f>
        <v>Public Services Refrigeration - Electricity - New</v>
      </c>
      <c r="C8" s="347" t="str">
        <f>Legend!$C$51</f>
        <v>SRVELC</v>
      </c>
      <c r="D8" s="347" t="str">
        <f>CONCATENATE(Legend!$C$4,Legend!$C$38,"-",Legend!$C$30)</f>
        <v>SRVREF-PU</v>
      </c>
      <c r="E8" s="388">
        <v>10</v>
      </c>
      <c r="F8" s="349">
        <f>F7</f>
        <v>1</v>
      </c>
      <c r="G8" s="349">
        <f t="shared" ref="G8:I8" si="0">G7</f>
        <v>1</v>
      </c>
      <c r="H8" s="349">
        <f t="shared" si="0"/>
        <v>1.0249999999999999</v>
      </c>
      <c r="I8" s="349">
        <f t="shared" si="0"/>
        <v>1.0625</v>
      </c>
      <c r="J8" s="349">
        <f>AF7/$Z8/1000</f>
        <v>0.432</v>
      </c>
      <c r="K8" s="412">
        <v>1</v>
      </c>
      <c r="L8" s="397">
        <v>1</v>
      </c>
      <c r="M8" s="347">
        <v>2019</v>
      </c>
      <c r="N8" s="305"/>
      <c r="O8" s="346" t="s">
        <v>506</v>
      </c>
      <c r="P8" s="352" t="str">
        <f>IF($Q8="","",_xlfn.TEXTJOIN(",",TRUE,IF(LEFT(Regions!$C$3,1)&lt;&gt;"*",Regions!$C$3,""),IF(LEFT(Regions!$D$3,1)&lt;&gt;"*",Regions!$D$3,"")))</f>
        <v>IE,National</v>
      </c>
      <c r="Q8" s="346" t="str">
        <f>CONCATENATE(LEFT(Legend!$C$4),"-",Legend!$C$38,"-",Legend!$C$30,"_",Legend!$B$51,"_N1")</f>
        <v>S-REF-PU_ELC_N1</v>
      </c>
      <c r="R8" s="346" t="str">
        <f>CONCATENATE(Legend!$A$30," ",Legend!$A$38," - ",Legend!$A$51&amp;" - New")</f>
        <v>Public Services Refrigeration - Electricity - New</v>
      </c>
      <c r="S8" s="346" t="s">
        <v>526</v>
      </c>
      <c r="T8" s="346" t="s">
        <v>526</v>
      </c>
      <c r="U8" s="346"/>
      <c r="V8" s="346"/>
      <c r="W8" s="346" t="s">
        <v>510</v>
      </c>
      <c r="Y8" s="320">
        <f>Y7</f>
        <v>0.18</v>
      </c>
      <c r="Z8" s="389">
        <f t="shared" ref="Z8:AA8" si="1">Z7</f>
        <v>5.5555555555555554</v>
      </c>
      <c r="AA8" s="315">
        <f t="shared" si="1"/>
        <v>432</v>
      </c>
      <c r="AD8" s="305" t="s">
        <v>512</v>
      </c>
      <c r="AE8" s="332" t="s">
        <v>146</v>
      </c>
      <c r="AF8" s="318">
        <v>5000</v>
      </c>
      <c r="AG8" s="318">
        <v>5000</v>
      </c>
      <c r="AH8" s="318">
        <v>5000</v>
      </c>
      <c r="AI8" s="318">
        <v>5000</v>
      </c>
      <c r="AJ8" s="318">
        <v>0.85</v>
      </c>
      <c r="AK8" s="318">
        <v>0.85</v>
      </c>
      <c r="AL8" s="318">
        <v>0.85</v>
      </c>
      <c r="AM8" s="318">
        <v>0.85</v>
      </c>
    </row>
    <row r="9" spans="1:42" s="175" customFormat="1" ht="15" x14ac:dyDescent="0.25">
      <c r="A9" s="316" t="str">
        <f>O9</f>
        <v>*Other appliances</v>
      </c>
      <c r="L9" s="396"/>
      <c r="O9" s="317" t="str">
        <f>"*"&amp;Legend!$A$39</f>
        <v>*Other appliances</v>
      </c>
      <c r="Y9" s="319"/>
      <c r="Z9" s="327"/>
      <c r="AA9" s="329"/>
      <c r="AD9" s="305" t="s">
        <v>544</v>
      </c>
      <c r="AE9" s="332" t="s">
        <v>146</v>
      </c>
      <c r="AF9" s="318">
        <v>1750</v>
      </c>
      <c r="AG9" s="318">
        <v>1750</v>
      </c>
      <c r="AH9" s="318">
        <v>1750</v>
      </c>
      <c r="AI9" s="318">
        <v>1750</v>
      </c>
      <c r="AJ9" s="414"/>
      <c r="AK9" s="414"/>
      <c r="AL9" s="414"/>
      <c r="AM9" s="414"/>
    </row>
    <row r="10" spans="1:42" s="175" customFormat="1" ht="15" x14ac:dyDescent="0.25">
      <c r="A10" s="310" t="str">
        <f>Q10</f>
        <v>S-OEL-CS_ELC_N1</v>
      </c>
      <c r="B10" s="310" t="str">
        <f>R10</f>
        <v>Commercial Services Other appliances - Electricity - New</v>
      </c>
      <c r="C10" s="310" t="str">
        <f>Legend!$C$51</f>
        <v>SRVELC</v>
      </c>
      <c r="D10" s="310" t="str">
        <f>CONCATENATE(Legend!$C$4,Legend!$C$39,"-",Legend!$C$29)</f>
        <v>SRVOEL-CS</v>
      </c>
      <c r="E10" s="386">
        <v>10</v>
      </c>
      <c r="F10" s="311">
        <f>AJ8/$AJ$8</f>
        <v>1</v>
      </c>
      <c r="G10" s="311">
        <f t="shared" ref="G10:I10" si="2">AK8/$AJ$8</f>
        <v>1</v>
      </c>
      <c r="H10" s="311">
        <f t="shared" si="2"/>
        <v>1</v>
      </c>
      <c r="I10" s="311">
        <f t="shared" si="2"/>
        <v>1</v>
      </c>
      <c r="J10" s="410">
        <f>AF8</f>
        <v>5000</v>
      </c>
      <c r="K10" s="411">
        <v>1</v>
      </c>
      <c r="L10" s="393">
        <v>31.536000000000001</v>
      </c>
      <c r="M10" s="310">
        <v>2019</v>
      </c>
      <c r="N10" s="305"/>
      <c r="O10" s="309" t="s">
        <v>506</v>
      </c>
      <c r="P10" s="287" t="str">
        <f>IF($Q10="","",_xlfn.TEXTJOIN(",",TRUE,IF(LEFT(Regions!$C$3,1)&lt;&gt;"*",Regions!$C$3,""),IF(LEFT(Regions!$D$3,1)&lt;&gt;"*",Regions!$D$3,"")))</f>
        <v>IE,National</v>
      </c>
      <c r="Q10" s="309" t="str">
        <f>CONCATENATE(LEFT(Legend!$C$4),"-",Legend!$C$39,"-",Legend!$C$29,"_",Legend!$B$51,"_N1")</f>
        <v>S-OEL-CS_ELC_N1</v>
      </c>
      <c r="R10" s="309" t="str">
        <f>CONCATENATE(Legend!$A$29," ",Legend!$A$39," - ",Legend!$A$51&amp;" - New")</f>
        <v>Commercial Services Other appliances - Electricity - New</v>
      </c>
      <c r="S10" s="309" t="s">
        <v>508</v>
      </c>
      <c r="T10" s="309" t="s">
        <v>546</v>
      </c>
      <c r="U10" s="309"/>
      <c r="V10" s="309"/>
      <c r="W10" s="309" t="s">
        <v>510</v>
      </c>
      <c r="X10" s="305"/>
      <c r="Y10" s="319"/>
      <c r="Z10" s="328"/>
      <c r="AA10" s="330"/>
      <c r="AD10" s="305" t="s">
        <v>549</v>
      </c>
      <c r="AE10" s="332" t="s">
        <v>499</v>
      </c>
      <c r="AF10" s="429">
        <v>112.5849296</v>
      </c>
      <c r="AG10" s="331"/>
      <c r="AH10" s="331"/>
      <c r="AI10" s="331"/>
      <c r="AJ10" s="414"/>
      <c r="AK10" s="414"/>
      <c r="AL10" s="414"/>
      <c r="AM10" s="414"/>
      <c r="AN10" s="414"/>
      <c r="AO10" s="414"/>
      <c r="AP10" s="414"/>
    </row>
    <row r="11" spans="1:42" ht="15" x14ac:dyDescent="0.25">
      <c r="A11" s="347" t="str">
        <f>Q11</f>
        <v>S-OEL-PU_ELC_N1</v>
      </c>
      <c r="B11" s="347" t="str">
        <f>R11</f>
        <v>Public Services Other appliances - Electricity - New</v>
      </c>
      <c r="C11" s="347" t="str">
        <f>Legend!$C$51</f>
        <v>SRVELC</v>
      </c>
      <c r="D11" s="347" t="str">
        <f>CONCATENATE(Legend!$C$4,Legend!$C$39,"-",Legend!$C$30)</f>
        <v>SRVOEL-PU</v>
      </c>
      <c r="E11" s="388">
        <v>10</v>
      </c>
      <c r="F11" s="349">
        <f>F10</f>
        <v>1</v>
      </c>
      <c r="G11" s="349">
        <f t="shared" ref="G11" si="3">G10</f>
        <v>1</v>
      </c>
      <c r="H11" s="349">
        <f t="shared" ref="H11" si="4">H10</f>
        <v>1</v>
      </c>
      <c r="I11" s="349">
        <f t="shared" ref="I11" si="5">I10</f>
        <v>1</v>
      </c>
      <c r="J11" s="409">
        <f>J10</f>
        <v>5000</v>
      </c>
      <c r="K11" s="412">
        <v>1</v>
      </c>
      <c r="L11" s="408">
        <v>31.536000000000001</v>
      </c>
      <c r="M11" s="347">
        <v>2019</v>
      </c>
      <c r="O11" s="346" t="s">
        <v>506</v>
      </c>
      <c r="P11" s="352" t="str">
        <f>IF($Q11="","",_xlfn.TEXTJOIN(",",TRUE,IF(LEFT(Regions!$C$3,1)&lt;&gt;"*",Regions!$C$3,""),IF(LEFT(Regions!$D$3,1)&lt;&gt;"*",Regions!$D$3,"")))</f>
        <v>IE,National</v>
      </c>
      <c r="Q11" s="346" t="str">
        <f>CONCATENATE(LEFT(Legend!$C$4),"-",Legend!$C$39,"-",Legend!$C$30,"_",Legend!$B$51,"_N1")</f>
        <v>S-OEL-PU_ELC_N1</v>
      </c>
      <c r="R11" s="346" t="str">
        <f>CONCATENATE(Legend!$A$30," ",Legend!$A$39," - ",Legend!$A$51&amp;" - New")</f>
        <v>Public Services Other appliances - Electricity - New</v>
      </c>
      <c r="S11" s="346" t="s">
        <v>508</v>
      </c>
      <c r="T11" s="346" t="s">
        <v>546</v>
      </c>
      <c r="U11" s="346"/>
      <c r="V11" s="346"/>
      <c r="W11" s="346" t="s">
        <v>510</v>
      </c>
      <c r="AD11" s="321"/>
      <c r="AE11" s="321"/>
      <c r="AF11" s="331"/>
      <c r="AG11" s="331"/>
      <c r="AH11" s="331"/>
      <c r="AI11" s="331"/>
      <c r="AJ11" s="321"/>
      <c r="AK11" s="321"/>
      <c r="AL11" s="321"/>
      <c r="AM11" s="321"/>
      <c r="AN11" s="321"/>
      <c r="AO11" s="321"/>
      <c r="AP11" s="321"/>
    </row>
    <row r="12" spans="1:42" ht="15" x14ac:dyDescent="0.25">
      <c r="A12" s="316" t="str">
        <f>O12</f>
        <v>*Building lighting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O12" s="317" t="str">
        <f>"*"&amp;Legend!$A$37</f>
        <v>*Building lighting</v>
      </c>
      <c r="AD12" s="321"/>
      <c r="AE12" s="321"/>
      <c r="AF12" s="331"/>
      <c r="AG12" s="331"/>
      <c r="AH12" s="331"/>
      <c r="AI12" s="331"/>
      <c r="AJ12" s="321"/>
      <c r="AK12" s="321"/>
      <c r="AL12" s="321"/>
      <c r="AM12" s="321"/>
      <c r="AN12" s="321"/>
      <c r="AO12" s="321"/>
      <c r="AP12" s="321"/>
    </row>
    <row r="13" spans="1:42" ht="15" x14ac:dyDescent="0.25">
      <c r="A13" s="310" t="str">
        <f>Q13</f>
        <v>S-LIG-CS_ELC_N1</v>
      </c>
      <c r="B13" s="310" t="str">
        <f>R13</f>
        <v>Commercial Services Building lighting - Electricity - New</v>
      </c>
      <c r="C13" s="310" t="str">
        <f>Legend!$C$51</f>
        <v>SRVELC</v>
      </c>
      <c r="D13" s="310" t="str">
        <f>CONCATENATE(Legend!$C$4,Legend!$C$37,"-",Legend!$C$29)</f>
        <v>SRVLIG-CS</v>
      </c>
      <c r="E13" s="386">
        <v>10</v>
      </c>
      <c r="F13" s="311">
        <v>1</v>
      </c>
      <c r="G13" s="311">
        <f>AN34/$AM$34</f>
        <v>1.3583333333333334</v>
      </c>
      <c r="H13" s="311">
        <f>AVERAGE(I13,G13)</f>
        <v>1.9208333333333334</v>
      </c>
      <c r="I13" s="311">
        <f>AO34/$AM$34</f>
        <v>2.4833333333333334</v>
      </c>
      <c r="J13" s="311">
        <f>AF9*$Y$13</f>
        <v>11.375</v>
      </c>
      <c r="K13" s="411">
        <v>1</v>
      </c>
      <c r="L13" s="395">
        <v>1</v>
      </c>
      <c r="M13" s="310">
        <v>2019</v>
      </c>
      <c r="O13" s="309" t="s">
        <v>506</v>
      </c>
      <c r="P13" s="287" t="str">
        <f>IF($Q13="","",_xlfn.TEXTJOIN(",",TRUE,IF(LEFT(Regions!$C$3,1)&lt;&gt;"*",Regions!$C$3,""),IF(LEFT(Regions!$D$3,1)&lt;&gt;"*",Regions!$D$3,"")))</f>
        <v>IE,National</v>
      </c>
      <c r="Q13" s="309" t="str">
        <f>CONCATENATE(LEFT(Legend!$C$4),"-",Legend!$C$37,"-",Legend!$C$29,"_",Legend!$B$51,"_N1")</f>
        <v>S-LIG-CS_ELC_N1</v>
      </c>
      <c r="R13" s="309" t="str">
        <f>CONCATENATE(Legend!$A$29," ",Legend!$A$37," - ",Legend!$A$51&amp;" - New")</f>
        <v>Commercial Services Building lighting - Electricity - New</v>
      </c>
      <c r="S13" s="309" t="s">
        <v>527</v>
      </c>
      <c r="T13" s="309" t="s">
        <v>527</v>
      </c>
      <c r="U13" s="309"/>
      <c r="V13" s="309"/>
      <c r="W13" s="309" t="s">
        <v>510</v>
      </c>
      <c r="Y13" s="413">
        <v>6.4999999999999997E-3</v>
      </c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</row>
    <row r="14" spans="1:42" ht="12.75" customHeight="1" x14ac:dyDescent="0.25">
      <c r="A14" s="347" t="str">
        <f>Q14</f>
        <v>S-LIG-PU_ELC_N1</v>
      </c>
      <c r="B14" s="347" t="str">
        <f>R14</f>
        <v>Public Services Building lighting - Electricity - New</v>
      </c>
      <c r="C14" s="347" t="str">
        <f>Legend!$C$51</f>
        <v>SRVELC</v>
      </c>
      <c r="D14" s="347" t="str">
        <f>CONCATENATE(Legend!$C$4,Legend!$C$37,"-",Legend!$C$30)</f>
        <v>SRVLIG-PU</v>
      </c>
      <c r="E14" s="388">
        <v>10</v>
      </c>
      <c r="F14" s="349">
        <f>F13</f>
        <v>1</v>
      </c>
      <c r="G14" s="349">
        <f t="shared" ref="G14" si="6">G13</f>
        <v>1.3583333333333334</v>
      </c>
      <c r="H14" s="349">
        <f t="shared" ref="H14" si="7">H13</f>
        <v>1.9208333333333334</v>
      </c>
      <c r="I14" s="349">
        <f t="shared" ref="I14" si="8">I13</f>
        <v>2.4833333333333334</v>
      </c>
      <c r="J14" s="349">
        <f>J13</f>
        <v>11.375</v>
      </c>
      <c r="K14" s="412">
        <v>1</v>
      </c>
      <c r="L14" s="397">
        <v>1</v>
      </c>
      <c r="M14" s="347">
        <v>2019</v>
      </c>
      <c r="O14" s="346" t="s">
        <v>506</v>
      </c>
      <c r="P14" s="352" t="str">
        <f>IF($Q14="","",_xlfn.TEXTJOIN(",",TRUE,IF(LEFT(Regions!$C$3,1)&lt;&gt;"*",Regions!$C$3,""),IF(LEFT(Regions!$D$3,1)&lt;&gt;"*",Regions!$D$3,"")))</f>
        <v>IE,National</v>
      </c>
      <c r="Q14" s="346" t="str">
        <f>CONCATENATE(LEFT(Legend!$C$4),"-",Legend!$C$37,"-",Legend!$C$30,"_",Legend!$B$51,"_N1")</f>
        <v>S-LIG-PU_ELC_N1</v>
      </c>
      <c r="R14" s="346" t="str">
        <f>CONCATENATE(Legend!$A$30," ",Legend!$A$37," - ",Legend!$A$51&amp;" - New")</f>
        <v>Public Services Building lighting - Electricity - New</v>
      </c>
      <c r="S14" s="346" t="s">
        <v>527</v>
      </c>
      <c r="T14" s="346" t="s">
        <v>527</v>
      </c>
      <c r="U14" s="346"/>
      <c r="V14" s="346"/>
      <c r="W14" s="346" t="s">
        <v>510</v>
      </c>
      <c r="AD14" s="321"/>
      <c r="AE14" s="321"/>
      <c r="AF14" s="331"/>
      <c r="AG14" s="331"/>
      <c r="AH14" s="331"/>
      <c r="AI14" s="331"/>
      <c r="AJ14" s="321"/>
      <c r="AK14" s="321"/>
      <c r="AL14" s="321"/>
      <c r="AM14" s="321"/>
      <c r="AN14" s="321"/>
      <c r="AO14" s="321"/>
      <c r="AP14" s="321"/>
    </row>
    <row r="15" spans="1:42" ht="15" x14ac:dyDescent="0.25">
      <c r="A15" s="316" t="str">
        <f>O15</f>
        <v>*Public lighting</v>
      </c>
      <c r="B15" s="175"/>
      <c r="L15" s="342"/>
      <c r="M15" s="342"/>
      <c r="O15" s="317" t="str">
        <f>"*"&amp;Legend!$A$41</f>
        <v>*Public lighting</v>
      </c>
      <c r="P15" s="418"/>
      <c r="Q15" s="418"/>
      <c r="R15" s="418"/>
      <c r="S15" s="418"/>
      <c r="T15" s="417"/>
      <c r="U15" s="417"/>
      <c r="V15" s="417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</row>
    <row r="16" spans="1:42" ht="15" x14ac:dyDescent="0.25">
      <c r="A16" s="310" t="str">
        <f>Q16</f>
        <v>S-PLIG-PU_N1</v>
      </c>
      <c r="B16" s="310" t="str">
        <f>R16</f>
        <v>Public Services Public lighting - Electricity - New Ord</v>
      </c>
      <c r="C16" s="310" t="str">
        <f>Legend!$C$51</f>
        <v>SRVELC</v>
      </c>
      <c r="D16" s="417" t="str">
        <f>CONCATENATE(Legend!$C$4,Legend!$C$41,"-",Legend!$C$30)</f>
        <v>SRVPLIG-PU</v>
      </c>
      <c r="E16" s="386">
        <v>15</v>
      </c>
      <c r="F16" s="311">
        <v>1.1000000000000001</v>
      </c>
      <c r="J16" s="428">
        <f>J17/2</f>
        <v>56.292464799999998</v>
      </c>
      <c r="K16" s="411">
        <v>1</v>
      </c>
      <c r="L16" s="395">
        <v>1</v>
      </c>
      <c r="M16" s="310">
        <v>2019</v>
      </c>
      <c r="O16" s="418" t="s">
        <v>547</v>
      </c>
      <c r="P16" s="287" t="str">
        <f>IF($Q16="","",_xlfn.TEXTJOIN(",",TRUE,IF(LEFT(Regions!$C$3,1)&lt;&gt;"*",Regions!$C$3,""),IF(LEFT(Regions!$D$3,1)&lt;&gt;"*",Regions!$D$3,"")))</f>
        <v>IE,National</v>
      </c>
      <c r="Q16" s="418" t="str">
        <f>CONCATENATE(LEFT(Legend!$C$4),"-",Legend!$C$41,"-",Legend!$C$30,"_N1")</f>
        <v>S-PLIG-PU_N1</v>
      </c>
      <c r="R16" s="418" t="str">
        <f>CONCATENATE(Legend!$A$30," ",Legend!$A$41," - ",Legend!$A$51&amp;" - New Ord")</f>
        <v>Public Services Public lighting - Electricity - New Ord</v>
      </c>
      <c r="S16" s="418" t="s">
        <v>548</v>
      </c>
      <c r="T16" s="176" t="s">
        <v>548</v>
      </c>
      <c r="U16" s="417"/>
      <c r="V16" s="417"/>
      <c r="W16" s="309" t="s">
        <v>510</v>
      </c>
    </row>
    <row r="17" spans="1:48" ht="15" x14ac:dyDescent="0.25">
      <c r="A17" s="347" t="str">
        <f>Q17</f>
        <v>S-PLIG-PU_N2</v>
      </c>
      <c r="B17" s="347" t="str">
        <f>R17</f>
        <v>Public Services Public lighting - Electricity - New High Eff</v>
      </c>
      <c r="C17" s="347" t="str">
        <f>Legend!$C$51</f>
        <v>SRVELC</v>
      </c>
      <c r="D17" s="419" t="str">
        <f>CONCATENATE(Legend!$C$4,Legend!$C$41,"-",Legend!$C$30)</f>
        <v>SRVPLIG-PU</v>
      </c>
      <c r="E17" s="388">
        <v>15</v>
      </c>
      <c r="F17" s="349">
        <v>1</v>
      </c>
      <c r="G17" s="427">
        <f>G14/$F$14*$F$17</f>
        <v>1.3583333333333334</v>
      </c>
      <c r="H17" s="427">
        <f t="shared" ref="H17:I17" si="9">H14/$F$14*$F$17</f>
        <v>1.9208333333333334</v>
      </c>
      <c r="I17" s="427">
        <f t="shared" si="9"/>
        <v>2.4833333333333334</v>
      </c>
      <c r="J17" s="349">
        <f>AF48*1000</f>
        <v>112.5849296</v>
      </c>
      <c r="K17" s="412">
        <v>1</v>
      </c>
      <c r="L17" s="397">
        <v>1</v>
      </c>
      <c r="M17" s="347">
        <v>2019</v>
      </c>
      <c r="O17" s="420" t="s">
        <v>547</v>
      </c>
      <c r="P17" s="352" t="str">
        <f>IF($Q17="","",_xlfn.TEXTJOIN(",",TRUE,IF(LEFT(Regions!$C$3,1)&lt;&gt;"*",Regions!$C$3,""),IF(LEFT(Regions!$D$3,1)&lt;&gt;"*",Regions!$D$3,"")))</f>
        <v>IE,National</v>
      </c>
      <c r="Q17" s="420" t="str">
        <f>CONCATENATE(LEFT(Legend!$C$4),"-",Legend!$C$41,"-",Legend!$C$30,"_N2")</f>
        <v>S-PLIG-PU_N2</v>
      </c>
      <c r="R17" s="420" t="str">
        <f>CONCATENATE(Legend!$A$30," ",Legend!$A$41," - ",Legend!$A$51&amp;" - New High Eff")</f>
        <v>Public Services Public lighting - Electricity - New High Eff</v>
      </c>
      <c r="S17" s="420" t="s">
        <v>548</v>
      </c>
      <c r="T17" s="180" t="s">
        <v>548</v>
      </c>
      <c r="U17" s="419"/>
      <c r="V17" s="419"/>
      <c r="W17" s="346" t="s">
        <v>510</v>
      </c>
    </row>
    <row r="18" spans="1:48" x14ac:dyDescent="0.25">
      <c r="L18" s="342"/>
      <c r="M18" s="342"/>
      <c r="AD18" s="305" t="s">
        <v>502</v>
      </c>
      <c r="AE18" s="305" t="s">
        <v>503</v>
      </c>
    </row>
    <row r="19" spans="1:48" x14ac:dyDescent="0.25">
      <c r="AD19" s="305" t="s">
        <v>4</v>
      </c>
      <c r="AE19" s="305" t="s">
        <v>504</v>
      </c>
    </row>
    <row r="20" spans="1:48" ht="15" x14ac:dyDescent="0.25">
      <c r="A20" s="417"/>
      <c r="B20" s="417"/>
      <c r="C20" s="417"/>
      <c r="D20" s="417"/>
      <c r="E20" s="417"/>
      <c r="F20" s="417"/>
      <c r="G20" s="417"/>
      <c r="H20" s="417"/>
      <c r="I20" s="417"/>
      <c r="J20" s="417"/>
      <c r="K20" s="417"/>
      <c r="L20" s="417"/>
      <c r="M20" s="417"/>
      <c r="AE20" s="305" t="s">
        <v>505</v>
      </c>
    </row>
    <row r="21" spans="1:48" ht="15" x14ac:dyDescent="0.25">
      <c r="A21" s="417"/>
      <c r="B21" s="417"/>
      <c r="C21" s="417"/>
      <c r="D21" s="417"/>
      <c r="E21" s="417"/>
      <c r="F21" s="417"/>
      <c r="G21" s="417"/>
      <c r="H21" s="417"/>
      <c r="I21" s="417"/>
      <c r="J21" s="417"/>
      <c r="K21" s="417"/>
      <c r="L21" s="417"/>
      <c r="M21" s="417"/>
      <c r="AE21" s="305" t="s">
        <v>511</v>
      </c>
    </row>
    <row r="22" spans="1:48" ht="15" x14ac:dyDescent="0.2">
      <c r="A22" s="417"/>
      <c r="B22" s="417"/>
      <c r="C22" s="417"/>
      <c r="D22" s="417"/>
      <c r="E22" s="417"/>
      <c r="F22" s="417"/>
      <c r="G22" s="417"/>
      <c r="H22" s="417"/>
      <c r="I22" s="417"/>
      <c r="J22" s="417"/>
      <c r="K22" s="417"/>
      <c r="L22" s="417"/>
      <c r="M22" s="417"/>
      <c r="Y22" s="315"/>
      <c r="Z22" s="315"/>
      <c r="AA22" s="315"/>
      <c r="AD22" s="305" t="s">
        <v>549</v>
      </c>
      <c r="AE22" s="426" t="s">
        <v>552</v>
      </c>
    </row>
    <row r="23" spans="1:48" x14ac:dyDescent="0.25">
      <c r="Y23" s="315"/>
      <c r="Z23" s="315"/>
      <c r="AA23" s="315"/>
      <c r="AE23" s="305" t="s">
        <v>553</v>
      </c>
    </row>
    <row r="24" spans="1:48" x14ac:dyDescent="0.25">
      <c r="Y24" s="315"/>
      <c r="Z24" s="315"/>
      <c r="AA24" s="315"/>
    </row>
    <row r="25" spans="1:48" x14ac:dyDescent="0.25">
      <c r="Y25" s="315"/>
      <c r="Z25" s="315"/>
      <c r="AA25" s="315"/>
    </row>
    <row r="26" spans="1:48" x14ac:dyDescent="0.25">
      <c r="Y26" s="315"/>
      <c r="Z26" s="315"/>
      <c r="AA26" s="315"/>
    </row>
    <row r="27" spans="1:48" ht="15" x14ac:dyDescent="0.25">
      <c r="D27" s="421" t="str">
        <f>IF($Y27="","",CONCATENATE(Legend!$C$4,AA27,"-",Legend!$C$39))</f>
        <v/>
      </c>
      <c r="AD27" s="305" t="s">
        <v>543</v>
      </c>
    </row>
    <row r="28" spans="1:48" ht="15" x14ac:dyDescent="0.25">
      <c r="D28" s="310"/>
      <c r="AD28" s="175"/>
      <c r="AE28" s="175"/>
      <c r="AF28" s="175"/>
      <c r="AG28" s="175"/>
      <c r="AH28" s="175"/>
      <c r="AI28" s="175"/>
      <c r="AJ28" s="175"/>
      <c r="AK28" s="175"/>
      <c r="AL28" s="301" t="s">
        <v>528</v>
      </c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</row>
    <row r="29" spans="1:48" ht="25.5" x14ac:dyDescent="0.25">
      <c r="D29" s="310"/>
      <c r="AD29" s="175"/>
      <c r="AE29" s="175"/>
      <c r="AF29" s="175"/>
      <c r="AG29" s="175"/>
      <c r="AH29" s="175"/>
      <c r="AI29" s="398" t="s">
        <v>494</v>
      </c>
      <c r="AJ29" s="175"/>
      <c r="AK29" s="175"/>
      <c r="AL29" s="301" t="s">
        <v>529</v>
      </c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</row>
    <row r="30" spans="1:48" ht="15" x14ac:dyDescent="0.25">
      <c r="AD30" s="175"/>
      <c r="AE30" s="175"/>
      <c r="AF30" s="175"/>
      <c r="AG30" s="175"/>
      <c r="AH30" s="175"/>
      <c r="AI30" s="399" t="s">
        <v>497</v>
      </c>
      <c r="AJ30" s="175"/>
      <c r="AK30" s="175"/>
      <c r="AL30" s="301"/>
      <c r="AM30" s="444" t="s">
        <v>530</v>
      </c>
      <c r="AN30" s="444"/>
      <c r="AO30" s="400"/>
      <c r="AP30" s="441" t="s">
        <v>522</v>
      </c>
      <c r="AQ30" s="441"/>
      <c r="AR30" s="441" t="s">
        <v>531</v>
      </c>
      <c r="AS30" s="441"/>
      <c r="AT30" s="442" t="s">
        <v>532</v>
      </c>
      <c r="AU30" s="442"/>
      <c r="AV30" s="175"/>
    </row>
    <row r="31" spans="1:48" ht="15" x14ac:dyDescent="0.25">
      <c r="AD31" s="401" t="s">
        <v>533</v>
      </c>
      <c r="AE31" s="175"/>
      <c r="AF31" s="402" t="s">
        <v>534</v>
      </c>
      <c r="AG31" s="175"/>
      <c r="AH31" s="175"/>
      <c r="AJ31" s="175"/>
      <c r="AK31" s="175"/>
      <c r="AL31" s="175"/>
      <c r="AM31" s="175">
        <v>2018</v>
      </c>
      <c r="AN31" s="175">
        <v>2030</v>
      </c>
      <c r="AO31" s="175">
        <v>2050</v>
      </c>
      <c r="AP31" s="175">
        <v>2018</v>
      </c>
      <c r="AQ31" s="175">
        <v>2030</v>
      </c>
      <c r="AR31" s="175">
        <v>2018</v>
      </c>
      <c r="AS31" s="175">
        <v>2030</v>
      </c>
      <c r="AT31" s="175">
        <v>2018</v>
      </c>
      <c r="AU31" s="175">
        <v>2030</v>
      </c>
      <c r="AV31" s="175"/>
    </row>
    <row r="32" spans="1:48" ht="15" x14ac:dyDescent="0.25">
      <c r="AD32" s="301" t="s">
        <v>535</v>
      </c>
      <c r="AE32" s="175"/>
      <c r="AF32" s="175"/>
      <c r="AG32" s="175"/>
      <c r="AH32" s="175"/>
      <c r="AI32" s="403">
        <v>0.05</v>
      </c>
      <c r="AJ32" s="175"/>
      <c r="AK32" s="175"/>
      <c r="AL32" s="175" t="s">
        <v>536</v>
      </c>
      <c r="AM32" s="175">
        <v>17</v>
      </c>
      <c r="AN32" s="175">
        <v>17</v>
      </c>
      <c r="AO32" s="175"/>
      <c r="AP32" s="404">
        <f>AM32/683</f>
        <v>2.4890190336749635E-2</v>
      </c>
      <c r="AQ32" s="404">
        <f>AN32/683</f>
        <v>2.4890190336749635E-2</v>
      </c>
      <c r="AR32" s="405">
        <v>0.03</v>
      </c>
      <c r="AS32" s="175"/>
      <c r="AT32" s="406">
        <f t="shared" ref="AT32:AU35" si="10">AP32*AR32</f>
        <v>7.4670571010248903E-4</v>
      </c>
      <c r="AU32" s="406">
        <f>AQ32*AS32</f>
        <v>0</v>
      </c>
      <c r="AV32" s="175"/>
    </row>
    <row r="33" spans="30:48" ht="15" x14ac:dyDescent="0.25">
      <c r="AD33" s="401" t="s">
        <v>537</v>
      </c>
      <c r="AE33" s="175"/>
      <c r="AF33" s="175"/>
      <c r="AG33" s="175"/>
      <c r="AH33" s="175"/>
      <c r="AI33" s="403">
        <v>6.4999999999999997E-3</v>
      </c>
      <c r="AJ33" s="175"/>
      <c r="AK33" s="175"/>
      <c r="AL33" s="175" t="s">
        <v>538</v>
      </c>
      <c r="AM33" s="175">
        <v>24</v>
      </c>
      <c r="AN33" s="175">
        <v>24</v>
      </c>
      <c r="AO33" s="175"/>
      <c r="AP33" s="404">
        <f t="shared" ref="AP33:AQ35" si="11">AM33/683</f>
        <v>3.5139092240117131E-2</v>
      </c>
      <c r="AQ33" s="404">
        <f t="shared" si="11"/>
        <v>3.5139092240117131E-2</v>
      </c>
      <c r="AR33" s="405">
        <v>0.05</v>
      </c>
      <c r="AS33" s="405">
        <v>0.01</v>
      </c>
      <c r="AT33" s="406">
        <f t="shared" si="10"/>
        <v>1.7569546120058566E-3</v>
      </c>
      <c r="AU33" s="406">
        <f t="shared" si="10"/>
        <v>3.5139092240117132E-4</v>
      </c>
      <c r="AV33" s="175"/>
    </row>
    <row r="34" spans="30:48" ht="15" x14ac:dyDescent="0.25">
      <c r="AD34" s="175"/>
      <c r="AE34" s="175"/>
      <c r="AF34" s="175"/>
      <c r="AG34" s="175"/>
      <c r="AH34" s="175"/>
      <c r="AI34" s="403">
        <v>0.05</v>
      </c>
      <c r="AJ34" s="175"/>
      <c r="AK34" s="175"/>
      <c r="AL34" s="175" t="s">
        <v>539</v>
      </c>
      <c r="AM34" s="175">
        <v>120</v>
      </c>
      <c r="AN34" s="175">
        <v>163</v>
      </c>
      <c r="AO34" s="175">
        <v>298</v>
      </c>
      <c r="AP34" s="404">
        <f>AM34/683</f>
        <v>0.17569546120058566</v>
      </c>
      <c r="AQ34" s="404">
        <f>AN34/683</f>
        <v>0.23865300146412885</v>
      </c>
      <c r="AR34" s="405">
        <v>0.46</v>
      </c>
      <c r="AS34" s="405">
        <v>0.87</v>
      </c>
      <c r="AT34" s="406">
        <f>AP34*AR34</f>
        <v>8.0819912152269399E-2</v>
      </c>
      <c r="AU34" s="406">
        <f t="shared" si="10"/>
        <v>0.2076281112737921</v>
      </c>
      <c r="AV34" s="175"/>
    </row>
    <row r="35" spans="30:48" ht="15" x14ac:dyDescent="0.25">
      <c r="AD35" s="175"/>
      <c r="AE35" s="175"/>
      <c r="AF35" s="175"/>
      <c r="AG35" s="175"/>
      <c r="AH35" s="175"/>
      <c r="AI35" s="403">
        <v>6.4999999999999997E-3</v>
      </c>
      <c r="AJ35" s="175"/>
      <c r="AK35" s="175"/>
      <c r="AL35" s="175" t="s">
        <v>540</v>
      </c>
      <c r="AM35" s="175">
        <v>100</v>
      </c>
      <c r="AN35" s="175">
        <v>100</v>
      </c>
      <c r="AO35" s="175"/>
      <c r="AP35" s="404">
        <f t="shared" si="11"/>
        <v>0.14641288433382138</v>
      </c>
      <c r="AQ35" s="404">
        <f t="shared" si="11"/>
        <v>0.14641288433382138</v>
      </c>
      <c r="AR35" s="405">
        <v>0.46</v>
      </c>
      <c r="AS35" s="405">
        <v>0.12</v>
      </c>
      <c r="AT35" s="406">
        <f>AP35*AR35</f>
        <v>6.7349926793557835E-2</v>
      </c>
      <c r="AU35" s="406">
        <f t="shared" si="10"/>
        <v>1.7569546120058566E-2</v>
      </c>
      <c r="AV35" s="175"/>
    </row>
    <row r="36" spans="30:48" ht="15" x14ac:dyDescent="0.25">
      <c r="AD36" s="175"/>
      <c r="AE36" s="175"/>
      <c r="AF36" s="175"/>
      <c r="AG36" s="175"/>
      <c r="AH36" s="175"/>
      <c r="AI36" s="403">
        <v>0.05</v>
      </c>
      <c r="AJ36" s="175"/>
      <c r="AK36" s="175"/>
      <c r="AL36" s="175" t="s">
        <v>541</v>
      </c>
      <c r="AM36" s="175">
        <v>275</v>
      </c>
      <c r="AN36" s="175"/>
      <c r="AO36" s="175"/>
      <c r="AP36" s="404">
        <f>AM36/683</f>
        <v>0.40263543191800877</v>
      </c>
      <c r="AQ36" s="175"/>
      <c r="AR36" s="175"/>
      <c r="AS36" s="175"/>
      <c r="AT36" s="406"/>
      <c r="AU36" s="175"/>
      <c r="AV36" s="175"/>
    </row>
    <row r="37" spans="30:48" ht="15" x14ac:dyDescent="0.25">
      <c r="AD37" s="175"/>
      <c r="AE37" s="175"/>
      <c r="AF37" s="175"/>
      <c r="AG37" s="175"/>
      <c r="AH37" s="175"/>
      <c r="AI37" s="175"/>
      <c r="AJ37" s="175"/>
      <c r="AK37" s="175"/>
      <c r="AL37" s="175" t="s">
        <v>542</v>
      </c>
      <c r="AM37" s="175">
        <v>280</v>
      </c>
      <c r="AN37" s="175"/>
      <c r="AO37" s="175"/>
      <c r="AP37" s="404">
        <f>AM37/683</f>
        <v>0.40995607613469986</v>
      </c>
      <c r="AQ37" s="175"/>
      <c r="AR37" s="175"/>
      <c r="AS37" s="175"/>
      <c r="AT37" s="406"/>
      <c r="AU37" s="175"/>
      <c r="AV37" s="175"/>
    </row>
    <row r="38" spans="30:48" ht="15" x14ac:dyDescent="0.25">
      <c r="AD38" s="175"/>
      <c r="AE38" s="175"/>
      <c r="AF38" s="175"/>
      <c r="AG38" s="175"/>
      <c r="AH38" s="175"/>
      <c r="AI38" s="175"/>
      <c r="AJ38" s="175"/>
      <c r="AK38" s="175"/>
      <c r="AL38" s="175" t="s">
        <v>532</v>
      </c>
      <c r="AM38" s="175"/>
      <c r="AN38" s="175"/>
      <c r="AO38" s="175"/>
      <c r="AP38" s="175"/>
      <c r="AQ38" s="175"/>
      <c r="AR38" s="175"/>
      <c r="AS38" s="175"/>
      <c r="AT38" s="407">
        <f>SUM(AT32:AT35)</f>
        <v>0.15067349926793558</v>
      </c>
      <c r="AU38" s="407">
        <f>SUM(AU32:AU35)</f>
        <v>0.22554904831625183</v>
      </c>
      <c r="AV38" s="394">
        <f>AU38/AT38</f>
        <v>1.4969390729763872</v>
      </c>
    </row>
    <row r="39" spans="30:48" ht="14.25" customHeight="1" x14ac:dyDescent="0.25"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</row>
    <row r="41" spans="30:48" ht="15" x14ac:dyDescent="0.25">
      <c r="AD41" s="414"/>
      <c r="AE41" s="414"/>
      <c r="AF41" s="415"/>
      <c r="AG41" s="415"/>
      <c r="AH41" s="415"/>
      <c r="AI41" s="415"/>
      <c r="AJ41" s="321"/>
      <c r="AK41" s="321"/>
    </row>
    <row r="42" spans="30:48" ht="15" x14ac:dyDescent="0.25">
      <c r="AD42" s="414"/>
      <c r="AE42" s="414"/>
      <c r="AF42" s="443"/>
      <c r="AG42" s="443"/>
      <c r="AH42" s="443"/>
      <c r="AI42" s="443"/>
      <c r="AJ42" s="321"/>
      <c r="AK42" s="321"/>
    </row>
    <row r="43" spans="30:48" ht="15" x14ac:dyDescent="0.25">
      <c r="AD43" s="414"/>
      <c r="AE43" s="414"/>
      <c r="AF43" s="443"/>
      <c r="AG43" s="443"/>
      <c r="AH43" s="443"/>
      <c r="AI43" s="443"/>
      <c r="AJ43" s="321"/>
      <c r="AK43" s="321"/>
    </row>
    <row r="44" spans="30:48" ht="15" x14ac:dyDescent="0.25">
      <c r="AD44" s="414"/>
      <c r="AE44" s="414"/>
      <c r="AF44" s="321"/>
      <c r="AG44" s="321"/>
      <c r="AH44" s="321"/>
      <c r="AI44" s="321"/>
      <c r="AJ44" s="321"/>
      <c r="AK44" s="321"/>
    </row>
    <row r="45" spans="30:48" ht="15" x14ac:dyDescent="0.25">
      <c r="AD45" s="414"/>
      <c r="AE45" s="414"/>
      <c r="AF45" s="416"/>
      <c r="AG45" s="416"/>
      <c r="AH45" s="416"/>
      <c r="AI45" s="416"/>
      <c r="AJ45" s="321"/>
      <c r="AK45" s="321"/>
    </row>
    <row r="46" spans="30:48" ht="15.75" thickBot="1" x14ac:dyDescent="0.3">
      <c r="AD46" s="69" t="s">
        <v>116</v>
      </c>
      <c r="AE46" s="69" t="s">
        <v>147</v>
      </c>
      <c r="AF46" s="69" t="s">
        <v>144</v>
      </c>
      <c r="AG46" s="69" t="s">
        <v>486</v>
      </c>
      <c r="AH46" s="69" t="s">
        <v>550</v>
      </c>
      <c r="AI46" s="69" t="s">
        <v>164</v>
      </c>
      <c r="AJ46" s="321"/>
      <c r="AK46" s="321"/>
    </row>
    <row r="47" spans="30:48" ht="30" x14ac:dyDescent="0.25">
      <c r="AD47" s="425"/>
      <c r="AE47" s="425" t="s">
        <v>551</v>
      </c>
      <c r="AF47" s="425" t="s">
        <v>551</v>
      </c>
      <c r="AG47" s="425" t="s">
        <v>423</v>
      </c>
      <c r="AH47" s="425"/>
      <c r="AI47" s="425"/>
      <c r="AJ47" s="321"/>
      <c r="AK47" s="321"/>
    </row>
    <row r="48" spans="30:48" ht="15" x14ac:dyDescent="0.25">
      <c r="AD48" s="176" t="s">
        <v>549</v>
      </c>
      <c r="AE48" s="422">
        <v>1.1258492960000001E-3</v>
      </c>
      <c r="AF48" s="422">
        <v>0.11258492959999999</v>
      </c>
      <c r="AG48" s="423">
        <v>1</v>
      </c>
      <c r="AH48" s="424">
        <v>15</v>
      </c>
      <c r="AJ48" s="321"/>
      <c r="AK48" s="321"/>
    </row>
    <row r="49" spans="30:37" ht="15" x14ac:dyDescent="0.25">
      <c r="AD49" s="414"/>
      <c r="AE49" s="414"/>
      <c r="AF49" s="416"/>
      <c r="AG49" s="416"/>
      <c r="AH49" s="416"/>
      <c r="AI49" s="416"/>
      <c r="AJ49" s="321"/>
      <c r="AK49" s="321"/>
    </row>
    <row r="50" spans="30:37" x14ac:dyDescent="0.25">
      <c r="AD50" s="321"/>
      <c r="AE50" s="321"/>
      <c r="AF50" s="321"/>
      <c r="AG50" s="321"/>
      <c r="AH50" s="321"/>
      <c r="AI50" s="321"/>
      <c r="AJ50" s="321"/>
      <c r="AK50" s="321"/>
    </row>
    <row r="51" spans="30:37" x14ac:dyDescent="0.25">
      <c r="AD51" s="321"/>
      <c r="AE51" s="321"/>
      <c r="AF51" s="321"/>
      <c r="AG51" s="321"/>
      <c r="AH51" s="321"/>
      <c r="AI51" s="321"/>
      <c r="AJ51" s="321"/>
      <c r="AK51" s="321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BD46" sqref="BD4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56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06" t="s">
        <v>193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7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06" t="s">
        <v>194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45" t="s">
        <v>14</v>
      </c>
      <c r="E4" s="446"/>
      <c r="F4" s="446"/>
      <c r="G4" s="446"/>
      <c r="H4" s="447"/>
      <c r="I4" s="445" t="s">
        <v>15</v>
      </c>
      <c r="J4" s="446"/>
      <c r="K4" s="446"/>
      <c r="L4" s="446"/>
      <c r="M4" s="447"/>
      <c r="N4" s="445" t="s">
        <v>0</v>
      </c>
      <c r="O4" s="446"/>
      <c r="P4" s="446"/>
      <c r="Q4" s="446"/>
      <c r="R4" s="447"/>
      <c r="S4" s="445" t="s">
        <v>16</v>
      </c>
      <c r="T4" s="446"/>
      <c r="U4" s="446"/>
      <c r="V4" s="446"/>
      <c r="W4" s="447"/>
      <c r="X4" s="445" t="s">
        <v>1</v>
      </c>
      <c r="Y4" s="446"/>
      <c r="Z4" s="446"/>
      <c r="AA4" s="446"/>
      <c r="AB4" s="447"/>
      <c r="AC4" s="445" t="s">
        <v>2</v>
      </c>
      <c r="AD4" s="446"/>
      <c r="AE4" s="446"/>
      <c r="AF4" s="446"/>
      <c r="AG4" s="447"/>
      <c r="AH4" s="445" t="s">
        <v>17</v>
      </c>
      <c r="AI4" s="446"/>
      <c r="AJ4" s="446"/>
      <c r="AK4" s="446"/>
      <c r="AL4" s="447"/>
      <c r="AM4" s="445" t="s">
        <v>18</v>
      </c>
      <c r="AN4" s="446"/>
      <c r="AO4" s="446"/>
      <c r="AP4" s="446"/>
      <c r="AQ4" s="447"/>
      <c r="AR4" s="445" t="s">
        <v>10</v>
      </c>
      <c r="AS4" s="446"/>
      <c r="AT4" s="446"/>
      <c r="AU4" s="446"/>
      <c r="AV4" s="447"/>
      <c r="AW4" s="445" t="s">
        <v>3</v>
      </c>
      <c r="AX4" s="446"/>
      <c r="AY4" s="446"/>
      <c r="AZ4" s="446"/>
      <c r="BA4" s="447"/>
      <c r="BB4" s="445" t="s">
        <v>39</v>
      </c>
      <c r="BC4" s="446"/>
      <c r="BD4" s="446"/>
      <c r="BE4" s="446"/>
      <c r="BF4" s="447"/>
      <c r="BG4" s="445" t="s">
        <v>13</v>
      </c>
      <c r="BH4" s="446"/>
      <c r="BI4" s="446"/>
      <c r="BJ4" s="446"/>
      <c r="BK4" s="447"/>
      <c r="BL4" s="445" t="s">
        <v>12</v>
      </c>
      <c r="BM4" s="446"/>
      <c r="BN4" s="446"/>
      <c r="BO4" s="446"/>
      <c r="BP4" s="447"/>
      <c r="BQ4" s="445" t="s">
        <v>40</v>
      </c>
      <c r="BR4" s="446"/>
      <c r="BS4" s="446"/>
      <c r="BT4" s="446"/>
      <c r="BU4" s="447"/>
      <c r="BV4" s="158" t="s">
        <v>41</v>
      </c>
      <c r="BW4" s="448" t="s">
        <v>42</v>
      </c>
      <c r="BX4" s="449"/>
      <c r="BY4" s="449"/>
      <c r="BZ4" s="449"/>
      <c r="CA4" s="450"/>
      <c r="CB4" s="448" t="s">
        <v>43</v>
      </c>
      <c r="CC4" s="449"/>
      <c r="CD4" s="449"/>
      <c r="CE4" s="449"/>
      <c r="CF4" s="450"/>
      <c r="CG4" s="448" t="s">
        <v>44</v>
      </c>
      <c r="CH4" s="449"/>
      <c r="CI4" s="449"/>
      <c r="CJ4" s="449"/>
      <c r="CK4" s="450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9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7" t="s">
        <v>45</v>
      </c>
      <c r="B6" s="108"/>
      <c r="C6" s="109"/>
      <c r="D6" s="110"/>
      <c r="E6" s="111"/>
      <c r="F6" s="111"/>
      <c r="G6" s="111"/>
      <c r="H6" s="112"/>
      <c r="I6" s="111"/>
      <c r="J6" s="111"/>
      <c r="K6" s="111"/>
      <c r="L6" s="111"/>
      <c r="M6" s="112"/>
      <c r="N6" s="111"/>
      <c r="O6" s="111"/>
      <c r="P6" s="111"/>
      <c r="Q6" s="111"/>
      <c r="R6" s="112"/>
      <c r="S6" s="111"/>
      <c r="T6" s="111"/>
      <c r="U6" s="111"/>
      <c r="V6" s="111"/>
      <c r="W6" s="112"/>
      <c r="X6" s="111"/>
      <c r="Y6" s="111"/>
      <c r="Z6" s="111"/>
      <c r="AA6" s="111"/>
      <c r="AB6" s="112"/>
      <c r="AC6" s="111">
        <v>0</v>
      </c>
      <c r="AD6" s="111">
        <v>0</v>
      </c>
      <c r="AE6" s="111">
        <v>0</v>
      </c>
      <c r="AF6" s="111">
        <v>0</v>
      </c>
      <c r="AG6" s="112">
        <v>0</v>
      </c>
      <c r="AH6" s="111">
        <v>0</v>
      </c>
      <c r="AI6" s="111">
        <v>0</v>
      </c>
      <c r="AJ6" s="111">
        <v>0</v>
      </c>
      <c r="AK6" s="111">
        <v>0</v>
      </c>
      <c r="AL6" s="112">
        <v>0</v>
      </c>
      <c r="AM6" s="111">
        <v>0</v>
      </c>
      <c r="AN6" s="111">
        <v>0</v>
      </c>
      <c r="AO6" s="111">
        <v>0</v>
      </c>
      <c r="AP6" s="111">
        <v>0</v>
      </c>
      <c r="AQ6" s="112">
        <v>0</v>
      </c>
      <c r="AR6" s="111"/>
      <c r="AS6" s="111"/>
      <c r="AT6" s="111"/>
      <c r="AU6" s="111"/>
      <c r="AV6" s="112"/>
      <c r="AW6" s="111"/>
      <c r="AX6" s="111"/>
      <c r="AY6" s="111"/>
      <c r="AZ6" s="111"/>
      <c r="BA6" s="112"/>
      <c r="BB6" s="111"/>
      <c r="BC6" s="111"/>
      <c r="BD6" s="111"/>
      <c r="BE6" s="111"/>
      <c r="BF6" s="112"/>
      <c r="BG6" s="111"/>
      <c r="BH6" s="111"/>
      <c r="BI6" s="111"/>
      <c r="BJ6" s="111"/>
      <c r="BK6" s="112"/>
      <c r="BL6" s="111"/>
      <c r="BM6" s="111"/>
      <c r="BN6" s="111"/>
      <c r="BO6" s="111"/>
      <c r="BP6" s="112"/>
      <c r="BQ6" s="110"/>
      <c r="BR6" s="111"/>
      <c r="BS6" s="111"/>
      <c r="BT6" s="111"/>
      <c r="BU6" s="112"/>
      <c r="BV6" s="160"/>
      <c r="BW6" s="111"/>
      <c r="BX6" s="111"/>
      <c r="BY6" s="111"/>
      <c r="BZ6" s="111"/>
      <c r="CA6" s="112"/>
      <c r="CB6" s="111"/>
      <c r="CC6" s="111"/>
      <c r="CD6" s="111"/>
      <c r="CE6" s="111"/>
      <c r="CF6" s="112"/>
      <c r="CG6" s="110"/>
      <c r="CH6" s="111"/>
      <c r="CI6" s="111"/>
      <c r="CJ6" s="111"/>
      <c r="CK6" s="112"/>
    </row>
    <row r="7" spans="1:89" s="21" customFormat="1" x14ac:dyDescent="0.25">
      <c r="A7" s="113" t="s">
        <v>195</v>
      </c>
      <c r="B7" s="114" t="s">
        <v>196</v>
      </c>
      <c r="C7" s="115" t="s">
        <v>197</v>
      </c>
      <c r="D7" s="116">
        <f>AVERAGE(15,30)</f>
        <v>22.5</v>
      </c>
      <c r="E7" s="117">
        <f t="shared" ref="E7:H7" si="0">AVERAGE(15,30)</f>
        <v>22.5</v>
      </c>
      <c r="F7" s="117">
        <f t="shared" si="0"/>
        <v>22.5</v>
      </c>
      <c r="G7" s="117">
        <f t="shared" si="0"/>
        <v>22.5</v>
      </c>
      <c r="H7" s="118">
        <f t="shared" si="0"/>
        <v>22.5</v>
      </c>
      <c r="I7" s="117"/>
      <c r="J7" s="117"/>
      <c r="K7" s="117"/>
      <c r="L7" s="117"/>
      <c r="M7" s="118"/>
      <c r="N7" s="117">
        <v>100</v>
      </c>
      <c r="O7" s="117">
        <v>100</v>
      </c>
      <c r="P7" s="117">
        <v>100</v>
      </c>
      <c r="Q7" s="117">
        <v>100</v>
      </c>
      <c r="R7" s="118">
        <v>100</v>
      </c>
      <c r="S7" s="117"/>
      <c r="T7" s="117"/>
      <c r="U7" s="117"/>
      <c r="V7" s="117"/>
      <c r="W7" s="118"/>
      <c r="X7" s="117">
        <v>100</v>
      </c>
      <c r="Y7" s="117">
        <v>100</v>
      </c>
      <c r="Z7" s="117">
        <v>100</v>
      </c>
      <c r="AA7" s="117">
        <v>100</v>
      </c>
      <c r="AB7" s="118">
        <v>100</v>
      </c>
      <c r="AC7" s="198">
        <v>1</v>
      </c>
      <c r="AD7" s="198">
        <v>1</v>
      </c>
      <c r="AE7" s="198">
        <v>1</v>
      </c>
      <c r="AF7" s="198">
        <v>1</v>
      </c>
      <c r="AG7" s="199">
        <v>1</v>
      </c>
      <c r="AH7" s="119">
        <v>0</v>
      </c>
      <c r="AI7" s="119">
        <v>0</v>
      </c>
      <c r="AJ7" s="119">
        <v>0</v>
      </c>
      <c r="AK7" s="119">
        <v>0</v>
      </c>
      <c r="AL7" s="120">
        <v>0</v>
      </c>
      <c r="AM7" s="119">
        <v>0</v>
      </c>
      <c r="AN7" s="119">
        <v>0</v>
      </c>
      <c r="AO7" s="119">
        <v>0</v>
      </c>
      <c r="AP7" s="119">
        <v>0</v>
      </c>
      <c r="AQ7" s="120">
        <v>0</v>
      </c>
      <c r="AR7" s="117"/>
      <c r="AS7" s="117"/>
      <c r="AT7" s="117"/>
      <c r="AU7" s="117"/>
      <c r="AV7" s="118"/>
      <c r="AW7" s="117">
        <v>20</v>
      </c>
      <c r="AX7" s="117">
        <v>20</v>
      </c>
      <c r="AY7" s="117">
        <v>20</v>
      </c>
      <c r="AZ7" s="117">
        <v>20</v>
      </c>
      <c r="BA7" s="118">
        <v>20</v>
      </c>
      <c r="BB7" s="121">
        <v>6600</v>
      </c>
      <c r="BC7" s="121">
        <v>6600</v>
      </c>
      <c r="BD7" s="121">
        <v>6600</v>
      </c>
      <c r="BE7" s="121">
        <v>6600</v>
      </c>
      <c r="BF7" s="122">
        <v>6600</v>
      </c>
      <c r="BG7" s="121">
        <v>0</v>
      </c>
      <c r="BH7" s="121">
        <v>0</v>
      </c>
      <c r="BI7" s="121">
        <v>0</v>
      </c>
      <c r="BJ7" s="121">
        <v>0</v>
      </c>
      <c r="BK7" s="122">
        <v>0</v>
      </c>
      <c r="BL7" s="121">
        <v>270</v>
      </c>
      <c r="BM7" s="121">
        <v>270</v>
      </c>
      <c r="BN7" s="121">
        <v>270</v>
      </c>
      <c r="BO7" s="121">
        <v>270</v>
      </c>
      <c r="BP7" s="122">
        <v>270</v>
      </c>
      <c r="BQ7" s="123">
        <v>0</v>
      </c>
      <c r="BR7" s="121">
        <v>0</v>
      </c>
      <c r="BS7" s="121">
        <v>0</v>
      </c>
      <c r="BT7" s="121">
        <v>0</v>
      </c>
      <c r="BU7" s="122">
        <v>0</v>
      </c>
      <c r="BV7" s="161"/>
      <c r="BW7" s="246">
        <f t="shared" ref="BW7:BW16" si="1">IFERROR(BB7/$D7,"")</f>
        <v>293.33333333333331</v>
      </c>
      <c r="BX7" s="247">
        <f t="shared" ref="BX7:BX16" si="2">IFERROR(BC7/$E7,"")</f>
        <v>293.33333333333331</v>
      </c>
      <c r="BY7" s="247">
        <f t="shared" ref="BY7:BY16" si="3">IFERROR(BD7/$F7,"")</f>
        <v>293.33333333333331</v>
      </c>
      <c r="BZ7" s="247">
        <f t="shared" ref="BZ7:BZ16" si="4">IFERROR(BE7/$G7,"")</f>
        <v>293.33333333333331</v>
      </c>
      <c r="CA7" s="248">
        <f t="shared" ref="CA7:CA16" si="5">IFERROR(BF7/$H7,"")</f>
        <v>293.33333333333331</v>
      </c>
      <c r="CB7" s="246">
        <f t="shared" ref="CB7:CB16" si="6">IFERROR(BG7/$D7,"")</f>
        <v>0</v>
      </c>
      <c r="CC7" s="247">
        <f t="shared" ref="CC7:CC16" si="7">IFERROR(BH7/$E7,"")</f>
        <v>0</v>
      </c>
      <c r="CD7" s="247">
        <f t="shared" ref="CD7:CD16" si="8">IFERROR(BI7/$F7,"")</f>
        <v>0</v>
      </c>
      <c r="CE7" s="247">
        <f t="shared" ref="CE7:CE16" si="9">IFERROR(BJ7/$G7,"")</f>
        <v>0</v>
      </c>
      <c r="CF7" s="248">
        <f t="shared" ref="CF7:CF16" si="10">IFERROR(BK7/$H7,"")</f>
        <v>0</v>
      </c>
      <c r="CG7" s="246">
        <f t="shared" ref="CG7:CG16" si="11">IFERROR(BL7/$D7,"")</f>
        <v>12</v>
      </c>
      <c r="CH7" s="247">
        <f t="shared" ref="CH7:CH16" si="12">IFERROR(BM7/$E7,"")</f>
        <v>12</v>
      </c>
      <c r="CI7" s="247">
        <f t="shared" ref="CI7:CI16" si="13">IFERROR(BN7/$F7,"")</f>
        <v>12</v>
      </c>
      <c r="CJ7" s="247">
        <f t="shared" ref="CJ7:CJ16" si="14">IFERROR(BO7/$G7,"")</f>
        <v>12</v>
      </c>
      <c r="CK7" s="248">
        <f t="shared" ref="CK7:CK16" si="15">IFERROR(BP7/$H7,"")</f>
        <v>12</v>
      </c>
    </row>
    <row r="8" spans="1:89" s="21" customFormat="1" x14ac:dyDescent="0.25">
      <c r="A8" s="113" t="s">
        <v>198</v>
      </c>
      <c r="B8" s="114" t="s">
        <v>197</v>
      </c>
      <c r="C8" s="115" t="s">
        <v>199</v>
      </c>
      <c r="D8" s="116">
        <v>400</v>
      </c>
      <c r="E8" s="117">
        <v>400</v>
      </c>
      <c r="F8" s="117">
        <v>400</v>
      </c>
      <c r="G8" s="117">
        <v>400</v>
      </c>
      <c r="H8" s="118">
        <v>400</v>
      </c>
      <c r="I8" s="117"/>
      <c r="J8" s="117"/>
      <c r="K8" s="117"/>
      <c r="L8" s="117"/>
      <c r="M8" s="118"/>
      <c r="N8" s="117">
        <v>100</v>
      </c>
      <c r="O8" s="117">
        <v>100</v>
      </c>
      <c r="P8" s="117">
        <v>100</v>
      </c>
      <c r="Q8" s="117">
        <v>100</v>
      </c>
      <c r="R8" s="118">
        <v>100</v>
      </c>
      <c r="S8" s="117"/>
      <c r="T8" s="117"/>
      <c r="U8" s="117"/>
      <c r="V8" s="117"/>
      <c r="W8" s="118"/>
      <c r="X8" s="117">
        <v>100</v>
      </c>
      <c r="Y8" s="117">
        <v>100</v>
      </c>
      <c r="Z8" s="117">
        <v>100</v>
      </c>
      <c r="AA8" s="117">
        <v>100</v>
      </c>
      <c r="AB8" s="118">
        <v>100</v>
      </c>
      <c r="AC8" s="198">
        <v>0.96</v>
      </c>
      <c r="AD8" s="198">
        <v>0.96</v>
      </c>
      <c r="AE8" s="198">
        <v>0.96</v>
      </c>
      <c r="AF8" s="198">
        <v>0.96</v>
      </c>
      <c r="AG8" s="199">
        <v>0.96</v>
      </c>
      <c r="AH8" s="119">
        <v>0</v>
      </c>
      <c r="AI8" s="119">
        <v>0</v>
      </c>
      <c r="AJ8" s="119">
        <v>0</v>
      </c>
      <c r="AK8" s="119">
        <v>0</v>
      </c>
      <c r="AL8" s="120">
        <v>0</v>
      </c>
      <c r="AM8" s="119">
        <v>0</v>
      </c>
      <c r="AN8" s="119">
        <v>0</v>
      </c>
      <c r="AO8" s="119">
        <v>0</v>
      </c>
      <c r="AP8" s="119">
        <v>0</v>
      </c>
      <c r="AQ8" s="120">
        <v>0</v>
      </c>
      <c r="AR8" s="117"/>
      <c r="AS8" s="117"/>
      <c r="AT8" s="117"/>
      <c r="AU8" s="117"/>
      <c r="AV8" s="118"/>
      <c r="AW8" s="117">
        <v>20</v>
      </c>
      <c r="AX8" s="117">
        <v>20</v>
      </c>
      <c r="AY8" s="117">
        <v>20</v>
      </c>
      <c r="AZ8" s="117">
        <v>20</v>
      </c>
      <c r="BA8" s="118">
        <v>20</v>
      </c>
      <c r="BB8" s="121">
        <v>32000</v>
      </c>
      <c r="BC8" s="121">
        <v>32000</v>
      </c>
      <c r="BD8" s="121">
        <v>32000</v>
      </c>
      <c r="BE8" s="121">
        <v>32000</v>
      </c>
      <c r="BF8" s="122">
        <v>32000</v>
      </c>
      <c r="BG8" s="121">
        <v>0</v>
      </c>
      <c r="BH8" s="121">
        <v>0</v>
      </c>
      <c r="BI8" s="121">
        <v>0</v>
      </c>
      <c r="BJ8" s="121">
        <v>0</v>
      </c>
      <c r="BK8" s="122">
        <v>0</v>
      </c>
      <c r="BL8" s="121">
        <v>500</v>
      </c>
      <c r="BM8" s="121">
        <v>500</v>
      </c>
      <c r="BN8" s="121">
        <v>500</v>
      </c>
      <c r="BO8" s="121">
        <v>500</v>
      </c>
      <c r="BP8" s="122">
        <v>500</v>
      </c>
      <c r="BQ8" s="123">
        <v>0</v>
      </c>
      <c r="BR8" s="121">
        <v>0</v>
      </c>
      <c r="BS8" s="121">
        <v>0</v>
      </c>
      <c r="BT8" s="121">
        <v>0</v>
      </c>
      <c r="BU8" s="122">
        <v>0</v>
      </c>
      <c r="BV8" s="161"/>
      <c r="BW8" s="240">
        <f t="shared" si="1"/>
        <v>80</v>
      </c>
      <c r="BX8" s="240">
        <f t="shared" si="2"/>
        <v>80</v>
      </c>
      <c r="BY8" s="240">
        <f t="shared" si="3"/>
        <v>80</v>
      </c>
      <c r="BZ8" s="240">
        <f t="shared" si="4"/>
        <v>80</v>
      </c>
      <c r="CA8" s="249">
        <f t="shared" si="5"/>
        <v>80</v>
      </c>
      <c r="CB8" s="240">
        <f t="shared" si="6"/>
        <v>0</v>
      </c>
      <c r="CC8" s="240">
        <f t="shared" si="7"/>
        <v>0</v>
      </c>
      <c r="CD8" s="240">
        <f t="shared" si="8"/>
        <v>0</v>
      </c>
      <c r="CE8" s="240">
        <f t="shared" si="9"/>
        <v>0</v>
      </c>
      <c r="CF8" s="249">
        <f t="shared" si="10"/>
        <v>0</v>
      </c>
      <c r="CG8" s="250">
        <f t="shared" si="11"/>
        <v>1.25</v>
      </c>
      <c r="CH8" s="240">
        <f t="shared" si="12"/>
        <v>1.25</v>
      </c>
      <c r="CI8" s="240">
        <f t="shared" si="13"/>
        <v>1.25</v>
      </c>
      <c r="CJ8" s="240">
        <f t="shared" si="14"/>
        <v>1.25</v>
      </c>
      <c r="CK8" s="249">
        <f t="shared" si="15"/>
        <v>1.25</v>
      </c>
    </row>
    <row r="9" spans="1:89" s="21" customFormat="1" x14ac:dyDescent="0.25">
      <c r="A9" s="113" t="s">
        <v>200</v>
      </c>
      <c r="B9" s="114" t="s">
        <v>11</v>
      </c>
      <c r="C9" s="115" t="s">
        <v>11</v>
      </c>
      <c r="D9" s="116">
        <f>AVERAGE(5,20)</f>
        <v>12.5</v>
      </c>
      <c r="E9" s="117">
        <f t="shared" ref="E9:H9" si="16">AVERAGE(5,20)</f>
        <v>12.5</v>
      </c>
      <c r="F9" s="117">
        <f t="shared" si="16"/>
        <v>12.5</v>
      </c>
      <c r="G9" s="117">
        <f t="shared" si="16"/>
        <v>12.5</v>
      </c>
      <c r="H9" s="118">
        <f t="shared" si="16"/>
        <v>12.5</v>
      </c>
      <c r="I9" s="117"/>
      <c r="J9" s="117"/>
      <c r="K9" s="117"/>
      <c r="L9" s="117"/>
      <c r="M9" s="118"/>
      <c r="N9" s="117">
        <v>100</v>
      </c>
      <c r="O9" s="117">
        <v>100</v>
      </c>
      <c r="P9" s="117">
        <v>100</v>
      </c>
      <c r="Q9" s="117">
        <v>100</v>
      </c>
      <c r="R9" s="118">
        <v>100</v>
      </c>
      <c r="S9" s="117"/>
      <c r="T9" s="117"/>
      <c r="U9" s="117"/>
      <c r="V9" s="117"/>
      <c r="W9" s="118"/>
      <c r="X9" s="117">
        <v>100</v>
      </c>
      <c r="Y9" s="117">
        <v>100</v>
      </c>
      <c r="Z9" s="117">
        <v>100</v>
      </c>
      <c r="AA9" s="117">
        <v>100</v>
      </c>
      <c r="AB9" s="118">
        <v>100</v>
      </c>
      <c r="AC9" s="198">
        <v>1.02</v>
      </c>
      <c r="AD9" s="198">
        <v>1.02</v>
      </c>
      <c r="AE9" s="198">
        <v>1.02</v>
      </c>
      <c r="AF9" s="198">
        <v>1.02</v>
      </c>
      <c r="AG9" s="199">
        <v>1.02</v>
      </c>
      <c r="AH9" s="119">
        <v>0</v>
      </c>
      <c r="AI9" s="119">
        <v>0</v>
      </c>
      <c r="AJ9" s="119">
        <v>0</v>
      </c>
      <c r="AK9" s="119">
        <v>0</v>
      </c>
      <c r="AL9" s="120">
        <v>0</v>
      </c>
      <c r="AM9" s="119">
        <v>0</v>
      </c>
      <c r="AN9" s="119">
        <v>0</v>
      </c>
      <c r="AO9" s="119">
        <v>0</v>
      </c>
      <c r="AP9" s="119">
        <v>0</v>
      </c>
      <c r="AQ9" s="120">
        <v>0</v>
      </c>
      <c r="AR9" s="117" t="s">
        <v>201</v>
      </c>
      <c r="AS9" s="117" t="s">
        <v>202</v>
      </c>
      <c r="AT9" s="117" t="s">
        <v>94</v>
      </c>
      <c r="AU9" s="117" t="s">
        <v>203</v>
      </c>
      <c r="AV9" s="118" t="s">
        <v>203</v>
      </c>
      <c r="AW9" s="117">
        <v>22</v>
      </c>
      <c r="AX9" s="117">
        <v>22</v>
      </c>
      <c r="AY9" s="117">
        <v>22</v>
      </c>
      <c r="AZ9" s="117">
        <v>22</v>
      </c>
      <c r="BA9" s="118">
        <v>22</v>
      </c>
      <c r="BB9" s="117">
        <v>4000</v>
      </c>
      <c r="BC9" s="117">
        <v>4000</v>
      </c>
      <c r="BD9" s="117">
        <v>4000</v>
      </c>
      <c r="BE9" s="117">
        <v>4000</v>
      </c>
      <c r="BF9" s="118">
        <v>4000</v>
      </c>
      <c r="BG9" s="117">
        <v>2000</v>
      </c>
      <c r="BH9" s="117">
        <v>2000</v>
      </c>
      <c r="BI9" s="117">
        <v>2000</v>
      </c>
      <c r="BJ9" s="117">
        <v>2000</v>
      </c>
      <c r="BK9" s="118">
        <v>2000</v>
      </c>
      <c r="BL9" s="117">
        <v>235</v>
      </c>
      <c r="BM9" s="117">
        <v>235</v>
      </c>
      <c r="BN9" s="117">
        <v>235</v>
      </c>
      <c r="BO9" s="117">
        <v>235</v>
      </c>
      <c r="BP9" s="118">
        <v>235</v>
      </c>
      <c r="BQ9" s="116"/>
      <c r="BR9" s="117"/>
      <c r="BS9" s="117"/>
      <c r="BT9" s="117"/>
      <c r="BU9" s="118"/>
      <c r="BV9" s="161" t="s">
        <v>204</v>
      </c>
      <c r="BW9" s="240">
        <f t="shared" si="1"/>
        <v>320</v>
      </c>
      <c r="BX9" s="240">
        <f t="shared" si="2"/>
        <v>320</v>
      </c>
      <c r="BY9" s="240">
        <f t="shared" si="3"/>
        <v>320</v>
      </c>
      <c r="BZ9" s="240">
        <f t="shared" si="4"/>
        <v>320</v>
      </c>
      <c r="CA9" s="249">
        <f t="shared" si="5"/>
        <v>320</v>
      </c>
      <c r="CB9" s="240">
        <f t="shared" si="6"/>
        <v>160</v>
      </c>
      <c r="CC9" s="240">
        <f t="shared" si="7"/>
        <v>160</v>
      </c>
      <c r="CD9" s="240">
        <f t="shared" si="8"/>
        <v>160</v>
      </c>
      <c r="CE9" s="240">
        <f t="shared" si="9"/>
        <v>160</v>
      </c>
      <c r="CF9" s="249">
        <f t="shared" si="10"/>
        <v>160</v>
      </c>
      <c r="CG9" s="250">
        <f t="shared" si="11"/>
        <v>18.8</v>
      </c>
      <c r="CH9" s="240">
        <f t="shared" si="12"/>
        <v>18.8</v>
      </c>
      <c r="CI9" s="240">
        <f t="shared" si="13"/>
        <v>18.8</v>
      </c>
      <c r="CJ9" s="240">
        <f t="shared" si="14"/>
        <v>18.8</v>
      </c>
      <c r="CK9" s="249">
        <f t="shared" si="15"/>
        <v>18.8</v>
      </c>
    </row>
    <row r="10" spans="1:89" s="21" customFormat="1" x14ac:dyDescent="0.25">
      <c r="A10" s="113" t="s">
        <v>205</v>
      </c>
      <c r="B10" s="114" t="s">
        <v>206</v>
      </c>
      <c r="C10" s="115" t="s">
        <v>207</v>
      </c>
      <c r="D10" s="243">
        <f>AVERAGE(20,750)</f>
        <v>385</v>
      </c>
      <c r="E10" s="244">
        <f t="shared" ref="E10:H10" si="17">AVERAGE(20,750)</f>
        <v>385</v>
      </c>
      <c r="F10" s="244">
        <f t="shared" si="17"/>
        <v>385</v>
      </c>
      <c r="G10" s="244">
        <f t="shared" si="17"/>
        <v>385</v>
      </c>
      <c r="H10" s="245">
        <f t="shared" si="17"/>
        <v>385</v>
      </c>
      <c r="I10" s="117"/>
      <c r="J10" s="117"/>
      <c r="K10" s="117"/>
      <c r="L10" s="117"/>
      <c r="M10" s="118"/>
      <c r="N10" s="117">
        <v>100</v>
      </c>
      <c r="O10" s="117">
        <v>100</v>
      </c>
      <c r="P10" s="117">
        <v>100</v>
      </c>
      <c r="Q10" s="117">
        <v>100</v>
      </c>
      <c r="R10" s="118">
        <v>100</v>
      </c>
      <c r="S10" s="117"/>
      <c r="T10" s="117"/>
      <c r="U10" s="117"/>
      <c r="V10" s="117"/>
      <c r="W10" s="118"/>
      <c r="X10" s="117">
        <v>100</v>
      </c>
      <c r="Y10" s="117">
        <v>100</v>
      </c>
      <c r="Z10" s="117">
        <v>100</v>
      </c>
      <c r="AA10" s="117">
        <v>100</v>
      </c>
      <c r="AB10" s="118">
        <v>100</v>
      </c>
      <c r="AC10" s="198">
        <v>1.02</v>
      </c>
      <c r="AD10" s="198">
        <v>1.02</v>
      </c>
      <c r="AE10" s="198">
        <v>1.02</v>
      </c>
      <c r="AF10" s="198">
        <v>1.02</v>
      </c>
      <c r="AG10" s="199">
        <v>1.02</v>
      </c>
      <c r="AH10" s="119">
        <v>0</v>
      </c>
      <c r="AI10" s="119">
        <v>0</v>
      </c>
      <c r="AJ10" s="119">
        <v>0</v>
      </c>
      <c r="AK10" s="119">
        <v>0</v>
      </c>
      <c r="AL10" s="120">
        <v>0</v>
      </c>
      <c r="AM10" s="119">
        <v>0</v>
      </c>
      <c r="AN10" s="119">
        <v>0</v>
      </c>
      <c r="AO10" s="119">
        <v>0</v>
      </c>
      <c r="AP10" s="119">
        <v>0</v>
      </c>
      <c r="AQ10" s="120">
        <v>0</v>
      </c>
      <c r="AR10" s="117">
        <v>400</v>
      </c>
      <c r="AS10" s="117">
        <v>300</v>
      </c>
      <c r="AT10" s="117">
        <v>200</v>
      </c>
      <c r="AU10" s="117">
        <v>100</v>
      </c>
      <c r="AV10" s="118">
        <v>100</v>
      </c>
      <c r="AW10" s="117">
        <v>25</v>
      </c>
      <c r="AX10" s="117">
        <v>25</v>
      </c>
      <c r="AY10" s="117">
        <v>25</v>
      </c>
      <c r="AZ10" s="117">
        <v>25</v>
      </c>
      <c r="BA10" s="118">
        <v>25</v>
      </c>
      <c r="BB10" s="117">
        <v>22500</v>
      </c>
      <c r="BC10" s="117">
        <v>20000</v>
      </c>
      <c r="BD10" s="117">
        <v>17500</v>
      </c>
      <c r="BE10" s="117">
        <v>17500</v>
      </c>
      <c r="BF10" s="118">
        <v>17500</v>
      </c>
      <c r="BG10" s="117">
        <v>2000</v>
      </c>
      <c r="BH10" s="117">
        <v>2000</v>
      </c>
      <c r="BI10" s="117">
        <v>2000</v>
      </c>
      <c r="BJ10" s="117">
        <v>2000</v>
      </c>
      <c r="BK10" s="118">
        <v>2000</v>
      </c>
      <c r="BL10" s="121">
        <v>1540</v>
      </c>
      <c r="BM10" s="117">
        <v>1540</v>
      </c>
      <c r="BN10" s="117">
        <v>1540</v>
      </c>
      <c r="BO10" s="117">
        <v>1540</v>
      </c>
      <c r="BP10" s="118">
        <v>1540</v>
      </c>
      <c r="BQ10" s="116">
        <v>2</v>
      </c>
      <c r="BR10" s="117">
        <v>2</v>
      </c>
      <c r="BS10" s="117">
        <v>2</v>
      </c>
      <c r="BT10" s="117">
        <v>2</v>
      </c>
      <c r="BU10" s="118">
        <v>2</v>
      </c>
      <c r="BV10" s="161" t="s">
        <v>204</v>
      </c>
      <c r="BW10" s="240">
        <f t="shared" si="1"/>
        <v>58.441558441558442</v>
      </c>
      <c r="BX10" s="240">
        <f t="shared" si="2"/>
        <v>51.948051948051948</v>
      </c>
      <c r="BY10" s="240">
        <f t="shared" si="3"/>
        <v>45.454545454545453</v>
      </c>
      <c r="BZ10" s="240">
        <f t="shared" si="4"/>
        <v>45.454545454545453</v>
      </c>
      <c r="CA10" s="249">
        <f t="shared" si="5"/>
        <v>45.454545454545453</v>
      </c>
      <c r="CB10" s="240">
        <f t="shared" si="6"/>
        <v>5.1948051948051948</v>
      </c>
      <c r="CC10" s="240">
        <f t="shared" si="7"/>
        <v>5.1948051948051948</v>
      </c>
      <c r="CD10" s="240">
        <f t="shared" si="8"/>
        <v>5.1948051948051948</v>
      </c>
      <c r="CE10" s="240">
        <f t="shared" si="9"/>
        <v>5.1948051948051948</v>
      </c>
      <c r="CF10" s="249">
        <f t="shared" si="10"/>
        <v>5.1948051948051948</v>
      </c>
      <c r="CG10" s="240">
        <f t="shared" si="11"/>
        <v>4</v>
      </c>
      <c r="CH10" s="240">
        <f t="shared" si="12"/>
        <v>4</v>
      </c>
      <c r="CI10" s="240">
        <f t="shared" si="13"/>
        <v>4</v>
      </c>
      <c r="CJ10" s="240">
        <f t="shared" si="14"/>
        <v>4</v>
      </c>
      <c r="CK10" s="249">
        <f t="shared" si="15"/>
        <v>4</v>
      </c>
    </row>
    <row r="11" spans="1:89" s="21" customFormat="1" x14ac:dyDescent="0.25">
      <c r="A11" s="113" t="s">
        <v>208</v>
      </c>
      <c r="B11" s="114" t="s">
        <v>209</v>
      </c>
      <c r="C11" s="115" t="s">
        <v>210</v>
      </c>
      <c r="D11" s="243">
        <f>AVERAGE(4,20)</f>
        <v>12</v>
      </c>
      <c r="E11" s="244">
        <f t="shared" ref="E11:H11" si="18">AVERAGE(4,20)</f>
        <v>12</v>
      </c>
      <c r="F11" s="244">
        <f t="shared" si="18"/>
        <v>12</v>
      </c>
      <c r="G11" s="244">
        <f t="shared" si="18"/>
        <v>12</v>
      </c>
      <c r="H11" s="245">
        <f t="shared" si="18"/>
        <v>12</v>
      </c>
      <c r="I11" s="117"/>
      <c r="J11" s="117"/>
      <c r="K11" s="117"/>
      <c r="L11" s="117"/>
      <c r="M11" s="118"/>
      <c r="N11" s="117">
        <v>100</v>
      </c>
      <c r="O11" s="117">
        <v>100</v>
      </c>
      <c r="P11" s="117">
        <v>100</v>
      </c>
      <c r="Q11" s="117">
        <v>100</v>
      </c>
      <c r="R11" s="118">
        <v>100</v>
      </c>
      <c r="S11" s="117"/>
      <c r="T11" s="117"/>
      <c r="U11" s="117"/>
      <c r="V11" s="117"/>
      <c r="W11" s="118"/>
      <c r="X11" s="117">
        <v>100</v>
      </c>
      <c r="Y11" s="117">
        <v>100</v>
      </c>
      <c r="Z11" s="117">
        <v>100</v>
      </c>
      <c r="AA11" s="117">
        <v>100</v>
      </c>
      <c r="AB11" s="118">
        <v>100</v>
      </c>
      <c r="AC11" s="198">
        <v>0.8</v>
      </c>
      <c r="AD11" s="198">
        <v>0.87</v>
      </c>
      <c r="AE11" s="198">
        <v>0.91</v>
      </c>
      <c r="AF11" s="198">
        <v>0.95</v>
      </c>
      <c r="AG11" s="199">
        <v>0.95</v>
      </c>
      <c r="AH11" s="119">
        <v>0</v>
      </c>
      <c r="AI11" s="119">
        <v>0</v>
      </c>
      <c r="AJ11" s="119">
        <v>0</v>
      </c>
      <c r="AK11" s="119">
        <v>0</v>
      </c>
      <c r="AL11" s="120">
        <v>0</v>
      </c>
      <c r="AM11" s="119">
        <v>0</v>
      </c>
      <c r="AN11" s="119">
        <v>0</v>
      </c>
      <c r="AO11" s="119">
        <v>0</v>
      </c>
      <c r="AP11" s="119">
        <v>0</v>
      </c>
      <c r="AQ11" s="120">
        <v>0</v>
      </c>
      <c r="AR11" s="117"/>
      <c r="AS11" s="117"/>
      <c r="AT11" s="117"/>
      <c r="AU11" s="117"/>
      <c r="AV11" s="118"/>
      <c r="AW11" s="117">
        <v>20</v>
      </c>
      <c r="AX11" s="117">
        <v>20</v>
      </c>
      <c r="AY11" s="117">
        <v>20</v>
      </c>
      <c r="AZ11" s="117">
        <v>20</v>
      </c>
      <c r="BA11" s="118">
        <v>20</v>
      </c>
      <c r="BB11" s="121">
        <v>6750</v>
      </c>
      <c r="BC11" s="121">
        <v>6750</v>
      </c>
      <c r="BD11" s="121">
        <v>7500</v>
      </c>
      <c r="BE11" s="121">
        <v>7500</v>
      </c>
      <c r="BF11" s="122">
        <v>7500</v>
      </c>
      <c r="BG11" s="121">
        <v>1600</v>
      </c>
      <c r="BH11" s="121">
        <v>1600</v>
      </c>
      <c r="BI11" s="121">
        <v>1600</v>
      </c>
      <c r="BJ11" s="121">
        <v>1600</v>
      </c>
      <c r="BK11" s="122">
        <v>1600</v>
      </c>
      <c r="BL11" s="121">
        <v>26</v>
      </c>
      <c r="BM11" s="121">
        <v>25</v>
      </c>
      <c r="BN11" s="121">
        <v>36</v>
      </c>
      <c r="BO11" s="121">
        <v>36</v>
      </c>
      <c r="BP11" s="122">
        <v>36</v>
      </c>
      <c r="BQ11" s="123">
        <v>0</v>
      </c>
      <c r="BR11" s="121">
        <v>0</v>
      </c>
      <c r="BS11" s="121">
        <v>0</v>
      </c>
      <c r="BT11" s="121">
        <v>0</v>
      </c>
      <c r="BU11" s="122">
        <v>0</v>
      </c>
      <c r="BV11" s="161" t="s">
        <v>211</v>
      </c>
      <c r="BW11" s="240">
        <f t="shared" si="1"/>
        <v>562.5</v>
      </c>
      <c r="BX11" s="240">
        <f t="shared" si="2"/>
        <v>562.5</v>
      </c>
      <c r="BY11" s="240">
        <f t="shared" si="3"/>
        <v>625</v>
      </c>
      <c r="BZ11" s="240">
        <f t="shared" si="4"/>
        <v>625</v>
      </c>
      <c r="CA11" s="249">
        <f t="shared" si="5"/>
        <v>625</v>
      </c>
      <c r="CB11" s="240">
        <f t="shared" si="6"/>
        <v>133.33333333333334</v>
      </c>
      <c r="CC11" s="240">
        <f t="shared" si="7"/>
        <v>133.33333333333334</v>
      </c>
      <c r="CD11" s="240">
        <f t="shared" si="8"/>
        <v>133.33333333333334</v>
      </c>
      <c r="CE11" s="240">
        <f t="shared" si="9"/>
        <v>133.33333333333334</v>
      </c>
      <c r="CF11" s="249">
        <f t="shared" si="10"/>
        <v>133.33333333333334</v>
      </c>
      <c r="CG11" s="240">
        <f t="shared" si="11"/>
        <v>2.1666666666666665</v>
      </c>
      <c r="CH11" s="240">
        <f t="shared" si="12"/>
        <v>2.0833333333333335</v>
      </c>
      <c r="CI11" s="240">
        <f t="shared" si="13"/>
        <v>3</v>
      </c>
      <c r="CJ11" s="240">
        <f t="shared" si="14"/>
        <v>3</v>
      </c>
      <c r="CK11" s="249">
        <f t="shared" si="15"/>
        <v>3</v>
      </c>
    </row>
    <row r="12" spans="1:89" s="21" customFormat="1" x14ac:dyDescent="0.25">
      <c r="A12" s="113" t="s">
        <v>212</v>
      </c>
      <c r="B12" s="114" t="s">
        <v>213</v>
      </c>
      <c r="C12" s="115" t="s">
        <v>214</v>
      </c>
      <c r="D12" s="243">
        <f>AVERAGE(100,1000)</f>
        <v>550</v>
      </c>
      <c r="E12" s="244">
        <f t="shared" ref="E12:H12" si="19">AVERAGE(100,1000)</f>
        <v>550</v>
      </c>
      <c r="F12" s="244">
        <f t="shared" si="19"/>
        <v>550</v>
      </c>
      <c r="G12" s="244">
        <f t="shared" si="19"/>
        <v>550</v>
      </c>
      <c r="H12" s="245">
        <f t="shared" si="19"/>
        <v>550</v>
      </c>
      <c r="I12" s="117"/>
      <c r="J12" s="117"/>
      <c r="K12" s="117"/>
      <c r="L12" s="117"/>
      <c r="M12" s="118"/>
      <c r="N12" s="117">
        <v>100</v>
      </c>
      <c r="O12" s="117">
        <v>100</v>
      </c>
      <c r="P12" s="117">
        <v>100</v>
      </c>
      <c r="Q12" s="117">
        <v>100</v>
      </c>
      <c r="R12" s="118">
        <v>100</v>
      </c>
      <c r="S12" s="117"/>
      <c r="T12" s="117"/>
      <c r="U12" s="117"/>
      <c r="V12" s="117"/>
      <c r="W12" s="118"/>
      <c r="X12" s="117">
        <v>100</v>
      </c>
      <c r="Y12" s="117">
        <v>100</v>
      </c>
      <c r="Z12" s="117">
        <v>100</v>
      </c>
      <c r="AA12" s="117">
        <v>100</v>
      </c>
      <c r="AB12" s="118">
        <v>100</v>
      </c>
      <c r="AC12" s="198">
        <v>0.85</v>
      </c>
      <c r="AD12" s="198">
        <v>0.87</v>
      </c>
      <c r="AE12" s="198">
        <v>0.91</v>
      </c>
      <c r="AF12" s="198">
        <v>0.95</v>
      </c>
      <c r="AG12" s="199">
        <v>0.95</v>
      </c>
      <c r="AH12" s="119">
        <v>0</v>
      </c>
      <c r="AI12" s="119">
        <v>0</v>
      </c>
      <c r="AJ12" s="119">
        <v>0</v>
      </c>
      <c r="AK12" s="119">
        <v>0</v>
      </c>
      <c r="AL12" s="120">
        <v>0</v>
      </c>
      <c r="AM12" s="119">
        <v>0</v>
      </c>
      <c r="AN12" s="119">
        <v>0</v>
      </c>
      <c r="AO12" s="119">
        <v>0</v>
      </c>
      <c r="AP12" s="119">
        <v>0</v>
      </c>
      <c r="AQ12" s="120">
        <v>0</v>
      </c>
      <c r="AR12" s="117"/>
      <c r="AS12" s="117"/>
      <c r="AT12" s="117"/>
      <c r="AU12" s="117"/>
      <c r="AV12" s="118"/>
      <c r="AW12" s="117">
        <v>20</v>
      </c>
      <c r="AX12" s="117">
        <v>20</v>
      </c>
      <c r="AY12" s="117">
        <v>20</v>
      </c>
      <c r="AZ12" s="117">
        <v>20</v>
      </c>
      <c r="BA12" s="118">
        <v>20</v>
      </c>
      <c r="BB12" s="121">
        <v>93500</v>
      </c>
      <c r="BC12" s="121">
        <v>93500</v>
      </c>
      <c r="BD12" s="121">
        <v>93500</v>
      </c>
      <c r="BE12" s="121">
        <v>93500</v>
      </c>
      <c r="BF12" s="122">
        <v>93500</v>
      </c>
      <c r="BG12" s="121">
        <v>15000</v>
      </c>
      <c r="BH12" s="121">
        <v>15000</v>
      </c>
      <c r="BI12" s="121">
        <v>18500</v>
      </c>
      <c r="BJ12" s="121">
        <v>18500</v>
      </c>
      <c r="BK12" s="122">
        <v>18500</v>
      </c>
      <c r="BL12" s="121">
        <v>31.5</v>
      </c>
      <c r="BM12" s="121">
        <v>31.5</v>
      </c>
      <c r="BN12" s="121">
        <v>35</v>
      </c>
      <c r="BO12" s="121">
        <v>40</v>
      </c>
      <c r="BP12" s="121">
        <v>40</v>
      </c>
      <c r="BQ12" s="123">
        <v>0</v>
      </c>
      <c r="BR12" s="121">
        <v>0</v>
      </c>
      <c r="BS12" s="121">
        <v>0</v>
      </c>
      <c r="BT12" s="121">
        <v>0</v>
      </c>
      <c r="BU12" s="122">
        <v>0</v>
      </c>
      <c r="BV12" s="161" t="s">
        <v>215</v>
      </c>
      <c r="BW12" s="240">
        <f t="shared" si="1"/>
        <v>170</v>
      </c>
      <c r="BX12" s="240">
        <f t="shared" si="2"/>
        <v>170</v>
      </c>
      <c r="BY12" s="240">
        <f t="shared" si="3"/>
        <v>170</v>
      </c>
      <c r="BZ12" s="240">
        <f t="shared" si="4"/>
        <v>170</v>
      </c>
      <c r="CA12" s="249">
        <f t="shared" si="5"/>
        <v>170</v>
      </c>
      <c r="CB12" s="240">
        <f t="shared" si="6"/>
        <v>27.272727272727273</v>
      </c>
      <c r="CC12" s="240">
        <f t="shared" si="7"/>
        <v>27.272727272727273</v>
      </c>
      <c r="CD12" s="240">
        <f t="shared" si="8"/>
        <v>33.636363636363633</v>
      </c>
      <c r="CE12" s="240">
        <f t="shared" si="9"/>
        <v>33.636363636363633</v>
      </c>
      <c r="CF12" s="249">
        <f t="shared" si="10"/>
        <v>33.636363636363633</v>
      </c>
      <c r="CG12" s="240">
        <f t="shared" si="11"/>
        <v>5.7272727272727274E-2</v>
      </c>
      <c r="CH12" s="240">
        <f t="shared" si="12"/>
        <v>5.7272727272727274E-2</v>
      </c>
      <c r="CI12" s="240">
        <f t="shared" si="13"/>
        <v>6.363636363636363E-2</v>
      </c>
      <c r="CJ12" s="240">
        <f t="shared" si="14"/>
        <v>7.2727272727272724E-2</v>
      </c>
      <c r="CK12" s="249">
        <f t="shared" si="15"/>
        <v>7.2727272727272724E-2</v>
      </c>
    </row>
    <row r="13" spans="1:89" s="21" customFormat="1" x14ac:dyDescent="0.25">
      <c r="A13" s="113" t="s">
        <v>216</v>
      </c>
      <c r="B13" s="114" t="s">
        <v>217</v>
      </c>
      <c r="C13" s="115" t="s">
        <v>218</v>
      </c>
      <c r="D13" s="116">
        <f>AVERAGE(1.5,9)</f>
        <v>5.25</v>
      </c>
      <c r="E13" s="117">
        <f t="shared" ref="E13:H13" si="20">AVERAGE(1.5,9)</f>
        <v>5.25</v>
      </c>
      <c r="F13" s="117">
        <f t="shared" si="20"/>
        <v>5.25</v>
      </c>
      <c r="G13" s="117">
        <f t="shared" si="20"/>
        <v>5.25</v>
      </c>
      <c r="H13" s="118">
        <f t="shared" si="20"/>
        <v>5.25</v>
      </c>
      <c r="I13" s="117"/>
      <c r="J13" s="117"/>
      <c r="K13" s="117"/>
      <c r="L13" s="117"/>
      <c r="M13" s="118"/>
      <c r="N13" s="127">
        <v>40</v>
      </c>
      <c r="O13" s="127">
        <v>40</v>
      </c>
      <c r="P13" s="127">
        <v>40</v>
      </c>
      <c r="Q13" s="127">
        <v>40</v>
      </c>
      <c r="R13" s="128">
        <v>40</v>
      </c>
      <c r="S13" s="117"/>
      <c r="T13" s="117"/>
      <c r="U13" s="117"/>
      <c r="V13" s="117"/>
      <c r="W13" s="118"/>
      <c r="X13" s="117">
        <v>0</v>
      </c>
      <c r="Y13" s="117">
        <v>0</v>
      </c>
      <c r="Z13" s="117">
        <v>0</v>
      </c>
      <c r="AA13" s="117">
        <v>0</v>
      </c>
      <c r="AB13" s="118">
        <v>0</v>
      </c>
      <c r="AC13" s="198">
        <v>0.65</v>
      </c>
      <c r="AD13" s="198">
        <v>0.7</v>
      </c>
      <c r="AE13" s="198">
        <v>0.75</v>
      </c>
      <c r="AF13" s="198">
        <v>0.75</v>
      </c>
      <c r="AG13" s="199">
        <v>0.75</v>
      </c>
      <c r="AH13" s="119">
        <v>0</v>
      </c>
      <c r="AI13" s="119">
        <v>0</v>
      </c>
      <c r="AJ13" s="119">
        <v>0</v>
      </c>
      <c r="AK13" s="119">
        <v>0</v>
      </c>
      <c r="AL13" s="120">
        <v>0</v>
      </c>
      <c r="AM13" s="119">
        <v>0</v>
      </c>
      <c r="AN13" s="119">
        <v>0</v>
      </c>
      <c r="AO13" s="119">
        <v>0</v>
      </c>
      <c r="AP13" s="119">
        <v>0</v>
      </c>
      <c r="AQ13" s="120">
        <v>0</v>
      </c>
      <c r="AR13" s="117"/>
      <c r="AS13" s="117"/>
      <c r="AT13" s="117"/>
      <c r="AU13" s="117"/>
      <c r="AV13" s="118"/>
      <c r="AW13" s="117">
        <v>24</v>
      </c>
      <c r="AX13" s="117">
        <v>24</v>
      </c>
      <c r="AY13" s="117">
        <v>24</v>
      </c>
      <c r="AZ13" s="117">
        <v>24</v>
      </c>
      <c r="BA13" s="118">
        <v>24</v>
      </c>
      <c r="BB13" s="121">
        <v>2600</v>
      </c>
      <c r="BC13" s="121">
        <v>2600</v>
      </c>
      <c r="BD13" s="121">
        <v>3500</v>
      </c>
      <c r="BE13" s="121">
        <v>3500</v>
      </c>
      <c r="BF13" s="122">
        <v>3500</v>
      </c>
      <c r="BG13" s="121">
        <v>1600</v>
      </c>
      <c r="BH13" s="121">
        <v>1600</v>
      </c>
      <c r="BI13" s="121">
        <v>1600</v>
      </c>
      <c r="BJ13" s="121">
        <v>1600</v>
      </c>
      <c r="BK13" s="122">
        <v>1600</v>
      </c>
      <c r="BL13" s="121">
        <v>0.75</v>
      </c>
      <c r="BM13" s="121">
        <v>0.70000000000000007</v>
      </c>
      <c r="BN13" s="121">
        <v>0.5</v>
      </c>
      <c r="BO13" s="121">
        <v>0.70000000000000007</v>
      </c>
      <c r="BP13" s="122">
        <v>0.70000000000000007</v>
      </c>
      <c r="BQ13" s="123">
        <v>0</v>
      </c>
      <c r="BR13" s="121">
        <v>0</v>
      </c>
      <c r="BS13" s="121">
        <v>0</v>
      </c>
      <c r="BT13" s="121">
        <v>0</v>
      </c>
      <c r="BU13" s="122">
        <v>0</v>
      </c>
      <c r="BV13" s="161" t="s">
        <v>219</v>
      </c>
      <c r="BW13" s="240">
        <f t="shared" si="1"/>
        <v>495.23809523809524</v>
      </c>
      <c r="BX13" s="240">
        <f t="shared" si="2"/>
        <v>495.23809523809524</v>
      </c>
      <c r="BY13" s="240">
        <f t="shared" si="3"/>
        <v>666.66666666666663</v>
      </c>
      <c r="BZ13" s="240">
        <f t="shared" si="4"/>
        <v>666.66666666666663</v>
      </c>
      <c r="CA13" s="249">
        <f t="shared" si="5"/>
        <v>666.66666666666663</v>
      </c>
      <c r="CB13" s="240">
        <f t="shared" si="6"/>
        <v>304.76190476190476</v>
      </c>
      <c r="CC13" s="240">
        <f t="shared" si="7"/>
        <v>304.76190476190476</v>
      </c>
      <c r="CD13" s="240">
        <f t="shared" si="8"/>
        <v>304.76190476190476</v>
      </c>
      <c r="CE13" s="240">
        <f t="shared" si="9"/>
        <v>304.76190476190476</v>
      </c>
      <c r="CF13" s="249">
        <f t="shared" si="10"/>
        <v>304.76190476190476</v>
      </c>
      <c r="CG13" s="240">
        <f t="shared" si="11"/>
        <v>0.14285714285714285</v>
      </c>
      <c r="CH13" s="240">
        <f t="shared" si="12"/>
        <v>0.13333333333333336</v>
      </c>
      <c r="CI13" s="240">
        <f t="shared" si="13"/>
        <v>9.5238095238095233E-2</v>
      </c>
      <c r="CJ13" s="240">
        <f t="shared" si="14"/>
        <v>0.13333333333333336</v>
      </c>
      <c r="CK13" s="249">
        <f t="shared" si="15"/>
        <v>0.13333333333333336</v>
      </c>
    </row>
    <row r="14" spans="1:89" s="21" customFormat="1" x14ac:dyDescent="0.25">
      <c r="A14" s="113"/>
      <c r="B14" s="114"/>
      <c r="C14" s="115" t="s">
        <v>46</v>
      </c>
      <c r="D14" s="116"/>
      <c r="E14" s="117"/>
      <c r="F14" s="117"/>
      <c r="G14" s="117"/>
      <c r="H14" s="118"/>
      <c r="I14" s="117"/>
      <c r="J14" s="117"/>
      <c r="K14" s="117"/>
      <c r="L14" s="117"/>
      <c r="M14" s="118"/>
      <c r="N14" s="117"/>
      <c r="O14" s="117"/>
      <c r="P14" s="117"/>
      <c r="Q14" s="117"/>
      <c r="R14" s="118"/>
      <c r="S14" s="117"/>
      <c r="T14" s="117"/>
      <c r="U14" s="117"/>
      <c r="V14" s="117"/>
      <c r="W14" s="118"/>
      <c r="X14" s="117"/>
      <c r="Y14" s="117"/>
      <c r="Z14" s="117"/>
      <c r="AA14" s="117"/>
      <c r="AB14" s="118"/>
      <c r="AC14" s="198">
        <v>0</v>
      </c>
      <c r="AD14" s="198">
        <v>0</v>
      </c>
      <c r="AE14" s="198">
        <v>0</v>
      </c>
      <c r="AF14" s="198">
        <v>0</v>
      </c>
      <c r="AG14" s="199">
        <v>0</v>
      </c>
      <c r="AH14" s="119">
        <v>0</v>
      </c>
      <c r="AI14" s="119">
        <v>0</v>
      </c>
      <c r="AJ14" s="119">
        <v>0</v>
      </c>
      <c r="AK14" s="119">
        <v>0</v>
      </c>
      <c r="AL14" s="120">
        <v>0</v>
      </c>
      <c r="AM14" s="119">
        <v>0</v>
      </c>
      <c r="AN14" s="119">
        <v>0</v>
      </c>
      <c r="AO14" s="119">
        <v>0</v>
      </c>
      <c r="AP14" s="119">
        <v>0</v>
      </c>
      <c r="AQ14" s="120">
        <v>0</v>
      </c>
      <c r="AR14" s="117"/>
      <c r="AS14" s="117"/>
      <c r="AT14" s="117"/>
      <c r="AU14" s="117"/>
      <c r="AV14" s="118"/>
      <c r="AW14" s="117"/>
      <c r="AX14" s="117"/>
      <c r="AY14" s="117"/>
      <c r="AZ14" s="117"/>
      <c r="BA14" s="118"/>
      <c r="BB14" s="121">
        <v>0</v>
      </c>
      <c r="BC14" s="121">
        <v>0</v>
      </c>
      <c r="BD14" s="121">
        <v>0</v>
      </c>
      <c r="BE14" s="121">
        <v>0</v>
      </c>
      <c r="BF14" s="122">
        <v>0</v>
      </c>
      <c r="BG14" s="121">
        <v>0</v>
      </c>
      <c r="BH14" s="121">
        <v>0</v>
      </c>
      <c r="BI14" s="121">
        <v>0</v>
      </c>
      <c r="BJ14" s="121">
        <v>0</v>
      </c>
      <c r="BK14" s="122">
        <v>0</v>
      </c>
      <c r="BL14" s="121"/>
      <c r="BM14" s="121"/>
      <c r="BN14" s="121"/>
      <c r="BO14" s="121"/>
      <c r="BP14" s="122"/>
      <c r="BQ14" s="123"/>
      <c r="BR14" s="121"/>
      <c r="BS14" s="121"/>
      <c r="BT14" s="121"/>
      <c r="BU14" s="122"/>
      <c r="BV14" s="161"/>
      <c r="BW14" s="240" t="str">
        <f t="shared" si="1"/>
        <v/>
      </c>
      <c r="BX14" s="240" t="str">
        <f t="shared" si="2"/>
        <v/>
      </c>
      <c r="BY14" s="240" t="str">
        <f t="shared" si="3"/>
        <v/>
      </c>
      <c r="BZ14" s="240" t="str">
        <f t="shared" si="4"/>
        <v/>
      </c>
      <c r="CA14" s="249" t="str">
        <f t="shared" si="5"/>
        <v/>
      </c>
      <c r="CB14" s="240" t="str">
        <f t="shared" si="6"/>
        <v/>
      </c>
      <c r="CC14" s="240" t="str">
        <f t="shared" si="7"/>
        <v/>
      </c>
      <c r="CD14" s="240" t="str">
        <f t="shared" si="8"/>
        <v/>
      </c>
      <c r="CE14" s="240" t="str">
        <f t="shared" si="9"/>
        <v/>
      </c>
      <c r="CF14" s="249" t="str">
        <f t="shared" si="10"/>
        <v/>
      </c>
      <c r="CG14" s="250" t="str">
        <f t="shared" si="11"/>
        <v/>
      </c>
      <c r="CH14" s="240" t="str">
        <f t="shared" si="12"/>
        <v/>
      </c>
      <c r="CI14" s="240" t="str">
        <f t="shared" si="13"/>
        <v/>
      </c>
      <c r="CJ14" s="240" t="str">
        <f t="shared" si="14"/>
        <v/>
      </c>
      <c r="CK14" s="249" t="str">
        <f t="shared" si="15"/>
        <v/>
      </c>
    </row>
    <row r="15" spans="1:89" s="21" customFormat="1" x14ac:dyDescent="0.25">
      <c r="A15" s="107" t="s">
        <v>47</v>
      </c>
      <c r="B15" s="108"/>
      <c r="C15" s="109"/>
      <c r="D15" s="110"/>
      <c r="E15" s="111"/>
      <c r="F15" s="111"/>
      <c r="G15" s="111"/>
      <c r="H15" s="112"/>
      <c r="I15" s="111"/>
      <c r="J15" s="111"/>
      <c r="K15" s="111"/>
      <c r="L15" s="111"/>
      <c r="M15" s="112"/>
      <c r="N15" s="111"/>
      <c r="O15" s="111"/>
      <c r="P15" s="111"/>
      <c r="Q15" s="111"/>
      <c r="R15" s="112"/>
      <c r="S15" s="111"/>
      <c r="T15" s="111"/>
      <c r="U15" s="111"/>
      <c r="V15" s="111"/>
      <c r="W15" s="112"/>
      <c r="X15" s="111"/>
      <c r="Y15" s="111"/>
      <c r="Z15" s="111"/>
      <c r="AA15" s="111"/>
      <c r="AB15" s="112"/>
      <c r="AC15" s="200">
        <v>0</v>
      </c>
      <c r="AD15" s="200">
        <v>0</v>
      </c>
      <c r="AE15" s="200">
        <v>0</v>
      </c>
      <c r="AF15" s="200">
        <v>0</v>
      </c>
      <c r="AG15" s="201">
        <v>0</v>
      </c>
      <c r="AH15" s="129">
        <v>0</v>
      </c>
      <c r="AI15" s="129">
        <v>0</v>
      </c>
      <c r="AJ15" s="129">
        <v>0</v>
      </c>
      <c r="AK15" s="129">
        <v>0</v>
      </c>
      <c r="AL15" s="130">
        <v>0</v>
      </c>
      <c r="AM15" s="129">
        <v>0</v>
      </c>
      <c r="AN15" s="129">
        <v>0</v>
      </c>
      <c r="AO15" s="129">
        <v>0</v>
      </c>
      <c r="AP15" s="129">
        <v>0</v>
      </c>
      <c r="AQ15" s="130">
        <v>0</v>
      </c>
      <c r="AR15" s="111"/>
      <c r="AS15" s="111"/>
      <c r="AT15" s="111"/>
      <c r="AU15" s="111"/>
      <c r="AV15" s="112"/>
      <c r="AW15" s="111"/>
      <c r="AX15" s="111"/>
      <c r="AY15" s="111"/>
      <c r="AZ15" s="111"/>
      <c r="BA15" s="112"/>
      <c r="BB15" s="111">
        <v>0</v>
      </c>
      <c r="BC15" s="111">
        <v>0</v>
      </c>
      <c r="BD15" s="111">
        <v>0</v>
      </c>
      <c r="BE15" s="111">
        <v>0</v>
      </c>
      <c r="BF15" s="112">
        <v>0</v>
      </c>
      <c r="BG15" s="111">
        <v>0</v>
      </c>
      <c r="BH15" s="111">
        <v>0</v>
      </c>
      <c r="BI15" s="111">
        <v>0</v>
      </c>
      <c r="BJ15" s="111">
        <v>0</v>
      </c>
      <c r="BK15" s="112">
        <v>0</v>
      </c>
      <c r="BL15" s="111"/>
      <c r="BM15" s="111"/>
      <c r="BN15" s="111"/>
      <c r="BO15" s="111"/>
      <c r="BP15" s="112"/>
      <c r="BQ15" s="110"/>
      <c r="BR15" s="111"/>
      <c r="BS15" s="111"/>
      <c r="BT15" s="111"/>
      <c r="BU15" s="112"/>
      <c r="BV15" s="160"/>
      <c r="BW15" s="251" t="str">
        <f t="shared" si="1"/>
        <v/>
      </c>
      <c r="BX15" s="251" t="str">
        <f t="shared" si="2"/>
        <v/>
      </c>
      <c r="BY15" s="251" t="str">
        <f t="shared" si="3"/>
        <v/>
      </c>
      <c r="BZ15" s="251" t="str">
        <f t="shared" si="4"/>
        <v/>
      </c>
      <c r="CA15" s="252" t="str">
        <f t="shared" si="5"/>
        <v/>
      </c>
      <c r="CB15" s="251" t="str">
        <f t="shared" si="6"/>
        <v/>
      </c>
      <c r="CC15" s="251" t="str">
        <f t="shared" si="7"/>
        <v/>
      </c>
      <c r="CD15" s="251" t="str">
        <f t="shared" si="8"/>
        <v/>
      </c>
      <c r="CE15" s="251" t="str">
        <f t="shared" si="9"/>
        <v/>
      </c>
      <c r="CF15" s="252" t="str">
        <f t="shared" si="10"/>
        <v/>
      </c>
      <c r="CG15" s="253" t="str">
        <f t="shared" si="11"/>
        <v/>
      </c>
      <c r="CH15" s="251" t="str">
        <f t="shared" si="12"/>
        <v/>
      </c>
      <c r="CI15" s="251" t="str">
        <f t="shared" si="13"/>
        <v/>
      </c>
      <c r="CJ15" s="251" t="str">
        <f t="shared" si="14"/>
        <v/>
      </c>
      <c r="CK15" s="252" t="str">
        <f t="shared" si="15"/>
        <v/>
      </c>
    </row>
    <row r="16" spans="1:89" s="21" customFormat="1" x14ac:dyDescent="0.25">
      <c r="A16" s="113" t="s">
        <v>220</v>
      </c>
      <c r="B16" s="114" t="s">
        <v>221</v>
      </c>
      <c r="C16" s="115" t="s">
        <v>19</v>
      </c>
      <c r="D16" s="116">
        <f>AVERAGE(3,5)</f>
        <v>4</v>
      </c>
      <c r="E16" s="117">
        <f t="shared" ref="E16:H16" si="21">AVERAGE(3,5)</f>
        <v>4</v>
      </c>
      <c r="F16" s="117">
        <f t="shared" si="21"/>
        <v>4</v>
      </c>
      <c r="G16" s="117">
        <f t="shared" si="21"/>
        <v>4</v>
      </c>
      <c r="H16" s="118">
        <f t="shared" si="21"/>
        <v>4</v>
      </c>
      <c r="I16" s="117"/>
      <c r="J16" s="117"/>
      <c r="K16" s="117"/>
      <c r="L16" s="117"/>
      <c r="M16" s="118"/>
      <c r="N16" s="117">
        <v>60</v>
      </c>
      <c r="O16" s="117">
        <v>60</v>
      </c>
      <c r="P16" s="117">
        <v>60</v>
      </c>
      <c r="Q16" s="117">
        <v>60</v>
      </c>
      <c r="R16" s="118">
        <v>60</v>
      </c>
      <c r="S16" s="117"/>
      <c r="T16" s="117"/>
      <c r="U16" s="117"/>
      <c r="V16" s="117"/>
      <c r="W16" s="118"/>
      <c r="X16" s="117">
        <v>0</v>
      </c>
      <c r="Y16" s="117">
        <v>0</v>
      </c>
      <c r="Z16" s="117">
        <v>0</v>
      </c>
      <c r="AA16" s="117">
        <v>0</v>
      </c>
      <c r="AB16" s="118">
        <v>0</v>
      </c>
      <c r="AC16" s="209">
        <v>3</v>
      </c>
      <c r="AD16" s="209">
        <v>3.2</v>
      </c>
      <c r="AE16" s="209">
        <v>3.7</v>
      </c>
      <c r="AF16" s="209">
        <v>4</v>
      </c>
      <c r="AG16" s="210">
        <v>4</v>
      </c>
      <c r="AH16" s="119">
        <v>0</v>
      </c>
      <c r="AI16" s="119">
        <v>0</v>
      </c>
      <c r="AJ16" s="119">
        <v>0</v>
      </c>
      <c r="AK16" s="119">
        <v>0</v>
      </c>
      <c r="AL16" s="120">
        <v>0</v>
      </c>
      <c r="AM16" s="119">
        <v>0</v>
      </c>
      <c r="AN16" s="119">
        <v>0</v>
      </c>
      <c r="AO16" s="119">
        <v>0</v>
      </c>
      <c r="AP16" s="119">
        <v>0</v>
      </c>
      <c r="AQ16" s="120">
        <v>0</v>
      </c>
      <c r="AR16" s="117"/>
      <c r="AS16" s="117"/>
      <c r="AT16" s="117"/>
      <c r="AU16" s="117"/>
      <c r="AV16" s="118"/>
      <c r="AW16" s="117">
        <v>20</v>
      </c>
      <c r="AX16" s="117">
        <v>20</v>
      </c>
      <c r="AY16" s="117">
        <v>20</v>
      </c>
      <c r="AZ16" s="117">
        <v>20</v>
      </c>
      <c r="BA16" s="118">
        <v>20</v>
      </c>
      <c r="BB16" s="121">
        <v>2200</v>
      </c>
      <c r="BC16" s="121">
        <v>2100</v>
      </c>
      <c r="BD16" s="121">
        <v>1900</v>
      </c>
      <c r="BE16" s="121">
        <v>1800</v>
      </c>
      <c r="BF16" s="122">
        <v>1800</v>
      </c>
      <c r="BG16" s="121">
        <v>0</v>
      </c>
      <c r="BH16" s="121">
        <v>0</v>
      </c>
      <c r="BI16" s="121">
        <v>0</v>
      </c>
      <c r="BJ16" s="121">
        <v>0</v>
      </c>
      <c r="BK16" s="122">
        <v>0</v>
      </c>
      <c r="BL16" s="121">
        <v>34</v>
      </c>
      <c r="BM16" s="121">
        <v>34</v>
      </c>
      <c r="BN16" s="121">
        <v>34</v>
      </c>
      <c r="BO16" s="121">
        <v>34</v>
      </c>
      <c r="BP16" s="122">
        <v>34</v>
      </c>
      <c r="BQ16" s="123">
        <v>0</v>
      </c>
      <c r="BR16" s="121">
        <v>0</v>
      </c>
      <c r="BS16" s="121">
        <v>0</v>
      </c>
      <c r="BT16" s="121">
        <v>0</v>
      </c>
      <c r="BU16" s="122">
        <v>0</v>
      </c>
      <c r="BV16" s="161"/>
      <c r="BW16" s="240">
        <f t="shared" si="1"/>
        <v>550</v>
      </c>
      <c r="BX16" s="240">
        <f t="shared" si="2"/>
        <v>525</v>
      </c>
      <c r="BY16" s="240">
        <f t="shared" si="3"/>
        <v>475</v>
      </c>
      <c r="BZ16" s="240">
        <f t="shared" si="4"/>
        <v>450</v>
      </c>
      <c r="CA16" s="249">
        <f t="shared" si="5"/>
        <v>450</v>
      </c>
      <c r="CB16" s="240">
        <f t="shared" si="6"/>
        <v>0</v>
      </c>
      <c r="CC16" s="240">
        <f t="shared" si="7"/>
        <v>0</v>
      </c>
      <c r="CD16" s="240">
        <f t="shared" si="8"/>
        <v>0</v>
      </c>
      <c r="CE16" s="240">
        <f t="shared" si="9"/>
        <v>0</v>
      </c>
      <c r="CF16" s="249">
        <f t="shared" si="10"/>
        <v>0</v>
      </c>
      <c r="CG16" s="250">
        <f t="shared" si="11"/>
        <v>8.5</v>
      </c>
      <c r="CH16" s="240">
        <f t="shared" si="12"/>
        <v>8.5</v>
      </c>
      <c r="CI16" s="240">
        <f t="shared" si="13"/>
        <v>8.5</v>
      </c>
      <c r="CJ16" s="240">
        <f t="shared" si="14"/>
        <v>8.5</v>
      </c>
      <c r="CK16" s="249">
        <f t="shared" si="15"/>
        <v>8.5</v>
      </c>
    </row>
    <row r="17" spans="1:89" s="21" customFormat="1" x14ac:dyDescent="0.2">
      <c r="A17" s="113"/>
      <c r="B17" s="114"/>
      <c r="C17" s="115" t="s">
        <v>222</v>
      </c>
      <c r="D17" s="131">
        <v>63.7</v>
      </c>
      <c r="E17" s="127">
        <v>63.7</v>
      </c>
      <c r="F17" s="127">
        <v>63.7</v>
      </c>
      <c r="G17" s="127">
        <v>63.7</v>
      </c>
      <c r="H17" s="128">
        <v>63.7</v>
      </c>
      <c r="I17" s="237">
        <v>62.3</v>
      </c>
      <c r="J17" s="237">
        <v>62.3</v>
      </c>
      <c r="K17" s="237">
        <v>62.3</v>
      </c>
      <c r="L17" s="237">
        <v>62.3</v>
      </c>
      <c r="M17" s="238">
        <v>62.3</v>
      </c>
      <c r="N17" s="237">
        <v>100</v>
      </c>
      <c r="O17" s="237">
        <v>100</v>
      </c>
      <c r="P17" s="237">
        <v>100</v>
      </c>
      <c r="Q17" s="237">
        <v>100</v>
      </c>
      <c r="R17" s="238">
        <v>100</v>
      </c>
      <c r="S17" s="237">
        <v>100</v>
      </c>
      <c r="T17" s="237">
        <v>100</v>
      </c>
      <c r="U17" s="237">
        <v>100</v>
      </c>
      <c r="V17" s="237">
        <v>100</v>
      </c>
      <c r="W17" s="238">
        <v>100</v>
      </c>
      <c r="X17" s="237">
        <v>0</v>
      </c>
      <c r="Y17" s="237">
        <v>0</v>
      </c>
      <c r="Z17" s="237">
        <v>0</v>
      </c>
      <c r="AA17" s="237">
        <v>0</v>
      </c>
      <c r="AB17" s="238">
        <v>0</v>
      </c>
      <c r="AC17" s="264">
        <v>0</v>
      </c>
      <c r="AD17" s="264">
        <v>0</v>
      </c>
      <c r="AE17" s="264">
        <v>0</v>
      </c>
      <c r="AF17" s="264">
        <v>0</v>
      </c>
      <c r="AG17" s="265">
        <v>0</v>
      </c>
      <c r="AH17" s="239">
        <v>3</v>
      </c>
      <c r="AI17" s="239">
        <v>3.2</v>
      </c>
      <c r="AJ17" s="239">
        <v>3.7</v>
      </c>
      <c r="AK17" s="239">
        <v>4</v>
      </c>
      <c r="AL17" s="241">
        <v>4</v>
      </c>
      <c r="AM17" s="239">
        <v>3.7</v>
      </c>
      <c r="AN17" s="239">
        <v>3.7</v>
      </c>
      <c r="AO17" s="239">
        <v>3.7</v>
      </c>
      <c r="AP17" s="239">
        <v>3.7</v>
      </c>
      <c r="AQ17" s="241">
        <v>3.7</v>
      </c>
      <c r="AR17" s="237">
        <v>0</v>
      </c>
      <c r="AS17" s="237">
        <v>0</v>
      </c>
      <c r="AT17" s="237">
        <v>0</v>
      </c>
      <c r="AU17" s="237">
        <v>0</v>
      </c>
      <c r="AV17" s="238">
        <v>0</v>
      </c>
      <c r="AW17" s="237">
        <v>20</v>
      </c>
      <c r="AX17" s="237">
        <v>20</v>
      </c>
      <c r="AY17" s="237">
        <v>20</v>
      </c>
      <c r="AZ17" s="237">
        <v>20</v>
      </c>
      <c r="BA17" s="238">
        <v>20</v>
      </c>
      <c r="BB17" s="162">
        <v>27140.2</v>
      </c>
      <c r="BC17" s="162">
        <v>25783.19</v>
      </c>
      <c r="BD17" s="162">
        <v>23340.571999999996</v>
      </c>
      <c r="BE17" s="162">
        <v>22254.963999999996</v>
      </c>
      <c r="BF17" s="163">
        <v>22254.963999999996</v>
      </c>
      <c r="BG17" s="234">
        <v>0</v>
      </c>
      <c r="BH17" s="234">
        <v>0</v>
      </c>
      <c r="BI17" s="234">
        <v>0</v>
      </c>
      <c r="BJ17" s="234">
        <v>0</v>
      </c>
      <c r="BK17" s="235">
        <v>0</v>
      </c>
      <c r="BL17" s="162">
        <v>650</v>
      </c>
      <c r="BM17" s="234">
        <v>650</v>
      </c>
      <c r="BN17" s="234">
        <v>650</v>
      </c>
      <c r="BO17" s="234">
        <v>650</v>
      </c>
      <c r="BP17" s="235">
        <v>650</v>
      </c>
      <c r="BQ17" s="236">
        <v>0</v>
      </c>
      <c r="BR17" s="234">
        <v>0</v>
      </c>
      <c r="BS17" s="234">
        <v>0</v>
      </c>
      <c r="BT17" s="234">
        <v>0</v>
      </c>
      <c r="BU17" s="235">
        <v>0</v>
      </c>
      <c r="BV17" s="266"/>
      <c r="BW17" s="234">
        <v>426.06279434850865</v>
      </c>
      <c r="BX17" s="234">
        <v>404.75965463108315</v>
      </c>
      <c r="BY17" s="234">
        <v>366.41400313971735</v>
      </c>
      <c r="BZ17" s="234">
        <v>349.37149136577699</v>
      </c>
      <c r="CA17" s="235">
        <v>349.37149136577699</v>
      </c>
      <c r="CB17" s="234">
        <v>0</v>
      </c>
      <c r="CC17" s="234">
        <v>0</v>
      </c>
      <c r="CD17" s="234">
        <v>0</v>
      </c>
      <c r="CE17" s="234">
        <v>0</v>
      </c>
      <c r="CF17" s="235">
        <v>0</v>
      </c>
      <c r="CG17" s="236">
        <v>10.204081632653061</v>
      </c>
      <c r="CH17" s="234">
        <v>10.204081632653061</v>
      </c>
      <c r="CI17" s="234">
        <v>10.204081632653061</v>
      </c>
      <c r="CJ17" s="234">
        <v>10.204081632653061</v>
      </c>
      <c r="CK17" s="235">
        <v>10.204081632653061</v>
      </c>
    </row>
    <row r="18" spans="1:89" s="21" customFormat="1" x14ac:dyDescent="0.25">
      <c r="A18" s="113" t="s">
        <v>223</v>
      </c>
      <c r="B18" s="114" t="s">
        <v>224</v>
      </c>
      <c r="C18" s="115" t="s">
        <v>20</v>
      </c>
      <c r="D18" s="116">
        <v>10</v>
      </c>
      <c r="E18" s="117">
        <v>10</v>
      </c>
      <c r="F18" s="117">
        <v>10</v>
      </c>
      <c r="G18" s="117">
        <v>10</v>
      </c>
      <c r="H18" s="118">
        <v>10</v>
      </c>
      <c r="I18" s="117"/>
      <c r="J18" s="117"/>
      <c r="K18" s="117"/>
      <c r="L18" s="117"/>
      <c r="M18" s="118"/>
      <c r="N18" s="117">
        <v>100</v>
      </c>
      <c r="O18" s="117">
        <v>100</v>
      </c>
      <c r="P18" s="117">
        <v>100</v>
      </c>
      <c r="Q18" s="117">
        <v>100</v>
      </c>
      <c r="R18" s="118">
        <v>100</v>
      </c>
      <c r="S18" s="117"/>
      <c r="T18" s="117"/>
      <c r="U18" s="117"/>
      <c r="V18" s="117"/>
      <c r="W18" s="118"/>
      <c r="X18" s="117">
        <v>100</v>
      </c>
      <c r="Y18" s="117">
        <v>100</v>
      </c>
      <c r="Z18" s="117">
        <v>100</v>
      </c>
      <c r="AA18" s="117">
        <v>100</v>
      </c>
      <c r="AB18" s="118">
        <v>100</v>
      </c>
      <c r="AC18" s="209">
        <v>3</v>
      </c>
      <c r="AD18" s="209">
        <v>3.3</v>
      </c>
      <c r="AE18" s="209">
        <v>3.7</v>
      </c>
      <c r="AF18" s="209">
        <v>4</v>
      </c>
      <c r="AG18" s="210">
        <v>4</v>
      </c>
      <c r="AH18" s="119">
        <v>0</v>
      </c>
      <c r="AI18" s="119">
        <v>0</v>
      </c>
      <c r="AJ18" s="119">
        <v>0</v>
      </c>
      <c r="AK18" s="119">
        <v>0</v>
      </c>
      <c r="AL18" s="120">
        <v>0</v>
      </c>
      <c r="AM18" s="119">
        <v>0</v>
      </c>
      <c r="AN18" s="119">
        <v>0</v>
      </c>
      <c r="AO18" s="119">
        <v>0</v>
      </c>
      <c r="AP18" s="119">
        <v>0</v>
      </c>
      <c r="AQ18" s="120">
        <v>0</v>
      </c>
      <c r="AR18" s="117"/>
      <c r="AS18" s="117"/>
      <c r="AT18" s="117"/>
      <c r="AU18" s="117"/>
      <c r="AV18" s="118"/>
      <c r="AW18" s="117">
        <v>20</v>
      </c>
      <c r="AX18" s="117">
        <v>20</v>
      </c>
      <c r="AY18" s="117">
        <v>20</v>
      </c>
      <c r="AZ18" s="117">
        <v>20</v>
      </c>
      <c r="BA18" s="118">
        <v>20</v>
      </c>
      <c r="BB18" s="121">
        <v>11000</v>
      </c>
      <c r="BC18" s="121">
        <v>10000</v>
      </c>
      <c r="BD18" s="121">
        <v>10000</v>
      </c>
      <c r="BE18" s="121">
        <v>9000</v>
      </c>
      <c r="BF18" s="122">
        <v>9000</v>
      </c>
      <c r="BG18" s="121">
        <v>0</v>
      </c>
      <c r="BH18" s="121">
        <v>0</v>
      </c>
      <c r="BI18" s="121">
        <v>0</v>
      </c>
      <c r="BJ18" s="121">
        <v>0</v>
      </c>
      <c r="BK18" s="122">
        <v>0</v>
      </c>
      <c r="BL18" s="121">
        <v>150</v>
      </c>
      <c r="BM18" s="121">
        <v>150</v>
      </c>
      <c r="BN18" s="121">
        <v>150</v>
      </c>
      <c r="BO18" s="121">
        <v>150</v>
      </c>
      <c r="BP18" s="122">
        <v>150</v>
      </c>
      <c r="BQ18" s="123">
        <v>0</v>
      </c>
      <c r="BR18" s="121">
        <v>0</v>
      </c>
      <c r="BS18" s="121">
        <v>0</v>
      </c>
      <c r="BT18" s="121">
        <v>0</v>
      </c>
      <c r="BU18" s="122">
        <v>0</v>
      </c>
      <c r="BV18" s="161" t="s">
        <v>225</v>
      </c>
      <c r="BW18" s="240">
        <f t="shared" ref="BW18:BW63" si="22">IFERROR(BB18/$D18,"")</f>
        <v>1100</v>
      </c>
      <c r="BX18" s="240">
        <f t="shared" ref="BX18:BX63" si="23">IFERROR(BC18/$E18,"")</f>
        <v>1000</v>
      </c>
      <c r="BY18" s="240">
        <f t="shared" ref="BY18:BY63" si="24">IFERROR(BD18/$F18,"")</f>
        <v>1000</v>
      </c>
      <c r="BZ18" s="240">
        <f t="shared" ref="BZ18:BZ63" si="25">IFERROR(BE18/$G18,"")</f>
        <v>900</v>
      </c>
      <c r="CA18" s="249">
        <f t="shared" ref="CA18:CA63" si="26">IFERROR(BF18/$H18,"")</f>
        <v>900</v>
      </c>
      <c r="CB18" s="240">
        <f t="shared" ref="CB18:CB63" si="27">IFERROR(BG18/$D18,"")</f>
        <v>0</v>
      </c>
      <c r="CC18" s="240">
        <f t="shared" ref="CC18:CC63" si="28">IFERROR(BH18/$E18,"")</f>
        <v>0</v>
      </c>
      <c r="CD18" s="240">
        <f t="shared" ref="CD18:CD63" si="29">IFERROR(BI18/$F18,"")</f>
        <v>0</v>
      </c>
      <c r="CE18" s="240">
        <f t="shared" ref="CE18:CE63" si="30">IFERROR(BJ18/$G18,"")</f>
        <v>0</v>
      </c>
      <c r="CF18" s="249">
        <f t="shared" ref="CF18:CF63" si="31">IFERROR(BK18/$H18,"")</f>
        <v>0</v>
      </c>
      <c r="CG18" s="250">
        <f t="shared" ref="CG18:CG63" si="32">IFERROR(BL18/$D18,"")</f>
        <v>15</v>
      </c>
      <c r="CH18" s="240">
        <f t="shared" ref="CH18:CH63" si="33">IFERROR(BM18/$E18,"")</f>
        <v>15</v>
      </c>
      <c r="CI18" s="240">
        <f t="shared" ref="CI18:CI63" si="34">IFERROR(BN18/$F18,"")</f>
        <v>15</v>
      </c>
      <c r="CJ18" s="240">
        <f t="shared" ref="CJ18:CJ63" si="35">IFERROR(BO18/$G18,"")</f>
        <v>15</v>
      </c>
      <c r="CK18" s="249">
        <f t="shared" ref="CK18:CK63" si="36">IFERROR(BP18/$H18,"")</f>
        <v>15</v>
      </c>
    </row>
    <row r="19" spans="1:89" s="21" customFormat="1" x14ac:dyDescent="0.25">
      <c r="A19" s="113" t="s">
        <v>226</v>
      </c>
      <c r="B19" s="114" t="s">
        <v>227</v>
      </c>
      <c r="C19" s="115" t="s">
        <v>228</v>
      </c>
      <c r="D19" s="243">
        <f>AVERAGE(50,750)</f>
        <v>400</v>
      </c>
      <c r="E19" s="244">
        <f t="shared" ref="E19:H19" si="37">AVERAGE(50,750)</f>
        <v>400</v>
      </c>
      <c r="F19" s="244">
        <f t="shared" si="37"/>
        <v>400</v>
      </c>
      <c r="G19" s="244">
        <f t="shared" si="37"/>
        <v>400</v>
      </c>
      <c r="H19" s="245">
        <f t="shared" si="37"/>
        <v>400</v>
      </c>
      <c r="I19" s="117"/>
      <c r="J19" s="117"/>
      <c r="K19" s="117"/>
      <c r="L19" s="117"/>
      <c r="M19" s="118"/>
      <c r="N19" s="117">
        <v>100</v>
      </c>
      <c r="O19" s="117">
        <v>100</v>
      </c>
      <c r="P19" s="117">
        <v>100</v>
      </c>
      <c r="Q19" s="117">
        <v>100</v>
      </c>
      <c r="R19" s="118">
        <v>100</v>
      </c>
      <c r="S19" s="117"/>
      <c r="T19" s="117"/>
      <c r="U19" s="117"/>
      <c r="V19" s="117"/>
      <c r="W19" s="118"/>
      <c r="X19" s="117">
        <v>100</v>
      </c>
      <c r="Y19" s="117">
        <v>100</v>
      </c>
      <c r="Z19" s="117">
        <v>100</v>
      </c>
      <c r="AA19" s="117">
        <v>100</v>
      </c>
      <c r="AB19" s="118">
        <v>100</v>
      </c>
      <c r="AC19" s="209">
        <v>3</v>
      </c>
      <c r="AD19" s="209">
        <v>3.3</v>
      </c>
      <c r="AE19" s="209">
        <v>3.7</v>
      </c>
      <c r="AF19" s="209">
        <v>4</v>
      </c>
      <c r="AG19" s="210">
        <v>4</v>
      </c>
      <c r="AH19" s="119">
        <v>0</v>
      </c>
      <c r="AI19" s="119">
        <v>0</v>
      </c>
      <c r="AJ19" s="119">
        <v>0</v>
      </c>
      <c r="AK19" s="119">
        <v>0</v>
      </c>
      <c r="AL19" s="120">
        <v>0</v>
      </c>
      <c r="AM19" s="119">
        <v>0</v>
      </c>
      <c r="AN19" s="119">
        <v>0</v>
      </c>
      <c r="AO19" s="119">
        <v>0</v>
      </c>
      <c r="AP19" s="119">
        <v>0</v>
      </c>
      <c r="AQ19" s="120">
        <v>0</v>
      </c>
      <c r="AR19" s="117"/>
      <c r="AS19" s="117"/>
      <c r="AT19" s="117"/>
      <c r="AU19" s="117"/>
      <c r="AV19" s="118"/>
      <c r="AW19" s="117">
        <v>20</v>
      </c>
      <c r="AX19" s="117">
        <v>20</v>
      </c>
      <c r="AY19" s="117">
        <v>20</v>
      </c>
      <c r="AZ19" s="117">
        <v>20</v>
      </c>
      <c r="BA19" s="118">
        <v>20</v>
      </c>
      <c r="BB19" s="121">
        <v>320000</v>
      </c>
      <c r="BC19" s="121">
        <v>320000</v>
      </c>
      <c r="BD19" s="121">
        <v>280000</v>
      </c>
      <c r="BE19" s="121">
        <v>280000</v>
      </c>
      <c r="BF19" s="122">
        <v>280000</v>
      </c>
      <c r="BG19" s="121">
        <v>0</v>
      </c>
      <c r="BH19" s="121">
        <v>0</v>
      </c>
      <c r="BI19" s="121">
        <v>0</v>
      </c>
      <c r="BJ19" s="121">
        <v>0</v>
      </c>
      <c r="BK19" s="122">
        <v>0</v>
      </c>
      <c r="BL19" s="121">
        <v>450</v>
      </c>
      <c r="BM19" s="121">
        <v>450</v>
      </c>
      <c r="BN19" s="121">
        <v>450</v>
      </c>
      <c r="BO19" s="121">
        <v>450</v>
      </c>
      <c r="BP19" s="122">
        <v>450</v>
      </c>
      <c r="BQ19" s="123">
        <v>0</v>
      </c>
      <c r="BR19" s="121">
        <v>0</v>
      </c>
      <c r="BS19" s="121">
        <v>0</v>
      </c>
      <c r="BT19" s="121">
        <v>0</v>
      </c>
      <c r="BU19" s="122">
        <v>0</v>
      </c>
      <c r="BV19" s="161"/>
      <c r="BW19" s="240">
        <f t="shared" si="22"/>
        <v>800</v>
      </c>
      <c r="BX19" s="240">
        <f t="shared" si="23"/>
        <v>800</v>
      </c>
      <c r="BY19" s="240">
        <f t="shared" si="24"/>
        <v>700</v>
      </c>
      <c r="BZ19" s="240">
        <f t="shared" si="25"/>
        <v>700</v>
      </c>
      <c r="CA19" s="249">
        <f t="shared" si="26"/>
        <v>700</v>
      </c>
      <c r="CB19" s="240">
        <f t="shared" si="27"/>
        <v>0</v>
      </c>
      <c r="CC19" s="240">
        <f t="shared" si="28"/>
        <v>0</v>
      </c>
      <c r="CD19" s="240">
        <f t="shared" si="29"/>
        <v>0</v>
      </c>
      <c r="CE19" s="240">
        <f t="shared" si="30"/>
        <v>0</v>
      </c>
      <c r="CF19" s="249">
        <f t="shared" si="31"/>
        <v>0</v>
      </c>
      <c r="CG19" s="250">
        <f t="shared" si="32"/>
        <v>1.125</v>
      </c>
      <c r="CH19" s="240">
        <f t="shared" si="33"/>
        <v>1.125</v>
      </c>
      <c r="CI19" s="240">
        <f t="shared" si="34"/>
        <v>1.125</v>
      </c>
      <c r="CJ19" s="240">
        <f t="shared" si="35"/>
        <v>1.125</v>
      </c>
      <c r="CK19" s="249">
        <f t="shared" si="36"/>
        <v>1.125</v>
      </c>
    </row>
    <row r="20" spans="1:89" s="21" customFormat="1" x14ac:dyDescent="0.25">
      <c r="A20" s="113" t="s">
        <v>229</v>
      </c>
      <c r="B20" s="114" t="s">
        <v>230</v>
      </c>
      <c r="C20" s="115" t="s">
        <v>231</v>
      </c>
      <c r="D20" s="116">
        <v>10</v>
      </c>
      <c r="E20" s="117">
        <v>10</v>
      </c>
      <c r="F20" s="117">
        <v>10</v>
      </c>
      <c r="G20" s="117">
        <v>10</v>
      </c>
      <c r="H20" s="118">
        <v>10</v>
      </c>
      <c r="I20" s="117"/>
      <c r="J20" s="117"/>
      <c r="K20" s="117"/>
      <c r="L20" s="117"/>
      <c r="M20" s="118"/>
      <c r="N20" s="117">
        <v>100</v>
      </c>
      <c r="O20" s="117">
        <v>100</v>
      </c>
      <c r="P20" s="117">
        <v>100</v>
      </c>
      <c r="Q20" s="117">
        <v>100</v>
      </c>
      <c r="R20" s="118">
        <v>100</v>
      </c>
      <c r="S20" s="117"/>
      <c r="T20" s="117"/>
      <c r="U20" s="117"/>
      <c r="V20" s="117"/>
      <c r="W20" s="118"/>
      <c r="X20" s="117">
        <v>100</v>
      </c>
      <c r="Y20" s="117">
        <v>100</v>
      </c>
      <c r="Z20" s="117">
        <v>100</v>
      </c>
      <c r="AA20" s="117">
        <v>100</v>
      </c>
      <c r="AB20" s="118">
        <v>100</v>
      </c>
      <c r="AC20" s="209">
        <v>3.3</v>
      </c>
      <c r="AD20" s="209">
        <v>3.5</v>
      </c>
      <c r="AE20" s="209">
        <v>4</v>
      </c>
      <c r="AF20" s="209">
        <v>4.5</v>
      </c>
      <c r="AG20" s="210">
        <v>4.5</v>
      </c>
      <c r="AH20" s="119">
        <v>0</v>
      </c>
      <c r="AI20" s="119">
        <v>0</v>
      </c>
      <c r="AJ20" s="119">
        <v>0</v>
      </c>
      <c r="AK20" s="119">
        <v>0</v>
      </c>
      <c r="AL20" s="120">
        <v>0</v>
      </c>
      <c r="AM20" s="119">
        <v>0</v>
      </c>
      <c r="AN20" s="119">
        <v>0</v>
      </c>
      <c r="AO20" s="119">
        <v>0</v>
      </c>
      <c r="AP20" s="119">
        <v>0</v>
      </c>
      <c r="AQ20" s="120">
        <v>0</v>
      </c>
      <c r="AR20" s="117"/>
      <c r="AS20" s="117"/>
      <c r="AT20" s="117"/>
      <c r="AU20" s="117"/>
      <c r="AV20" s="118"/>
      <c r="AW20" s="117">
        <v>20</v>
      </c>
      <c r="AX20" s="117">
        <v>20</v>
      </c>
      <c r="AY20" s="117">
        <v>20</v>
      </c>
      <c r="AZ20" s="117">
        <v>20</v>
      </c>
      <c r="BA20" s="118">
        <v>20</v>
      </c>
      <c r="BB20" s="121">
        <v>14000</v>
      </c>
      <c r="BC20" s="121">
        <v>13000</v>
      </c>
      <c r="BD20" s="121">
        <v>12000</v>
      </c>
      <c r="BE20" s="121">
        <v>11000</v>
      </c>
      <c r="BF20" s="122">
        <v>11000</v>
      </c>
      <c r="BG20" s="121">
        <v>5000</v>
      </c>
      <c r="BH20" s="121">
        <v>5000</v>
      </c>
      <c r="BI20" s="121">
        <v>5000</v>
      </c>
      <c r="BJ20" s="121">
        <v>5000</v>
      </c>
      <c r="BK20" s="122">
        <v>5000</v>
      </c>
      <c r="BL20" s="121">
        <v>200</v>
      </c>
      <c r="BM20" s="121">
        <v>200</v>
      </c>
      <c r="BN20" s="121">
        <v>200</v>
      </c>
      <c r="BO20" s="121">
        <v>200</v>
      </c>
      <c r="BP20" s="122">
        <v>200</v>
      </c>
      <c r="BQ20" s="123">
        <v>0</v>
      </c>
      <c r="BR20" s="121">
        <v>0</v>
      </c>
      <c r="BS20" s="121">
        <v>0</v>
      </c>
      <c r="BT20" s="121">
        <v>0</v>
      </c>
      <c r="BU20" s="122">
        <v>0</v>
      </c>
      <c r="BV20" s="161" t="s">
        <v>232</v>
      </c>
      <c r="BW20" s="240">
        <f t="shared" si="22"/>
        <v>1400</v>
      </c>
      <c r="BX20" s="240">
        <f t="shared" si="23"/>
        <v>1300</v>
      </c>
      <c r="BY20" s="240">
        <f t="shared" si="24"/>
        <v>1200</v>
      </c>
      <c r="BZ20" s="240">
        <f t="shared" si="25"/>
        <v>1100</v>
      </c>
      <c r="CA20" s="249">
        <f t="shared" si="26"/>
        <v>1100</v>
      </c>
      <c r="CB20" s="240">
        <f t="shared" si="27"/>
        <v>500</v>
      </c>
      <c r="CC20" s="240">
        <f t="shared" si="28"/>
        <v>500</v>
      </c>
      <c r="CD20" s="240">
        <f t="shared" si="29"/>
        <v>500</v>
      </c>
      <c r="CE20" s="240">
        <f t="shared" si="30"/>
        <v>500</v>
      </c>
      <c r="CF20" s="249">
        <f t="shared" si="31"/>
        <v>500</v>
      </c>
      <c r="CG20" s="250">
        <f t="shared" si="32"/>
        <v>20</v>
      </c>
      <c r="CH20" s="240">
        <f t="shared" si="33"/>
        <v>20</v>
      </c>
      <c r="CI20" s="240">
        <f t="shared" si="34"/>
        <v>20</v>
      </c>
      <c r="CJ20" s="240">
        <f t="shared" si="35"/>
        <v>20</v>
      </c>
      <c r="CK20" s="249">
        <f t="shared" si="36"/>
        <v>20</v>
      </c>
    </row>
    <row r="21" spans="1:89" s="21" customFormat="1" x14ac:dyDescent="0.25">
      <c r="A21" s="113" t="s">
        <v>233</v>
      </c>
      <c r="B21" s="114" t="s">
        <v>234</v>
      </c>
      <c r="C21" s="115" t="s">
        <v>235</v>
      </c>
      <c r="D21" s="243">
        <f>AVERAGE(50,750)</f>
        <v>400</v>
      </c>
      <c r="E21" s="244">
        <f t="shared" ref="E21:H21" si="38">AVERAGE(50,750)</f>
        <v>400</v>
      </c>
      <c r="F21" s="244">
        <f t="shared" si="38"/>
        <v>400</v>
      </c>
      <c r="G21" s="244">
        <f t="shared" si="38"/>
        <v>400</v>
      </c>
      <c r="H21" s="245">
        <f t="shared" si="38"/>
        <v>400</v>
      </c>
      <c r="I21" s="117"/>
      <c r="J21" s="117"/>
      <c r="K21" s="117"/>
      <c r="L21" s="117"/>
      <c r="M21" s="118"/>
      <c r="N21" s="117">
        <v>100</v>
      </c>
      <c r="O21" s="117">
        <v>100</v>
      </c>
      <c r="P21" s="117">
        <v>100</v>
      </c>
      <c r="Q21" s="117">
        <v>100</v>
      </c>
      <c r="R21" s="118">
        <v>100</v>
      </c>
      <c r="S21" s="117"/>
      <c r="T21" s="117"/>
      <c r="U21" s="117"/>
      <c r="V21" s="117"/>
      <c r="W21" s="118"/>
      <c r="X21" s="117">
        <v>100</v>
      </c>
      <c r="Y21" s="117">
        <v>100</v>
      </c>
      <c r="Z21" s="117">
        <v>100</v>
      </c>
      <c r="AA21" s="117">
        <v>100</v>
      </c>
      <c r="AB21" s="118">
        <v>100</v>
      </c>
      <c r="AC21" s="209">
        <v>3.3</v>
      </c>
      <c r="AD21" s="209">
        <v>3.5</v>
      </c>
      <c r="AE21" s="209">
        <v>4</v>
      </c>
      <c r="AF21" s="209">
        <v>4.5</v>
      </c>
      <c r="AG21" s="210">
        <v>4.5</v>
      </c>
      <c r="AH21" s="119">
        <v>0</v>
      </c>
      <c r="AI21" s="119">
        <v>0</v>
      </c>
      <c r="AJ21" s="119">
        <v>0</v>
      </c>
      <c r="AK21" s="119">
        <v>0</v>
      </c>
      <c r="AL21" s="120">
        <v>0</v>
      </c>
      <c r="AM21" s="119">
        <v>0</v>
      </c>
      <c r="AN21" s="119">
        <v>0</v>
      </c>
      <c r="AO21" s="119">
        <v>0</v>
      </c>
      <c r="AP21" s="119">
        <v>0</v>
      </c>
      <c r="AQ21" s="120">
        <v>0</v>
      </c>
      <c r="AR21" s="117"/>
      <c r="AS21" s="117"/>
      <c r="AT21" s="117"/>
      <c r="AU21" s="117"/>
      <c r="AV21" s="118"/>
      <c r="AW21" s="117">
        <v>20</v>
      </c>
      <c r="AX21" s="117">
        <v>20</v>
      </c>
      <c r="AY21" s="117">
        <v>20</v>
      </c>
      <c r="AZ21" s="117">
        <v>20</v>
      </c>
      <c r="BA21" s="118">
        <v>20</v>
      </c>
      <c r="BB21" s="121">
        <v>360000</v>
      </c>
      <c r="BC21" s="121">
        <v>360000</v>
      </c>
      <c r="BD21" s="121">
        <v>320000</v>
      </c>
      <c r="BE21" s="121">
        <v>280000</v>
      </c>
      <c r="BF21" s="122">
        <v>280000</v>
      </c>
      <c r="BG21" s="121">
        <v>540</v>
      </c>
      <c r="BH21" s="121">
        <v>540</v>
      </c>
      <c r="BI21" s="121">
        <v>540</v>
      </c>
      <c r="BJ21" s="121">
        <v>540</v>
      </c>
      <c r="BK21" s="122">
        <v>540</v>
      </c>
      <c r="BL21" s="121">
        <v>600</v>
      </c>
      <c r="BM21" s="121">
        <v>600</v>
      </c>
      <c r="BN21" s="121">
        <v>600</v>
      </c>
      <c r="BO21" s="121">
        <v>600</v>
      </c>
      <c r="BP21" s="122">
        <v>600</v>
      </c>
      <c r="BQ21" s="123">
        <v>0</v>
      </c>
      <c r="BR21" s="121">
        <v>0</v>
      </c>
      <c r="BS21" s="121">
        <v>0</v>
      </c>
      <c r="BT21" s="121">
        <v>0</v>
      </c>
      <c r="BU21" s="122">
        <v>0</v>
      </c>
      <c r="BV21" s="161" t="s">
        <v>232</v>
      </c>
      <c r="BW21" s="240">
        <f t="shared" si="22"/>
        <v>900</v>
      </c>
      <c r="BX21" s="240">
        <f t="shared" si="23"/>
        <v>900</v>
      </c>
      <c r="BY21" s="240">
        <f t="shared" si="24"/>
        <v>800</v>
      </c>
      <c r="BZ21" s="240">
        <f t="shared" si="25"/>
        <v>700</v>
      </c>
      <c r="CA21" s="249">
        <f t="shared" si="26"/>
        <v>700</v>
      </c>
      <c r="CB21" s="254">
        <f t="shared" si="27"/>
        <v>1.35</v>
      </c>
      <c r="CC21" s="240">
        <f t="shared" si="28"/>
        <v>1.35</v>
      </c>
      <c r="CD21" s="240">
        <f t="shared" si="29"/>
        <v>1.35</v>
      </c>
      <c r="CE21" s="240">
        <f t="shared" si="30"/>
        <v>1.35</v>
      </c>
      <c r="CF21" s="249">
        <f t="shared" si="31"/>
        <v>1.35</v>
      </c>
      <c r="CG21" s="250">
        <f t="shared" si="32"/>
        <v>1.5</v>
      </c>
      <c r="CH21" s="240">
        <f t="shared" si="33"/>
        <v>1.5</v>
      </c>
      <c r="CI21" s="240">
        <f t="shared" si="34"/>
        <v>1.5</v>
      </c>
      <c r="CJ21" s="240">
        <f t="shared" si="35"/>
        <v>1.5</v>
      </c>
      <c r="CK21" s="249">
        <f t="shared" si="36"/>
        <v>1.5</v>
      </c>
    </row>
    <row r="22" spans="1:89" s="21" customFormat="1" x14ac:dyDescent="0.25">
      <c r="A22" s="113" t="s">
        <v>21</v>
      </c>
      <c r="B22" s="114" t="s">
        <v>6</v>
      </c>
      <c r="C22" s="115" t="s">
        <v>21</v>
      </c>
      <c r="D22" s="131">
        <v>15</v>
      </c>
      <c r="E22" s="127">
        <v>15</v>
      </c>
      <c r="F22" s="127">
        <v>15</v>
      </c>
      <c r="G22" s="127">
        <v>15</v>
      </c>
      <c r="H22" s="128">
        <v>15</v>
      </c>
      <c r="I22" s="117"/>
      <c r="J22" s="117"/>
      <c r="K22" s="117"/>
      <c r="L22" s="117"/>
      <c r="M22" s="118"/>
      <c r="N22" s="117">
        <v>0</v>
      </c>
      <c r="O22" s="117">
        <v>0</v>
      </c>
      <c r="P22" s="117">
        <v>0</v>
      </c>
      <c r="Q22" s="117">
        <v>0</v>
      </c>
      <c r="R22" s="118">
        <v>0</v>
      </c>
      <c r="S22" s="117"/>
      <c r="T22" s="117"/>
      <c r="U22" s="117"/>
      <c r="V22" s="117"/>
      <c r="W22" s="118"/>
      <c r="X22" s="117">
        <v>0</v>
      </c>
      <c r="Y22" s="117">
        <v>0</v>
      </c>
      <c r="Z22" s="117">
        <v>0</v>
      </c>
      <c r="AA22" s="117">
        <v>0</v>
      </c>
      <c r="AB22" s="118">
        <v>0</v>
      </c>
      <c r="AC22" s="209">
        <v>0</v>
      </c>
      <c r="AD22" s="209">
        <v>0</v>
      </c>
      <c r="AE22" s="209">
        <v>0</v>
      </c>
      <c r="AF22" s="209">
        <v>0</v>
      </c>
      <c r="AG22" s="210">
        <v>0</v>
      </c>
      <c r="AH22" s="119">
        <v>0</v>
      </c>
      <c r="AI22" s="119">
        <v>0</v>
      </c>
      <c r="AJ22" s="119">
        <v>0</v>
      </c>
      <c r="AK22" s="119">
        <v>0</v>
      </c>
      <c r="AL22" s="120">
        <v>0</v>
      </c>
      <c r="AM22" s="119">
        <v>0</v>
      </c>
      <c r="AN22" s="119">
        <v>0</v>
      </c>
      <c r="AO22" s="119">
        <v>0</v>
      </c>
      <c r="AP22" s="119">
        <v>0</v>
      </c>
      <c r="AQ22" s="120">
        <v>0</v>
      </c>
      <c r="AR22" s="117"/>
      <c r="AS22" s="117"/>
      <c r="AT22" s="117"/>
      <c r="AU22" s="117"/>
      <c r="AV22" s="118"/>
      <c r="AW22" s="117">
        <v>0</v>
      </c>
      <c r="AX22" s="117">
        <v>0</v>
      </c>
      <c r="AY22" s="117">
        <v>0</v>
      </c>
      <c r="AZ22" s="117">
        <v>0</v>
      </c>
      <c r="BA22" s="118">
        <v>0</v>
      </c>
      <c r="BB22" s="124">
        <v>16350</v>
      </c>
      <c r="BC22" s="124">
        <v>16350</v>
      </c>
      <c r="BD22" s="124">
        <v>12262.5</v>
      </c>
      <c r="BE22" s="124">
        <v>12262.5</v>
      </c>
      <c r="BF22" s="125">
        <v>10627.5</v>
      </c>
      <c r="BG22" s="124">
        <v>9385</v>
      </c>
      <c r="BH22" s="124">
        <v>9385</v>
      </c>
      <c r="BI22" s="124">
        <v>9385</v>
      </c>
      <c r="BJ22" s="124">
        <v>9385</v>
      </c>
      <c r="BK22" s="125">
        <v>9385</v>
      </c>
      <c r="BL22" s="124">
        <v>300</v>
      </c>
      <c r="BM22" s="124">
        <v>300</v>
      </c>
      <c r="BN22" s="124">
        <v>300</v>
      </c>
      <c r="BO22" s="124">
        <v>300</v>
      </c>
      <c r="BP22" s="125">
        <v>300</v>
      </c>
      <c r="BQ22" s="123">
        <v>0</v>
      </c>
      <c r="BR22" s="121">
        <v>0</v>
      </c>
      <c r="BS22" s="121">
        <v>0</v>
      </c>
      <c r="BT22" s="121">
        <v>0</v>
      </c>
      <c r="BU22" s="122">
        <v>0</v>
      </c>
      <c r="BV22" s="161" t="s">
        <v>48</v>
      </c>
      <c r="BW22" s="240">
        <f t="shared" si="22"/>
        <v>1090</v>
      </c>
      <c r="BX22" s="240">
        <f t="shared" si="23"/>
        <v>1090</v>
      </c>
      <c r="BY22" s="240">
        <f t="shared" si="24"/>
        <v>817.5</v>
      </c>
      <c r="BZ22" s="240">
        <f t="shared" si="25"/>
        <v>817.5</v>
      </c>
      <c r="CA22" s="249">
        <f t="shared" si="26"/>
        <v>708.5</v>
      </c>
      <c r="CB22" s="240">
        <f t="shared" si="27"/>
        <v>625.66666666666663</v>
      </c>
      <c r="CC22" s="240">
        <f t="shared" si="28"/>
        <v>625.66666666666663</v>
      </c>
      <c r="CD22" s="240">
        <f t="shared" si="29"/>
        <v>625.66666666666663</v>
      </c>
      <c r="CE22" s="240">
        <f t="shared" si="30"/>
        <v>625.66666666666663</v>
      </c>
      <c r="CF22" s="249">
        <f t="shared" si="31"/>
        <v>625.66666666666663</v>
      </c>
      <c r="CG22" s="250">
        <f t="shared" si="32"/>
        <v>20</v>
      </c>
      <c r="CH22" s="240">
        <f t="shared" si="33"/>
        <v>20</v>
      </c>
      <c r="CI22" s="240">
        <f t="shared" si="34"/>
        <v>20</v>
      </c>
      <c r="CJ22" s="240">
        <f t="shared" si="35"/>
        <v>20</v>
      </c>
      <c r="CK22" s="249">
        <f t="shared" si="36"/>
        <v>20</v>
      </c>
    </row>
    <row r="23" spans="1:89" s="21" customFormat="1" x14ac:dyDescent="0.25">
      <c r="A23" s="113"/>
      <c r="B23" s="114"/>
      <c r="C23" s="115" t="s">
        <v>236</v>
      </c>
      <c r="D23" s="131">
        <v>290</v>
      </c>
      <c r="E23" s="127">
        <v>290</v>
      </c>
      <c r="F23" s="127">
        <v>290</v>
      </c>
      <c r="G23" s="127">
        <v>290</v>
      </c>
      <c r="H23" s="128">
        <v>290</v>
      </c>
      <c r="I23" s="117"/>
      <c r="J23" s="117"/>
      <c r="K23" s="117"/>
      <c r="L23" s="117"/>
      <c r="M23" s="118"/>
      <c r="N23" s="117"/>
      <c r="O23" s="117"/>
      <c r="P23" s="117"/>
      <c r="Q23" s="117"/>
      <c r="R23" s="118"/>
      <c r="S23" s="117"/>
      <c r="T23" s="117"/>
      <c r="U23" s="117"/>
      <c r="V23" s="117"/>
      <c r="W23" s="118"/>
      <c r="X23" s="117"/>
      <c r="Y23" s="117"/>
      <c r="Z23" s="117"/>
      <c r="AA23" s="117"/>
      <c r="AB23" s="118"/>
      <c r="AC23" s="209">
        <v>0</v>
      </c>
      <c r="AD23" s="209">
        <v>0</v>
      </c>
      <c r="AE23" s="209">
        <v>0</v>
      </c>
      <c r="AF23" s="209">
        <v>0</v>
      </c>
      <c r="AG23" s="210">
        <v>0</v>
      </c>
      <c r="AH23" s="119">
        <v>0</v>
      </c>
      <c r="AI23" s="119">
        <v>0</v>
      </c>
      <c r="AJ23" s="119">
        <v>0</v>
      </c>
      <c r="AK23" s="119">
        <v>0</v>
      </c>
      <c r="AL23" s="120">
        <v>0</v>
      </c>
      <c r="AM23" s="119">
        <v>0</v>
      </c>
      <c r="AN23" s="119">
        <v>0</v>
      </c>
      <c r="AO23" s="119">
        <v>0</v>
      </c>
      <c r="AP23" s="119">
        <v>0</v>
      </c>
      <c r="AQ23" s="120">
        <v>0</v>
      </c>
      <c r="AR23" s="117"/>
      <c r="AS23" s="117"/>
      <c r="AT23" s="117"/>
      <c r="AU23" s="117"/>
      <c r="AV23" s="118"/>
      <c r="AW23" s="117"/>
      <c r="AX23" s="117"/>
      <c r="AY23" s="117"/>
      <c r="AZ23" s="117"/>
      <c r="BA23" s="118"/>
      <c r="BB23" s="124">
        <v>87000</v>
      </c>
      <c r="BC23" s="124">
        <v>87000</v>
      </c>
      <c r="BD23" s="124">
        <v>65250</v>
      </c>
      <c r="BE23" s="124">
        <v>65250</v>
      </c>
      <c r="BF23" s="125">
        <v>56550</v>
      </c>
      <c r="BG23" s="124">
        <v>18770</v>
      </c>
      <c r="BH23" s="124">
        <v>18770</v>
      </c>
      <c r="BI23" s="124">
        <v>18770</v>
      </c>
      <c r="BJ23" s="124">
        <v>18770</v>
      </c>
      <c r="BK23" s="125">
        <v>18770</v>
      </c>
      <c r="BL23" s="124">
        <v>300</v>
      </c>
      <c r="BM23" s="124">
        <v>300</v>
      </c>
      <c r="BN23" s="124">
        <v>300</v>
      </c>
      <c r="BO23" s="124">
        <v>300</v>
      </c>
      <c r="BP23" s="125">
        <v>300</v>
      </c>
      <c r="BQ23" s="123"/>
      <c r="BR23" s="121"/>
      <c r="BS23" s="121"/>
      <c r="BT23" s="121"/>
      <c r="BU23" s="122"/>
      <c r="BV23" s="161"/>
      <c r="BW23" s="240">
        <f t="shared" si="22"/>
        <v>300</v>
      </c>
      <c r="BX23" s="240">
        <f t="shared" si="23"/>
        <v>300</v>
      </c>
      <c r="BY23" s="240">
        <f t="shared" si="24"/>
        <v>225</v>
      </c>
      <c r="BZ23" s="240">
        <f t="shared" si="25"/>
        <v>225</v>
      </c>
      <c r="CA23" s="249">
        <f t="shared" si="26"/>
        <v>195</v>
      </c>
      <c r="CB23" s="240">
        <f t="shared" si="27"/>
        <v>64.724137931034477</v>
      </c>
      <c r="CC23" s="240">
        <f t="shared" si="28"/>
        <v>64.724137931034477</v>
      </c>
      <c r="CD23" s="240">
        <f t="shared" si="29"/>
        <v>64.724137931034477</v>
      </c>
      <c r="CE23" s="240">
        <f t="shared" si="30"/>
        <v>64.724137931034477</v>
      </c>
      <c r="CF23" s="249">
        <f t="shared" si="31"/>
        <v>64.724137931034477</v>
      </c>
      <c r="CG23" s="250">
        <f t="shared" si="32"/>
        <v>1.0344827586206897</v>
      </c>
      <c r="CH23" s="240">
        <f t="shared" si="33"/>
        <v>1.0344827586206897</v>
      </c>
      <c r="CI23" s="240">
        <f t="shared" si="34"/>
        <v>1.0344827586206897</v>
      </c>
      <c r="CJ23" s="240">
        <f t="shared" si="35"/>
        <v>1.0344827586206897</v>
      </c>
      <c r="CK23" s="249">
        <f t="shared" si="36"/>
        <v>1.0344827586206897</v>
      </c>
    </row>
    <row r="24" spans="1:89" s="21" customFormat="1" x14ac:dyDescent="0.25">
      <c r="A24" s="113" t="s">
        <v>237</v>
      </c>
      <c r="B24" s="114" t="s">
        <v>238</v>
      </c>
      <c r="C24" s="115" t="s">
        <v>181</v>
      </c>
      <c r="D24" s="116">
        <v>2</v>
      </c>
      <c r="E24" s="117">
        <v>2</v>
      </c>
      <c r="F24" s="117">
        <v>2</v>
      </c>
      <c r="G24" s="117">
        <v>2</v>
      </c>
      <c r="H24" s="118">
        <v>2</v>
      </c>
      <c r="I24" s="117"/>
      <c r="J24" s="117"/>
      <c r="K24" s="117"/>
      <c r="L24" s="117"/>
      <c r="M24" s="118"/>
      <c r="N24" s="117">
        <v>40</v>
      </c>
      <c r="O24" s="117">
        <v>40</v>
      </c>
      <c r="P24" s="117">
        <v>40</v>
      </c>
      <c r="Q24" s="117">
        <v>40</v>
      </c>
      <c r="R24" s="118">
        <v>40</v>
      </c>
      <c r="S24" s="117"/>
      <c r="T24" s="117"/>
      <c r="U24" s="117"/>
      <c r="V24" s="117"/>
      <c r="W24" s="118"/>
      <c r="X24" s="117">
        <v>0</v>
      </c>
      <c r="Y24" s="117">
        <v>0</v>
      </c>
      <c r="Z24" s="117">
        <v>0</v>
      </c>
      <c r="AA24" s="117">
        <v>0</v>
      </c>
      <c r="AB24" s="118">
        <v>0</v>
      </c>
      <c r="AC24" s="209">
        <v>3</v>
      </c>
      <c r="AD24" s="209">
        <v>3.1</v>
      </c>
      <c r="AE24" s="209">
        <v>3.4</v>
      </c>
      <c r="AF24" s="209">
        <v>3.5</v>
      </c>
      <c r="AG24" s="210">
        <v>3.5</v>
      </c>
      <c r="AH24" s="119">
        <v>0</v>
      </c>
      <c r="AI24" s="119">
        <v>0</v>
      </c>
      <c r="AJ24" s="119">
        <v>0</v>
      </c>
      <c r="AK24" s="119">
        <v>0</v>
      </c>
      <c r="AL24" s="120">
        <v>0</v>
      </c>
      <c r="AM24" s="119">
        <v>0</v>
      </c>
      <c r="AN24" s="119">
        <v>0</v>
      </c>
      <c r="AO24" s="119">
        <v>0</v>
      </c>
      <c r="AP24" s="119">
        <v>0</v>
      </c>
      <c r="AQ24" s="120">
        <v>0</v>
      </c>
      <c r="AR24" s="117"/>
      <c r="AS24" s="117"/>
      <c r="AT24" s="117"/>
      <c r="AU24" s="117"/>
      <c r="AV24" s="118"/>
      <c r="AW24" s="117">
        <v>20</v>
      </c>
      <c r="AX24" s="117">
        <v>20</v>
      </c>
      <c r="AY24" s="117">
        <v>20</v>
      </c>
      <c r="AZ24" s="117">
        <v>20</v>
      </c>
      <c r="BA24" s="118">
        <v>20</v>
      </c>
      <c r="BB24" s="121">
        <v>2000</v>
      </c>
      <c r="BC24" s="121">
        <v>1900</v>
      </c>
      <c r="BD24" s="121">
        <v>1800</v>
      </c>
      <c r="BE24" s="121">
        <v>1700</v>
      </c>
      <c r="BF24" s="122">
        <v>1700</v>
      </c>
      <c r="BG24" s="121">
        <v>0</v>
      </c>
      <c r="BH24" s="121">
        <v>0</v>
      </c>
      <c r="BI24" s="121">
        <v>0</v>
      </c>
      <c r="BJ24" s="121">
        <v>0</v>
      </c>
      <c r="BK24" s="122">
        <v>0</v>
      </c>
      <c r="BL24" s="121">
        <v>150</v>
      </c>
      <c r="BM24" s="121">
        <v>150</v>
      </c>
      <c r="BN24" s="121">
        <v>150</v>
      </c>
      <c r="BO24" s="121">
        <v>150</v>
      </c>
      <c r="BP24" s="122">
        <v>150</v>
      </c>
      <c r="BQ24" s="123">
        <v>0</v>
      </c>
      <c r="BR24" s="121">
        <v>0</v>
      </c>
      <c r="BS24" s="121">
        <v>0</v>
      </c>
      <c r="BT24" s="121">
        <v>0</v>
      </c>
      <c r="BU24" s="122">
        <v>0</v>
      </c>
      <c r="BV24" s="164"/>
      <c r="BW24" s="240">
        <f t="shared" si="22"/>
        <v>1000</v>
      </c>
      <c r="BX24" s="240">
        <f t="shared" si="23"/>
        <v>950</v>
      </c>
      <c r="BY24" s="240">
        <f t="shared" si="24"/>
        <v>900</v>
      </c>
      <c r="BZ24" s="240">
        <f t="shared" si="25"/>
        <v>850</v>
      </c>
      <c r="CA24" s="249">
        <f t="shared" si="26"/>
        <v>850</v>
      </c>
      <c r="CB24" s="240">
        <f t="shared" si="27"/>
        <v>0</v>
      </c>
      <c r="CC24" s="240">
        <f t="shared" si="28"/>
        <v>0</v>
      </c>
      <c r="CD24" s="240">
        <f t="shared" si="29"/>
        <v>0</v>
      </c>
      <c r="CE24" s="240">
        <f t="shared" si="30"/>
        <v>0</v>
      </c>
      <c r="CF24" s="249">
        <f t="shared" si="31"/>
        <v>0</v>
      </c>
      <c r="CG24" s="250">
        <f t="shared" si="32"/>
        <v>75</v>
      </c>
      <c r="CH24" s="240">
        <f t="shared" si="33"/>
        <v>75</v>
      </c>
      <c r="CI24" s="240">
        <f t="shared" si="34"/>
        <v>75</v>
      </c>
      <c r="CJ24" s="240">
        <f t="shared" si="35"/>
        <v>75</v>
      </c>
      <c r="CK24" s="249">
        <f t="shared" si="36"/>
        <v>75</v>
      </c>
    </row>
    <row r="25" spans="1:89" s="21" customFormat="1" x14ac:dyDescent="0.25">
      <c r="A25" s="113" t="s">
        <v>239</v>
      </c>
      <c r="B25" s="114" t="s">
        <v>240</v>
      </c>
      <c r="C25" s="115" t="s">
        <v>241</v>
      </c>
      <c r="D25" s="243">
        <f>AVERAGE(14,200)</f>
        <v>107</v>
      </c>
      <c r="E25" s="244">
        <f t="shared" ref="E25:H25" si="39">AVERAGE(14,200)</f>
        <v>107</v>
      </c>
      <c r="F25" s="244">
        <f t="shared" si="39"/>
        <v>107</v>
      </c>
      <c r="G25" s="244">
        <f t="shared" si="39"/>
        <v>107</v>
      </c>
      <c r="H25" s="245">
        <f t="shared" si="39"/>
        <v>107</v>
      </c>
      <c r="I25" s="117"/>
      <c r="J25" s="117"/>
      <c r="K25" s="117"/>
      <c r="L25" s="117"/>
      <c r="M25" s="118"/>
      <c r="N25" s="117">
        <v>40</v>
      </c>
      <c r="O25" s="117">
        <v>40</v>
      </c>
      <c r="P25" s="117">
        <v>40</v>
      </c>
      <c r="Q25" s="117">
        <v>40</v>
      </c>
      <c r="R25" s="118">
        <v>40</v>
      </c>
      <c r="S25" s="117"/>
      <c r="T25" s="117"/>
      <c r="U25" s="117"/>
      <c r="V25" s="117"/>
      <c r="W25" s="118"/>
      <c r="X25" s="117">
        <v>0</v>
      </c>
      <c r="Y25" s="117">
        <v>0</v>
      </c>
      <c r="Z25" s="117">
        <v>0</v>
      </c>
      <c r="AA25" s="117">
        <v>0</v>
      </c>
      <c r="AB25" s="118">
        <v>0</v>
      </c>
      <c r="AC25" s="209">
        <v>3</v>
      </c>
      <c r="AD25" s="209">
        <v>3.1</v>
      </c>
      <c r="AE25" s="209">
        <v>3.4</v>
      </c>
      <c r="AF25" s="209">
        <v>3.5</v>
      </c>
      <c r="AG25" s="210">
        <v>3.5</v>
      </c>
      <c r="AH25" s="119">
        <v>0</v>
      </c>
      <c r="AI25" s="119">
        <v>0</v>
      </c>
      <c r="AJ25" s="119">
        <v>0</v>
      </c>
      <c r="AK25" s="119">
        <v>0</v>
      </c>
      <c r="AL25" s="120">
        <v>0</v>
      </c>
      <c r="AM25" s="119">
        <v>0</v>
      </c>
      <c r="AN25" s="119">
        <v>0</v>
      </c>
      <c r="AO25" s="119">
        <v>0</v>
      </c>
      <c r="AP25" s="119">
        <v>0</v>
      </c>
      <c r="AQ25" s="120">
        <v>0</v>
      </c>
      <c r="AR25" s="117"/>
      <c r="AS25" s="117"/>
      <c r="AT25" s="117"/>
      <c r="AU25" s="117"/>
      <c r="AV25" s="118"/>
      <c r="AW25" s="117">
        <v>20</v>
      </c>
      <c r="AX25" s="117">
        <v>20</v>
      </c>
      <c r="AY25" s="117">
        <v>20</v>
      </c>
      <c r="AZ25" s="117">
        <v>20</v>
      </c>
      <c r="BA25" s="118">
        <v>20</v>
      </c>
      <c r="BB25" s="121">
        <v>85600</v>
      </c>
      <c r="BC25" s="121">
        <v>85600</v>
      </c>
      <c r="BD25" s="121">
        <v>74900</v>
      </c>
      <c r="BE25" s="121">
        <v>74900</v>
      </c>
      <c r="BF25" s="122">
        <v>74900</v>
      </c>
      <c r="BG25" s="121">
        <v>0</v>
      </c>
      <c r="BH25" s="121">
        <v>0</v>
      </c>
      <c r="BI25" s="121">
        <v>0</v>
      </c>
      <c r="BJ25" s="121">
        <v>0</v>
      </c>
      <c r="BK25" s="122">
        <v>0</v>
      </c>
      <c r="BL25" s="121">
        <v>450</v>
      </c>
      <c r="BM25" s="121">
        <v>450</v>
      </c>
      <c r="BN25" s="121">
        <v>450</v>
      </c>
      <c r="BO25" s="121">
        <v>450</v>
      </c>
      <c r="BP25" s="122">
        <v>450</v>
      </c>
      <c r="BQ25" s="123">
        <v>0</v>
      </c>
      <c r="BR25" s="121">
        <v>0</v>
      </c>
      <c r="BS25" s="121">
        <v>0</v>
      </c>
      <c r="BT25" s="121">
        <v>0</v>
      </c>
      <c r="BU25" s="122">
        <v>0</v>
      </c>
      <c r="BV25" s="164"/>
      <c r="BW25" s="240">
        <f t="shared" si="22"/>
        <v>800</v>
      </c>
      <c r="BX25" s="240">
        <f t="shared" si="23"/>
        <v>800</v>
      </c>
      <c r="BY25" s="240">
        <f t="shared" si="24"/>
        <v>700</v>
      </c>
      <c r="BZ25" s="240">
        <f t="shared" si="25"/>
        <v>700</v>
      </c>
      <c r="CA25" s="249">
        <f t="shared" si="26"/>
        <v>700</v>
      </c>
      <c r="CB25" s="240">
        <f t="shared" si="27"/>
        <v>0</v>
      </c>
      <c r="CC25" s="240">
        <f t="shared" si="28"/>
        <v>0</v>
      </c>
      <c r="CD25" s="240">
        <f t="shared" si="29"/>
        <v>0</v>
      </c>
      <c r="CE25" s="240">
        <f t="shared" si="30"/>
        <v>0</v>
      </c>
      <c r="CF25" s="249">
        <f t="shared" si="31"/>
        <v>0</v>
      </c>
      <c r="CG25" s="250">
        <f t="shared" si="32"/>
        <v>4.2056074766355138</v>
      </c>
      <c r="CH25" s="240">
        <f t="shared" si="33"/>
        <v>4.2056074766355138</v>
      </c>
      <c r="CI25" s="240">
        <f t="shared" si="34"/>
        <v>4.2056074766355138</v>
      </c>
      <c r="CJ25" s="240">
        <f t="shared" si="35"/>
        <v>4.2056074766355138</v>
      </c>
      <c r="CK25" s="249">
        <f t="shared" si="36"/>
        <v>4.2056074766355138</v>
      </c>
    </row>
    <row r="26" spans="1:89" s="21" customFormat="1" x14ac:dyDescent="0.25">
      <c r="A26" s="114" t="s">
        <v>183</v>
      </c>
      <c r="B26" s="114" t="s">
        <v>182</v>
      </c>
      <c r="C26" s="114" t="s">
        <v>181</v>
      </c>
      <c r="D26" s="116">
        <v>3.6</v>
      </c>
      <c r="E26" s="117">
        <v>3.6</v>
      </c>
      <c r="F26" s="117">
        <v>3.6</v>
      </c>
      <c r="G26" s="117">
        <v>3.6</v>
      </c>
      <c r="H26" s="118">
        <v>3.6</v>
      </c>
      <c r="I26" s="117">
        <v>2.5</v>
      </c>
      <c r="J26" s="117">
        <v>2.5</v>
      </c>
      <c r="K26" s="117">
        <v>2.5</v>
      </c>
      <c r="L26" s="117">
        <v>2.5</v>
      </c>
      <c r="M26" s="118">
        <v>2.5</v>
      </c>
      <c r="N26" s="117">
        <v>100</v>
      </c>
      <c r="O26" s="117">
        <v>100</v>
      </c>
      <c r="P26" s="117">
        <v>100</v>
      </c>
      <c r="Q26" s="117">
        <v>100</v>
      </c>
      <c r="R26" s="118">
        <v>100</v>
      </c>
      <c r="S26" s="117">
        <v>100</v>
      </c>
      <c r="T26" s="117">
        <v>100</v>
      </c>
      <c r="U26" s="117">
        <v>100</v>
      </c>
      <c r="V26" s="117">
        <v>100</v>
      </c>
      <c r="W26" s="118">
        <v>100</v>
      </c>
      <c r="X26" s="117">
        <v>0</v>
      </c>
      <c r="Y26" s="117">
        <v>0</v>
      </c>
      <c r="Z26" s="117">
        <v>0</v>
      </c>
      <c r="AA26" s="117">
        <v>0</v>
      </c>
      <c r="AB26" s="118">
        <v>0</v>
      </c>
      <c r="AC26" s="211">
        <v>0</v>
      </c>
      <c r="AD26" s="211">
        <v>0</v>
      </c>
      <c r="AE26" s="211">
        <v>0</v>
      </c>
      <c r="AF26" s="211">
        <v>0</v>
      </c>
      <c r="AG26" s="210">
        <v>0</v>
      </c>
      <c r="AH26" s="132">
        <v>3</v>
      </c>
      <c r="AI26" s="132">
        <v>3.1</v>
      </c>
      <c r="AJ26" s="132">
        <v>3.4</v>
      </c>
      <c r="AK26" s="132">
        <v>3.5</v>
      </c>
      <c r="AL26" s="133">
        <v>3.5</v>
      </c>
      <c r="AM26" s="132">
        <v>3</v>
      </c>
      <c r="AN26" s="132">
        <v>3.1</v>
      </c>
      <c r="AO26" s="132">
        <v>3.4</v>
      </c>
      <c r="AP26" s="132">
        <v>3.5</v>
      </c>
      <c r="AQ26" s="133">
        <v>3.5</v>
      </c>
      <c r="AR26" s="117">
        <v>0</v>
      </c>
      <c r="AS26" s="117">
        <v>0</v>
      </c>
      <c r="AT26" s="117">
        <v>0</v>
      </c>
      <c r="AU26" s="117">
        <v>0</v>
      </c>
      <c r="AV26" s="118">
        <v>0</v>
      </c>
      <c r="AW26" s="127">
        <v>20</v>
      </c>
      <c r="AX26" s="127">
        <v>20</v>
      </c>
      <c r="AY26" s="127">
        <v>20</v>
      </c>
      <c r="AZ26" s="127">
        <v>20</v>
      </c>
      <c r="BA26" s="128">
        <v>20</v>
      </c>
      <c r="BB26" s="121">
        <v>1875</v>
      </c>
      <c r="BC26" s="121">
        <v>1781.25</v>
      </c>
      <c r="BD26" s="121">
        <v>1593.75</v>
      </c>
      <c r="BE26" s="121">
        <v>1500</v>
      </c>
      <c r="BF26" s="122">
        <v>1406.25</v>
      </c>
      <c r="BG26" s="124">
        <v>1500</v>
      </c>
      <c r="BH26" s="124">
        <v>1500</v>
      </c>
      <c r="BI26" s="124">
        <v>1500</v>
      </c>
      <c r="BJ26" s="124">
        <v>1500</v>
      </c>
      <c r="BK26" s="125">
        <v>1500</v>
      </c>
      <c r="BL26" s="121">
        <v>294.44</v>
      </c>
      <c r="BM26" s="121">
        <v>294.44</v>
      </c>
      <c r="BN26" s="121">
        <v>294.44</v>
      </c>
      <c r="BO26" s="121">
        <v>294.44</v>
      </c>
      <c r="BP26" s="122">
        <v>294.44</v>
      </c>
      <c r="BQ26" s="121"/>
      <c r="BR26" s="121"/>
      <c r="BS26" s="121"/>
      <c r="BT26" s="121"/>
      <c r="BU26" s="122"/>
      <c r="BV26" s="161"/>
      <c r="BW26" s="250">
        <f t="shared" si="22"/>
        <v>520.83333333333337</v>
      </c>
      <c r="BX26" s="240">
        <f t="shared" si="23"/>
        <v>494.79166666666663</v>
      </c>
      <c r="BY26" s="240">
        <f t="shared" si="24"/>
        <v>442.70833333333331</v>
      </c>
      <c r="BZ26" s="240">
        <f t="shared" si="25"/>
        <v>416.66666666666663</v>
      </c>
      <c r="CA26" s="249">
        <f t="shared" si="26"/>
        <v>390.625</v>
      </c>
      <c r="CB26" s="250">
        <f t="shared" si="27"/>
        <v>416.66666666666663</v>
      </c>
      <c r="CC26" s="240">
        <f t="shared" si="28"/>
        <v>416.66666666666663</v>
      </c>
      <c r="CD26" s="240">
        <f t="shared" si="29"/>
        <v>416.66666666666663</v>
      </c>
      <c r="CE26" s="240">
        <f t="shared" si="30"/>
        <v>416.66666666666663</v>
      </c>
      <c r="CF26" s="249">
        <f t="shared" si="31"/>
        <v>416.66666666666663</v>
      </c>
      <c r="CG26" s="250">
        <f t="shared" si="32"/>
        <v>81.788888888888891</v>
      </c>
      <c r="CH26" s="240">
        <f t="shared" si="33"/>
        <v>81.788888888888891</v>
      </c>
      <c r="CI26" s="240">
        <f t="shared" si="34"/>
        <v>81.788888888888891</v>
      </c>
      <c r="CJ26" s="240">
        <f t="shared" si="35"/>
        <v>81.788888888888891</v>
      </c>
      <c r="CK26" s="249">
        <f t="shared" si="36"/>
        <v>81.788888888888891</v>
      </c>
    </row>
    <row r="27" spans="1:89" s="21" customFormat="1" x14ac:dyDescent="0.25">
      <c r="A27" s="107" t="s">
        <v>242</v>
      </c>
      <c r="B27" s="108"/>
      <c r="C27" s="109"/>
      <c r="D27" s="110"/>
      <c r="E27" s="111"/>
      <c r="F27" s="111"/>
      <c r="G27" s="111"/>
      <c r="H27" s="112"/>
      <c r="I27" s="111"/>
      <c r="J27" s="111"/>
      <c r="K27" s="111"/>
      <c r="L27" s="111"/>
      <c r="M27" s="112"/>
      <c r="N27" s="111"/>
      <c r="O27" s="111"/>
      <c r="P27" s="111"/>
      <c r="Q27" s="111"/>
      <c r="R27" s="112"/>
      <c r="S27" s="111"/>
      <c r="T27" s="111"/>
      <c r="U27" s="111"/>
      <c r="V27" s="111"/>
      <c r="W27" s="112"/>
      <c r="X27" s="111"/>
      <c r="Y27" s="111"/>
      <c r="Z27" s="111"/>
      <c r="AA27" s="111"/>
      <c r="AB27" s="112"/>
      <c r="AC27" s="212">
        <v>0</v>
      </c>
      <c r="AD27" s="212">
        <v>0</v>
      </c>
      <c r="AE27" s="212">
        <v>0</v>
      </c>
      <c r="AF27" s="212">
        <v>0</v>
      </c>
      <c r="AG27" s="213">
        <v>0</v>
      </c>
      <c r="AH27" s="129">
        <v>0</v>
      </c>
      <c r="AI27" s="129">
        <v>0</v>
      </c>
      <c r="AJ27" s="129">
        <v>0</v>
      </c>
      <c r="AK27" s="129">
        <v>0</v>
      </c>
      <c r="AL27" s="130">
        <v>0</v>
      </c>
      <c r="AM27" s="129">
        <v>0</v>
      </c>
      <c r="AN27" s="129">
        <v>0</v>
      </c>
      <c r="AO27" s="129">
        <v>0</v>
      </c>
      <c r="AP27" s="129">
        <v>0</v>
      </c>
      <c r="AQ27" s="130">
        <v>0</v>
      </c>
      <c r="AR27" s="111"/>
      <c r="AS27" s="111"/>
      <c r="AT27" s="111"/>
      <c r="AU27" s="111"/>
      <c r="AV27" s="112"/>
      <c r="AW27" s="111"/>
      <c r="AX27" s="111"/>
      <c r="AY27" s="111"/>
      <c r="AZ27" s="111"/>
      <c r="BA27" s="112"/>
      <c r="BB27" s="111">
        <v>0</v>
      </c>
      <c r="BC27" s="111">
        <v>0</v>
      </c>
      <c r="BD27" s="111">
        <v>0</v>
      </c>
      <c r="BE27" s="111">
        <v>0</v>
      </c>
      <c r="BF27" s="112">
        <v>0</v>
      </c>
      <c r="BG27" s="111">
        <v>0</v>
      </c>
      <c r="BH27" s="111">
        <v>0</v>
      </c>
      <c r="BI27" s="111">
        <v>0</v>
      </c>
      <c r="BJ27" s="111">
        <v>0</v>
      </c>
      <c r="BK27" s="112">
        <v>0</v>
      </c>
      <c r="BL27" s="111"/>
      <c r="BM27" s="111"/>
      <c r="BN27" s="111"/>
      <c r="BO27" s="111"/>
      <c r="BP27" s="112"/>
      <c r="BQ27" s="110"/>
      <c r="BR27" s="111"/>
      <c r="BS27" s="111"/>
      <c r="BT27" s="111"/>
      <c r="BU27" s="112"/>
      <c r="BV27" s="160"/>
      <c r="BW27" s="251" t="str">
        <f t="shared" si="22"/>
        <v/>
      </c>
      <c r="BX27" s="251" t="str">
        <f t="shared" si="23"/>
        <v/>
      </c>
      <c r="BY27" s="251" t="str">
        <f t="shared" si="24"/>
        <v/>
      </c>
      <c r="BZ27" s="251" t="str">
        <f t="shared" si="25"/>
        <v/>
      </c>
      <c r="CA27" s="252" t="str">
        <f t="shared" si="26"/>
        <v/>
      </c>
      <c r="CB27" s="251" t="str">
        <f t="shared" si="27"/>
        <v/>
      </c>
      <c r="CC27" s="251" t="str">
        <f t="shared" si="28"/>
        <v/>
      </c>
      <c r="CD27" s="251" t="str">
        <f t="shared" si="29"/>
        <v/>
      </c>
      <c r="CE27" s="251" t="str">
        <f t="shared" si="30"/>
        <v/>
      </c>
      <c r="CF27" s="252" t="str">
        <f t="shared" si="31"/>
        <v/>
      </c>
      <c r="CG27" s="253" t="str">
        <f t="shared" si="32"/>
        <v/>
      </c>
      <c r="CH27" s="251" t="str">
        <f t="shared" si="33"/>
        <v/>
      </c>
      <c r="CI27" s="251" t="str">
        <f t="shared" si="34"/>
        <v/>
      </c>
      <c r="CJ27" s="251" t="str">
        <f t="shared" si="35"/>
        <v/>
      </c>
      <c r="CK27" s="252" t="str">
        <f t="shared" si="36"/>
        <v/>
      </c>
    </row>
    <row r="28" spans="1:89" s="21" customFormat="1" x14ac:dyDescent="0.25">
      <c r="A28" s="113" t="s">
        <v>243</v>
      </c>
      <c r="B28" s="114" t="s">
        <v>244</v>
      </c>
      <c r="C28" s="115" t="s">
        <v>90</v>
      </c>
      <c r="D28" s="116">
        <v>18</v>
      </c>
      <c r="E28" s="117">
        <v>30</v>
      </c>
      <c r="F28" s="117">
        <v>30</v>
      </c>
      <c r="G28" s="117">
        <v>30</v>
      </c>
      <c r="H28" s="118">
        <v>30</v>
      </c>
      <c r="I28" s="117"/>
      <c r="J28" s="117"/>
      <c r="K28" s="117"/>
      <c r="L28" s="117"/>
      <c r="M28" s="118"/>
      <c r="N28" s="117">
        <v>100</v>
      </c>
      <c r="O28" s="117">
        <v>100</v>
      </c>
      <c r="P28" s="117">
        <v>100</v>
      </c>
      <c r="Q28" s="117">
        <v>100</v>
      </c>
      <c r="R28" s="118">
        <v>100</v>
      </c>
      <c r="S28" s="117"/>
      <c r="T28" s="117"/>
      <c r="U28" s="117"/>
      <c r="V28" s="117"/>
      <c r="W28" s="118"/>
      <c r="X28" s="117">
        <v>100</v>
      </c>
      <c r="Y28" s="117">
        <v>100</v>
      </c>
      <c r="Z28" s="117">
        <v>100</v>
      </c>
      <c r="AA28" s="117">
        <v>100</v>
      </c>
      <c r="AB28" s="118">
        <v>100</v>
      </c>
      <c r="AC28" s="209">
        <v>1.35</v>
      </c>
      <c r="AD28" s="209">
        <v>1.45</v>
      </c>
      <c r="AE28" s="209">
        <v>1.7</v>
      </c>
      <c r="AF28" s="209">
        <v>1.7</v>
      </c>
      <c r="AG28" s="210">
        <v>1.7</v>
      </c>
      <c r="AH28" s="119">
        <v>0</v>
      </c>
      <c r="AI28" s="119">
        <v>0</v>
      </c>
      <c r="AJ28" s="119">
        <v>0</v>
      </c>
      <c r="AK28" s="119">
        <v>0</v>
      </c>
      <c r="AL28" s="120">
        <v>0</v>
      </c>
      <c r="AM28" s="119">
        <v>0</v>
      </c>
      <c r="AN28" s="119">
        <v>0</v>
      </c>
      <c r="AO28" s="119">
        <v>0</v>
      </c>
      <c r="AP28" s="119">
        <v>0</v>
      </c>
      <c r="AQ28" s="120">
        <v>0</v>
      </c>
      <c r="AR28" s="117"/>
      <c r="AS28" s="117"/>
      <c r="AT28" s="117"/>
      <c r="AU28" s="117"/>
      <c r="AV28" s="118"/>
      <c r="AW28" s="117">
        <v>22</v>
      </c>
      <c r="AX28" s="117">
        <v>22</v>
      </c>
      <c r="AY28" s="117">
        <v>22</v>
      </c>
      <c r="AZ28" s="117">
        <v>22</v>
      </c>
      <c r="BA28" s="118">
        <v>22</v>
      </c>
      <c r="BB28" s="121">
        <v>15600</v>
      </c>
      <c r="BC28" s="121">
        <v>14600</v>
      </c>
      <c r="BD28" s="121">
        <v>12600</v>
      </c>
      <c r="BE28" s="121">
        <v>12600</v>
      </c>
      <c r="BF28" s="122">
        <v>12600</v>
      </c>
      <c r="BG28" s="121">
        <v>6400</v>
      </c>
      <c r="BH28" s="121">
        <v>6400</v>
      </c>
      <c r="BI28" s="121">
        <v>6400</v>
      </c>
      <c r="BJ28" s="121">
        <v>6400</v>
      </c>
      <c r="BK28" s="122">
        <v>6400</v>
      </c>
      <c r="BL28" s="117">
        <v>235</v>
      </c>
      <c r="BM28" s="117">
        <v>235</v>
      </c>
      <c r="BN28" s="117">
        <v>235</v>
      </c>
      <c r="BO28" s="117">
        <v>235</v>
      </c>
      <c r="BP28" s="118">
        <v>235</v>
      </c>
      <c r="BQ28" s="116"/>
      <c r="BR28" s="117"/>
      <c r="BS28" s="117"/>
      <c r="BT28" s="117"/>
      <c r="BU28" s="118"/>
      <c r="BV28" s="161" t="s">
        <v>91</v>
      </c>
      <c r="BW28" s="240">
        <f t="shared" si="22"/>
        <v>866.66666666666663</v>
      </c>
      <c r="BX28" s="240">
        <f t="shared" si="23"/>
        <v>486.66666666666669</v>
      </c>
      <c r="BY28" s="240">
        <f t="shared" si="24"/>
        <v>420</v>
      </c>
      <c r="BZ28" s="240">
        <f t="shared" si="25"/>
        <v>420</v>
      </c>
      <c r="CA28" s="249">
        <f t="shared" si="26"/>
        <v>420</v>
      </c>
      <c r="CB28" s="240">
        <f t="shared" si="27"/>
        <v>355.55555555555554</v>
      </c>
      <c r="CC28" s="240">
        <f t="shared" si="28"/>
        <v>213.33333333333334</v>
      </c>
      <c r="CD28" s="240">
        <f t="shared" si="29"/>
        <v>213.33333333333334</v>
      </c>
      <c r="CE28" s="240">
        <f t="shared" si="30"/>
        <v>213.33333333333334</v>
      </c>
      <c r="CF28" s="249">
        <f t="shared" si="31"/>
        <v>213.33333333333334</v>
      </c>
      <c r="CG28" s="250">
        <f t="shared" si="32"/>
        <v>13.055555555555555</v>
      </c>
      <c r="CH28" s="240">
        <f t="shared" si="33"/>
        <v>7.833333333333333</v>
      </c>
      <c r="CI28" s="240">
        <f t="shared" si="34"/>
        <v>7.833333333333333</v>
      </c>
      <c r="CJ28" s="240">
        <f t="shared" si="35"/>
        <v>7.833333333333333</v>
      </c>
      <c r="CK28" s="249">
        <f t="shared" si="36"/>
        <v>7.833333333333333</v>
      </c>
    </row>
    <row r="29" spans="1:89" s="21" customFormat="1" x14ac:dyDescent="0.25">
      <c r="A29" s="113" t="s">
        <v>245</v>
      </c>
      <c r="B29" s="114" t="s">
        <v>246</v>
      </c>
      <c r="C29" s="115" t="s">
        <v>26</v>
      </c>
      <c r="D29" s="116">
        <v>44</v>
      </c>
      <c r="E29" s="117">
        <v>80</v>
      </c>
      <c r="F29" s="117">
        <v>80</v>
      </c>
      <c r="G29" s="117">
        <v>80</v>
      </c>
      <c r="H29" s="118">
        <v>80</v>
      </c>
      <c r="I29" s="117"/>
      <c r="J29" s="117"/>
      <c r="K29" s="117"/>
      <c r="L29" s="117"/>
      <c r="M29" s="118"/>
      <c r="N29" s="117">
        <v>100</v>
      </c>
      <c r="O29" s="117">
        <v>100</v>
      </c>
      <c r="P29" s="117">
        <v>100</v>
      </c>
      <c r="Q29" s="117">
        <v>100</v>
      </c>
      <c r="R29" s="118">
        <v>100</v>
      </c>
      <c r="S29" s="117"/>
      <c r="T29" s="117"/>
      <c r="U29" s="117"/>
      <c r="V29" s="117"/>
      <c r="W29" s="118"/>
      <c r="X29" s="117">
        <v>100</v>
      </c>
      <c r="Y29" s="117">
        <v>100</v>
      </c>
      <c r="Z29" s="117">
        <v>100</v>
      </c>
      <c r="AA29" s="117">
        <v>100</v>
      </c>
      <c r="AB29" s="118">
        <v>100</v>
      </c>
      <c r="AC29" s="209">
        <v>1.35</v>
      </c>
      <c r="AD29" s="209">
        <v>1.45</v>
      </c>
      <c r="AE29" s="209">
        <v>1.7</v>
      </c>
      <c r="AF29" s="209">
        <v>1.7</v>
      </c>
      <c r="AG29" s="210">
        <v>1.7</v>
      </c>
      <c r="AH29" s="119">
        <v>0</v>
      </c>
      <c r="AI29" s="119">
        <v>0</v>
      </c>
      <c r="AJ29" s="119">
        <v>0</v>
      </c>
      <c r="AK29" s="119">
        <v>0</v>
      </c>
      <c r="AL29" s="120">
        <v>0</v>
      </c>
      <c r="AM29" s="119">
        <v>0</v>
      </c>
      <c r="AN29" s="119">
        <v>0</v>
      </c>
      <c r="AO29" s="119">
        <v>0</v>
      </c>
      <c r="AP29" s="119">
        <v>0</v>
      </c>
      <c r="AQ29" s="120">
        <v>0</v>
      </c>
      <c r="AR29" s="117"/>
      <c r="AS29" s="117"/>
      <c r="AT29" s="117"/>
      <c r="AU29" s="117"/>
      <c r="AV29" s="118"/>
      <c r="AW29" s="117">
        <v>22</v>
      </c>
      <c r="AX29" s="117">
        <v>22</v>
      </c>
      <c r="AY29" s="117">
        <v>22</v>
      </c>
      <c r="AZ29" s="117">
        <v>22</v>
      </c>
      <c r="BA29" s="118">
        <v>22</v>
      </c>
      <c r="BB29" s="121">
        <v>33000</v>
      </c>
      <c r="BC29" s="121">
        <v>33000</v>
      </c>
      <c r="BD29" s="121">
        <v>32000</v>
      </c>
      <c r="BE29" s="121">
        <v>32000</v>
      </c>
      <c r="BF29" s="122">
        <v>32000</v>
      </c>
      <c r="BG29" s="121">
        <v>24600</v>
      </c>
      <c r="BH29" s="121">
        <v>24600</v>
      </c>
      <c r="BI29" s="121">
        <v>24600</v>
      </c>
      <c r="BJ29" s="121">
        <v>24600</v>
      </c>
      <c r="BK29" s="122">
        <v>24600</v>
      </c>
      <c r="BL29" s="117">
        <v>235</v>
      </c>
      <c r="BM29" s="117">
        <v>235</v>
      </c>
      <c r="BN29" s="117">
        <v>235</v>
      </c>
      <c r="BO29" s="117">
        <v>235</v>
      </c>
      <c r="BP29" s="118">
        <v>235</v>
      </c>
      <c r="BQ29" s="116"/>
      <c r="BR29" s="117"/>
      <c r="BS29" s="117"/>
      <c r="BT29" s="117"/>
      <c r="BU29" s="118"/>
      <c r="BV29" s="161" t="s">
        <v>91</v>
      </c>
      <c r="BW29" s="240">
        <f t="shared" si="22"/>
        <v>750</v>
      </c>
      <c r="BX29" s="240">
        <f t="shared" si="23"/>
        <v>412.5</v>
      </c>
      <c r="BY29" s="240">
        <f t="shared" si="24"/>
        <v>400</v>
      </c>
      <c r="BZ29" s="240">
        <f t="shared" si="25"/>
        <v>400</v>
      </c>
      <c r="CA29" s="249">
        <f t="shared" si="26"/>
        <v>400</v>
      </c>
      <c r="CB29" s="240">
        <f t="shared" si="27"/>
        <v>559.09090909090912</v>
      </c>
      <c r="CC29" s="240">
        <f t="shared" si="28"/>
        <v>307.5</v>
      </c>
      <c r="CD29" s="240">
        <f t="shared" si="29"/>
        <v>307.5</v>
      </c>
      <c r="CE29" s="240">
        <f t="shared" si="30"/>
        <v>307.5</v>
      </c>
      <c r="CF29" s="249">
        <f t="shared" si="31"/>
        <v>307.5</v>
      </c>
      <c r="CG29" s="250">
        <f t="shared" si="32"/>
        <v>5.3409090909090908</v>
      </c>
      <c r="CH29" s="240">
        <f t="shared" si="33"/>
        <v>2.9375</v>
      </c>
      <c r="CI29" s="240">
        <f t="shared" si="34"/>
        <v>2.9375</v>
      </c>
      <c r="CJ29" s="240">
        <f t="shared" si="35"/>
        <v>2.9375</v>
      </c>
      <c r="CK29" s="249">
        <f t="shared" si="36"/>
        <v>2.9375</v>
      </c>
    </row>
    <row r="30" spans="1:89" s="21" customFormat="1" x14ac:dyDescent="0.25">
      <c r="A30" s="113" t="s">
        <v>247</v>
      </c>
      <c r="B30" s="114" t="s">
        <v>248</v>
      </c>
      <c r="C30" s="115" t="s">
        <v>27</v>
      </c>
      <c r="D30" s="116">
        <f>AVERAGE(20,80)</f>
        <v>50</v>
      </c>
      <c r="E30" s="117">
        <f t="shared" ref="E30:H30" si="40">AVERAGE(20,80)</f>
        <v>50</v>
      </c>
      <c r="F30" s="117">
        <f t="shared" si="40"/>
        <v>50</v>
      </c>
      <c r="G30" s="117">
        <f t="shared" si="40"/>
        <v>50</v>
      </c>
      <c r="H30" s="118">
        <f t="shared" si="40"/>
        <v>50</v>
      </c>
      <c r="I30" s="117"/>
      <c r="J30" s="117"/>
      <c r="K30" s="117"/>
      <c r="L30" s="117"/>
      <c r="M30" s="118"/>
      <c r="N30" s="117">
        <v>100</v>
      </c>
      <c r="O30" s="117">
        <v>100</v>
      </c>
      <c r="P30" s="117">
        <v>100</v>
      </c>
      <c r="Q30" s="117">
        <v>100</v>
      </c>
      <c r="R30" s="118">
        <v>100</v>
      </c>
      <c r="S30" s="117"/>
      <c r="T30" s="117"/>
      <c r="U30" s="117"/>
      <c r="V30" s="117"/>
      <c r="W30" s="118"/>
      <c r="X30" s="117">
        <v>100</v>
      </c>
      <c r="Y30" s="117">
        <v>100</v>
      </c>
      <c r="Z30" s="117">
        <v>100</v>
      </c>
      <c r="AA30" s="117">
        <v>100</v>
      </c>
      <c r="AB30" s="118">
        <v>100</v>
      </c>
      <c r="AC30" s="209">
        <v>1.5</v>
      </c>
      <c r="AD30" s="209">
        <v>1.55</v>
      </c>
      <c r="AE30" s="209">
        <v>1.55</v>
      </c>
      <c r="AF30" s="209">
        <v>1.6</v>
      </c>
      <c r="AG30" s="210">
        <v>1.6</v>
      </c>
      <c r="AH30" s="119">
        <v>0</v>
      </c>
      <c r="AI30" s="119">
        <v>0</v>
      </c>
      <c r="AJ30" s="119">
        <v>0</v>
      </c>
      <c r="AK30" s="119">
        <v>0</v>
      </c>
      <c r="AL30" s="120">
        <v>0</v>
      </c>
      <c r="AM30" s="119">
        <v>0</v>
      </c>
      <c r="AN30" s="119">
        <v>0</v>
      </c>
      <c r="AO30" s="119">
        <v>0</v>
      </c>
      <c r="AP30" s="119">
        <v>0</v>
      </c>
      <c r="AQ30" s="120">
        <v>0</v>
      </c>
      <c r="AR30" s="117"/>
      <c r="AS30" s="117"/>
      <c r="AT30" s="117"/>
      <c r="AU30" s="117"/>
      <c r="AV30" s="118"/>
      <c r="AW30" s="117" t="s">
        <v>249</v>
      </c>
      <c r="AX30" s="117" t="s">
        <v>250</v>
      </c>
      <c r="AY30" s="117" t="s">
        <v>250</v>
      </c>
      <c r="AZ30" s="117" t="s">
        <v>250</v>
      </c>
      <c r="BA30" s="118" t="s">
        <v>250</v>
      </c>
      <c r="BB30" s="121">
        <v>47500</v>
      </c>
      <c r="BC30" s="121">
        <v>47500</v>
      </c>
      <c r="BD30" s="121">
        <v>47500</v>
      </c>
      <c r="BE30" s="121">
        <v>47500</v>
      </c>
      <c r="BF30" s="122">
        <v>47500</v>
      </c>
      <c r="BG30" s="121">
        <v>1600</v>
      </c>
      <c r="BH30" s="121">
        <v>1600</v>
      </c>
      <c r="BI30" s="121">
        <v>1600</v>
      </c>
      <c r="BJ30" s="121">
        <v>1600</v>
      </c>
      <c r="BK30" s="122">
        <v>1600</v>
      </c>
      <c r="BL30" s="117">
        <v>235</v>
      </c>
      <c r="BM30" s="117">
        <v>235</v>
      </c>
      <c r="BN30" s="117">
        <v>235</v>
      </c>
      <c r="BO30" s="117">
        <v>235</v>
      </c>
      <c r="BP30" s="118">
        <v>235</v>
      </c>
      <c r="BQ30" s="116"/>
      <c r="BR30" s="117"/>
      <c r="BS30" s="117"/>
      <c r="BT30" s="117"/>
      <c r="BU30" s="118"/>
      <c r="BV30" s="161" t="s">
        <v>92</v>
      </c>
      <c r="BW30" s="240">
        <f t="shared" si="22"/>
        <v>950</v>
      </c>
      <c r="BX30" s="240">
        <f t="shared" si="23"/>
        <v>950</v>
      </c>
      <c r="BY30" s="240">
        <f t="shared" si="24"/>
        <v>950</v>
      </c>
      <c r="BZ30" s="240">
        <f t="shared" si="25"/>
        <v>950</v>
      </c>
      <c r="CA30" s="249">
        <f t="shared" si="26"/>
        <v>950</v>
      </c>
      <c r="CB30" s="240">
        <f t="shared" si="27"/>
        <v>32</v>
      </c>
      <c r="CC30" s="240">
        <f t="shared" si="28"/>
        <v>32</v>
      </c>
      <c r="CD30" s="240">
        <f t="shared" si="29"/>
        <v>32</v>
      </c>
      <c r="CE30" s="240">
        <f t="shared" si="30"/>
        <v>32</v>
      </c>
      <c r="CF30" s="249">
        <f t="shared" si="31"/>
        <v>32</v>
      </c>
      <c r="CG30" s="250">
        <f t="shared" si="32"/>
        <v>4.7</v>
      </c>
      <c r="CH30" s="240">
        <f t="shared" si="33"/>
        <v>4.7</v>
      </c>
      <c r="CI30" s="240">
        <f t="shared" si="34"/>
        <v>4.7</v>
      </c>
      <c r="CJ30" s="240">
        <f t="shared" si="35"/>
        <v>4.7</v>
      </c>
      <c r="CK30" s="249">
        <f t="shared" si="36"/>
        <v>4.7</v>
      </c>
    </row>
    <row r="31" spans="1:89" s="21" customFormat="1" x14ac:dyDescent="0.25">
      <c r="A31" s="113" t="s">
        <v>251</v>
      </c>
      <c r="B31" s="114" t="s">
        <v>252</v>
      </c>
      <c r="C31" s="134" t="s">
        <v>253</v>
      </c>
      <c r="D31" s="116" t="s">
        <v>95</v>
      </c>
      <c r="E31" s="117" t="s">
        <v>95</v>
      </c>
      <c r="F31" s="117" t="s">
        <v>95</v>
      </c>
      <c r="G31" s="117" t="s">
        <v>95</v>
      </c>
      <c r="H31" s="118" t="s">
        <v>95</v>
      </c>
      <c r="I31" s="117"/>
      <c r="J31" s="117"/>
      <c r="K31" s="117"/>
      <c r="L31" s="117"/>
      <c r="M31" s="118"/>
      <c r="N31" s="117">
        <v>100</v>
      </c>
      <c r="O31" s="117">
        <v>100</v>
      </c>
      <c r="P31" s="117">
        <v>100</v>
      </c>
      <c r="Q31" s="117">
        <v>100</v>
      </c>
      <c r="R31" s="118">
        <v>100</v>
      </c>
      <c r="S31" s="117"/>
      <c r="T31" s="117"/>
      <c r="U31" s="117"/>
      <c r="V31" s="117"/>
      <c r="W31" s="118"/>
      <c r="X31" s="117">
        <v>100</v>
      </c>
      <c r="Y31" s="117">
        <v>100</v>
      </c>
      <c r="Z31" s="117">
        <v>100</v>
      </c>
      <c r="AA31" s="117">
        <v>100</v>
      </c>
      <c r="AB31" s="118">
        <v>100</v>
      </c>
      <c r="AC31" s="209">
        <v>1.35</v>
      </c>
      <c r="AD31" s="209">
        <v>1.35</v>
      </c>
      <c r="AE31" s="209">
        <v>1.35</v>
      </c>
      <c r="AF31" s="209">
        <v>1.35</v>
      </c>
      <c r="AG31" s="210">
        <v>1.35</v>
      </c>
      <c r="AH31" s="119">
        <v>0</v>
      </c>
      <c r="AI31" s="119">
        <v>0</v>
      </c>
      <c r="AJ31" s="119">
        <v>0</v>
      </c>
      <c r="AK31" s="119">
        <v>0</v>
      </c>
      <c r="AL31" s="120">
        <v>0</v>
      </c>
      <c r="AM31" s="119">
        <v>0</v>
      </c>
      <c r="AN31" s="119">
        <v>0</v>
      </c>
      <c r="AO31" s="119">
        <v>0</v>
      </c>
      <c r="AP31" s="119">
        <v>0</v>
      </c>
      <c r="AQ31" s="120">
        <v>0</v>
      </c>
      <c r="AR31" s="117"/>
      <c r="AS31" s="117"/>
      <c r="AT31" s="117"/>
      <c r="AU31" s="117"/>
      <c r="AV31" s="118"/>
      <c r="AW31" s="117">
        <v>20</v>
      </c>
      <c r="AX31" s="117">
        <v>20</v>
      </c>
      <c r="AY31" s="117">
        <v>20</v>
      </c>
      <c r="AZ31" s="117">
        <v>20</v>
      </c>
      <c r="BA31" s="118">
        <v>20</v>
      </c>
      <c r="BB31" s="121">
        <v>14000</v>
      </c>
      <c r="BC31" s="121">
        <v>14000</v>
      </c>
      <c r="BD31" s="121">
        <v>14000</v>
      </c>
      <c r="BE31" s="121">
        <v>14000</v>
      </c>
      <c r="BF31" s="122">
        <v>14000</v>
      </c>
      <c r="BG31" s="121">
        <v>1600</v>
      </c>
      <c r="BH31" s="121">
        <v>1600</v>
      </c>
      <c r="BI31" s="121">
        <v>1600</v>
      </c>
      <c r="BJ31" s="121">
        <v>1600</v>
      </c>
      <c r="BK31" s="122">
        <v>1600</v>
      </c>
      <c r="BL31" s="117">
        <v>235</v>
      </c>
      <c r="BM31" s="117">
        <v>235</v>
      </c>
      <c r="BN31" s="117">
        <v>235</v>
      </c>
      <c r="BO31" s="117">
        <v>235</v>
      </c>
      <c r="BP31" s="118">
        <v>235</v>
      </c>
      <c r="BQ31" s="116"/>
      <c r="BR31" s="117"/>
      <c r="BS31" s="117"/>
      <c r="BT31" s="117"/>
      <c r="BU31" s="118"/>
      <c r="BV31" s="161" t="s">
        <v>93</v>
      </c>
      <c r="BW31" s="240" t="str">
        <f t="shared" si="22"/>
        <v/>
      </c>
      <c r="BX31" s="240" t="str">
        <f t="shared" si="23"/>
        <v/>
      </c>
      <c r="BY31" s="240" t="str">
        <f t="shared" si="24"/>
        <v/>
      </c>
      <c r="BZ31" s="240" t="str">
        <f t="shared" si="25"/>
        <v/>
      </c>
      <c r="CA31" s="249" t="str">
        <f t="shared" si="26"/>
        <v/>
      </c>
      <c r="CB31" s="240" t="str">
        <f t="shared" si="27"/>
        <v/>
      </c>
      <c r="CC31" s="240" t="str">
        <f t="shared" si="28"/>
        <v/>
      </c>
      <c r="CD31" s="240" t="str">
        <f t="shared" si="29"/>
        <v/>
      </c>
      <c r="CE31" s="240" t="str">
        <f t="shared" si="30"/>
        <v/>
      </c>
      <c r="CF31" s="249" t="str">
        <f t="shared" si="31"/>
        <v/>
      </c>
      <c r="CG31" s="250" t="str">
        <f t="shared" si="32"/>
        <v/>
      </c>
      <c r="CH31" s="240" t="str">
        <f t="shared" si="33"/>
        <v/>
      </c>
      <c r="CI31" s="240" t="str">
        <f t="shared" si="34"/>
        <v/>
      </c>
      <c r="CJ31" s="240" t="str">
        <f t="shared" si="35"/>
        <v/>
      </c>
      <c r="CK31" s="249" t="str">
        <f t="shared" si="36"/>
        <v/>
      </c>
    </row>
    <row r="32" spans="1:89" s="21" customFormat="1" x14ac:dyDescent="0.25">
      <c r="A32" s="113" t="s">
        <v>254</v>
      </c>
      <c r="B32" s="114" t="s">
        <v>6</v>
      </c>
      <c r="C32" s="115" t="s">
        <v>255</v>
      </c>
      <c r="D32" s="116">
        <v>0</v>
      </c>
      <c r="E32" s="117">
        <v>0</v>
      </c>
      <c r="F32" s="117">
        <v>0</v>
      </c>
      <c r="G32" s="117">
        <v>0</v>
      </c>
      <c r="H32" s="118">
        <v>0</v>
      </c>
      <c r="I32" s="117"/>
      <c r="J32" s="117"/>
      <c r="K32" s="117"/>
      <c r="L32" s="117"/>
      <c r="M32" s="118"/>
      <c r="N32" s="117">
        <v>0</v>
      </c>
      <c r="O32" s="117">
        <v>0</v>
      </c>
      <c r="P32" s="117">
        <v>0</v>
      </c>
      <c r="Q32" s="117">
        <v>0</v>
      </c>
      <c r="R32" s="118">
        <v>0</v>
      </c>
      <c r="S32" s="117"/>
      <c r="T32" s="117"/>
      <c r="U32" s="117"/>
      <c r="V32" s="117"/>
      <c r="W32" s="118"/>
      <c r="X32" s="117">
        <v>0</v>
      </c>
      <c r="Y32" s="117">
        <v>0</v>
      </c>
      <c r="Z32" s="117">
        <v>0</v>
      </c>
      <c r="AA32" s="117">
        <v>0</v>
      </c>
      <c r="AB32" s="118">
        <v>0</v>
      </c>
      <c r="AC32" s="209">
        <v>0</v>
      </c>
      <c r="AD32" s="209">
        <v>0</v>
      </c>
      <c r="AE32" s="209">
        <v>0</v>
      </c>
      <c r="AF32" s="209">
        <v>0</v>
      </c>
      <c r="AG32" s="210">
        <v>0</v>
      </c>
      <c r="AH32" s="119">
        <v>0</v>
      </c>
      <c r="AI32" s="119">
        <v>0</v>
      </c>
      <c r="AJ32" s="119">
        <v>0</v>
      </c>
      <c r="AK32" s="119">
        <v>0</v>
      </c>
      <c r="AL32" s="120">
        <v>0</v>
      </c>
      <c r="AM32" s="119">
        <v>0</v>
      </c>
      <c r="AN32" s="119">
        <v>0</v>
      </c>
      <c r="AO32" s="119">
        <v>0</v>
      </c>
      <c r="AP32" s="119">
        <v>0</v>
      </c>
      <c r="AQ32" s="120">
        <v>0</v>
      </c>
      <c r="AR32" s="117"/>
      <c r="AS32" s="117"/>
      <c r="AT32" s="117"/>
      <c r="AU32" s="117"/>
      <c r="AV32" s="118"/>
      <c r="AW32" s="117">
        <v>0</v>
      </c>
      <c r="AX32" s="117">
        <v>0</v>
      </c>
      <c r="AY32" s="117">
        <v>0</v>
      </c>
      <c r="AZ32" s="117">
        <v>0</v>
      </c>
      <c r="BA32" s="118">
        <v>0</v>
      </c>
      <c r="BB32" s="121">
        <v>0</v>
      </c>
      <c r="BC32" s="121">
        <v>0</v>
      </c>
      <c r="BD32" s="121">
        <v>0</v>
      </c>
      <c r="BE32" s="121">
        <v>0</v>
      </c>
      <c r="BF32" s="122">
        <v>0</v>
      </c>
      <c r="BG32" s="121">
        <v>0</v>
      </c>
      <c r="BH32" s="121">
        <v>0</v>
      </c>
      <c r="BI32" s="121">
        <v>0</v>
      </c>
      <c r="BJ32" s="121">
        <v>0</v>
      </c>
      <c r="BK32" s="122">
        <v>0</v>
      </c>
      <c r="BL32" s="117">
        <v>0</v>
      </c>
      <c r="BM32" s="117">
        <v>0</v>
      </c>
      <c r="BN32" s="117">
        <v>0</v>
      </c>
      <c r="BO32" s="117">
        <v>0</v>
      </c>
      <c r="BP32" s="118">
        <v>0</v>
      </c>
      <c r="BQ32" s="116">
        <v>0</v>
      </c>
      <c r="BR32" s="117">
        <v>0</v>
      </c>
      <c r="BS32" s="117">
        <v>0</v>
      </c>
      <c r="BT32" s="117">
        <v>0</v>
      </c>
      <c r="BU32" s="118">
        <v>0</v>
      </c>
      <c r="BV32" s="161"/>
      <c r="BW32" s="240" t="str">
        <f t="shared" si="22"/>
        <v/>
      </c>
      <c r="BX32" s="240" t="str">
        <f t="shared" si="23"/>
        <v/>
      </c>
      <c r="BY32" s="240" t="str">
        <f t="shared" si="24"/>
        <v/>
      </c>
      <c r="BZ32" s="240" t="str">
        <f t="shared" si="25"/>
        <v/>
      </c>
      <c r="CA32" s="249" t="str">
        <f t="shared" si="26"/>
        <v/>
      </c>
      <c r="CB32" s="240" t="str">
        <f t="shared" si="27"/>
        <v/>
      </c>
      <c r="CC32" s="240" t="str">
        <f t="shared" si="28"/>
        <v/>
      </c>
      <c r="CD32" s="240" t="str">
        <f t="shared" si="29"/>
        <v/>
      </c>
      <c r="CE32" s="240" t="str">
        <f t="shared" si="30"/>
        <v/>
      </c>
      <c r="CF32" s="249" t="str">
        <f t="shared" si="31"/>
        <v/>
      </c>
      <c r="CG32" s="250" t="str">
        <f t="shared" si="32"/>
        <v/>
      </c>
      <c r="CH32" s="240" t="str">
        <f t="shared" si="33"/>
        <v/>
      </c>
      <c r="CI32" s="240" t="str">
        <f t="shared" si="34"/>
        <v/>
      </c>
      <c r="CJ32" s="240" t="str">
        <f t="shared" si="35"/>
        <v/>
      </c>
      <c r="CK32" s="249" t="str">
        <f t="shared" si="36"/>
        <v/>
      </c>
    </row>
    <row r="33" spans="1:89" s="21" customFormat="1" x14ac:dyDescent="0.25">
      <c r="A33" s="107" t="s">
        <v>24</v>
      </c>
      <c r="B33" s="108"/>
      <c r="C33" s="109"/>
      <c r="D33" s="110"/>
      <c r="E33" s="111"/>
      <c r="F33" s="111"/>
      <c r="G33" s="111"/>
      <c r="H33" s="112"/>
      <c r="I33" s="111"/>
      <c r="J33" s="111"/>
      <c r="K33" s="111"/>
      <c r="L33" s="111"/>
      <c r="M33" s="112"/>
      <c r="N33" s="111"/>
      <c r="O33" s="111"/>
      <c r="P33" s="111"/>
      <c r="Q33" s="111"/>
      <c r="R33" s="112"/>
      <c r="S33" s="111"/>
      <c r="T33" s="111"/>
      <c r="U33" s="111"/>
      <c r="V33" s="111"/>
      <c r="W33" s="112"/>
      <c r="X33" s="111"/>
      <c r="Y33" s="111"/>
      <c r="Z33" s="111"/>
      <c r="AA33" s="111"/>
      <c r="AB33" s="112"/>
      <c r="AC33" s="200">
        <v>0</v>
      </c>
      <c r="AD33" s="200">
        <v>0</v>
      </c>
      <c r="AE33" s="200">
        <v>0</v>
      </c>
      <c r="AF33" s="200">
        <v>0</v>
      </c>
      <c r="AG33" s="201">
        <v>0</v>
      </c>
      <c r="AH33" s="129">
        <v>0</v>
      </c>
      <c r="AI33" s="129">
        <v>0</v>
      </c>
      <c r="AJ33" s="129">
        <v>0</v>
      </c>
      <c r="AK33" s="129">
        <v>0</v>
      </c>
      <c r="AL33" s="130">
        <v>0</v>
      </c>
      <c r="AM33" s="129">
        <v>0</v>
      </c>
      <c r="AN33" s="129">
        <v>0</v>
      </c>
      <c r="AO33" s="129">
        <v>0</v>
      </c>
      <c r="AP33" s="129">
        <v>0</v>
      </c>
      <c r="AQ33" s="130">
        <v>0</v>
      </c>
      <c r="AR33" s="111"/>
      <c r="AS33" s="111"/>
      <c r="AT33" s="111"/>
      <c r="AU33" s="111"/>
      <c r="AV33" s="112"/>
      <c r="AW33" s="111"/>
      <c r="AX33" s="111"/>
      <c r="AY33" s="111"/>
      <c r="AZ33" s="111"/>
      <c r="BA33" s="112"/>
      <c r="BB33" s="111"/>
      <c r="BC33" s="111"/>
      <c r="BD33" s="111"/>
      <c r="BE33" s="111"/>
      <c r="BF33" s="112"/>
      <c r="BG33" s="111">
        <v>0</v>
      </c>
      <c r="BH33" s="111">
        <v>0</v>
      </c>
      <c r="BI33" s="111">
        <v>0</v>
      </c>
      <c r="BJ33" s="111">
        <v>0</v>
      </c>
      <c r="BK33" s="112">
        <v>0</v>
      </c>
      <c r="BL33" s="111"/>
      <c r="BM33" s="111"/>
      <c r="BN33" s="111"/>
      <c r="BO33" s="111"/>
      <c r="BP33" s="112"/>
      <c r="BQ33" s="110"/>
      <c r="BR33" s="111"/>
      <c r="BS33" s="111"/>
      <c r="BT33" s="111"/>
      <c r="BU33" s="112"/>
      <c r="BV33" s="160"/>
      <c r="BW33" s="251" t="str">
        <f t="shared" si="22"/>
        <v/>
      </c>
      <c r="BX33" s="251" t="str">
        <f t="shared" si="23"/>
        <v/>
      </c>
      <c r="BY33" s="251" t="str">
        <f t="shared" si="24"/>
        <v/>
      </c>
      <c r="BZ33" s="251" t="str">
        <f t="shared" si="25"/>
        <v/>
      </c>
      <c r="CA33" s="252" t="str">
        <f t="shared" si="26"/>
        <v/>
      </c>
      <c r="CB33" s="251" t="str">
        <f t="shared" si="27"/>
        <v/>
      </c>
      <c r="CC33" s="251" t="str">
        <f t="shared" si="28"/>
        <v/>
      </c>
      <c r="CD33" s="251" t="str">
        <f t="shared" si="29"/>
        <v/>
      </c>
      <c r="CE33" s="251" t="str">
        <f t="shared" si="30"/>
        <v/>
      </c>
      <c r="CF33" s="252" t="str">
        <f t="shared" si="31"/>
        <v/>
      </c>
      <c r="CG33" s="253" t="str">
        <f t="shared" si="32"/>
        <v/>
      </c>
      <c r="CH33" s="251" t="str">
        <f t="shared" si="33"/>
        <v/>
      </c>
      <c r="CI33" s="251" t="str">
        <f t="shared" si="34"/>
        <v/>
      </c>
      <c r="CJ33" s="251" t="str">
        <f t="shared" si="35"/>
        <v/>
      </c>
      <c r="CK33" s="252" t="str">
        <f t="shared" si="36"/>
        <v/>
      </c>
    </row>
    <row r="34" spans="1:89" s="21" customFormat="1" x14ac:dyDescent="0.2">
      <c r="A34" s="113" t="s">
        <v>49</v>
      </c>
      <c r="B34" s="114" t="s">
        <v>6</v>
      </c>
      <c r="C34" s="115" t="s">
        <v>50</v>
      </c>
      <c r="D34" s="131">
        <v>30</v>
      </c>
      <c r="E34" s="127">
        <v>30</v>
      </c>
      <c r="F34" s="127">
        <v>30</v>
      </c>
      <c r="G34" s="127">
        <v>30</v>
      </c>
      <c r="H34" s="128">
        <v>30</v>
      </c>
      <c r="I34" s="117"/>
      <c r="J34" s="117"/>
      <c r="K34" s="117"/>
      <c r="L34" s="117"/>
      <c r="M34" s="118"/>
      <c r="N34" s="117">
        <v>0</v>
      </c>
      <c r="O34" s="117">
        <v>0</v>
      </c>
      <c r="P34" s="117">
        <v>0</v>
      </c>
      <c r="Q34" s="117">
        <v>0</v>
      </c>
      <c r="R34" s="118">
        <v>0</v>
      </c>
      <c r="S34" s="117"/>
      <c r="T34" s="117"/>
      <c r="U34" s="117"/>
      <c r="V34" s="117"/>
      <c r="W34" s="118"/>
      <c r="X34" s="117">
        <v>0</v>
      </c>
      <c r="Y34" s="117">
        <v>0</v>
      </c>
      <c r="Z34" s="117">
        <v>0</v>
      </c>
      <c r="AA34" s="117">
        <v>0</v>
      </c>
      <c r="AB34" s="118">
        <v>0</v>
      </c>
      <c r="AC34" s="202">
        <v>0.9</v>
      </c>
      <c r="AD34" s="202">
        <v>0.9</v>
      </c>
      <c r="AE34" s="202">
        <v>0.9</v>
      </c>
      <c r="AF34" s="202">
        <v>0.9</v>
      </c>
      <c r="AG34" s="203">
        <v>0.9</v>
      </c>
      <c r="AH34" s="119">
        <v>0</v>
      </c>
      <c r="AI34" s="119">
        <v>0</v>
      </c>
      <c r="AJ34" s="119">
        <v>0</v>
      </c>
      <c r="AK34" s="119">
        <v>0</v>
      </c>
      <c r="AL34" s="120">
        <v>0</v>
      </c>
      <c r="AM34" s="167">
        <v>0.26</v>
      </c>
      <c r="AN34" s="165">
        <v>0.26</v>
      </c>
      <c r="AO34" s="165">
        <v>0.26</v>
      </c>
      <c r="AP34" s="165">
        <v>0.26</v>
      </c>
      <c r="AQ34" s="166">
        <v>0.26</v>
      </c>
      <c r="AR34" s="117"/>
      <c r="AS34" s="117"/>
      <c r="AT34" s="117"/>
      <c r="AU34" s="117"/>
      <c r="AV34" s="118"/>
      <c r="AW34" s="117">
        <v>0</v>
      </c>
      <c r="AX34" s="117">
        <v>0</v>
      </c>
      <c r="AY34" s="117">
        <v>0</v>
      </c>
      <c r="AZ34" s="117">
        <v>0</v>
      </c>
      <c r="BA34" s="118">
        <v>0</v>
      </c>
      <c r="BB34" s="124">
        <v>103980</v>
      </c>
      <c r="BC34" s="124">
        <v>103980</v>
      </c>
      <c r="BD34" s="124">
        <v>77985</v>
      </c>
      <c r="BE34" s="124">
        <v>77985</v>
      </c>
      <c r="BF34" s="125">
        <v>62388</v>
      </c>
      <c r="BG34" s="124">
        <v>0</v>
      </c>
      <c r="BH34" s="124">
        <v>0</v>
      </c>
      <c r="BI34" s="124">
        <v>0</v>
      </c>
      <c r="BJ34" s="124">
        <v>0</v>
      </c>
      <c r="BK34" s="125">
        <v>0</v>
      </c>
      <c r="BL34" s="124">
        <v>310</v>
      </c>
      <c r="BM34" s="121">
        <v>0</v>
      </c>
      <c r="BN34" s="121">
        <v>0</v>
      </c>
      <c r="BO34" s="121">
        <v>0</v>
      </c>
      <c r="BP34" s="122">
        <v>0</v>
      </c>
      <c r="BQ34" s="123">
        <v>0</v>
      </c>
      <c r="BR34" s="121">
        <v>0</v>
      </c>
      <c r="BS34" s="121">
        <v>0</v>
      </c>
      <c r="BT34" s="121">
        <v>0</v>
      </c>
      <c r="BU34" s="122">
        <v>0</v>
      </c>
      <c r="BV34" s="161" t="s">
        <v>48</v>
      </c>
      <c r="BW34" s="240">
        <f t="shared" si="22"/>
        <v>3466</v>
      </c>
      <c r="BX34" s="240">
        <f t="shared" si="23"/>
        <v>3466</v>
      </c>
      <c r="BY34" s="240">
        <f t="shared" si="24"/>
        <v>2599.5</v>
      </c>
      <c r="BZ34" s="240">
        <f t="shared" si="25"/>
        <v>2599.5</v>
      </c>
      <c r="CA34" s="249">
        <f t="shared" si="26"/>
        <v>2079.6</v>
      </c>
      <c r="CB34" s="240">
        <f t="shared" si="27"/>
        <v>0</v>
      </c>
      <c r="CC34" s="240">
        <f t="shared" si="28"/>
        <v>0</v>
      </c>
      <c r="CD34" s="240">
        <f t="shared" si="29"/>
        <v>0</v>
      </c>
      <c r="CE34" s="240">
        <f t="shared" si="30"/>
        <v>0</v>
      </c>
      <c r="CF34" s="249">
        <f t="shared" si="31"/>
        <v>0</v>
      </c>
      <c r="CG34" s="250">
        <f t="shared" si="32"/>
        <v>10.333333333333334</v>
      </c>
      <c r="CH34" s="240">
        <f t="shared" si="33"/>
        <v>0</v>
      </c>
      <c r="CI34" s="240">
        <f t="shared" si="34"/>
        <v>0</v>
      </c>
      <c r="CJ34" s="240">
        <f t="shared" si="35"/>
        <v>0</v>
      </c>
      <c r="CK34" s="249">
        <f t="shared" si="36"/>
        <v>0</v>
      </c>
    </row>
    <row r="35" spans="1:89" s="21" customFormat="1" x14ac:dyDescent="0.2">
      <c r="A35" s="113"/>
      <c r="B35" s="114"/>
      <c r="C35" s="115" t="s">
        <v>28</v>
      </c>
      <c r="D35" s="131">
        <v>200</v>
      </c>
      <c r="E35" s="127">
        <v>200</v>
      </c>
      <c r="F35" s="127">
        <v>200</v>
      </c>
      <c r="G35" s="127">
        <v>200</v>
      </c>
      <c r="H35" s="128">
        <v>200</v>
      </c>
      <c r="I35" s="117"/>
      <c r="J35" s="117"/>
      <c r="K35" s="117"/>
      <c r="L35" s="117"/>
      <c r="M35" s="118"/>
      <c r="N35" s="117"/>
      <c r="O35" s="117"/>
      <c r="P35" s="117"/>
      <c r="Q35" s="117"/>
      <c r="R35" s="118"/>
      <c r="S35" s="117"/>
      <c r="T35" s="117"/>
      <c r="U35" s="117"/>
      <c r="V35" s="117"/>
      <c r="W35" s="118"/>
      <c r="X35" s="117"/>
      <c r="Y35" s="117"/>
      <c r="Z35" s="117"/>
      <c r="AA35" s="117"/>
      <c r="AB35" s="118"/>
      <c r="AC35" s="202">
        <v>0.9</v>
      </c>
      <c r="AD35" s="202">
        <v>0.9</v>
      </c>
      <c r="AE35" s="202">
        <v>0.9</v>
      </c>
      <c r="AF35" s="202">
        <v>0.9</v>
      </c>
      <c r="AG35" s="203">
        <v>0.9</v>
      </c>
      <c r="AH35" s="119">
        <v>0</v>
      </c>
      <c r="AI35" s="119">
        <v>0</v>
      </c>
      <c r="AJ35" s="119">
        <v>0</v>
      </c>
      <c r="AK35" s="119">
        <v>0</v>
      </c>
      <c r="AL35" s="120">
        <v>0</v>
      </c>
      <c r="AM35" s="167">
        <v>0.33</v>
      </c>
      <c r="AN35" s="165">
        <v>0.33</v>
      </c>
      <c r="AO35" s="165">
        <v>0.33</v>
      </c>
      <c r="AP35" s="165">
        <v>0.33</v>
      </c>
      <c r="AQ35" s="166">
        <v>0.33</v>
      </c>
      <c r="AR35" s="117"/>
      <c r="AS35" s="117"/>
      <c r="AT35" s="117"/>
      <c r="AU35" s="117"/>
      <c r="AV35" s="118"/>
      <c r="AW35" s="117"/>
      <c r="AX35" s="117"/>
      <c r="AY35" s="117"/>
      <c r="AZ35" s="117"/>
      <c r="BA35" s="118"/>
      <c r="BB35" s="124">
        <v>275000</v>
      </c>
      <c r="BC35" s="124">
        <v>275000</v>
      </c>
      <c r="BD35" s="124">
        <v>206250</v>
      </c>
      <c r="BE35" s="124">
        <v>206250</v>
      </c>
      <c r="BF35" s="125">
        <v>165000</v>
      </c>
      <c r="BG35" s="124">
        <v>0</v>
      </c>
      <c r="BH35" s="124">
        <v>0</v>
      </c>
      <c r="BI35" s="124">
        <v>0</v>
      </c>
      <c r="BJ35" s="124">
        <v>0</v>
      </c>
      <c r="BK35" s="125">
        <v>0</v>
      </c>
      <c r="BL35" s="124">
        <v>310</v>
      </c>
      <c r="BM35" s="121"/>
      <c r="BN35" s="121"/>
      <c r="BO35" s="121"/>
      <c r="BP35" s="122"/>
      <c r="BQ35" s="123"/>
      <c r="BR35" s="121"/>
      <c r="BS35" s="121"/>
      <c r="BT35" s="121"/>
      <c r="BU35" s="122"/>
      <c r="BV35" s="161"/>
      <c r="BW35" s="240">
        <f t="shared" si="22"/>
        <v>1375</v>
      </c>
      <c r="BX35" s="240">
        <f t="shared" si="23"/>
        <v>1375</v>
      </c>
      <c r="BY35" s="240">
        <f t="shared" si="24"/>
        <v>1031.25</v>
      </c>
      <c r="BZ35" s="240">
        <f t="shared" si="25"/>
        <v>1031.25</v>
      </c>
      <c r="CA35" s="249">
        <f t="shared" si="26"/>
        <v>825</v>
      </c>
      <c r="CB35" s="240">
        <f t="shared" si="27"/>
        <v>0</v>
      </c>
      <c r="CC35" s="240">
        <f t="shared" si="28"/>
        <v>0</v>
      </c>
      <c r="CD35" s="240">
        <f t="shared" si="29"/>
        <v>0</v>
      </c>
      <c r="CE35" s="240">
        <f t="shared" si="30"/>
        <v>0</v>
      </c>
      <c r="CF35" s="249">
        <f t="shared" si="31"/>
        <v>0</v>
      </c>
      <c r="CG35" s="250">
        <f t="shared" si="32"/>
        <v>1.55</v>
      </c>
      <c r="CH35" s="240">
        <f t="shared" si="33"/>
        <v>0</v>
      </c>
      <c r="CI35" s="240">
        <f t="shared" si="34"/>
        <v>0</v>
      </c>
      <c r="CJ35" s="240">
        <f t="shared" si="35"/>
        <v>0</v>
      </c>
      <c r="CK35" s="249">
        <f t="shared" si="36"/>
        <v>0</v>
      </c>
    </row>
    <row r="36" spans="1:89" s="21" customFormat="1" x14ac:dyDescent="0.25">
      <c r="A36" s="113" t="s">
        <v>256</v>
      </c>
      <c r="B36" s="114" t="s">
        <v>257</v>
      </c>
      <c r="C36" s="115" t="s">
        <v>51</v>
      </c>
      <c r="D36" s="116">
        <v>3.2</v>
      </c>
      <c r="E36" s="117">
        <v>3.2</v>
      </c>
      <c r="F36" s="117">
        <v>3.2</v>
      </c>
      <c r="G36" s="117">
        <v>0</v>
      </c>
      <c r="H36" s="118">
        <v>0</v>
      </c>
      <c r="I36" s="117">
        <v>1</v>
      </c>
      <c r="J36" s="117">
        <v>1</v>
      </c>
      <c r="K36" s="117">
        <v>1</v>
      </c>
      <c r="L36" s="117">
        <v>0</v>
      </c>
      <c r="M36" s="118">
        <v>0</v>
      </c>
      <c r="N36" s="117" t="s">
        <v>258</v>
      </c>
      <c r="O36" s="117" t="s">
        <v>259</v>
      </c>
      <c r="P36" s="117" t="s">
        <v>259</v>
      </c>
      <c r="Q36" s="117">
        <v>0</v>
      </c>
      <c r="R36" s="118">
        <v>0</v>
      </c>
      <c r="S36" s="117"/>
      <c r="T36" s="117"/>
      <c r="U36" s="117"/>
      <c r="V36" s="117"/>
      <c r="W36" s="118"/>
      <c r="X36" s="117" t="s">
        <v>260</v>
      </c>
      <c r="Y36" s="117" t="s">
        <v>260</v>
      </c>
      <c r="Z36" s="117" t="s">
        <v>261</v>
      </c>
      <c r="AA36" s="117">
        <v>0</v>
      </c>
      <c r="AB36" s="118">
        <v>0</v>
      </c>
      <c r="AC36" s="198">
        <v>0.85</v>
      </c>
      <c r="AD36" s="198">
        <v>0.92</v>
      </c>
      <c r="AE36" s="204">
        <v>0.97499999999999998</v>
      </c>
      <c r="AF36" s="198">
        <v>0</v>
      </c>
      <c r="AG36" s="199">
        <v>0</v>
      </c>
      <c r="AH36" s="119">
        <v>0.65</v>
      </c>
      <c r="AI36" s="119">
        <v>0.7</v>
      </c>
      <c r="AJ36" s="119">
        <v>0.72499999999999998</v>
      </c>
      <c r="AK36" s="119">
        <v>0</v>
      </c>
      <c r="AL36" s="120">
        <v>0</v>
      </c>
      <c r="AM36" s="119">
        <v>0.2</v>
      </c>
      <c r="AN36" s="119">
        <v>0.22</v>
      </c>
      <c r="AO36" s="119">
        <v>0.25</v>
      </c>
      <c r="AP36" s="119">
        <v>0</v>
      </c>
      <c r="AQ36" s="120">
        <v>0</v>
      </c>
      <c r="AR36" s="117"/>
      <c r="AS36" s="117"/>
      <c r="AT36" s="117"/>
      <c r="AU36" s="117"/>
      <c r="AV36" s="118"/>
      <c r="AW36" s="117">
        <v>10</v>
      </c>
      <c r="AX36" s="117" t="s">
        <v>262</v>
      </c>
      <c r="AY36" s="117" t="s">
        <v>262</v>
      </c>
      <c r="AZ36" s="117">
        <v>0</v>
      </c>
      <c r="BA36" s="118">
        <v>0</v>
      </c>
      <c r="BB36" s="121">
        <v>15000</v>
      </c>
      <c r="BC36" s="121">
        <v>12000</v>
      </c>
      <c r="BD36" s="121">
        <v>10000</v>
      </c>
      <c r="BE36" s="121">
        <v>0</v>
      </c>
      <c r="BF36" s="122">
        <v>0</v>
      </c>
      <c r="BG36" s="121">
        <v>2500</v>
      </c>
      <c r="BH36" s="121">
        <v>2500</v>
      </c>
      <c r="BI36" s="121">
        <v>2500</v>
      </c>
      <c r="BJ36" s="121">
        <v>0</v>
      </c>
      <c r="BK36" s="122">
        <v>0</v>
      </c>
      <c r="BL36" s="117">
        <v>0</v>
      </c>
      <c r="BM36" s="117">
        <v>0</v>
      </c>
      <c r="BN36" s="117">
        <v>0</v>
      </c>
      <c r="BO36" s="117">
        <v>0</v>
      </c>
      <c r="BP36" s="118">
        <v>0</v>
      </c>
      <c r="BQ36" s="135">
        <v>1.1000000000000001</v>
      </c>
      <c r="BR36" s="132">
        <v>1.1000000000000001</v>
      </c>
      <c r="BS36" s="132">
        <v>1.1000000000000001</v>
      </c>
      <c r="BT36" s="117">
        <v>0</v>
      </c>
      <c r="BU36" s="118">
        <v>0</v>
      </c>
      <c r="BV36" s="161" t="s">
        <v>263</v>
      </c>
      <c r="BW36" s="240">
        <f t="shared" si="22"/>
        <v>4687.5</v>
      </c>
      <c r="BX36" s="240">
        <f t="shared" si="23"/>
        <v>3750</v>
      </c>
      <c r="BY36" s="240">
        <f t="shared" si="24"/>
        <v>3125</v>
      </c>
      <c r="BZ36" s="240" t="str">
        <f t="shared" si="25"/>
        <v/>
      </c>
      <c r="CA36" s="249" t="str">
        <f t="shared" si="26"/>
        <v/>
      </c>
      <c r="CB36" s="240">
        <f t="shared" si="27"/>
        <v>781.25</v>
      </c>
      <c r="CC36" s="240">
        <f t="shared" si="28"/>
        <v>781.25</v>
      </c>
      <c r="CD36" s="240">
        <f t="shared" si="29"/>
        <v>781.25</v>
      </c>
      <c r="CE36" s="240" t="str">
        <f t="shared" si="30"/>
        <v/>
      </c>
      <c r="CF36" s="240" t="str">
        <f t="shared" si="31"/>
        <v/>
      </c>
      <c r="CG36" s="250">
        <f t="shared" si="32"/>
        <v>0</v>
      </c>
      <c r="CH36" s="240">
        <f t="shared" si="33"/>
        <v>0</v>
      </c>
      <c r="CI36" s="240">
        <f t="shared" si="34"/>
        <v>0</v>
      </c>
      <c r="CJ36" s="240" t="str">
        <f t="shared" si="35"/>
        <v/>
      </c>
      <c r="CK36" s="249" t="str">
        <f t="shared" si="36"/>
        <v/>
      </c>
    </row>
    <row r="37" spans="1:89" s="21" customFormat="1" x14ac:dyDescent="0.25">
      <c r="A37" s="113" t="s">
        <v>264</v>
      </c>
      <c r="B37" s="114" t="s">
        <v>265</v>
      </c>
      <c r="C37" s="115" t="s">
        <v>29</v>
      </c>
      <c r="D37" s="116">
        <f>AVERAGE(25,300)</f>
        <v>162.5</v>
      </c>
      <c r="E37" s="117">
        <f t="shared" ref="E37:H37" si="41">AVERAGE(25,300)</f>
        <v>162.5</v>
      </c>
      <c r="F37" s="117">
        <f t="shared" si="41"/>
        <v>162.5</v>
      </c>
      <c r="G37" s="117">
        <f t="shared" si="41"/>
        <v>162.5</v>
      </c>
      <c r="H37" s="118">
        <f t="shared" si="41"/>
        <v>162.5</v>
      </c>
      <c r="I37" s="117" t="s">
        <v>266</v>
      </c>
      <c r="J37" s="117" t="s">
        <v>267</v>
      </c>
      <c r="K37" s="117" t="s">
        <v>268</v>
      </c>
      <c r="L37" s="117">
        <v>0</v>
      </c>
      <c r="M37" s="118">
        <v>0</v>
      </c>
      <c r="N37" s="117" t="s">
        <v>269</v>
      </c>
      <c r="O37" s="117" t="s">
        <v>269</v>
      </c>
      <c r="P37" s="117" t="s">
        <v>269</v>
      </c>
      <c r="Q37" s="117">
        <v>0</v>
      </c>
      <c r="R37" s="118">
        <v>0</v>
      </c>
      <c r="S37" s="117"/>
      <c r="T37" s="117"/>
      <c r="U37" s="117"/>
      <c r="V37" s="117"/>
      <c r="W37" s="118"/>
      <c r="X37" s="117" t="s">
        <v>270</v>
      </c>
      <c r="Y37" s="117" t="s">
        <v>270</v>
      </c>
      <c r="Z37" s="117" t="s">
        <v>270</v>
      </c>
      <c r="AA37" s="117">
        <v>0</v>
      </c>
      <c r="AB37" s="118">
        <v>0</v>
      </c>
      <c r="AC37" s="204">
        <v>0.89500000000000002</v>
      </c>
      <c r="AD37" s="204">
        <v>0.93</v>
      </c>
      <c r="AE37" s="204">
        <v>0.95499999999999996</v>
      </c>
      <c r="AF37" s="198">
        <v>0</v>
      </c>
      <c r="AG37" s="199">
        <v>0</v>
      </c>
      <c r="AH37" s="119">
        <v>0.57499999999999996</v>
      </c>
      <c r="AI37" s="119">
        <v>0.58499999999999996</v>
      </c>
      <c r="AJ37" s="119">
        <v>0.59499999999999997</v>
      </c>
      <c r="AK37" s="119">
        <v>0</v>
      </c>
      <c r="AL37" s="120">
        <v>0</v>
      </c>
      <c r="AM37" s="119">
        <v>0.32</v>
      </c>
      <c r="AN37" s="119">
        <v>0.34</v>
      </c>
      <c r="AO37" s="119">
        <v>0.36</v>
      </c>
      <c r="AP37" s="119">
        <v>0</v>
      </c>
      <c r="AQ37" s="120">
        <v>0</v>
      </c>
      <c r="AR37" s="117"/>
      <c r="AS37" s="117"/>
      <c r="AT37" s="117"/>
      <c r="AU37" s="117"/>
      <c r="AV37" s="118"/>
      <c r="AW37" s="117" t="s">
        <v>249</v>
      </c>
      <c r="AX37" s="117" t="s">
        <v>249</v>
      </c>
      <c r="AY37" s="117" t="s">
        <v>249</v>
      </c>
      <c r="AZ37" s="117">
        <v>0</v>
      </c>
      <c r="BA37" s="118">
        <v>0</v>
      </c>
      <c r="BB37" s="121">
        <v>72500</v>
      </c>
      <c r="BC37" s="121">
        <v>72500</v>
      </c>
      <c r="BD37" s="121">
        <v>72500</v>
      </c>
      <c r="BE37" s="121">
        <v>0</v>
      </c>
      <c r="BF37" s="122">
        <v>0</v>
      </c>
      <c r="BG37" s="121">
        <v>200</v>
      </c>
      <c r="BH37" s="121">
        <v>200</v>
      </c>
      <c r="BI37" s="121">
        <v>200</v>
      </c>
      <c r="BJ37" s="121">
        <v>0</v>
      </c>
      <c r="BK37" s="122">
        <v>0</v>
      </c>
      <c r="BL37" s="117">
        <v>0</v>
      </c>
      <c r="BM37" s="117">
        <v>0</v>
      </c>
      <c r="BN37" s="117">
        <v>0</v>
      </c>
      <c r="BO37" s="117">
        <v>0</v>
      </c>
      <c r="BP37" s="118">
        <v>0</v>
      </c>
      <c r="BQ37" s="135">
        <v>0.85</v>
      </c>
      <c r="BR37" s="132">
        <v>0.85</v>
      </c>
      <c r="BS37" s="132">
        <v>0.85</v>
      </c>
      <c r="BT37" s="117">
        <v>0</v>
      </c>
      <c r="BU37" s="118">
        <v>0</v>
      </c>
      <c r="BV37" s="161" t="s">
        <v>263</v>
      </c>
      <c r="BW37" s="240">
        <f t="shared" si="22"/>
        <v>446.15384615384613</v>
      </c>
      <c r="BX37" s="240">
        <f t="shared" si="23"/>
        <v>446.15384615384613</v>
      </c>
      <c r="BY37" s="240">
        <f t="shared" si="24"/>
        <v>446.15384615384613</v>
      </c>
      <c r="BZ37" s="240">
        <f t="shared" si="25"/>
        <v>0</v>
      </c>
      <c r="CA37" s="249">
        <f t="shared" si="26"/>
        <v>0</v>
      </c>
      <c r="CB37" s="254">
        <f t="shared" si="27"/>
        <v>1.2307692307692308</v>
      </c>
      <c r="CC37" s="254">
        <f t="shared" si="28"/>
        <v>1.2307692307692308</v>
      </c>
      <c r="CD37" s="254">
        <f t="shared" si="29"/>
        <v>1.2307692307692308</v>
      </c>
      <c r="CE37" s="254">
        <f t="shared" si="30"/>
        <v>0</v>
      </c>
      <c r="CF37" s="255">
        <f t="shared" si="31"/>
        <v>0</v>
      </c>
      <c r="CG37" s="250">
        <f t="shared" si="32"/>
        <v>0</v>
      </c>
      <c r="CH37" s="240">
        <f t="shared" si="33"/>
        <v>0</v>
      </c>
      <c r="CI37" s="240">
        <f t="shared" si="34"/>
        <v>0</v>
      </c>
      <c r="CJ37" s="240">
        <f t="shared" si="35"/>
        <v>0</v>
      </c>
      <c r="CK37" s="249">
        <f t="shared" si="36"/>
        <v>0</v>
      </c>
    </row>
    <row r="38" spans="1:89" s="21" customFormat="1" x14ac:dyDescent="0.2">
      <c r="A38" s="113" t="s">
        <v>52</v>
      </c>
      <c r="B38" s="114" t="s">
        <v>6</v>
      </c>
      <c r="C38" s="115" t="s">
        <v>30</v>
      </c>
      <c r="D38" s="131" t="s">
        <v>53</v>
      </c>
      <c r="E38" s="127">
        <v>10</v>
      </c>
      <c r="F38" s="127">
        <v>10</v>
      </c>
      <c r="G38" s="127">
        <v>10</v>
      </c>
      <c r="H38" s="128">
        <v>10</v>
      </c>
      <c r="I38" s="117"/>
      <c r="J38" s="117"/>
      <c r="K38" s="117"/>
      <c r="L38" s="117"/>
      <c r="M38" s="118"/>
      <c r="N38" s="117">
        <v>0</v>
      </c>
      <c r="O38" s="117">
        <v>0</v>
      </c>
      <c r="P38" s="117">
        <v>0</v>
      </c>
      <c r="Q38" s="117">
        <v>0</v>
      </c>
      <c r="R38" s="118">
        <v>0</v>
      </c>
      <c r="S38" s="117"/>
      <c r="T38" s="117"/>
      <c r="U38" s="117"/>
      <c r="V38" s="117"/>
      <c r="W38" s="118"/>
      <c r="X38" s="117">
        <v>0</v>
      </c>
      <c r="Y38" s="117">
        <v>0</v>
      </c>
      <c r="Z38" s="117">
        <v>0</v>
      </c>
      <c r="AA38" s="117">
        <v>0</v>
      </c>
      <c r="AB38" s="118">
        <v>0</v>
      </c>
      <c r="AC38" s="204">
        <v>0.65</v>
      </c>
      <c r="AD38" s="204">
        <v>0.7</v>
      </c>
      <c r="AE38" s="204">
        <v>0.72499999999999998</v>
      </c>
      <c r="AF38" s="198">
        <v>0</v>
      </c>
      <c r="AG38" s="199">
        <v>0</v>
      </c>
      <c r="AH38" s="119">
        <v>0</v>
      </c>
      <c r="AI38" s="119">
        <v>0</v>
      </c>
      <c r="AJ38" s="119">
        <v>0</v>
      </c>
      <c r="AK38" s="119">
        <v>0</v>
      </c>
      <c r="AL38" s="120">
        <v>0</v>
      </c>
      <c r="AM38" s="168">
        <v>0.2</v>
      </c>
      <c r="AN38" s="168">
        <v>0.22</v>
      </c>
      <c r="AO38" s="168">
        <v>0.25</v>
      </c>
      <c r="AP38" s="117">
        <v>0</v>
      </c>
      <c r="AQ38" s="120">
        <v>0</v>
      </c>
      <c r="AR38" s="117"/>
      <c r="AS38" s="117"/>
      <c r="AT38" s="117"/>
      <c r="AU38" s="117"/>
      <c r="AV38" s="118"/>
      <c r="AW38" s="117">
        <v>0</v>
      </c>
      <c r="AX38" s="117">
        <v>0</v>
      </c>
      <c r="AY38" s="117">
        <v>0</v>
      </c>
      <c r="AZ38" s="117">
        <v>0</v>
      </c>
      <c r="BA38" s="118">
        <v>0</v>
      </c>
      <c r="BB38" s="124">
        <v>21450</v>
      </c>
      <c r="BC38" s="124">
        <v>17160</v>
      </c>
      <c r="BD38" s="124">
        <v>14371.5</v>
      </c>
      <c r="BE38" s="124">
        <v>14371.5</v>
      </c>
      <c r="BF38" s="125">
        <v>14371.5</v>
      </c>
      <c r="BG38" s="124">
        <v>2550</v>
      </c>
      <c r="BH38" s="124">
        <v>2550</v>
      </c>
      <c r="BI38" s="124">
        <v>2550</v>
      </c>
      <c r="BJ38" s="124">
        <v>2550</v>
      </c>
      <c r="BK38" s="125">
        <v>2550</v>
      </c>
      <c r="BL38" s="124">
        <v>310</v>
      </c>
      <c r="BM38" s="121">
        <v>0</v>
      </c>
      <c r="BN38" s="121">
        <v>0</v>
      </c>
      <c r="BO38" s="121">
        <v>0</v>
      </c>
      <c r="BP38" s="122">
        <v>0</v>
      </c>
      <c r="BQ38" s="136">
        <v>0</v>
      </c>
      <c r="BR38" s="119">
        <v>0</v>
      </c>
      <c r="BS38" s="119">
        <v>0</v>
      </c>
      <c r="BT38" s="121">
        <v>0</v>
      </c>
      <c r="BU38" s="122">
        <v>0</v>
      </c>
      <c r="BV38" s="161" t="s">
        <v>48</v>
      </c>
      <c r="BW38" s="240">
        <f t="shared" si="22"/>
        <v>2145</v>
      </c>
      <c r="BX38" s="240">
        <f t="shared" si="23"/>
        <v>1716</v>
      </c>
      <c r="BY38" s="240">
        <f t="shared" si="24"/>
        <v>1437.15</v>
      </c>
      <c r="BZ38" s="240">
        <f t="shared" si="25"/>
        <v>1437.15</v>
      </c>
      <c r="CA38" s="249">
        <f t="shared" si="26"/>
        <v>1437.15</v>
      </c>
      <c r="CB38" s="240">
        <f t="shared" si="27"/>
        <v>255</v>
      </c>
      <c r="CC38" s="240">
        <f t="shared" si="28"/>
        <v>255</v>
      </c>
      <c r="CD38" s="240">
        <f t="shared" si="29"/>
        <v>255</v>
      </c>
      <c r="CE38" s="240">
        <f t="shared" si="30"/>
        <v>255</v>
      </c>
      <c r="CF38" s="249">
        <f t="shared" si="31"/>
        <v>255</v>
      </c>
      <c r="CG38" s="250">
        <f t="shared" si="32"/>
        <v>31</v>
      </c>
      <c r="CH38" s="240">
        <f t="shared" si="33"/>
        <v>0</v>
      </c>
      <c r="CI38" s="240">
        <f t="shared" si="34"/>
        <v>0</v>
      </c>
      <c r="CJ38" s="240">
        <f t="shared" si="35"/>
        <v>0</v>
      </c>
      <c r="CK38" s="249">
        <f t="shared" si="36"/>
        <v>0</v>
      </c>
    </row>
    <row r="39" spans="1:89" s="21" customFormat="1" x14ac:dyDescent="0.25">
      <c r="A39" s="113" t="s">
        <v>271</v>
      </c>
      <c r="B39" s="114" t="s">
        <v>272</v>
      </c>
      <c r="C39" s="115" t="s">
        <v>25</v>
      </c>
      <c r="D39" s="116">
        <f>AVERAGE(7,12)</f>
        <v>9.5</v>
      </c>
      <c r="E39" s="117">
        <f t="shared" ref="E39:H39" si="42">AVERAGE(7,12)</f>
        <v>9.5</v>
      </c>
      <c r="F39" s="117">
        <f t="shared" si="42"/>
        <v>9.5</v>
      </c>
      <c r="G39" s="117">
        <f t="shared" si="42"/>
        <v>9.5</v>
      </c>
      <c r="H39" s="118">
        <f t="shared" si="42"/>
        <v>9.5</v>
      </c>
      <c r="I39" s="117">
        <v>1</v>
      </c>
      <c r="J39" s="117">
        <v>1</v>
      </c>
      <c r="K39" s="117">
        <v>1</v>
      </c>
      <c r="L39" s="117">
        <v>0</v>
      </c>
      <c r="M39" s="118">
        <v>0</v>
      </c>
      <c r="N39" s="117" t="s">
        <v>273</v>
      </c>
      <c r="O39" s="117" t="s">
        <v>273</v>
      </c>
      <c r="P39" s="117" t="s">
        <v>273</v>
      </c>
      <c r="Q39" s="117">
        <v>0</v>
      </c>
      <c r="R39" s="118">
        <v>0</v>
      </c>
      <c r="S39" s="117"/>
      <c r="T39" s="117"/>
      <c r="U39" s="117"/>
      <c r="V39" s="117"/>
      <c r="W39" s="118"/>
      <c r="X39" s="117" t="s">
        <v>270</v>
      </c>
      <c r="Y39" s="117" t="s">
        <v>270</v>
      </c>
      <c r="Z39" s="117" t="s">
        <v>270</v>
      </c>
      <c r="AA39" s="117">
        <v>0</v>
      </c>
      <c r="AB39" s="118">
        <v>0</v>
      </c>
      <c r="AC39" s="198">
        <v>0.89500000000000002</v>
      </c>
      <c r="AD39" s="198">
        <v>0.94</v>
      </c>
      <c r="AE39" s="198">
        <v>0.98499999999999999</v>
      </c>
      <c r="AF39" s="198">
        <v>0</v>
      </c>
      <c r="AG39" s="199">
        <v>0</v>
      </c>
      <c r="AH39" s="119">
        <v>0.77500000000000002</v>
      </c>
      <c r="AI39" s="119">
        <v>0.8</v>
      </c>
      <c r="AJ39" s="119">
        <v>0.82499999999999996</v>
      </c>
      <c r="AK39" s="119">
        <v>0</v>
      </c>
      <c r="AL39" s="120">
        <v>0</v>
      </c>
      <c r="AM39" s="119">
        <v>0.12</v>
      </c>
      <c r="AN39" s="119">
        <v>0.14000000000000001</v>
      </c>
      <c r="AO39" s="119">
        <v>0.16</v>
      </c>
      <c r="AP39" s="119">
        <v>0</v>
      </c>
      <c r="AQ39" s="120">
        <v>0</v>
      </c>
      <c r="AR39" s="117"/>
      <c r="AS39" s="117"/>
      <c r="AT39" s="117"/>
      <c r="AU39" s="117"/>
      <c r="AV39" s="118"/>
      <c r="AW39" s="117">
        <v>10</v>
      </c>
      <c r="AX39" s="117" t="s">
        <v>262</v>
      </c>
      <c r="AY39" s="117" t="s">
        <v>262</v>
      </c>
      <c r="AZ39" s="117">
        <v>0</v>
      </c>
      <c r="BA39" s="118">
        <v>0</v>
      </c>
      <c r="BB39" s="121">
        <v>12000</v>
      </c>
      <c r="BC39" s="121">
        <v>7000</v>
      </c>
      <c r="BD39" s="121">
        <v>5000</v>
      </c>
      <c r="BE39" s="121">
        <v>0</v>
      </c>
      <c r="BF39" s="122">
        <v>0</v>
      </c>
      <c r="BG39" s="121">
        <v>2500</v>
      </c>
      <c r="BH39" s="121">
        <v>2500</v>
      </c>
      <c r="BI39" s="121">
        <v>2500</v>
      </c>
      <c r="BJ39" s="121">
        <v>0</v>
      </c>
      <c r="BK39" s="122">
        <v>0</v>
      </c>
      <c r="BL39" s="117">
        <v>0</v>
      </c>
      <c r="BM39" s="117">
        <v>0</v>
      </c>
      <c r="BN39" s="117">
        <v>0</v>
      </c>
      <c r="BO39" s="117">
        <v>0</v>
      </c>
      <c r="BP39" s="118">
        <v>0</v>
      </c>
      <c r="BQ39" s="135">
        <v>0.75</v>
      </c>
      <c r="BR39" s="132">
        <v>0.75</v>
      </c>
      <c r="BS39" s="132">
        <v>0.75</v>
      </c>
      <c r="BT39" s="117">
        <v>0</v>
      </c>
      <c r="BU39" s="118">
        <v>0</v>
      </c>
      <c r="BV39" s="161" t="s">
        <v>274</v>
      </c>
      <c r="BW39" s="240">
        <f t="shared" si="22"/>
        <v>1263.1578947368421</v>
      </c>
      <c r="BX39" s="240">
        <f t="shared" si="23"/>
        <v>736.84210526315792</v>
      </c>
      <c r="BY39" s="240">
        <f t="shared" si="24"/>
        <v>526.31578947368416</v>
      </c>
      <c r="BZ39" s="240">
        <f t="shared" si="25"/>
        <v>0</v>
      </c>
      <c r="CA39" s="249">
        <f t="shared" si="26"/>
        <v>0</v>
      </c>
      <c r="CB39" s="240">
        <f t="shared" si="27"/>
        <v>263.15789473684208</v>
      </c>
      <c r="CC39" s="240">
        <f t="shared" si="28"/>
        <v>263.15789473684208</v>
      </c>
      <c r="CD39" s="240">
        <f t="shared" si="29"/>
        <v>263.15789473684208</v>
      </c>
      <c r="CE39" s="240">
        <f t="shared" si="30"/>
        <v>0</v>
      </c>
      <c r="CF39" s="249">
        <f t="shared" si="31"/>
        <v>0</v>
      </c>
      <c r="CG39" s="250">
        <f t="shared" si="32"/>
        <v>0</v>
      </c>
      <c r="CH39" s="240">
        <f t="shared" si="33"/>
        <v>0</v>
      </c>
      <c r="CI39" s="240">
        <f t="shared" si="34"/>
        <v>0</v>
      </c>
      <c r="CJ39" s="240">
        <f t="shared" si="35"/>
        <v>0</v>
      </c>
      <c r="CK39" s="249">
        <f t="shared" si="36"/>
        <v>0</v>
      </c>
    </row>
    <row r="40" spans="1:89" s="21" customFormat="1" x14ac:dyDescent="0.25">
      <c r="A40" s="113" t="s">
        <v>275</v>
      </c>
      <c r="B40" s="114" t="s">
        <v>276</v>
      </c>
      <c r="C40" s="115" t="s">
        <v>31</v>
      </c>
      <c r="D40" s="116">
        <v>15</v>
      </c>
      <c r="E40" s="117">
        <v>14</v>
      </c>
      <c r="F40" s="117">
        <v>13</v>
      </c>
      <c r="G40" s="117">
        <v>0</v>
      </c>
      <c r="H40" s="118">
        <v>0</v>
      </c>
      <c r="I40" s="117">
        <v>7</v>
      </c>
      <c r="J40" s="117">
        <v>7</v>
      </c>
      <c r="K40" s="117">
        <v>7</v>
      </c>
      <c r="L40" s="117">
        <v>0</v>
      </c>
      <c r="M40" s="118">
        <v>0</v>
      </c>
      <c r="N40" s="117" t="s">
        <v>273</v>
      </c>
      <c r="O40" s="117" t="s">
        <v>273</v>
      </c>
      <c r="P40" s="117" t="s">
        <v>273</v>
      </c>
      <c r="Q40" s="117">
        <v>0</v>
      </c>
      <c r="R40" s="118">
        <v>0</v>
      </c>
      <c r="S40" s="117"/>
      <c r="T40" s="117"/>
      <c r="U40" s="117"/>
      <c r="V40" s="117"/>
      <c r="W40" s="118"/>
      <c r="X40" s="117" t="s">
        <v>277</v>
      </c>
      <c r="Y40" s="117" t="s">
        <v>277</v>
      </c>
      <c r="Z40" s="117" t="s">
        <v>277</v>
      </c>
      <c r="AA40" s="117">
        <v>0</v>
      </c>
      <c r="AB40" s="118">
        <v>0</v>
      </c>
      <c r="AC40" s="198">
        <v>0.8</v>
      </c>
      <c r="AD40" s="198">
        <v>0.82</v>
      </c>
      <c r="AE40" s="198">
        <v>0.85</v>
      </c>
      <c r="AF40" s="198">
        <v>0</v>
      </c>
      <c r="AG40" s="199">
        <v>0</v>
      </c>
      <c r="AH40" s="119">
        <v>0.55000000000000004</v>
      </c>
      <c r="AI40" s="119">
        <v>0.55000000000000004</v>
      </c>
      <c r="AJ40" s="119">
        <v>0.55000000000000004</v>
      </c>
      <c r="AK40" s="119">
        <v>0</v>
      </c>
      <c r="AL40" s="120">
        <v>0</v>
      </c>
      <c r="AM40" s="119">
        <v>0.25</v>
      </c>
      <c r="AN40" s="119">
        <v>0.27</v>
      </c>
      <c r="AO40" s="119">
        <v>0.3</v>
      </c>
      <c r="AP40" s="119">
        <v>0</v>
      </c>
      <c r="AQ40" s="120">
        <v>0</v>
      </c>
      <c r="AR40" s="117"/>
      <c r="AS40" s="117"/>
      <c r="AT40" s="117"/>
      <c r="AU40" s="117"/>
      <c r="AV40" s="118"/>
      <c r="AW40" s="117">
        <v>10</v>
      </c>
      <c r="AX40" s="117" t="s">
        <v>262</v>
      </c>
      <c r="AY40" s="117" t="s">
        <v>262</v>
      </c>
      <c r="AZ40" s="117">
        <v>0</v>
      </c>
      <c r="BA40" s="118">
        <v>0</v>
      </c>
      <c r="BB40" s="121">
        <v>20000</v>
      </c>
      <c r="BC40" s="121">
        <v>18000</v>
      </c>
      <c r="BD40" s="121">
        <v>15000</v>
      </c>
      <c r="BE40" s="121">
        <v>0</v>
      </c>
      <c r="BF40" s="122">
        <v>0</v>
      </c>
      <c r="BG40" s="121">
        <v>200</v>
      </c>
      <c r="BH40" s="121">
        <v>200</v>
      </c>
      <c r="BI40" s="121">
        <v>200</v>
      </c>
      <c r="BJ40" s="121">
        <v>0</v>
      </c>
      <c r="BK40" s="122">
        <v>0</v>
      </c>
      <c r="BL40" s="117">
        <v>0</v>
      </c>
      <c r="BM40" s="117">
        <v>0</v>
      </c>
      <c r="BN40" s="117">
        <v>0</v>
      </c>
      <c r="BO40" s="117">
        <v>0</v>
      </c>
      <c r="BP40" s="118">
        <v>0</v>
      </c>
      <c r="BQ40" s="135">
        <v>0.7</v>
      </c>
      <c r="BR40" s="132">
        <v>0.7</v>
      </c>
      <c r="BS40" s="132">
        <v>0.7</v>
      </c>
      <c r="BT40" s="117">
        <v>0</v>
      </c>
      <c r="BU40" s="118">
        <v>0</v>
      </c>
      <c r="BV40" s="161" t="s">
        <v>274</v>
      </c>
      <c r="BW40" s="240">
        <f t="shared" si="22"/>
        <v>1333.3333333333333</v>
      </c>
      <c r="BX40" s="240">
        <f t="shared" si="23"/>
        <v>1285.7142857142858</v>
      </c>
      <c r="BY40" s="240">
        <f t="shared" si="24"/>
        <v>1153.8461538461538</v>
      </c>
      <c r="BZ40" s="240" t="str">
        <f t="shared" si="25"/>
        <v/>
      </c>
      <c r="CA40" s="249" t="str">
        <f t="shared" si="26"/>
        <v/>
      </c>
      <c r="CB40" s="240">
        <f t="shared" si="27"/>
        <v>13.333333333333334</v>
      </c>
      <c r="CC40" s="240">
        <f t="shared" si="28"/>
        <v>14.285714285714286</v>
      </c>
      <c r="CD40" s="240">
        <f t="shared" si="29"/>
        <v>15.384615384615385</v>
      </c>
      <c r="CE40" s="240" t="str">
        <f t="shared" si="30"/>
        <v/>
      </c>
      <c r="CF40" s="249" t="str">
        <f t="shared" si="31"/>
        <v/>
      </c>
      <c r="CG40" s="250">
        <f t="shared" si="32"/>
        <v>0</v>
      </c>
      <c r="CH40" s="240">
        <f t="shared" si="33"/>
        <v>0</v>
      </c>
      <c r="CI40" s="240">
        <f t="shared" si="34"/>
        <v>0</v>
      </c>
      <c r="CJ40" s="240" t="str">
        <f t="shared" si="35"/>
        <v/>
      </c>
      <c r="CK40" s="249" t="str">
        <f t="shared" si="36"/>
        <v/>
      </c>
    </row>
    <row r="41" spans="1:89" s="21" customFormat="1" x14ac:dyDescent="0.25">
      <c r="A41" s="113" t="s">
        <v>278</v>
      </c>
      <c r="B41" s="114" t="s">
        <v>279</v>
      </c>
      <c r="C41" s="115" t="s">
        <v>32</v>
      </c>
      <c r="D41" s="116" t="s">
        <v>280</v>
      </c>
      <c r="E41" s="117" t="s">
        <v>280</v>
      </c>
      <c r="F41" s="117" t="s">
        <v>280</v>
      </c>
      <c r="G41" s="117" t="s">
        <v>192</v>
      </c>
      <c r="H41" s="118" t="s">
        <v>192</v>
      </c>
      <c r="I41" s="117" t="s">
        <v>281</v>
      </c>
      <c r="J41" s="117" t="s">
        <v>281</v>
      </c>
      <c r="K41" s="117" t="s">
        <v>281</v>
      </c>
      <c r="L41" s="117">
        <v>0</v>
      </c>
      <c r="M41" s="118">
        <v>0</v>
      </c>
      <c r="N41" s="117" t="s">
        <v>282</v>
      </c>
      <c r="O41" s="117" t="s">
        <v>282</v>
      </c>
      <c r="P41" s="117" t="s">
        <v>282</v>
      </c>
      <c r="Q41" s="117">
        <v>0</v>
      </c>
      <c r="R41" s="118">
        <v>0</v>
      </c>
      <c r="S41" s="117"/>
      <c r="T41" s="117"/>
      <c r="U41" s="117"/>
      <c r="V41" s="117"/>
      <c r="W41" s="118"/>
      <c r="X41" s="117" t="s">
        <v>283</v>
      </c>
      <c r="Y41" s="117" t="s">
        <v>283</v>
      </c>
      <c r="Z41" s="117" t="s">
        <v>283</v>
      </c>
      <c r="AA41" s="117">
        <v>0</v>
      </c>
      <c r="AB41" s="118">
        <v>0</v>
      </c>
      <c r="AC41" s="198">
        <v>0.875</v>
      </c>
      <c r="AD41" s="198">
        <v>0.47499999999999998</v>
      </c>
      <c r="AE41" s="198">
        <v>0.98499999999999999</v>
      </c>
      <c r="AF41" s="198">
        <v>0</v>
      </c>
      <c r="AG41" s="199">
        <v>0</v>
      </c>
      <c r="AH41" s="119">
        <v>0.55000000000000004</v>
      </c>
      <c r="AI41" s="119">
        <v>0.52500000000000002</v>
      </c>
      <c r="AJ41" s="119">
        <v>0.52500000000000002</v>
      </c>
      <c r="AK41" s="119">
        <v>0</v>
      </c>
      <c r="AL41" s="120">
        <v>0</v>
      </c>
      <c r="AM41" s="119">
        <v>0.375</v>
      </c>
      <c r="AN41" s="119">
        <v>0.45</v>
      </c>
      <c r="AO41" s="119">
        <v>0.47499999999999998</v>
      </c>
      <c r="AP41" s="119">
        <v>0</v>
      </c>
      <c r="AQ41" s="120">
        <v>0</v>
      </c>
      <c r="AR41" s="117"/>
      <c r="AS41" s="117"/>
      <c r="AT41" s="117"/>
      <c r="AU41" s="117"/>
      <c r="AV41" s="118"/>
      <c r="AW41" s="117" t="s">
        <v>284</v>
      </c>
      <c r="AX41" s="117" t="s">
        <v>285</v>
      </c>
      <c r="AY41" s="117" t="s">
        <v>285</v>
      </c>
      <c r="AZ41" s="117">
        <v>0</v>
      </c>
      <c r="BA41" s="118">
        <v>0</v>
      </c>
      <c r="BB41" s="121">
        <v>21000</v>
      </c>
      <c r="BC41" s="124">
        <v>18900</v>
      </c>
      <c r="BD41" s="124">
        <v>15750</v>
      </c>
      <c r="BE41" s="121">
        <v>0</v>
      </c>
      <c r="BF41" s="122">
        <v>0</v>
      </c>
      <c r="BG41" s="121">
        <v>2500</v>
      </c>
      <c r="BH41" s="121">
        <v>2500</v>
      </c>
      <c r="BI41" s="121">
        <v>2500</v>
      </c>
      <c r="BJ41" s="121">
        <v>0</v>
      </c>
      <c r="BK41" s="122">
        <v>0</v>
      </c>
      <c r="BL41" s="127">
        <v>500</v>
      </c>
      <c r="BM41" s="117">
        <v>0</v>
      </c>
      <c r="BN41" s="117">
        <v>0</v>
      </c>
      <c r="BO41" s="117">
        <v>0</v>
      </c>
      <c r="BP41" s="118">
        <v>0</v>
      </c>
      <c r="BQ41" s="116">
        <v>0</v>
      </c>
      <c r="BR41" s="117">
        <v>0</v>
      </c>
      <c r="BS41" s="117">
        <v>0</v>
      </c>
      <c r="BT41" s="117">
        <v>0</v>
      </c>
      <c r="BU41" s="118">
        <v>0</v>
      </c>
      <c r="BV41" s="161" t="s">
        <v>274</v>
      </c>
      <c r="BW41" s="240">
        <f t="shared" si="22"/>
        <v>14000</v>
      </c>
      <c r="BX41" s="240">
        <f t="shared" si="23"/>
        <v>12600</v>
      </c>
      <c r="BY41" s="240">
        <f t="shared" si="24"/>
        <v>10500</v>
      </c>
      <c r="BZ41" s="240" t="str">
        <f t="shared" si="25"/>
        <v/>
      </c>
      <c r="CA41" s="249" t="str">
        <f t="shared" si="26"/>
        <v/>
      </c>
      <c r="CB41" s="240">
        <f t="shared" si="27"/>
        <v>1666.6666666666667</v>
      </c>
      <c r="CC41" s="240">
        <f t="shared" si="28"/>
        <v>1666.6666666666667</v>
      </c>
      <c r="CD41" s="240">
        <f t="shared" si="29"/>
        <v>1666.6666666666667</v>
      </c>
      <c r="CE41" s="240" t="str">
        <f t="shared" si="30"/>
        <v/>
      </c>
      <c r="CF41" s="249" t="str">
        <f t="shared" si="31"/>
        <v/>
      </c>
      <c r="CG41" s="250">
        <f t="shared" si="32"/>
        <v>333.33333333333331</v>
      </c>
      <c r="CH41" s="240">
        <f t="shared" si="33"/>
        <v>0</v>
      </c>
      <c r="CI41" s="240">
        <f t="shared" si="34"/>
        <v>0</v>
      </c>
      <c r="CJ41" s="240" t="str">
        <f t="shared" si="35"/>
        <v/>
      </c>
      <c r="CK41" s="249" t="str">
        <f t="shared" si="36"/>
        <v/>
      </c>
    </row>
    <row r="42" spans="1:89" s="21" customFormat="1" x14ac:dyDescent="0.25">
      <c r="A42" s="113" t="s">
        <v>286</v>
      </c>
      <c r="B42" s="114" t="s">
        <v>287</v>
      </c>
      <c r="C42" s="115" t="s">
        <v>33</v>
      </c>
      <c r="D42" s="116">
        <v>1.6</v>
      </c>
      <c r="E42" s="117">
        <v>1.6</v>
      </c>
      <c r="F42" s="117">
        <v>1.6</v>
      </c>
      <c r="G42" s="117">
        <v>0</v>
      </c>
      <c r="H42" s="118">
        <v>0</v>
      </c>
      <c r="I42" s="117">
        <v>1.4</v>
      </c>
      <c r="J42" s="117">
        <v>1.4</v>
      </c>
      <c r="K42" s="117">
        <v>1.4</v>
      </c>
      <c r="L42" s="117">
        <v>0</v>
      </c>
      <c r="M42" s="118">
        <v>0</v>
      </c>
      <c r="N42" s="117" t="s">
        <v>270</v>
      </c>
      <c r="O42" s="117" t="s">
        <v>270</v>
      </c>
      <c r="P42" s="117" t="s">
        <v>270</v>
      </c>
      <c r="Q42" s="117">
        <v>0</v>
      </c>
      <c r="R42" s="118">
        <v>0</v>
      </c>
      <c r="S42" s="117"/>
      <c r="T42" s="117"/>
      <c r="U42" s="117"/>
      <c r="V42" s="117"/>
      <c r="W42" s="118"/>
      <c r="X42" s="117" t="s">
        <v>270</v>
      </c>
      <c r="Y42" s="117" t="s">
        <v>270</v>
      </c>
      <c r="Z42" s="117" t="s">
        <v>270</v>
      </c>
      <c r="AA42" s="117">
        <v>0</v>
      </c>
      <c r="AB42" s="118">
        <v>0</v>
      </c>
      <c r="AC42" s="198">
        <v>0.875</v>
      </c>
      <c r="AD42" s="198">
        <v>0.94</v>
      </c>
      <c r="AE42" s="198">
        <v>0.98499999999999999</v>
      </c>
      <c r="AF42" s="198">
        <v>0</v>
      </c>
      <c r="AG42" s="199">
        <v>0</v>
      </c>
      <c r="AH42" s="119">
        <v>0.4</v>
      </c>
      <c r="AI42" s="119">
        <v>0.44</v>
      </c>
      <c r="AJ42" s="119">
        <v>0.45</v>
      </c>
      <c r="AK42" s="119">
        <v>0</v>
      </c>
      <c r="AL42" s="120">
        <v>0</v>
      </c>
      <c r="AM42" s="119">
        <v>0.47499999999999998</v>
      </c>
      <c r="AN42" s="119">
        <v>0.505</v>
      </c>
      <c r="AO42" s="119">
        <v>0.54500000000000004</v>
      </c>
      <c r="AP42" s="119">
        <v>0</v>
      </c>
      <c r="AQ42" s="120">
        <v>0</v>
      </c>
      <c r="AR42" s="117"/>
      <c r="AS42" s="117"/>
      <c r="AT42" s="117"/>
      <c r="AU42" s="117"/>
      <c r="AV42" s="118"/>
      <c r="AW42" s="117">
        <v>7</v>
      </c>
      <c r="AX42" s="117" t="s">
        <v>262</v>
      </c>
      <c r="AY42" s="117" t="s">
        <v>262</v>
      </c>
      <c r="AZ42" s="117">
        <v>0</v>
      </c>
      <c r="BA42" s="118">
        <v>0</v>
      </c>
      <c r="BB42" s="121">
        <v>10500</v>
      </c>
      <c r="BC42" s="124">
        <v>9450</v>
      </c>
      <c r="BD42" s="124">
        <v>7875</v>
      </c>
      <c r="BE42" s="121">
        <v>0</v>
      </c>
      <c r="BF42" s="122">
        <v>0</v>
      </c>
      <c r="BG42" s="121">
        <v>2500</v>
      </c>
      <c r="BH42" s="121">
        <v>2500</v>
      </c>
      <c r="BI42" s="121">
        <v>2500</v>
      </c>
      <c r="BJ42" s="121">
        <v>0</v>
      </c>
      <c r="BK42" s="122">
        <v>0</v>
      </c>
      <c r="BL42" s="127">
        <v>500</v>
      </c>
      <c r="BM42" s="117">
        <v>0</v>
      </c>
      <c r="BN42" s="117">
        <v>0</v>
      </c>
      <c r="BO42" s="117">
        <v>0</v>
      </c>
      <c r="BP42" s="118">
        <v>0</v>
      </c>
      <c r="BQ42" s="116">
        <v>0</v>
      </c>
      <c r="BR42" s="117">
        <v>0</v>
      </c>
      <c r="BS42" s="117">
        <v>0</v>
      </c>
      <c r="BT42" s="117">
        <v>0</v>
      </c>
      <c r="BU42" s="118">
        <v>0</v>
      </c>
      <c r="BV42" s="161" t="s">
        <v>274</v>
      </c>
      <c r="BW42" s="240">
        <f t="shared" si="22"/>
        <v>6562.5</v>
      </c>
      <c r="BX42" s="240">
        <f t="shared" si="23"/>
        <v>5906.25</v>
      </c>
      <c r="BY42" s="240">
        <f t="shared" si="24"/>
        <v>4921.875</v>
      </c>
      <c r="BZ42" s="240" t="str">
        <f t="shared" si="25"/>
        <v/>
      </c>
      <c r="CA42" s="249" t="str">
        <f t="shared" si="26"/>
        <v/>
      </c>
      <c r="CB42" s="240">
        <f t="shared" si="27"/>
        <v>1562.5</v>
      </c>
      <c r="CC42" s="240">
        <f t="shared" si="28"/>
        <v>1562.5</v>
      </c>
      <c r="CD42" s="240">
        <f t="shared" si="29"/>
        <v>1562.5</v>
      </c>
      <c r="CE42" s="240" t="str">
        <f t="shared" si="30"/>
        <v/>
      </c>
      <c r="CF42" s="249" t="str">
        <f t="shared" si="31"/>
        <v/>
      </c>
      <c r="CG42" s="250">
        <f t="shared" si="32"/>
        <v>312.5</v>
      </c>
      <c r="CH42" s="240">
        <f t="shared" si="33"/>
        <v>0</v>
      </c>
      <c r="CI42" s="240">
        <f t="shared" si="34"/>
        <v>0</v>
      </c>
      <c r="CJ42" s="240" t="str">
        <f t="shared" si="35"/>
        <v/>
      </c>
      <c r="CK42" s="249" t="str">
        <f t="shared" si="36"/>
        <v/>
      </c>
    </row>
    <row r="43" spans="1:89" s="21" customFormat="1" x14ac:dyDescent="0.25">
      <c r="A43" s="107" t="s">
        <v>4</v>
      </c>
      <c r="B43" s="108"/>
      <c r="C43" s="109"/>
      <c r="D43" s="110"/>
      <c r="E43" s="111"/>
      <c r="F43" s="111"/>
      <c r="G43" s="111"/>
      <c r="H43" s="112"/>
      <c r="I43" s="111"/>
      <c r="J43" s="111"/>
      <c r="K43" s="111"/>
      <c r="L43" s="111"/>
      <c r="M43" s="112"/>
      <c r="N43" s="111"/>
      <c r="O43" s="111"/>
      <c r="P43" s="111"/>
      <c r="Q43" s="111"/>
      <c r="R43" s="112"/>
      <c r="S43" s="111"/>
      <c r="T43" s="111"/>
      <c r="U43" s="111"/>
      <c r="V43" s="111"/>
      <c r="W43" s="112"/>
      <c r="X43" s="111"/>
      <c r="Y43" s="111"/>
      <c r="Z43" s="111"/>
      <c r="AA43" s="111"/>
      <c r="AB43" s="112"/>
      <c r="AC43" s="200">
        <v>0</v>
      </c>
      <c r="AD43" s="200">
        <v>0</v>
      </c>
      <c r="AE43" s="200">
        <v>0</v>
      </c>
      <c r="AF43" s="200">
        <v>0</v>
      </c>
      <c r="AG43" s="201">
        <v>0</v>
      </c>
      <c r="AH43" s="129">
        <v>0</v>
      </c>
      <c r="AI43" s="129">
        <v>0</v>
      </c>
      <c r="AJ43" s="129">
        <v>0</v>
      </c>
      <c r="AK43" s="129">
        <v>0</v>
      </c>
      <c r="AL43" s="130">
        <v>0</v>
      </c>
      <c r="AM43" s="129">
        <v>0</v>
      </c>
      <c r="AN43" s="129">
        <v>0</v>
      </c>
      <c r="AO43" s="129">
        <v>0</v>
      </c>
      <c r="AP43" s="129">
        <v>0</v>
      </c>
      <c r="AQ43" s="130">
        <v>0</v>
      </c>
      <c r="AR43" s="111"/>
      <c r="AS43" s="111"/>
      <c r="AT43" s="111"/>
      <c r="AU43" s="111"/>
      <c r="AV43" s="112"/>
      <c r="AW43" s="111"/>
      <c r="AX43" s="111"/>
      <c r="AY43" s="111"/>
      <c r="AZ43" s="111"/>
      <c r="BA43" s="112"/>
      <c r="BB43" s="111"/>
      <c r="BC43" s="111"/>
      <c r="BD43" s="111"/>
      <c r="BE43" s="111"/>
      <c r="BF43" s="112"/>
      <c r="BG43" s="111"/>
      <c r="BH43" s="111"/>
      <c r="BI43" s="111"/>
      <c r="BJ43" s="111"/>
      <c r="BK43" s="112"/>
      <c r="BL43" s="111"/>
      <c r="BM43" s="111"/>
      <c r="BN43" s="111"/>
      <c r="BO43" s="111"/>
      <c r="BP43" s="112"/>
      <c r="BQ43" s="110"/>
      <c r="BR43" s="111"/>
      <c r="BS43" s="111"/>
      <c r="BT43" s="111"/>
      <c r="BU43" s="112"/>
      <c r="BV43" s="160"/>
      <c r="BW43" s="251" t="str">
        <f t="shared" si="22"/>
        <v/>
      </c>
      <c r="BX43" s="251" t="str">
        <f t="shared" si="23"/>
        <v/>
      </c>
      <c r="BY43" s="251" t="str">
        <f t="shared" si="24"/>
        <v/>
      </c>
      <c r="BZ43" s="251" t="str">
        <f t="shared" si="25"/>
        <v/>
      </c>
      <c r="CA43" s="252" t="str">
        <f t="shared" si="26"/>
        <v/>
      </c>
      <c r="CB43" s="251" t="str">
        <f t="shared" si="27"/>
        <v/>
      </c>
      <c r="CC43" s="251" t="str">
        <f t="shared" si="28"/>
        <v/>
      </c>
      <c r="CD43" s="251" t="str">
        <f t="shared" si="29"/>
        <v/>
      </c>
      <c r="CE43" s="251" t="str">
        <f t="shared" si="30"/>
        <v/>
      </c>
      <c r="CF43" s="252" t="str">
        <f t="shared" si="31"/>
        <v/>
      </c>
      <c r="CG43" s="253" t="str">
        <f t="shared" si="32"/>
        <v/>
      </c>
      <c r="CH43" s="251" t="str">
        <f t="shared" si="33"/>
        <v/>
      </c>
      <c r="CI43" s="251" t="str">
        <f t="shared" si="34"/>
        <v/>
      </c>
      <c r="CJ43" s="251" t="str">
        <f t="shared" si="35"/>
        <v/>
      </c>
      <c r="CK43" s="252" t="str">
        <f t="shared" si="36"/>
        <v/>
      </c>
    </row>
    <row r="44" spans="1:89" s="21" customFormat="1" x14ac:dyDescent="0.25">
      <c r="A44" s="113"/>
      <c r="B44" s="114"/>
      <c r="C44" s="115" t="s">
        <v>54</v>
      </c>
      <c r="D44" s="116"/>
      <c r="E44" s="117"/>
      <c r="F44" s="117"/>
      <c r="G44" s="117"/>
      <c r="H44" s="118"/>
      <c r="I44" s="117"/>
      <c r="J44" s="117"/>
      <c r="K44" s="117"/>
      <c r="L44" s="117"/>
      <c r="M44" s="118"/>
      <c r="N44" s="117"/>
      <c r="O44" s="117"/>
      <c r="P44" s="117"/>
      <c r="Q44" s="117"/>
      <c r="R44" s="118"/>
      <c r="S44" s="117"/>
      <c r="T44" s="117"/>
      <c r="U44" s="117"/>
      <c r="V44" s="117"/>
      <c r="W44" s="118"/>
      <c r="X44" s="117"/>
      <c r="Y44" s="117"/>
      <c r="Z44" s="117"/>
      <c r="AA44" s="117"/>
      <c r="AB44" s="118"/>
      <c r="AC44" s="198">
        <v>0</v>
      </c>
      <c r="AD44" s="198">
        <v>0</v>
      </c>
      <c r="AE44" s="198">
        <v>0</v>
      </c>
      <c r="AF44" s="198">
        <v>0</v>
      </c>
      <c r="AG44" s="199">
        <v>0</v>
      </c>
      <c r="AH44" s="119">
        <v>0</v>
      </c>
      <c r="AI44" s="119">
        <v>0</v>
      </c>
      <c r="AJ44" s="119">
        <v>0</v>
      </c>
      <c r="AK44" s="119">
        <v>0</v>
      </c>
      <c r="AL44" s="120">
        <v>0</v>
      </c>
      <c r="AM44" s="119">
        <v>0</v>
      </c>
      <c r="AN44" s="119">
        <v>0</v>
      </c>
      <c r="AO44" s="119">
        <v>0</v>
      </c>
      <c r="AP44" s="119">
        <v>0</v>
      </c>
      <c r="AQ44" s="120">
        <v>0</v>
      </c>
      <c r="AR44" s="117"/>
      <c r="AS44" s="117"/>
      <c r="AT44" s="117"/>
      <c r="AU44" s="117"/>
      <c r="AV44" s="118"/>
      <c r="AW44" s="117"/>
      <c r="AX44" s="117"/>
      <c r="AY44" s="117"/>
      <c r="AZ44" s="117"/>
      <c r="BA44" s="118"/>
      <c r="BB44" s="121">
        <v>0</v>
      </c>
      <c r="BC44" s="121">
        <v>0</v>
      </c>
      <c r="BD44" s="121">
        <v>0</v>
      </c>
      <c r="BE44" s="121">
        <v>0</v>
      </c>
      <c r="BF44" s="122">
        <v>0</v>
      </c>
      <c r="BG44" s="117"/>
      <c r="BH44" s="117"/>
      <c r="BI44" s="117"/>
      <c r="BJ44" s="117"/>
      <c r="BK44" s="118"/>
      <c r="BL44" s="117"/>
      <c r="BM44" s="117"/>
      <c r="BN44" s="117"/>
      <c r="BO44" s="117"/>
      <c r="BP44" s="118"/>
      <c r="BQ44" s="116"/>
      <c r="BR44" s="117"/>
      <c r="BS44" s="117"/>
      <c r="BT44" s="117"/>
      <c r="BU44" s="118"/>
      <c r="BV44" s="161"/>
      <c r="BW44" s="240" t="str">
        <f t="shared" si="22"/>
        <v/>
      </c>
      <c r="BX44" s="240" t="str">
        <f t="shared" si="23"/>
        <v/>
      </c>
      <c r="BY44" s="240" t="str">
        <f t="shared" si="24"/>
        <v/>
      </c>
      <c r="BZ44" s="240" t="str">
        <f t="shared" si="25"/>
        <v/>
      </c>
      <c r="CA44" s="249" t="str">
        <f t="shared" si="26"/>
        <v/>
      </c>
      <c r="CB44" s="240" t="str">
        <f t="shared" si="27"/>
        <v/>
      </c>
      <c r="CC44" s="240" t="str">
        <f t="shared" si="28"/>
        <v/>
      </c>
      <c r="CD44" s="240" t="str">
        <f t="shared" si="29"/>
        <v/>
      </c>
      <c r="CE44" s="240" t="str">
        <f t="shared" si="30"/>
        <v/>
      </c>
      <c r="CF44" s="249" t="str">
        <f t="shared" si="31"/>
        <v/>
      </c>
      <c r="CG44" s="250" t="str">
        <f t="shared" si="32"/>
        <v/>
      </c>
      <c r="CH44" s="240" t="str">
        <f t="shared" si="33"/>
        <v/>
      </c>
      <c r="CI44" s="240" t="str">
        <f t="shared" si="34"/>
        <v/>
      </c>
      <c r="CJ44" s="240" t="str">
        <f t="shared" si="35"/>
        <v/>
      </c>
      <c r="CK44" s="249" t="str">
        <f t="shared" si="36"/>
        <v/>
      </c>
    </row>
    <row r="45" spans="1:89" s="21" customFormat="1" x14ac:dyDescent="0.25">
      <c r="A45" s="113" t="s">
        <v>288</v>
      </c>
      <c r="B45" s="114" t="s">
        <v>289</v>
      </c>
      <c r="C45" s="115" t="s">
        <v>290</v>
      </c>
      <c r="D45" s="116">
        <v>4.2</v>
      </c>
      <c r="E45" s="117">
        <v>4.2</v>
      </c>
      <c r="F45" s="117">
        <v>4.2</v>
      </c>
      <c r="G45" s="117">
        <v>4.2</v>
      </c>
      <c r="H45" s="118">
        <v>4.2</v>
      </c>
      <c r="I45" s="117"/>
      <c r="J45" s="117"/>
      <c r="K45" s="117"/>
      <c r="L45" s="117"/>
      <c r="M45" s="118"/>
      <c r="N45" s="117">
        <v>10</v>
      </c>
      <c r="O45" s="117">
        <v>10</v>
      </c>
      <c r="P45" s="117">
        <v>12</v>
      </c>
      <c r="Q45" s="117">
        <v>12</v>
      </c>
      <c r="R45" s="118">
        <v>12</v>
      </c>
      <c r="S45" s="117"/>
      <c r="T45" s="117"/>
      <c r="U45" s="117"/>
      <c r="V45" s="117"/>
      <c r="W45" s="118"/>
      <c r="X45" s="117">
        <v>65</v>
      </c>
      <c r="Y45" s="117">
        <v>65</v>
      </c>
      <c r="Z45" s="117">
        <v>70</v>
      </c>
      <c r="AA45" s="117">
        <v>70</v>
      </c>
      <c r="AB45" s="118">
        <v>70</v>
      </c>
      <c r="AC45" s="198">
        <v>0</v>
      </c>
      <c r="AD45" s="198">
        <v>0</v>
      </c>
      <c r="AE45" s="198">
        <v>0</v>
      </c>
      <c r="AF45" s="198">
        <v>0</v>
      </c>
      <c r="AG45" s="199">
        <v>0</v>
      </c>
      <c r="AH45" s="119">
        <v>0</v>
      </c>
      <c r="AI45" s="119">
        <v>0</v>
      </c>
      <c r="AJ45" s="119">
        <v>0</v>
      </c>
      <c r="AK45" s="119">
        <v>0</v>
      </c>
      <c r="AL45" s="120">
        <v>0</v>
      </c>
      <c r="AM45" s="119">
        <v>0</v>
      </c>
      <c r="AN45" s="119">
        <v>0</v>
      </c>
      <c r="AO45" s="119">
        <v>0</v>
      </c>
      <c r="AP45" s="119">
        <v>0</v>
      </c>
      <c r="AQ45" s="120">
        <v>0</v>
      </c>
      <c r="AR45" s="117"/>
      <c r="AS45" s="117"/>
      <c r="AT45" s="117"/>
      <c r="AU45" s="117"/>
      <c r="AV45" s="118"/>
      <c r="AW45" s="117">
        <v>20</v>
      </c>
      <c r="AX45" s="117">
        <v>25</v>
      </c>
      <c r="AY45" s="117">
        <v>30</v>
      </c>
      <c r="AZ45" s="117">
        <v>30</v>
      </c>
      <c r="BA45" s="118">
        <v>30</v>
      </c>
      <c r="BB45" s="121">
        <v>5400</v>
      </c>
      <c r="BC45" s="121">
        <v>5100</v>
      </c>
      <c r="BD45" s="121">
        <v>4600</v>
      </c>
      <c r="BE45" s="121">
        <v>3700</v>
      </c>
      <c r="BF45" s="122">
        <v>3700</v>
      </c>
      <c r="BG45" s="117">
        <v>0</v>
      </c>
      <c r="BH45" s="117">
        <v>0</v>
      </c>
      <c r="BI45" s="117">
        <v>0</v>
      </c>
      <c r="BJ45" s="117">
        <v>0</v>
      </c>
      <c r="BK45" s="118">
        <v>0</v>
      </c>
      <c r="BL45" s="117">
        <v>62</v>
      </c>
      <c r="BM45" s="117">
        <v>62</v>
      </c>
      <c r="BN45" s="117">
        <v>62</v>
      </c>
      <c r="BO45" s="117">
        <v>62</v>
      </c>
      <c r="BP45" s="118">
        <v>62</v>
      </c>
      <c r="BQ45" s="116"/>
      <c r="BR45" s="117"/>
      <c r="BS45" s="117"/>
      <c r="BT45" s="117"/>
      <c r="BU45" s="118"/>
      <c r="BV45" s="161"/>
      <c r="BW45" s="240">
        <f t="shared" si="22"/>
        <v>1285.7142857142856</v>
      </c>
      <c r="BX45" s="240">
        <f t="shared" si="23"/>
        <v>1214.2857142857142</v>
      </c>
      <c r="BY45" s="240">
        <f t="shared" si="24"/>
        <v>1095.2380952380952</v>
      </c>
      <c r="BZ45" s="240">
        <f t="shared" si="25"/>
        <v>880.95238095238096</v>
      </c>
      <c r="CA45" s="249">
        <f t="shared" si="26"/>
        <v>880.95238095238096</v>
      </c>
      <c r="CB45" s="240">
        <f t="shared" si="27"/>
        <v>0</v>
      </c>
      <c r="CC45" s="240">
        <f t="shared" si="28"/>
        <v>0</v>
      </c>
      <c r="CD45" s="240">
        <f t="shared" si="29"/>
        <v>0</v>
      </c>
      <c r="CE45" s="240">
        <f t="shared" si="30"/>
        <v>0</v>
      </c>
      <c r="CF45" s="249">
        <f t="shared" si="31"/>
        <v>0</v>
      </c>
      <c r="CG45" s="250">
        <f t="shared" si="32"/>
        <v>14.761904761904761</v>
      </c>
      <c r="CH45" s="240">
        <f t="shared" si="33"/>
        <v>14.761904761904761</v>
      </c>
      <c r="CI45" s="240">
        <f t="shared" si="34"/>
        <v>14.761904761904761</v>
      </c>
      <c r="CJ45" s="240">
        <f t="shared" si="35"/>
        <v>14.761904761904761</v>
      </c>
      <c r="CK45" s="249">
        <f t="shared" si="36"/>
        <v>14.761904761904761</v>
      </c>
    </row>
    <row r="46" spans="1:89" s="21" customFormat="1" x14ac:dyDescent="0.25">
      <c r="A46" s="113" t="s">
        <v>291</v>
      </c>
      <c r="B46" s="114" t="s">
        <v>292</v>
      </c>
      <c r="C46" s="115" t="s">
        <v>293</v>
      </c>
      <c r="D46" s="116">
        <v>140</v>
      </c>
      <c r="E46" s="117">
        <v>140</v>
      </c>
      <c r="F46" s="117">
        <v>140</v>
      </c>
      <c r="G46" s="117">
        <v>140</v>
      </c>
      <c r="H46" s="118">
        <v>140</v>
      </c>
      <c r="I46" s="117"/>
      <c r="J46" s="117"/>
      <c r="K46" s="117"/>
      <c r="L46" s="117"/>
      <c r="M46" s="118"/>
      <c r="N46" s="117">
        <v>10</v>
      </c>
      <c r="O46" s="117">
        <v>10</v>
      </c>
      <c r="P46" s="117">
        <v>12</v>
      </c>
      <c r="Q46" s="117">
        <v>12</v>
      </c>
      <c r="R46" s="118">
        <v>12</v>
      </c>
      <c r="S46" s="117"/>
      <c r="T46" s="117"/>
      <c r="U46" s="117"/>
      <c r="V46" s="117"/>
      <c r="W46" s="118"/>
      <c r="X46" s="117">
        <v>65</v>
      </c>
      <c r="Y46" s="117">
        <v>65</v>
      </c>
      <c r="Z46" s="117">
        <v>70</v>
      </c>
      <c r="AA46" s="117">
        <v>70</v>
      </c>
      <c r="AB46" s="118">
        <v>70</v>
      </c>
      <c r="AC46" s="198">
        <v>0</v>
      </c>
      <c r="AD46" s="198">
        <v>0</v>
      </c>
      <c r="AE46" s="198">
        <v>0</v>
      </c>
      <c r="AF46" s="198">
        <v>0</v>
      </c>
      <c r="AG46" s="199">
        <v>0</v>
      </c>
      <c r="AH46" s="119">
        <v>0</v>
      </c>
      <c r="AI46" s="119">
        <v>0</v>
      </c>
      <c r="AJ46" s="119">
        <v>0</v>
      </c>
      <c r="AK46" s="119">
        <v>0</v>
      </c>
      <c r="AL46" s="120">
        <v>0</v>
      </c>
      <c r="AM46" s="119">
        <v>0</v>
      </c>
      <c r="AN46" s="119">
        <v>0</v>
      </c>
      <c r="AO46" s="119">
        <v>0</v>
      </c>
      <c r="AP46" s="119">
        <v>0</v>
      </c>
      <c r="AQ46" s="120">
        <v>0</v>
      </c>
      <c r="AR46" s="117"/>
      <c r="AS46" s="117"/>
      <c r="AT46" s="117"/>
      <c r="AU46" s="117"/>
      <c r="AV46" s="118"/>
      <c r="AW46" s="117">
        <v>20</v>
      </c>
      <c r="AX46" s="117">
        <v>25</v>
      </c>
      <c r="AY46" s="117">
        <v>30</v>
      </c>
      <c r="AZ46" s="117">
        <v>30</v>
      </c>
      <c r="BA46" s="118">
        <v>30</v>
      </c>
      <c r="BB46" s="121">
        <v>90000</v>
      </c>
      <c r="BC46" s="121">
        <v>90000</v>
      </c>
      <c r="BD46" s="121">
        <v>90000</v>
      </c>
      <c r="BE46" s="121">
        <v>90000</v>
      </c>
      <c r="BF46" s="122">
        <v>90000</v>
      </c>
      <c r="BG46" s="117">
        <v>0</v>
      </c>
      <c r="BH46" s="117">
        <v>0</v>
      </c>
      <c r="BI46" s="117">
        <v>0</v>
      </c>
      <c r="BJ46" s="117">
        <v>0</v>
      </c>
      <c r="BK46" s="118">
        <v>0</v>
      </c>
      <c r="BL46" s="117">
        <v>600</v>
      </c>
      <c r="BM46" s="117">
        <v>600</v>
      </c>
      <c r="BN46" s="117">
        <v>600</v>
      </c>
      <c r="BO46" s="117">
        <v>600</v>
      </c>
      <c r="BP46" s="118">
        <v>600</v>
      </c>
      <c r="BQ46" s="116"/>
      <c r="BR46" s="117"/>
      <c r="BS46" s="117"/>
      <c r="BT46" s="117"/>
      <c r="BU46" s="118"/>
      <c r="BV46" s="161"/>
      <c r="BW46" s="240">
        <f t="shared" si="22"/>
        <v>642.85714285714289</v>
      </c>
      <c r="BX46" s="240">
        <f t="shared" si="23"/>
        <v>642.85714285714289</v>
      </c>
      <c r="BY46" s="240">
        <f t="shared" si="24"/>
        <v>642.85714285714289</v>
      </c>
      <c r="BZ46" s="240">
        <f t="shared" si="25"/>
        <v>642.85714285714289</v>
      </c>
      <c r="CA46" s="249">
        <f t="shared" si="26"/>
        <v>642.85714285714289</v>
      </c>
      <c r="CB46" s="240">
        <f t="shared" si="27"/>
        <v>0</v>
      </c>
      <c r="CC46" s="240">
        <f t="shared" si="28"/>
        <v>0</v>
      </c>
      <c r="CD46" s="240">
        <f t="shared" si="29"/>
        <v>0</v>
      </c>
      <c r="CE46" s="240">
        <f t="shared" si="30"/>
        <v>0</v>
      </c>
      <c r="CF46" s="249">
        <f t="shared" si="31"/>
        <v>0</v>
      </c>
      <c r="CG46" s="250">
        <f t="shared" si="32"/>
        <v>4.2857142857142856</v>
      </c>
      <c r="CH46" s="240">
        <f t="shared" si="33"/>
        <v>4.2857142857142856</v>
      </c>
      <c r="CI46" s="240">
        <f t="shared" si="34"/>
        <v>4.2857142857142856</v>
      </c>
      <c r="CJ46" s="240">
        <f t="shared" si="35"/>
        <v>4.2857142857142856</v>
      </c>
      <c r="CK46" s="249">
        <f t="shared" si="36"/>
        <v>4.2857142857142856</v>
      </c>
    </row>
    <row r="47" spans="1:89" s="21" customFormat="1" x14ac:dyDescent="0.25">
      <c r="A47" s="113"/>
      <c r="B47" s="114"/>
      <c r="C47" s="115" t="s">
        <v>294</v>
      </c>
      <c r="D47" s="116"/>
      <c r="E47" s="117"/>
      <c r="F47" s="117"/>
      <c r="G47" s="117"/>
      <c r="H47" s="118"/>
      <c r="I47" s="117"/>
      <c r="J47" s="117"/>
      <c r="K47" s="117"/>
      <c r="L47" s="117"/>
      <c r="M47" s="118"/>
      <c r="N47" s="117"/>
      <c r="O47" s="117"/>
      <c r="P47" s="117"/>
      <c r="Q47" s="117"/>
      <c r="R47" s="118"/>
      <c r="S47" s="117"/>
      <c r="T47" s="117"/>
      <c r="U47" s="117"/>
      <c r="V47" s="117"/>
      <c r="W47" s="118"/>
      <c r="X47" s="117"/>
      <c r="Y47" s="117"/>
      <c r="Z47" s="117"/>
      <c r="AA47" s="117"/>
      <c r="AB47" s="118"/>
      <c r="AC47" s="198">
        <v>0</v>
      </c>
      <c r="AD47" s="198">
        <v>0</v>
      </c>
      <c r="AE47" s="198">
        <v>0</v>
      </c>
      <c r="AF47" s="198">
        <v>0</v>
      </c>
      <c r="AG47" s="199">
        <v>0</v>
      </c>
      <c r="AH47" s="119">
        <v>0</v>
      </c>
      <c r="AI47" s="119">
        <v>0</v>
      </c>
      <c r="AJ47" s="119">
        <v>0</v>
      </c>
      <c r="AK47" s="119">
        <v>0</v>
      </c>
      <c r="AL47" s="120">
        <v>0</v>
      </c>
      <c r="AM47" s="119">
        <v>0</v>
      </c>
      <c r="AN47" s="119">
        <v>0</v>
      </c>
      <c r="AO47" s="119">
        <v>0</v>
      </c>
      <c r="AP47" s="119">
        <v>0</v>
      </c>
      <c r="AQ47" s="120">
        <v>0</v>
      </c>
      <c r="AR47" s="117"/>
      <c r="AS47" s="117"/>
      <c r="AT47" s="117"/>
      <c r="AU47" s="117"/>
      <c r="AV47" s="118"/>
      <c r="AW47" s="117"/>
      <c r="AX47" s="117"/>
      <c r="AY47" s="117"/>
      <c r="AZ47" s="117"/>
      <c r="BA47" s="118"/>
      <c r="BB47" s="121">
        <v>0</v>
      </c>
      <c r="BC47" s="121">
        <v>0</v>
      </c>
      <c r="BD47" s="121">
        <v>0</v>
      </c>
      <c r="BE47" s="121">
        <v>0</v>
      </c>
      <c r="BF47" s="122">
        <v>0</v>
      </c>
      <c r="BG47" s="117"/>
      <c r="BH47" s="117"/>
      <c r="BI47" s="117"/>
      <c r="BJ47" s="117"/>
      <c r="BK47" s="118"/>
      <c r="BL47" s="117"/>
      <c r="BM47" s="117"/>
      <c r="BN47" s="117"/>
      <c r="BO47" s="117"/>
      <c r="BP47" s="118"/>
      <c r="BQ47" s="116"/>
      <c r="BR47" s="117"/>
      <c r="BS47" s="117"/>
      <c r="BT47" s="117"/>
      <c r="BU47" s="118"/>
      <c r="BV47" s="161"/>
      <c r="BW47" s="240" t="str">
        <f t="shared" si="22"/>
        <v/>
      </c>
      <c r="BX47" s="240" t="str">
        <f t="shared" si="23"/>
        <v/>
      </c>
      <c r="BY47" s="240" t="str">
        <f t="shared" si="24"/>
        <v/>
      </c>
      <c r="BZ47" s="240" t="str">
        <f t="shared" si="25"/>
        <v/>
      </c>
      <c r="CA47" s="249" t="str">
        <f t="shared" si="26"/>
        <v/>
      </c>
      <c r="CB47" s="240" t="str">
        <f t="shared" si="27"/>
        <v/>
      </c>
      <c r="CC47" s="240" t="str">
        <f t="shared" si="28"/>
        <v/>
      </c>
      <c r="CD47" s="240" t="str">
        <f t="shared" si="29"/>
        <v/>
      </c>
      <c r="CE47" s="240" t="str">
        <f t="shared" si="30"/>
        <v/>
      </c>
      <c r="CF47" s="249" t="str">
        <f t="shared" si="31"/>
        <v/>
      </c>
      <c r="CG47" s="250" t="str">
        <f t="shared" si="32"/>
        <v/>
      </c>
      <c r="CH47" s="240" t="str">
        <f t="shared" si="33"/>
        <v/>
      </c>
      <c r="CI47" s="240" t="str">
        <f t="shared" si="34"/>
        <v/>
      </c>
      <c r="CJ47" s="240" t="str">
        <f t="shared" si="35"/>
        <v/>
      </c>
      <c r="CK47" s="249" t="str">
        <f t="shared" si="36"/>
        <v/>
      </c>
    </row>
    <row r="48" spans="1:89" s="21" customFormat="1" x14ac:dyDescent="0.25">
      <c r="A48" s="113" t="s">
        <v>295</v>
      </c>
      <c r="B48" s="114" t="s">
        <v>296</v>
      </c>
      <c r="C48" s="115" t="s">
        <v>297</v>
      </c>
      <c r="D48" s="116">
        <v>5</v>
      </c>
      <c r="E48" s="117">
        <v>5</v>
      </c>
      <c r="F48" s="117">
        <v>5</v>
      </c>
      <c r="G48" s="117">
        <v>5</v>
      </c>
      <c r="H48" s="118">
        <v>5</v>
      </c>
      <c r="I48" s="117"/>
      <c r="J48" s="117"/>
      <c r="K48" s="117"/>
      <c r="L48" s="117"/>
      <c r="M48" s="118"/>
      <c r="N48" s="117">
        <v>100</v>
      </c>
      <c r="O48" s="117">
        <v>100</v>
      </c>
      <c r="P48" s="117">
        <v>100</v>
      </c>
      <c r="Q48" s="117">
        <v>100</v>
      </c>
      <c r="R48" s="118">
        <v>100</v>
      </c>
      <c r="S48" s="117"/>
      <c r="T48" s="117"/>
      <c r="U48" s="117"/>
      <c r="V48" s="117"/>
      <c r="W48" s="118"/>
      <c r="X48" s="117">
        <v>100</v>
      </c>
      <c r="Y48" s="117">
        <v>100</v>
      </c>
      <c r="Z48" s="117">
        <v>100</v>
      </c>
      <c r="AA48" s="117">
        <v>100</v>
      </c>
      <c r="AB48" s="118">
        <v>100</v>
      </c>
      <c r="AC48" s="198">
        <v>1</v>
      </c>
      <c r="AD48" s="198">
        <v>1</v>
      </c>
      <c r="AE48" s="198">
        <v>1</v>
      </c>
      <c r="AF48" s="198">
        <v>1</v>
      </c>
      <c r="AG48" s="199">
        <v>1</v>
      </c>
      <c r="AH48" s="119">
        <v>0</v>
      </c>
      <c r="AI48" s="119">
        <v>0</v>
      </c>
      <c r="AJ48" s="119">
        <v>0</v>
      </c>
      <c r="AK48" s="119">
        <v>0</v>
      </c>
      <c r="AL48" s="120">
        <v>0</v>
      </c>
      <c r="AM48" s="119">
        <v>0</v>
      </c>
      <c r="AN48" s="119">
        <v>0</v>
      </c>
      <c r="AO48" s="119">
        <v>0</v>
      </c>
      <c r="AP48" s="119">
        <v>0</v>
      </c>
      <c r="AQ48" s="120">
        <v>0</v>
      </c>
      <c r="AR48" s="117"/>
      <c r="AS48" s="117"/>
      <c r="AT48" s="117"/>
      <c r="AU48" s="117"/>
      <c r="AV48" s="118"/>
      <c r="AW48" s="117">
        <v>30</v>
      </c>
      <c r="AX48" s="117">
        <v>30</v>
      </c>
      <c r="AY48" s="117">
        <v>30</v>
      </c>
      <c r="AZ48" s="117">
        <v>30</v>
      </c>
      <c r="BA48" s="118">
        <v>30</v>
      </c>
      <c r="BB48" s="121">
        <v>4000</v>
      </c>
      <c r="BC48" s="121">
        <v>4000</v>
      </c>
      <c r="BD48" s="121">
        <v>4000</v>
      </c>
      <c r="BE48" s="121">
        <v>4000</v>
      </c>
      <c r="BF48" s="122">
        <v>4000</v>
      </c>
      <c r="BG48" s="117">
        <v>0</v>
      </c>
      <c r="BH48" s="117">
        <v>0</v>
      </c>
      <c r="BI48" s="117">
        <v>0</v>
      </c>
      <c r="BJ48" s="117">
        <v>0</v>
      </c>
      <c r="BK48" s="118">
        <v>0</v>
      </c>
      <c r="BL48" s="117">
        <v>50</v>
      </c>
      <c r="BM48" s="117">
        <v>50</v>
      </c>
      <c r="BN48" s="117">
        <v>50</v>
      </c>
      <c r="BO48" s="117">
        <v>50</v>
      </c>
      <c r="BP48" s="118">
        <v>50</v>
      </c>
      <c r="BQ48" s="116">
        <v>0</v>
      </c>
      <c r="BR48" s="117">
        <v>0</v>
      </c>
      <c r="BS48" s="117">
        <v>0</v>
      </c>
      <c r="BT48" s="117">
        <v>0</v>
      </c>
      <c r="BU48" s="118">
        <v>0</v>
      </c>
      <c r="BV48" s="161" t="s">
        <v>298</v>
      </c>
      <c r="BW48" s="240">
        <f t="shared" si="22"/>
        <v>800</v>
      </c>
      <c r="BX48" s="240">
        <f t="shared" si="23"/>
        <v>800</v>
      </c>
      <c r="BY48" s="240">
        <f t="shared" si="24"/>
        <v>800</v>
      </c>
      <c r="BZ48" s="240">
        <f t="shared" si="25"/>
        <v>800</v>
      </c>
      <c r="CA48" s="249">
        <f t="shared" si="26"/>
        <v>800</v>
      </c>
      <c r="CB48" s="240">
        <f t="shared" si="27"/>
        <v>0</v>
      </c>
      <c r="CC48" s="240">
        <f t="shared" si="28"/>
        <v>0</v>
      </c>
      <c r="CD48" s="240">
        <f t="shared" si="29"/>
        <v>0</v>
      </c>
      <c r="CE48" s="240">
        <f t="shared" si="30"/>
        <v>0</v>
      </c>
      <c r="CF48" s="249">
        <f t="shared" si="31"/>
        <v>0</v>
      </c>
      <c r="CG48" s="250">
        <f t="shared" si="32"/>
        <v>10</v>
      </c>
      <c r="CH48" s="240">
        <f t="shared" si="33"/>
        <v>10</v>
      </c>
      <c r="CI48" s="240">
        <f t="shared" si="34"/>
        <v>10</v>
      </c>
      <c r="CJ48" s="240">
        <f t="shared" si="35"/>
        <v>10</v>
      </c>
      <c r="CK48" s="249">
        <f t="shared" si="36"/>
        <v>10</v>
      </c>
    </row>
    <row r="49" spans="1:89" s="21" customFormat="1" x14ac:dyDescent="0.25">
      <c r="A49" s="113" t="s">
        <v>299</v>
      </c>
      <c r="B49" s="114" t="s">
        <v>300</v>
      </c>
      <c r="C49" s="115" t="s">
        <v>301</v>
      </c>
      <c r="D49" s="116">
        <v>400</v>
      </c>
      <c r="E49" s="117">
        <v>400</v>
      </c>
      <c r="F49" s="117">
        <v>400</v>
      </c>
      <c r="G49" s="117">
        <v>400</v>
      </c>
      <c r="H49" s="118">
        <v>400</v>
      </c>
      <c r="I49" s="117"/>
      <c r="J49" s="117"/>
      <c r="K49" s="117"/>
      <c r="L49" s="117"/>
      <c r="M49" s="118"/>
      <c r="N49" s="117">
        <v>100</v>
      </c>
      <c r="O49" s="117">
        <v>100</v>
      </c>
      <c r="P49" s="117">
        <v>100</v>
      </c>
      <c r="Q49" s="117">
        <v>100</v>
      </c>
      <c r="R49" s="118">
        <v>100</v>
      </c>
      <c r="S49" s="117"/>
      <c r="T49" s="117"/>
      <c r="U49" s="117"/>
      <c r="V49" s="117"/>
      <c r="W49" s="118"/>
      <c r="X49" s="117">
        <v>100</v>
      </c>
      <c r="Y49" s="117">
        <v>100</v>
      </c>
      <c r="Z49" s="117">
        <v>100</v>
      </c>
      <c r="AA49" s="117">
        <v>100</v>
      </c>
      <c r="AB49" s="118">
        <v>100</v>
      </c>
      <c r="AC49" s="198">
        <v>0.95</v>
      </c>
      <c r="AD49" s="198">
        <v>0.95</v>
      </c>
      <c r="AE49" s="198">
        <v>0.95</v>
      </c>
      <c r="AF49" s="198">
        <v>0.95</v>
      </c>
      <c r="AG49" s="199">
        <v>0.95</v>
      </c>
      <c r="AH49" s="119">
        <v>0</v>
      </c>
      <c r="AI49" s="119">
        <v>0</v>
      </c>
      <c r="AJ49" s="119">
        <v>0</v>
      </c>
      <c r="AK49" s="119">
        <v>0</v>
      </c>
      <c r="AL49" s="120">
        <v>0</v>
      </c>
      <c r="AM49" s="119">
        <v>0</v>
      </c>
      <c r="AN49" s="119">
        <v>0</v>
      </c>
      <c r="AO49" s="119">
        <v>0</v>
      </c>
      <c r="AP49" s="119">
        <v>0</v>
      </c>
      <c r="AQ49" s="120">
        <v>0</v>
      </c>
      <c r="AR49" s="117"/>
      <c r="AS49" s="117"/>
      <c r="AT49" s="117"/>
      <c r="AU49" s="117"/>
      <c r="AV49" s="118"/>
      <c r="AW49" s="117">
        <v>30</v>
      </c>
      <c r="AX49" s="117">
        <v>30</v>
      </c>
      <c r="AY49" s="117">
        <v>30</v>
      </c>
      <c r="AZ49" s="117">
        <v>30</v>
      </c>
      <c r="BA49" s="118">
        <v>30</v>
      </c>
      <c r="BB49" s="121">
        <v>266000</v>
      </c>
      <c r="BC49" s="121">
        <v>266000</v>
      </c>
      <c r="BD49" s="121">
        <v>266000</v>
      </c>
      <c r="BE49" s="121">
        <v>266000</v>
      </c>
      <c r="BF49" s="122">
        <v>266000</v>
      </c>
      <c r="BG49" s="117">
        <v>0</v>
      </c>
      <c r="BH49" s="117">
        <v>0</v>
      </c>
      <c r="BI49" s="117">
        <v>0</v>
      </c>
      <c r="BJ49" s="117">
        <v>0</v>
      </c>
      <c r="BK49" s="118">
        <v>0</v>
      </c>
      <c r="BL49" s="117">
        <v>4000</v>
      </c>
      <c r="BM49" s="117">
        <v>4000</v>
      </c>
      <c r="BN49" s="117">
        <v>4000</v>
      </c>
      <c r="BO49" s="117">
        <v>4000</v>
      </c>
      <c r="BP49" s="118">
        <v>4000</v>
      </c>
      <c r="BQ49" s="116">
        <v>0</v>
      </c>
      <c r="BR49" s="117">
        <v>0</v>
      </c>
      <c r="BS49" s="117">
        <v>0</v>
      </c>
      <c r="BT49" s="117">
        <v>0</v>
      </c>
      <c r="BU49" s="118">
        <v>0</v>
      </c>
      <c r="BV49" s="161" t="s">
        <v>298</v>
      </c>
      <c r="BW49" s="240">
        <f t="shared" si="22"/>
        <v>665</v>
      </c>
      <c r="BX49" s="240">
        <f t="shared" si="23"/>
        <v>665</v>
      </c>
      <c r="BY49" s="240">
        <f t="shared" si="24"/>
        <v>665</v>
      </c>
      <c r="BZ49" s="240">
        <f t="shared" si="25"/>
        <v>665</v>
      </c>
      <c r="CA49" s="249">
        <f t="shared" si="26"/>
        <v>665</v>
      </c>
      <c r="CB49" s="240">
        <f t="shared" si="27"/>
        <v>0</v>
      </c>
      <c r="CC49" s="240">
        <f t="shared" si="28"/>
        <v>0</v>
      </c>
      <c r="CD49" s="240">
        <f t="shared" si="29"/>
        <v>0</v>
      </c>
      <c r="CE49" s="240">
        <f t="shared" si="30"/>
        <v>0</v>
      </c>
      <c r="CF49" s="249">
        <f t="shared" si="31"/>
        <v>0</v>
      </c>
      <c r="CG49" s="250">
        <f t="shared" si="32"/>
        <v>10</v>
      </c>
      <c r="CH49" s="240">
        <f t="shared" si="33"/>
        <v>10</v>
      </c>
      <c r="CI49" s="240">
        <f t="shared" si="34"/>
        <v>10</v>
      </c>
      <c r="CJ49" s="240">
        <f t="shared" si="35"/>
        <v>10</v>
      </c>
      <c r="CK49" s="249">
        <f t="shared" si="36"/>
        <v>10</v>
      </c>
    </row>
    <row r="50" spans="1:89" s="21" customFormat="1" x14ac:dyDescent="0.25">
      <c r="A50" s="113" t="s">
        <v>23</v>
      </c>
      <c r="B50" s="114" t="s">
        <v>6</v>
      </c>
      <c r="C50" s="115" t="s">
        <v>23</v>
      </c>
      <c r="D50" s="116">
        <v>0</v>
      </c>
      <c r="E50" s="117">
        <v>0</v>
      </c>
      <c r="F50" s="117">
        <v>0</v>
      </c>
      <c r="G50" s="117">
        <v>0</v>
      </c>
      <c r="H50" s="118">
        <v>0</v>
      </c>
      <c r="I50" s="117"/>
      <c r="J50" s="117"/>
      <c r="K50" s="117"/>
      <c r="L50" s="117"/>
      <c r="M50" s="118"/>
      <c r="N50" s="117">
        <v>0</v>
      </c>
      <c r="O50" s="117">
        <v>0</v>
      </c>
      <c r="P50" s="117">
        <v>0</v>
      </c>
      <c r="Q50" s="117">
        <v>0</v>
      </c>
      <c r="R50" s="118">
        <v>0</v>
      </c>
      <c r="S50" s="117"/>
      <c r="T50" s="117"/>
      <c r="U50" s="117"/>
      <c r="V50" s="117"/>
      <c r="W50" s="118"/>
      <c r="X50" s="117">
        <v>0</v>
      </c>
      <c r="Y50" s="117">
        <v>0</v>
      </c>
      <c r="Z50" s="117">
        <v>0</v>
      </c>
      <c r="AA50" s="117">
        <v>0</v>
      </c>
      <c r="AB50" s="118">
        <v>0</v>
      </c>
      <c r="AC50" s="198">
        <v>0</v>
      </c>
      <c r="AD50" s="198">
        <v>0</v>
      </c>
      <c r="AE50" s="198">
        <v>0</v>
      </c>
      <c r="AF50" s="198">
        <v>0</v>
      </c>
      <c r="AG50" s="199">
        <v>0</v>
      </c>
      <c r="AH50" s="119">
        <v>0</v>
      </c>
      <c r="AI50" s="119">
        <v>0</v>
      </c>
      <c r="AJ50" s="119">
        <v>0</v>
      </c>
      <c r="AK50" s="119">
        <v>0</v>
      </c>
      <c r="AL50" s="120">
        <v>0</v>
      </c>
      <c r="AM50" s="119">
        <v>0</v>
      </c>
      <c r="AN50" s="119">
        <v>0</v>
      </c>
      <c r="AO50" s="119">
        <v>0</v>
      </c>
      <c r="AP50" s="119">
        <v>0</v>
      </c>
      <c r="AQ50" s="120">
        <v>0</v>
      </c>
      <c r="AR50" s="117"/>
      <c r="AS50" s="117"/>
      <c r="AT50" s="117"/>
      <c r="AU50" s="117"/>
      <c r="AV50" s="118"/>
      <c r="AW50" s="117">
        <v>0</v>
      </c>
      <c r="AX50" s="117">
        <v>0</v>
      </c>
      <c r="AY50" s="117">
        <v>0</v>
      </c>
      <c r="AZ50" s="117">
        <v>0</v>
      </c>
      <c r="BA50" s="118">
        <v>0</v>
      </c>
      <c r="BB50" s="121">
        <v>0</v>
      </c>
      <c r="BC50" s="121">
        <v>0</v>
      </c>
      <c r="BD50" s="121">
        <v>0</v>
      </c>
      <c r="BE50" s="121">
        <v>0</v>
      </c>
      <c r="BF50" s="122">
        <v>0</v>
      </c>
      <c r="BG50" s="121">
        <v>0</v>
      </c>
      <c r="BH50" s="121">
        <v>0</v>
      </c>
      <c r="BI50" s="121">
        <v>0</v>
      </c>
      <c r="BJ50" s="121">
        <v>0</v>
      </c>
      <c r="BK50" s="122">
        <v>0</v>
      </c>
      <c r="BL50" s="121">
        <v>0</v>
      </c>
      <c r="BM50" s="121">
        <v>0</v>
      </c>
      <c r="BN50" s="121">
        <v>0</v>
      </c>
      <c r="BO50" s="121">
        <v>0</v>
      </c>
      <c r="BP50" s="122">
        <v>0</v>
      </c>
      <c r="BQ50" s="123">
        <v>0</v>
      </c>
      <c r="BR50" s="121">
        <v>0</v>
      </c>
      <c r="BS50" s="121">
        <v>0</v>
      </c>
      <c r="BT50" s="121">
        <v>0</v>
      </c>
      <c r="BU50" s="122">
        <v>0</v>
      </c>
      <c r="BV50" s="161" t="s">
        <v>48</v>
      </c>
      <c r="BW50" s="240" t="str">
        <f t="shared" si="22"/>
        <v/>
      </c>
      <c r="BX50" s="240" t="str">
        <f t="shared" si="23"/>
        <v/>
      </c>
      <c r="BY50" s="240" t="str">
        <f t="shared" si="24"/>
        <v/>
      </c>
      <c r="BZ50" s="240" t="str">
        <f t="shared" si="25"/>
        <v/>
      </c>
      <c r="CA50" s="249" t="str">
        <f t="shared" si="26"/>
        <v/>
      </c>
      <c r="CB50" s="240" t="str">
        <f t="shared" si="27"/>
        <v/>
      </c>
      <c r="CC50" s="240" t="str">
        <f t="shared" si="28"/>
        <v/>
      </c>
      <c r="CD50" s="240" t="str">
        <f t="shared" si="29"/>
        <v/>
      </c>
      <c r="CE50" s="240" t="str">
        <f t="shared" si="30"/>
        <v/>
      </c>
      <c r="CF50" s="249" t="str">
        <f t="shared" si="31"/>
        <v/>
      </c>
      <c r="CG50" s="250" t="str">
        <f t="shared" si="32"/>
        <v/>
      </c>
      <c r="CH50" s="240" t="str">
        <f t="shared" si="33"/>
        <v/>
      </c>
      <c r="CI50" s="240" t="str">
        <f t="shared" si="34"/>
        <v/>
      </c>
      <c r="CJ50" s="240" t="str">
        <f t="shared" si="35"/>
        <v/>
      </c>
      <c r="CK50" s="249" t="str">
        <f t="shared" si="36"/>
        <v/>
      </c>
    </row>
    <row r="51" spans="1:89" s="21" customFormat="1" x14ac:dyDescent="0.25">
      <c r="A51" s="113"/>
      <c r="B51" s="114"/>
      <c r="C51" s="115" t="s">
        <v>302</v>
      </c>
      <c r="D51" s="116"/>
      <c r="E51" s="117"/>
      <c r="F51" s="117"/>
      <c r="G51" s="117"/>
      <c r="H51" s="118"/>
      <c r="I51" s="117"/>
      <c r="J51" s="117"/>
      <c r="K51" s="117"/>
      <c r="L51" s="117"/>
      <c r="M51" s="118"/>
      <c r="N51" s="117"/>
      <c r="O51" s="117"/>
      <c r="P51" s="117"/>
      <c r="Q51" s="117"/>
      <c r="R51" s="118"/>
      <c r="S51" s="117"/>
      <c r="T51" s="117"/>
      <c r="U51" s="117"/>
      <c r="V51" s="117"/>
      <c r="W51" s="118"/>
      <c r="X51" s="117"/>
      <c r="Y51" s="117"/>
      <c r="Z51" s="117"/>
      <c r="AA51" s="117"/>
      <c r="AB51" s="118"/>
      <c r="AC51" s="198">
        <v>0</v>
      </c>
      <c r="AD51" s="198">
        <v>0</v>
      </c>
      <c r="AE51" s="198">
        <v>0</v>
      </c>
      <c r="AF51" s="198">
        <v>0</v>
      </c>
      <c r="AG51" s="199">
        <v>0</v>
      </c>
      <c r="AH51" s="119">
        <v>0</v>
      </c>
      <c r="AI51" s="119">
        <v>0</v>
      </c>
      <c r="AJ51" s="119">
        <v>0</v>
      </c>
      <c r="AK51" s="119">
        <v>0</v>
      </c>
      <c r="AL51" s="120">
        <v>0</v>
      </c>
      <c r="AM51" s="119">
        <v>0</v>
      </c>
      <c r="AN51" s="119">
        <v>0</v>
      </c>
      <c r="AO51" s="119">
        <v>0</v>
      </c>
      <c r="AP51" s="119">
        <v>0</v>
      </c>
      <c r="AQ51" s="120">
        <v>0</v>
      </c>
      <c r="AR51" s="117"/>
      <c r="AS51" s="117"/>
      <c r="AT51" s="117"/>
      <c r="AU51" s="117"/>
      <c r="AV51" s="118"/>
      <c r="AW51" s="117"/>
      <c r="AX51" s="117"/>
      <c r="AY51" s="117"/>
      <c r="AZ51" s="117"/>
      <c r="BA51" s="118"/>
      <c r="BB51" s="121">
        <v>0</v>
      </c>
      <c r="BC51" s="121">
        <v>0</v>
      </c>
      <c r="BD51" s="121">
        <v>0</v>
      </c>
      <c r="BE51" s="121">
        <v>0</v>
      </c>
      <c r="BF51" s="122">
        <v>0</v>
      </c>
      <c r="BG51" s="121"/>
      <c r="BH51" s="121"/>
      <c r="BI51" s="121"/>
      <c r="BJ51" s="121"/>
      <c r="BK51" s="122"/>
      <c r="BL51" s="121"/>
      <c r="BM51" s="121"/>
      <c r="BN51" s="121"/>
      <c r="BO51" s="121"/>
      <c r="BP51" s="122"/>
      <c r="BQ51" s="123"/>
      <c r="BR51" s="121"/>
      <c r="BS51" s="121"/>
      <c r="BT51" s="121"/>
      <c r="BU51" s="122"/>
      <c r="BV51" s="161"/>
      <c r="BW51" s="240" t="str">
        <f t="shared" si="22"/>
        <v/>
      </c>
      <c r="BX51" s="240" t="str">
        <f t="shared" si="23"/>
        <v/>
      </c>
      <c r="BY51" s="240" t="str">
        <f t="shared" si="24"/>
        <v/>
      </c>
      <c r="BZ51" s="240" t="str">
        <f t="shared" si="25"/>
        <v/>
      </c>
      <c r="CA51" s="249" t="str">
        <f t="shared" si="26"/>
        <v/>
      </c>
      <c r="CB51" s="240" t="str">
        <f t="shared" si="27"/>
        <v/>
      </c>
      <c r="CC51" s="240" t="str">
        <f t="shared" si="28"/>
        <v/>
      </c>
      <c r="CD51" s="240" t="str">
        <f t="shared" si="29"/>
        <v/>
      </c>
      <c r="CE51" s="240" t="str">
        <f t="shared" si="30"/>
        <v/>
      </c>
      <c r="CF51" s="249" t="str">
        <f t="shared" si="31"/>
        <v/>
      </c>
      <c r="CG51" s="250" t="str">
        <f t="shared" si="32"/>
        <v/>
      </c>
      <c r="CH51" s="240" t="str">
        <f t="shared" si="33"/>
        <v/>
      </c>
      <c r="CI51" s="240" t="str">
        <f t="shared" si="34"/>
        <v/>
      </c>
      <c r="CJ51" s="240" t="str">
        <f t="shared" si="35"/>
        <v/>
      </c>
      <c r="CK51" s="249" t="str">
        <f t="shared" si="36"/>
        <v/>
      </c>
    </row>
    <row r="52" spans="1:89" s="21" customFormat="1" x14ac:dyDescent="0.25">
      <c r="A52" s="137" t="s">
        <v>303</v>
      </c>
      <c r="B52" s="138" t="s">
        <v>6</v>
      </c>
      <c r="C52" s="139"/>
      <c r="D52" s="140">
        <v>0</v>
      </c>
      <c r="E52" s="141">
        <v>0</v>
      </c>
      <c r="F52" s="141">
        <v>0</v>
      </c>
      <c r="G52" s="141">
        <v>0</v>
      </c>
      <c r="H52" s="142">
        <v>0</v>
      </c>
      <c r="I52" s="141"/>
      <c r="J52" s="141"/>
      <c r="K52" s="141"/>
      <c r="L52" s="141"/>
      <c r="M52" s="142"/>
      <c r="N52" s="141">
        <v>0</v>
      </c>
      <c r="O52" s="141">
        <v>0</v>
      </c>
      <c r="P52" s="141">
        <v>0</v>
      </c>
      <c r="Q52" s="141">
        <v>0</v>
      </c>
      <c r="R52" s="142">
        <v>0</v>
      </c>
      <c r="S52" s="141"/>
      <c r="T52" s="141"/>
      <c r="U52" s="141"/>
      <c r="V52" s="141"/>
      <c r="W52" s="142"/>
      <c r="X52" s="141">
        <v>0</v>
      </c>
      <c r="Y52" s="141">
        <v>0</v>
      </c>
      <c r="Z52" s="141">
        <v>0</v>
      </c>
      <c r="AA52" s="141">
        <v>0</v>
      </c>
      <c r="AB52" s="142">
        <v>0</v>
      </c>
      <c r="AC52" s="205">
        <v>0</v>
      </c>
      <c r="AD52" s="205">
        <v>0</v>
      </c>
      <c r="AE52" s="205">
        <v>0</v>
      </c>
      <c r="AF52" s="205">
        <v>0</v>
      </c>
      <c r="AG52" s="206">
        <v>0</v>
      </c>
      <c r="AH52" s="143">
        <v>0</v>
      </c>
      <c r="AI52" s="143">
        <v>0</v>
      </c>
      <c r="AJ52" s="143">
        <v>0</v>
      </c>
      <c r="AK52" s="143">
        <v>0</v>
      </c>
      <c r="AL52" s="144">
        <v>0</v>
      </c>
      <c r="AM52" s="143">
        <v>0</v>
      </c>
      <c r="AN52" s="143">
        <v>0</v>
      </c>
      <c r="AO52" s="143">
        <v>0</v>
      </c>
      <c r="AP52" s="143">
        <v>0</v>
      </c>
      <c r="AQ52" s="144">
        <v>0</v>
      </c>
      <c r="AR52" s="141"/>
      <c r="AS52" s="141"/>
      <c r="AT52" s="141"/>
      <c r="AU52" s="141"/>
      <c r="AV52" s="142"/>
      <c r="AW52" s="141">
        <v>0</v>
      </c>
      <c r="AX52" s="141">
        <v>0</v>
      </c>
      <c r="AY52" s="141">
        <v>0</v>
      </c>
      <c r="AZ52" s="141">
        <v>0</v>
      </c>
      <c r="BA52" s="142">
        <v>0</v>
      </c>
      <c r="BB52" s="145">
        <v>0</v>
      </c>
      <c r="BC52" s="146">
        <v>0</v>
      </c>
      <c r="BD52" s="146">
        <v>0</v>
      </c>
      <c r="BE52" s="146">
        <v>0</v>
      </c>
      <c r="BF52" s="147">
        <v>0</v>
      </c>
      <c r="BG52" s="146">
        <v>0</v>
      </c>
      <c r="BH52" s="146">
        <v>0</v>
      </c>
      <c r="BI52" s="146">
        <v>0</v>
      </c>
      <c r="BJ52" s="146">
        <v>0</v>
      </c>
      <c r="BK52" s="147">
        <v>0</v>
      </c>
      <c r="BL52" s="146">
        <v>0</v>
      </c>
      <c r="BM52" s="146">
        <v>0</v>
      </c>
      <c r="BN52" s="146">
        <v>0</v>
      </c>
      <c r="BO52" s="146">
        <v>0</v>
      </c>
      <c r="BP52" s="147">
        <v>0</v>
      </c>
      <c r="BQ52" s="145">
        <v>0</v>
      </c>
      <c r="BR52" s="146">
        <v>0</v>
      </c>
      <c r="BS52" s="146">
        <v>0</v>
      </c>
      <c r="BT52" s="146">
        <v>0</v>
      </c>
      <c r="BU52" s="147">
        <v>0</v>
      </c>
      <c r="BV52" s="169" t="s">
        <v>48</v>
      </c>
      <c r="BW52" s="256" t="str">
        <f t="shared" si="22"/>
        <v/>
      </c>
      <c r="BX52" s="256" t="str">
        <f t="shared" si="23"/>
        <v/>
      </c>
      <c r="BY52" s="256" t="str">
        <f t="shared" si="24"/>
        <v/>
      </c>
      <c r="BZ52" s="256" t="str">
        <f t="shared" si="25"/>
        <v/>
      </c>
      <c r="CA52" s="257" t="str">
        <f t="shared" si="26"/>
        <v/>
      </c>
      <c r="CB52" s="256" t="str">
        <f t="shared" si="27"/>
        <v/>
      </c>
      <c r="CC52" s="256" t="str">
        <f t="shared" si="28"/>
        <v/>
      </c>
      <c r="CD52" s="256" t="str">
        <f t="shared" si="29"/>
        <v/>
      </c>
      <c r="CE52" s="256" t="str">
        <f t="shared" si="30"/>
        <v/>
      </c>
      <c r="CF52" s="257" t="str">
        <f t="shared" si="31"/>
        <v/>
      </c>
      <c r="CG52" s="256" t="str">
        <f t="shared" si="32"/>
        <v/>
      </c>
      <c r="CH52" s="256" t="str">
        <f t="shared" si="33"/>
        <v/>
      </c>
      <c r="CI52" s="256" t="str">
        <f t="shared" si="34"/>
        <v/>
      </c>
      <c r="CJ52" s="256" t="str">
        <f t="shared" si="35"/>
        <v/>
      </c>
      <c r="CK52" s="257" t="str">
        <f t="shared" si="36"/>
        <v/>
      </c>
    </row>
    <row r="53" spans="1:89" s="21" customFormat="1" x14ac:dyDescent="0.25">
      <c r="A53" s="137" t="s">
        <v>304</v>
      </c>
      <c r="B53" s="138" t="s">
        <v>6</v>
      </c>
      <c r="C53" s="139"/>
      <c r="D53" s="140">
        <v>0</v>
      </c>
      <c r="E53" s="141">
        <v>0</v>
      </c>
      <c r="F53" s="141">
        <v>0</v>
      </c>
      <c r="G53" s="141">
        <v>0</v>
      </c>
      <c r="H53" s="142">
        <v>0</v>
      </c>
      <c r="I53" s="141"/>
      <c r="J53" s="141"/>
      <c r="K53" s="141"/>
      <c r="L53" s="141"/>
      <c r="M53" s="142"/>
      <c r="N53" s="141">
        <v>0</v>
      </c>
      <c r="O53" s="141">
        <v>0</v>
      </c>
      <c r="P53" s="141">
        <v>0</v>
      </c>
      <c r="Q53" s="141">
        <v>0</v>
      </c>
      <c r="R53" s="142">
        <v>0</v>
      </c>
      <c r="S53" s="141"/>
      <c r="T53" s="141"/>
      <c r="U53" s="141"/>
      <c r="V53" s="141"/>
      <c r="W53" s="142"/>
      <c r="X53" s="141">
        <v>0</v>
      </c>
      <c r="Y53" s="141">
        <v>0</v>
      </c>
      <c r="Z53" s="141">
        <v>0</v>
      </c>
      <c r="AA53" s="141">
        <v>0</v>
      </c>
      <c r="AB53" s="142">
        <v>0</v>
      </c>
      <c r="AC53" s="205">
        <v>0</v>
      </c>
      <c r="AD53" s="205">
        <v>0</v>
      </c>
      <c r="AE53" s="205">
        <v>0</v>
      </c>
      <c r="AF53" s="205">
        <v>0</v>
      </c>
      <c r="AG53" s="206">
        <v>0</v>
      </c>
      <c r="AH53" s="143">
        <v>0</v>
      </c>
      <c r="AI53" s="143">
        <v>0</v>
      </c>
      <c r="AJ53" s="143">
        <v>0</v>
      </c>
      <c r="AK53" s="143">
        <v>0</v>
      </c>
      <c r="AL53" s="144">
        <v>0</v>
      </c>
      <c r="AM53" s="143">
        <v>0</v>
      </c>
      <c r="AN53" s="143">
        <v>0</v>
      </c>
      <c r="AO53" s="143">
        <v>0</v>
      </c>
      <c r="AP53" s="143">
        <v>0</v>
      </c>
      <c r="AQ53" s="144">
        <v>0</v>
      </c>
      <c r="AR53" s="141"/>
      <c r="AS53" s="141"/>
      <c r="AT53" s="141"/>
      <c r="AU53" s="141"/>
      <c r="AV53" s="142"/>
      <c r="AW53" s="141">
        <v>0</v>
      </c>
      <c r="AX53" s="141">
        <v>0</v>
      </c>
      <c r="AY53" s="141">
        <v>0</v>
      </c>
      <c r="AZ53" s="141">
        <v>0</v>
      </c>
      <c r="BA53" s="142">
        <v>0</v>
      </c>
      <c r="BB53" s="145">
        <v>0</v>
      </c>
      <c r="BC53" s="146">
        <v>0</v>
      </c>
      <c r="BD53" s="146">
        <v>0</v>
      </c>
      <c r="BE53" s="146">
        <v>0</v>
      </c>
      <c r="BF53" s="147">
        <v>0</v>
      </c>
      <c r="BG53" s="146">
        <v>0</v>
      </c>
      <c r="BH53" s="146">
        <v>0</v>
      </c>
      <c r="BI53" s="146">
        <v>0</v>
      </c>
      <c r="BJ53" s="146">
        <v>0</v>
      </c>
      <c r="BK53" s="147">
        <v>0</v>
      </c>
      <c r="BL53" s="146">
        <v>0</v>
      </c>
      <c r="BM53" s="146">
        <v>0</v>
      </c>
      <c r="BN53" s="146">
        <v>0</v>
      </c>
      <c r="BO53" s="146">
        <v>0</v>
      </c>
      <c r="BP53" s="147">
        <v>0</v>
      </c>
      <c r="BQ53" s="145">
        <v>0</v>
      </c>
      <c r="BR53" s="146">
        <v>0</v>
      </c>
      <c r="BS53" s="146">
        <v>0</v>
      </c>
      <c r="BT53" s="146">
        <v>0</v>
      </c>
      <c r="BU53" s="147">
        <v>0</v>
      </c>
      <c r="BV53" s="169" t="s">
        <v>48</v>
      </c>
      <c r="BW53" s="256" t="str">
        <f t="shared" si="22"/>
        <v/>
      </c>
      <c r="BX53" s="256" t="str">
        <f t="shared" si="23"/>
        <v/>
      </c>
      <c r="BY53" s="256" t="str">
        <f t="shared" si="24"/>
        <v/>
      </c>
      <c r="BZ53" s="256" t="str">
        <f t="shared" si="25"/>
        <v/>
      </c>
      <c r="CA53" s="257" t="str">
        <f t="shared" si="26"/>
        <v/>
      </c>
      <c r="CB53" s="256" t="str">
        <f t="shared" si="27"/>
        <v/>
      </c>
      <c r="CC53" s="256" t="str">
        <f t="shared" si="28"/>
        <v/>
      </c>
      <c r="CD53" s="256" t="str">
        <f t="shared" si="29"/>
        <v/>
      </c>
      <c r="CE53" s="256" t="str">
        <f t="shared" si="30"/>
        <v/>
      </c>
      <c r="CF53" s="257" t="str">
        <f t="shared" si="31"/>
        <v/>
      </c>
      <c r="CG53" s="256" t="str">
        <f t="shared" si="32"/>
        <v/>
      </c>
      <c r="CH53" s="256" t="str">
        <f t="shared" si="33"/>
        <v/>
      </c>
      <c r="CI53" s="256" t="str">
        <f t="shared" si="34"/>
        <v/>
      </c>
      <c r="CJ53" s="256" t="str">
        <f t="shared" si="35"/>
        <v/>
      </c>
      <c r="CK53" s="257" t="str">
        <f t="shared" si="36"/>
        <v/>
      </c>
    </row>
    <row r="54" spans="1:89" s="21" customFormat="1" x14ac:dyDescent="0.25">
      <c r="A54" s="137" t="s">
        <v>305</v>
      </c>
      <c r="B54" s="138" t="s">
        <v>6</v>
      </c>
      <c r="C54" s="139"/>
      <c r="D54" s="140">
        <v>0</v>
      </c>
      <c r="E54" s="141">
        <v>0</v>
      </c>
      <c r="F54" s="141">
        <v>0</v>
      </c>
      <c r="G54" s="141">
        <v>0</v>
      </c>
      <c r="H54" s="142">
        <v>0</v>
      </c>
      <c r="I54" s="141"/>
      <c r="J54" s="141"/>
      <c r="K54" s="141"/>
      <c r="L54" s="141"/>
      <c r="M54" s="142"/>
      <c r="N54" s="141">
        <v>0</v>
      </c>
      <c r="O54" s="141">
        <v>0</v>
      </c>
      <c r="P54" s="141">
        <v>0</v>
      </c>
      <c r="Q54" s="141">
        <v>0</v>
      </c>
      <c r="R54" s="142">
        <v>0</v>
      </c>
      <c r="S54" s="141"/>
      <c r="T54" s="141"/>
      <c r="U54" s="141"/>
      <c r="V54" s="141"/>
      <c r="W54" s="142"/>
      <c r="X54" s="141">
        <v>0</v>
      </c>
      <c r="Y54" s="141">
        <v>0</v>
      </c>
      <c r="Z54" s="141">
        <v>0</v>
      </c>
      <c r="AA54" s="141">
        <v>0</v>
      </c>
      <c r="AB54" s="142">
        <v>0</v>
      </c>
      <c r="AC54" s="205">
        <v>0</v>
      </c>
      <c r="AD54" s="205">
        <v>0</v>
      </c>
      <c r="AE54" s="205">
        <v>0</v>
      </c>
      <c r="AF54" s="205">
        <v>0</v>
      </c>
      <c r="AG54" s="206">
        <v>0</v>
      </c>
      <c r="AH54" s="143">
        <v>0</v>
      </c>
      <c r="AI54" s="143">
        <v>0</v>
      </c>
      <c r="AJ54" s="143">
        <v>0</v>
      </c>
      <c r="AK54" s="143">
        <v>0</v>
      </c>
      <c r="AL54" s="144">
        <v>0</v>
      </c>
      <c r="AM54" s="143">
        <v>0</v>
      </c>
      <c r="AN54" s="143">
        <v>0</v>
      </c>
      <c r="AO54" s="143">
        <v>0</v>
      </c>
      <c r="AP54" s="143">
        <v>0</v>
      </c>
      <c r="AQ54" s="144">
        <v>0</v>
      </c>
      <c r="AR54" s="141"/>
      <c r="AS54" s="141"/>
      <c r="AT54" s="141"/>
      <c r="AU54" s="141"/>
      <c r="AV54" s="142"/>
      <c r="AW54" s="141">
        <v>0</v>
      </c>
      <c r="AX54" s="141">
        <v>0</v>
      </c>
      <c r="AY54" s="141">
        <v>0</v>
      </c>
      <c r="AZ54" s="141">
        <v>0</v>
      </c>
      <c r="BA54" s="142">
        <v>0</v>
      </c>
      <c r="BB54" s="145">
        <v>0</v>
      </c>
      <c r="BC54" s="146">
        <v>0</v>
      </c>
      <c r="BD54" s="146">
        <v>0</v>
      </c>
      <c r="BE54" s="146">
        <v>0</v>
      </c>
      <c r="BF54" s="147">
        <v>0</v>
      </c>
      <c r="BG54" s="146">
        <v>0</v>
      </c>
      <c r="BH54" s="146">
        <v>0</v>
      </c>
      <c r="BI54" s="146">
        <v>0</v>
      </c>
      <c r="BJ54" s="146">
        <v>0</v>
      </c>
      <c r="BK54" s="147">
        <v>0</v>
      </c>
      <c r="BL54" s="146">
        <v>0</v>
      </c>
      <c r="BM54" s="146">
        <v>0</v>
      </c>
      <c r="BN54" s="146">
        <v>0</v>
      </c>
      <c r="BO54" s="146">
        <v>0</v>
      </c>
      <c r="BP54" s="147">
        <v>0</v>
      </c>
      <c r="BQ54" s="145">
        <v>0</v>
      </c>
      <c r="BR54" s="146">
        <v>0</v>
      </c>
      <c r="BS54" s="146">
        <v>0</v>
      </c>
      <c r="BT54" s="146">
        <v>0</v>
      </c>
      <c r="BU54" s="147">
        <v>0</v>
      </c>
      <c r="BV54" s="169" t="s">
        <v>48</v>
      </c>
      <c r="BW54" s="256" t="str">
        <f t="shared" si="22"/>
        <v/>
      </c>
      <c r="BX54" s="256" t="str">
        <f t="shared" si="23"/>
        <v/>
      </c>
      <c r="BY54" s="256" t="str">
        <f t="shared" si="24"/>
        <v/>
      </c>
      <c r="BZ54" s="256" t="str">
        <f t="shared" si="25"/>
        <v/>
      </c>
      <c r="CA54" s="257" t="str">
        <f t="shared" si="26"/>
        <v/>
      </c>
      <c r="CB54" s="256" t="str">
        <f t="shared" si="27"/>
        <v/>
      </c>
      <c r="CC54" s="256" t="str">
        <f t="shared" si="28"/>
        <v/>
      </c>
      <c r="CD54" s="256" t="str">
        <f t="shared" si="29"/>
        <v/>
      </c>
      <c r="CE54" s="256" t="str">
        <f t="shared" si="30"/>
        <v/>
      </c>
      <c r="CF54" s="257" t="str">
        <f t="shared" si="31"/>
        <v/>
      </c>
      <c r="CG54" s="256" t="str">
        <f t="shared" si="32"/>
        <v/>
      </c>
      <c r="CH54" s="256" t="str">
        <f t="shared" si="33"/>
        <v/>
      </c>
      <c r="CI54" s="256" t="str">
        <f t="shared" si="34"/>
        <v/>
      </c>
      <c r="CJ54" s="256" t="str">
        <f t="shared" si="35"/>
        <v/>
      </c>
      <c r="CK54" s="257" t="str">
        <f t="shared" si="36"/>
        <v/>
      </c>
    </row>
    <row r="55" spans="1:89" s="21" customFormat="1" x14ac:dyDescent="0.25">
      <c r="A55" s="137" t="s">
        <v>306</v>
      </c>
      <c r="B55" s="138" t="s">
        <v>6</v>
      </c>
      <c r="C55" s="139"/>
      <c r="D55" s="140">
        <v>0</v>
      </c>
      <c r="E55" s="141">
        <v>0</v>
      </c>
      <c r="F55" s="141">
        <v>0</v>
      </c>
      <c r="G55" s="141">
        <v>0</v>
      </c>
      <c r="H55" s="142">
        <v>0</v>
      </c>
      <c r="I55" s="141"/>
      <c r="J55" s="141"/>
      <c r="K55" s="141"/>
      <c r="L55" s="141"/>
      <c r="M55" s="142"/>
      <c r="N55" s="141">
        <v>0</v>
      </c>
      <c r="O55" s="141">
        <v>0</v>
      </c>
      <c r="P55" s="141">
        <v>0</v>
      </c>
      <c r="Q55" s="141">
        <v>0</v>
      </c>
      <c r="R55" s="142">
        <v>0</v>
      </c>
      <c r="S55" s="141"/>
      <c r="T55" s="141"/>
      <c r="U55" s="141"/>
      <c r="V55" s="141"/>
      <c r="W55" s="142"/>
      <c r="X55" s="141">
        <v>0</v>
      </c>
      <c r="Y55" s="141">
        <v>0</v>
      </c>
      <c r="Z55" s="141">
        <v>0</v>
      </c>
      <c r="AA55" s="141">
        <v>0</v>
      </c>
      <c r="AB55" s="142">
        <v>0</v>
      </c>
      <c r="AC55" s="205">
        <v>0</v>
      </c>
      <c r="AD55" s="205">
        <v>0</v>
      </c>
      <c r="AE55" s="205">
        <v>0</v>
      </c>
      <c r="AF55" s="205">
        <v>0</v>
      </c>
      <c r="AG55" s="206">
        <v>0</v>
      </c>
      <c r="AH55" s="143">
        <v>0</v>
      </c>
      <c r="AI55" s="143">
        <v>0</v>
      </c>
      <c r="AJ55" s="143">
        <v>0</v>
      </c>
      <c r="AK55" s="143">
        <v>0</v>
      </c>
      <c r="AL55" s="144">
        <v>0</v>
      </c>
      <c r="AM55" s="143">
        <v>0</v>
      </c>
      <c r="AN55" s="143">
        <v>0</v>
      </c>
      <c r="AO55" s="143">
        <v>0</v>
      </c>
      <c r="AP55" s="143">
        <v>0</v>
      </c>
      <c r="AQ55" s="144">
        <v>0</v>
      </c>
      <c r="AR55" s="141"/>
      <c r="AS55" s="141"/>
      <c r="AT55" s="141"/>
      <c r="AU55" s="141"/>
      <c r="AV55" s="142"/>
      <c r="AW55" s="141">
        <v>0</v>
      </c>
      <c r="AX55" s="141">
        <v>0</v>
      </c>
      <c r="AY55" s="141">
        <v>0</v>
      </c>
      <c r="AZ55" s="141">
        <v>0</v>
      </c>
      <c r="BA55" s="142">
        <v>0</v>
      </c>
      <c r="BB55" s="145">
        <v>0</v>
      </c>
      <c r="BC55" s="146">
        <v>0</v>
      </c>
      <c r="BD55" s="146">
        <v>0</v>
      </c>
      <c r="BE55" s="146">
        <v>0</v>
      </c>
      <c r="BF55" s="147">
        <v>0</v>
      </c>
      <c r="BG55" s="146">
        <v>0</v>
      </c>
      <c r="BH55" s="146">
        <v>0</v>
      </c>
      <c r="BI55" s="146">
        <v>0</v>
      </c>
      <c r="BJ55" s="146">
        <v>0</v>
      </c>
      <c r="BK55" s="147">
        <v>0</v>
      </c>
      <c r="BL55" s="146">
        <v>0</v>
      </c>
      <c r="BM55" s="146">
        <v>0</v>
      </c>
      <c r="BN55" s="146">
        <v>0</v>
      </c>
      <c r="BO55" s="146">
        <v>0</v>
      </c>
      <c r="BP55" s="147">
        <v>0</v>
      </c>
      <c r="BQ55" s="145">
        <v>0</v>
      </c>
      <c r="BR55" s="146">
        <v>0</v>
      </c>
      <c r="BS55" s="146">
        <v>0</v>
      </c>
      <c r="BT55" s="146">
        <v>0</v>
      </c>
      <c r="BU55" s="147">
        <v>0</v>
      </c>
      <c r="BV55" s="169" t="s">
        <v>48</v>
      </c>
      <c r="BW55" s="256" t="str">
        <f t="shared" si="22"/>
        <v/>
      </c>
      <c r="BX55" s="256" t="str">
        <f t="shared" si="23"/>
        <v/>
      </c>
      <c r="BY55" s="256" t="str">
        <f t="shared" si="24"/>
        <v/>
      </c>
      <c r="BZ55" s="256" t="str">
        <f t="shared" si="25"/>
        <v/>
      </c>
      <c r="CA55" s="257" t="str">
        <f t="shared" si="26"/>
        <v/>
      </c>
      <c r="CB55" s="256" t="str">
        <f t="shared" si="27"/>
        <v/>
      </c>
      <c r="CC55" s="256" t="str">
        <f t="shared" si="28"/>
        <v/>
      </c>
      <c r="CD55" s="256" t="str">
        <f t="shared" si="29"/>
        <v/>
      </c>
      <c r="CE55" s="256" t="str">
        <f t="shared" si="30"/>
        <v/>
      </c>
      <c r="CF55" s="257" t="str">
        <f t="shared" si="31"/>
        <v/>
      </c>
      <c r="CG55" s="256" t="str">
        <f t="shared" si="32"/>
        <v/>
      </c>
      <c r="CH55" s="256" t="str">
        <f t="shared" si="33"/>
        <v/>
      </c>
      <c r="CI55" s="256" t="str">
        <f t="shared" si="34"/>
        <v/>
      </c>
      <c r="CJ55" s="256" t="str">
        <f t="shared" si="35"/>
        <v/>
      </c>
      <c r="CK55" s="257" t="str">
        <f t="shared" si="36"/>
        <v/>
      </c>
    </row>
    <row r="56" spans="1:89" s="21" customFormat="1" x14ac:dyDescent="0.25">
      <c r="A56" s="137" t="s">
        <v>307</v>
      </c>
      <c r="B56" s="138" t="s">
        <v>6</v>
      </c>
      <c r="C56" s="139"/>
      <c r="D56" s="140">
        <v>0</v>
      </c>
      <c r="E56" s="141">
        <v>0</v>
      </c>
      <c r="F56" s="141">
        <v>0</v>
      </c>
      <c r="G56" s="141">
        <v>0</v>
      </c>
      <c r="H56" s="142">
        <v>0</v>
      </c>
      <c r="I56" s="141"/>
      <c r="J56" s="141"/>
      <c r="K56" s="141"/>
      <c r="L56" s="141"/>
      <c r="M56" s="142"/>
      <c r="N56" s="141">
        <v>0</v>
      </c>
      <c r="O56" s="141">
        <v>0</v>
      </c>
      <c r="P56" s="141">
        <v>0</v>
      </c>
      <c r="Q56" s="141">
        <v>0</v>
      </c>
      <c r="R56" s="142">
        <v>0</v>
      </c>
      <c r="S56" s="141"/>
      <c r="T56" s="141"/>
      <c r="U56" s="141"/>
      <c r="V56" s="141"/>
      <c r="W56" s="142"/>
      <c r="X56" s="141">
        <v>0</v>
      </c>
      <c r="Y56" s="141">
        <v>0</v>
      </c>
      <c r="Z56" s="141">
        <v>0</v>
      </c>
      <c r="AA56" s="141">
        <v>0</v>
      </c>
      <c r="AB56" s="142">
        <v>0</v>
      </c>
      <c r="AC56" s="205">
        <v>0</v>
      </c>
      <c r="AD56" s="205">
        <v>0</v>
      </c>
      <c r="AE56" s="205">
        <v>0</v>
      </c>
      <c r="AF56" s="205">
        <v>0</v>
      </c>
      <c r="AG56" s="206">
        <v>0</v>
      </c>
      <c r="AH56" s="143">
        <v>0</v>
      </c>
      <c r="AI56" s="143">
        <v>0</v>
      </c>
      <c r="AJ56" s="143">
        <v>0</v>
      </c>
      <c r="AK56" s="143">
        <v>0</v>
      </c>
      <c r="AL56" s="144">
        <v>0</v>
      </c>
      <c r="AM56" s="143">
        <v>0</v>
      </c>
      <c r="AN56" s="143">
        <v>0</v>
      </c>
      <c r="AO56" s="143">
        <v>0</v>
      </c>
      <c r="AP56" s="143">
        <v>0</v>
      </c>
      <c r="AQ56" s="144">
        <v>0</v>
      </c>
      <c r="AR56" s="141"/>
      <c r="AS56" s="141"/>
      <c r="AT56" s="141"/>
      <c r="AU56" s="141"/>
      <c r="AV56" s="142"/>
      <c r="AW56" s="141">
        <v>0</v>
      </c>
      <c r="AX56" s="141">
        <v>0</v>
      </c>
      <c r="AY56" s="141">
        <v>0</v>
      </c>
      <c r="AZ56" s="141">
        <v>0</v>
      </c>
      <c r="BA56" s="142">
        <v>0</v>
      </c>
      <c r="BB56" s="145">
        <v>0</v>
      </c>
      <c r="BC56" s="146">
        <v>0</v>
      </c>
      <c r="BD56" s="146">
        <v>0</v>
      </c>
      <c r="BE56" s="146">
        <v>0</v>
      </c>
      <c r="BF56" s="147">
        <v>0</v>
      </c>
      <c r="BG56" s="146">
        <v>0</v>
      </c>
      <c r="BH56" s="146">
        <v>0</v>
      </c>
      <c r="BI56" s="146">
        <v>0</v>
      </c>
      <c r="BJ56" s="146">
        <v>0</v>
      </c>
      <c r="BK56" s="147">
        <v>0</v>
      </c>
      <c r="BL56" s="146">
        <v>0</v>
      </c>
      <c r="BM56" s="146">
        <v>0</v>
      </c>
      <c r="BN56" s="146">
        <v>0</v>
      </c>
      <c r="BO56" s="146">
        <v>0</v>
      </c>
      <c r="BP56" s="147">
        <v>0</v>
      </c>
      <c r="BQ56" s="145">
        <v>0</v>
      </c>
      <c r="BR56" s="146">
        <v>0</v>
      </c>
      <c r="BS56" s="146">
        <v>0</v>
      </c>
      <c r="BT56" s="146">
        <v>0</v>
      </c>
      <c r="BU56" s="147">
        <v>0</v>
      </c>
      <c r="BV56" s="169" t="s">
        <v>48</v>
      </c>
      <c r="BW56" s="256" t="str">
        <f t="shared" si="22"/>
        <v/>
      </c>
      <c r="BX56" s="256" t="str">
        <f t="shared" si="23"/>
        <v/>
      </c>
      <c r="BY56" s="256" t="str">
        <f t="shared" si="24"/>
        <v/>
      </c>
      <c r="BZ56" s="256" t="str">
        <f t="shared" si="25"/>
        <v/>
      </c>
      <c r="CA56" s="257" t="str">
        <f t="shared" si="26"/>
        <v/>
      </c>
      <c r="CB56" s="256" t="str">
        <f t="shared" si="27"/>
        <v/>
      </c>
      <c r="CC56" s="256" t="str">
        <f t="shared" si="28"/>
        <v/>
      </c>
      <c r="CD56" s="256" t="str">
        <f t="shared" si="29"/>
        <v/>
      </c>
      <c r="CE56" s="256" t="str">
        <f t="shared" si="30"/>
        <v/>
      </c>
      <c r="CF56" s="257" t="str">
        <f t="shared" si="31"/>
        <v/>
      </c>
      <c r="CG56" s="256" t="str">
        <f t="shared" si="32"/>
        <v/>
      </c>
      <c r="CH56" s="256" t="str">
        <f t="shared" si="33"/>
        <v/>
      </c>
      <c r="CI56" s="256" t="str">
        <f t="shared" si="34"/>
        <v/>
      </c>
      <c r="CJ56" s="256" t="str">
        <f t="shared" si="35"/>
        <v/>
      </c>
      <c r="CK56" s="257" t="str">
        <f t="shared" si="36"/>
        <v/>
      </c>
    </row>
    <row r="57" spans="1:89" s="21" customFormat="1" x14ac:dyDescent="0.25">
      <c r="A57" s="137" t="s">
        <v>308</v>
      </c>
      <c r="B57" s="138" t="s">
        <v>6</v>
      </c>
      <c r="C57" s="139"/>
      <c r="D57" s="140">
        <v>0</v>
      </c>
      <c r="E57" s="141">
        <v>0</v>
      </c>
      <c r="F57" s="141">
        <v>0</v>
      </c>
      <c r="G57" s="141">
        <v>0</v>
      </c>
      <c r="H57" s="142">
        <v>0</v>
      </c>
      <c r="I57" s="141"/>
      <c r="J57" s="141"/>
      <c r="K57" s="141"/>
      <c r="L57" s="141"/>
      <c r="M57" s="142"/>
      <c r="N57" s="141">
        <v>0</v>
      </c>
      <c r="O57" s="141">
        <v>0</v>
      </c>
      <c r="P57" s="141">
        <v>0</v>
      </c>
      <c r="Q57" s="141">
        <v>0</v>
      </c>
      <c r="R57" s="142">
        <v>0</v>
      </c>
      <c r="S57" s="141"/>
      <c r="T57" s="141"/>
      <c r="U57" s="141"/>
      <c r="V57" s="141"/>
      <c r="W57" s="142"/>
      <c r="X57" s="141">
        <v>0</v>
      </c>
      <c r="Y57" s="141">
        <v>0</v>
      </c>
      <c r="Z57" s="141">
        <v>0</v>
      </c>
      <c r="AA57" s="141">
        <v>0</v>
      </c>
      <c r="AB57" s="142">
        <v>0</v>
      </c>
      <c r="AC57" s="205">
        <v>0</v>
      </c>
      <c r="AD57" s="205">
        <v>0</v>
      </c>
      <c r="AE57" s="205">
        <v>0</v>
      </c>
      <c r="AF57" s="205">
        <v>0</v>
      </c>
      <c r="AG57" s="206">
        <v>0</v>
      </c>
      <c r="AH57" s="143">
        <v>0</v>
      </c>
      <c r="AI57" s="143">
        <v>0</v>
      </c>
      <c r="AJ57" s="143">
        <v>0</v>
      </c>
      <c r="AK57" s="143">
        <v>0</v>
      </c>
      <c r="AL57" s="144">
        <v>0</v>
      </c>
      <c r="AM57" s="143">
        <v>0</v>
      </c>
      <c r="AN57" s="143">
        <v>0</v>
      </c>
      <c r="AO57" s="143">
        <v>0</v>
      </c>
      <c r="AP57" s="143">
        <v>0</v>
      </c>
      <c r="AQ57" s="144">
        <v>0</v>
      </c>
      <c r="AR57" s="141"/>
      <c r="AS57" s="141"/>
      <c r="AT57" s="141"/>
      <c r="AU57" s="141"/>
      <c r="AV57" s="142"/>
      <c r="AW57" s="141">
        <v>0</v>
      </c>
      <c r="AX57" s="141">
        <v>0</v>
      </c>
      <c r="AY57" s="141">
        <v>0</v>
      </c>
      <c r="AZ57" s="141">
        <v>0</v>
      </c>
      <c r="BA57" s="142">
        <v>0</v>
      </c>
      <c r="BB57" s="145">
        <v>0</v>
      </c>
      <c r="BC57" s="146">
        <v>0</v>
      </c>
      <c r="BD57" s="146">
        <v>0</v>
      </c>
      <c r="BE57" s="146">
        <v>0</v>
      </c>
      <c r="BF57" s="147">
        <v>0</v>
      </c>
      <c r="BG57" s="146">
        <v>0</v>
      </c>
      <c r="BH57" s="146">
        <v>0</v>
      </c>
      <c r="BI57" s="146">
        <v>0</v>
      </c>
      <c r="BJ57" s="146">
        <v>0</v>
      </c>
      <c r="BK57" s="147">
        <v>0</v>
      </c>
      <c r="BL57" s="146">
        <v>0</v>
      </c>
      <c r="BM57" s="146">
        <v>0</v>
      </c>
      <c r="BN57" s="146">
        <v>0</v>
      </c>
      <c r="BO57" s="146">
        <v>0</v>
      </c>
      <c r="BP57" s="147">
        <v>0</v>
      </c>
      <c r="BQ57" s="145">
        <v>0</v>
      </c>
      <c r="BR57" s="146">
        <v>0</v>
      </c>
      <c r="BS57" s="146">
        <v>0</v>
      </c>
      <c r="BT57" s="146">
        <v>0</v>
      </c>
      <c r="BU57" s="147">
        <v>0</v>
      </c>
      <c r="BV57" s="169" t="s">
        <v>48</v>
      </c>
      <c r="BW57" s="256" t="str">
        <f t="shared" si="22"/>
        <v/>
      </c>
      <c r="BX57" s="256" t="str">
        <f t="shared" si="23"/>
        <v/>
      </c>
      <c r="BY57" s="256" t="str">
        <f t="shared" si="24"/>
        <v/>
      </c>
      <c r="BZ57" s="256" t="str">
        <f t="shared" si="25"/>
        <v/>
      </c>
      <c r="CA57" s="257" t="str">
        <f t="shared" si="26"/>
        <v/>
      </c>
      <c r="CB57" s="256" t="str">
        <f t="shared" si="27"/>
        <v/>
      </c>
      <c r="CC57" s="256" t="str">
        <f t="shared" si="28"/>
        <v/>
      </c>
      <c r="CD57" s="256" t="str">
        <f t="shared" si="29"/>
        <v/>
      </c>
      <c r="CE57" s="256" t="str">
        <f t="shared" si="30"/>
        <v/>
      </c>
      <c r="CF57" s="257" t="str">
        <f t="shared" si="31"/>
        <v/>
      </c>
      <c r="CG57" s="256" t="str">
        <f t="shared" si="32"/>
        <v/>
      </c>
      <c r="CH57" s="256" t="str">
        <f t="shared" si="33"/>
        <v/>
      </c>
      <c r="CI57" s="256" t="str">
        <f t="shared" si="34"/>
        <v/>
      </c>
      <c r="CJ57" s="256" t="str">
        <f t="shared" si="35"/>
        <v/>
      </c>
      <c r="CK57" s="257" t="str">
        <f t="shared" si="36"/>
        <v/>
      </c>
    </row>
    <row r="58" spans="1:89" s="21" customFormat="1" x14ac:dyDescent="0.25">
      <c r="A58" s="137" t="s">
        <v>309</v>
      </c>
      <c r="B58" s="138" t="s">
        <v>6</v>
      </c>
      <c r="C58" s="139"/>
      <c r="D58" s="140">
        <v>0</v>
      </c>
      <c r="E58" s="141">
        <v>0</v>
      </c>
      <c r="F58" s="141">
        <v>0</v>
      </c>
      <c r="G58" s="141">
        <v>0</v>
      </c>
      <c r="H58" s="142">
        <v>0</v>
      </c>
      <c r="I58" s="141"/>
      <c r="J58" s="141"/>
      <c r="K58" s="141"/>
      <c r="L58" s="141"/>
      <c r="M58" s="142"/>
      <c r="N58" s="141">
        <v>0</v>
      </c>
      <c r="O58" s="141">
        <v>0</v>
      </c>
      <c r="P58" s="141">
        <v>0</v>
      </c>
      <c r="Q58" s="141">
        <v>0</v>
      </c>
      <c r="R58" s="142">
        <v>0</v>
      </c>
      <c r="S58" s="141"/>
      <c r="T58" s="141"/>
      <c r="U58" s="141"/>
      <c r="V58" s="141"/>
      <c r="W58" s="142"/>
      <c r="X58" s="141">
        <v>0</v>
      </c>
      <c r="Y58" s="141">
        <v>0</v>
      </c>
      <c r="Z58" s="141">
        <v>0</v>
      </c>
      <c r="AA58" s="141">
        <v>0</v>
      </c>
      <c r="AB58" s="142">
        <v>0</v>
      </c>
      <c r="AC58" s="205">
        <v>0</v>
      </c>
      <c r="AD58" s="205">
        <v>0</v>
      </c>
      <c r="AE58" s="205">
        <v>0</v>
      </c>
      <c r="AF58" s="205">
        <v>0</v>
      </c>
      <c r="AG58" s="206">
        <v>0</v>
      </c>
      <c r="AH58" s="143">
        <v>0</v>
      </c>
      <c r="AI58" s="143">
        <v>0</v>
      </c>
      <c r="AJ58" s="143">
        <v>0</v>
      </c>
      <c r="AK58" s="143">
        <v>0</v>
      </c>
      <c r="AL58" s="144">
        <v>0</v>
      </c>
      <c r="AM58" s="143">
        <v>0</v>
      </c>
      <c r="AN58" s="143">
        <v>0</v>
      </c>
      <c r="AO58" s="143">
        <v>0</v>
      </c>
      <c r="AP58" s="143">
        <v>0</v>
      </c>
      <c r="AQ58" s="144">
        <v>0</v>
      </c>
      <c r="AR58" s="141"/>
      <c r="AS58" s="141"/>
      <c r="AT58" s="141"/>
      <c r="AU58" s="141"/>
      <c r="AV58" s="142"/>
      <c r="AW58" s="141">
        <v>0</v>
      </c>
      <c r="AX58" s="141">
        <v>0</v>
      </c>
      <c r="AY58" s="141">
        <v>0</v>
      </c>
      <c r="AZ58" s="141">
        <v>0</v>
      </c>
      <c r="BA58" s="142">
        <v>0</v>
      </c>
      <c r="BB58" s="145">
        <v>0</v>
      </c>
      <c r="BC58" s="146">
        <v>0</v>
      </c>
      <c r="BD58" s="146">
        <v>0</v>
      </c>
      <c r="BE58" s="146">
        <v>0</v>
      </c>
      <c r="BF58" s="147">
        <v>0</v>
      </c>
      <c r="BG58" s="146">
        <v>0</v>
      </c>
      <c r="BH58" s="146">
        <v>0</v>
      </c>
      <c r="BI58" s="146">
        <v>0</v>
      </c>
      <c r="BJ58" s="146">
        <v>0</v>
      </c>
      <c r="BK58" s="147">
        <v>0</v>
      </c>
      <c r="BL58" s="146">
        <v>0</v>
      </c>
      <c r="BM58" s="146">
        <v>0</v>
      </c>
      <c r="BN58" s="146">
        <v>0</v>
      </c>
      <c r="BO58" s="146">
        <v>0</v>
      </c>
      <c r="BP58" s="147">
        <v>0</v>
      </c>
      <c r="BQ58" s="145">
        <v>0</v>
      </c>
      <c r="BR58" s="146">
        <v>0</v>
      </c>
      <c r="BS58" s="146">
        <v>0</v>
      </c>
      <c r="BT58" s="146">
        <v>0</v>
      </c>
      <c r="BU58" s="147">
        <v>0</v>
      </c>
      <c r="BV58" s="169" t="s">
        <v>48</v>
      </c>
      <c r="BW58" s="256" t="str">
        <f t="shared" si="22"/>
        <v/>
      </c>
      <c r="BX58" s="256" t="str">
        <f t="shared" si="23"/>
        <v/>
      </c>
      <c r="BY58" s="256" t="str">
        <f t="shared" si="24"/>
        <v/>
      </c>
      <c r="BZ58" s="256" t="str">
        <f t="shared" si="25"/>
        <v/>
      </c>
      <c r="CA58" s="257" t="str">
        <f t="shared" si="26"/>
        <v/>
      </c>
      <c r="CB58" s="256" t="str">
        <f t="shared" si="27"/>
        <v/>
      </c>
      <c r="CC58" s="256" t="str">
        <f t="shared" si="28"/>
        <v/>
      </c>
      <c r="CD58" s="256" t="str">
        <f t="shared" si="29"/>
        <v/>
      </c>
      <c r="CE58" s="256" t="str">
        <f t="shared" si="30"/>
        <v/>
      </c>
      <c r="CF58" s="257" t="str">
        <f t="shared" si="31"/>
        <v/>
      </c>
      <c r="CG58" s="256" t="str">
        <f t="shared" si="32"/>
        <v/>
      </c>
      <c r="CH58" s="256" t="str">
        <f t="shared" si="33"/>
        <v/>
      </c>
      <c r="CI58" s="256" t="str">
        <f t="shared" si="34"/>
        <v/>
      </c>
      <c r="CJ58" s="256" t="str">
        <f t="shared" si="35"/>
        <v/>
      </c>
      <c r="CK58" s="257" t="str">
        <f t="shared" si="36"/>
        <v/>
      </c>
    </row>
    <row r="59" spans="1:89" s="21" customFormat="1" x14ac:dyDescent="0.25">
      <c r="A59" s="137" t="s">
        <v>310</v>
      </c>
      <c r="B59" s="138" t="s">
        <v>6</v>
      </c>
      <c r="C59" s="139"/>
      <c r="D59" s="140">
        <v>0</v>
      </c>
      <c r="E59" s="141">
        <v>0</v>
      </c>
      <c r="F59" s="141">
        <v>0</v>
      </c>
      <c r="G59" s="141">
        <v>0</v>
      </c>
      <c r="H59" s="142">
        <v>0</v>
      </c>
      <c r="I59" s="141"/>
      <c r="J59" s="141"/>
      <c r="K59" s="141"/>
      <c r="L59" s="141"/>
      <c r="M59" s="142"/>
      <c r="N59" s="141">
        <v>0</v>
      </c>
      <c r="O59" s="141">
        <v>0</v>
      </c>
      <c r="P59" s="141">
        <v>0</v>
      </c>
      <c r="Q59" s="141">
        <v>0</v>
      </c>
      <c r="R59" s="142">
        <v>0</v>
      </c>
      <c r="S59" s="141"/>
      <c r="T59" s="141"/>
      <c r="U59" s="141"/>
      <c r="V59" s="141"/>
      <c r="W59" s="142"/>
      <c r="X59" s="141">
        <v>0</v>
      </c>
      <c r="Y59" s="141">
        <v>0</v>
      </c>
      <c r="Z59" s="141">
        <v>0</v>
      </c>
      <c r="AA59" s="141">
        <v>0</v>
      </c>
      <c r="AB59" s="142">
        <v>0</v>
      </c>
      <c r="AC59" s="205">
        <v>0</v>
      </c>
      <c r="AD59" s="205">
        <v>0</v>
      </c>
      <c r="AE59" s="205">
        <v>0</v>
      </c>
      <c r="AF59" s="205">
        <v>0</v>
      </c>
      <c r="AG59" s="206">
        <v>0</v>
      </c>
      <c r="AH59" s="143">
        <v>0</v>
      </c>
      <c r="AI59" s="143">
        <v>0</v>
      </c>
      <c r="AJ59" s="143">
        <v>0</v>
      </c>
      <c r="AK59" s="143">
        <v>0</v>
      </c>
      <c r="AL59" s="144">
        <v>0</v>
      </c>
      <c r="AM59" s="143">
        <v>0</v>
      </c>
      <c r="AN59" s="143">
        <v>0</v>
      </c>
      <c r="AO59" s="143">
        <v>0</v>
      </c>
      <c r="AP59" s="143">
        <v>0</v>
      </c>
      <c r="AQ59" s="144">
        <v>0</v>
      </c>
      <c r="AR59" s="141"/>
      <c r="AS59" s="141"/>
      <c r="AT59" s="141"/>
      <c r="AU59" s="141"/>
      <c r="AV59" s="142"/>
      <c r="AW59" s="141">
        <v>0</v>
      </c>
      <c r="AX59" s="141">
        <v>0</v>
      </c>
      <c r="AY59" s="141">
        <v>0</v>
      </c>
      <c r="AZ59" s="141">
        <v>0</v>
      </c>
      <c r="BA59" s="142">
        <v>0</v>
      </c>
      <c r="BB59" s="145">
        <v>0</v>
      </c>
      <c r="BC59" s="146">
        <v>0</v>
      </c>
      <c r="BD59" s="146">
        <v>0</v>
      </c>
      <c r="BE59" s="146">
        <v>0</v>
      </c>
      <c r="BF59" s="147">
        <v>0</v>
      </c>
      <c r="BG59" s="146">
        <v>0</v>
      </c>
      <c r="BH59" s="146">
        <v>0</v>
      </c>
      <c r="BI59" s="146">
        <v>0</v>
      </c>
      <c r="BJ59" s="146">
        <v>0</v>
      </c>
      <c r="BK59" s="147">
        <v>0</v>
      </c>
      <c r="BL59" s="146">
        <v>0</v>
      </c>
      <c r="BM59" s="146">
        <v>0</v>
      </c>
      <c r="BN59" s="146">
        <v>0</v>
      </c>
      <c r="BO59" s="146">
        <v>0</v>
      </c>
      <c r="BP59" s="147">
        <v>0</v>
      </c>
      <c r="BQ59" s="145">
        <v>0</v>
      </c>
      <c r="BR59" s="146">
        <v>0</v>
      </c>
      <c r="BS59" s="146">
        <v>0</v>
      </c>
      <c r="BT59" s="146">
        <v>0</v>
      </c>
      <c r="BU59" s="147">
        <v>0</v>
      </c>
      <c r="BV59" s="169" t="s">
        <v>48</v>
      </c>
      <c r="BW59" s="256" t="str">
        <f t="shared" si="22"/>
        <v/>
      </c>
      <c r="BX59" s="256" t="str">
        <f t="shared" si="23"/>
        <v/>
      </c>
      <c r="BY59" s="256" t="str">
        <f t="shared" si="24"/>
        <v/>
      </c>
      <c r="BZ59" s="256" t="str">
        <f t="shared" si="25"/>
        <v/>
      </c>
      <c r="CA59" s="257" t="str">
        <f t="shared" si="26"/>
        <v/>
      </c>
      <c r="CB59" s="256" t="str">
        <f t="shared" si="27"/>
        <v/>
      </c>
      <c r="CC59" s="256" t="str">
        <f t="shared" si="28"/>
        <v/>
      </c>
      <c r="CD59" s="256" t="str">
        <f t="shared" si="29"/>
        <v/>
      </c>
      <c r="CE59" s="256" t="str">
        <f t="shared" si="30"/>
        <v/>
      </c>
      <c r="CF59" s="257" t="str">
        <f t="shared" si="31"/>
        <v/>
      </c>
      <c r="CG59" s="256" t="str">
        <f t="shared" si="32"/>
        <v/>
      </c>
      <c r="CH59" s="256" t="str">
        <f t="shared" si="33"/>
        <v/>
      </c>
      <c r="CI59" s="256" t="str">
        <f t="shared" si="34"/>
        <v/>
      </c>
      <c r="CJ59" s="256" t="str">
        <f t="shared" si="35"/>
        <v/>
      </c>
      <c r="CK59" s="257" t="str">
        <f t="shared" si="36"/>
        <v/>
      </c>
    </row>
    <row r="60" spans="1:89" s="21" customFormat="1" x14ac:dyDescent="0.25">
      <c r="A60" s="137" t="s">
        <v>311</v>
      </c>
      <c r="B60" s="138" t="s">
        <v>312</v>
      </c>
      <c r="C60" s="139"/>
      <c r="D60" s="140"/>
      <c r="E60" s="141"/>
      <c r="F60" s="141"/>
      <c r="G60" s="141"/>
      <c r="H60" s="142"/>
      <c r="I60" s="141"/>
      <c r="J60" s="141"/>
      <c r="K60" s="141"/>
      <c r="L60" s="141"/>
      <c r="M60" s="142"/>
      <c r="N60" s="141"/>
      <c r="O60" s="141"/>
      <c r="P60" s="141"/>
      <c r="Q60" s="141"/>
      <c r="R60" s="142"/>
      <c r="S60" s="141"/>
      <c r="T60" s="141"/>
      <c r="U60" s="141"/>
      <c r="V60" s="141"/>
      <c r="W60" s="142"/>
      <c r="X60" s="141"/>
      <c r="Y60" s="141"/>
      <c r="Z60" s="141"/>
      <c r="AA60" s="141"/>
      <c r="AB60" s="142"/>
      <c r="AC60" s="205">
        <v>0.85</v>
      </c>
      <c r="AD60" s="205">
        <v>0.85</v>
      </c>
      <c r="AE60" s="205">
        <v>0.85</v>
      </c>
      <c r="AF60" s="205">
        <v>0.85</v>
      </c>
      <c r="AG60" s="206">
        <v>0.85</v>
      </c>
      <c r="AH60" s="143">
        <v>0</v>
      </c>
      <c r="AI60" s="143">
        <v>0</v>
      </c>
      <c r="AJ60" s="143">
        <v>0</v>
      </c>
      <c r="AK60" s="143">
        <v>0</v>
      </c>
      <c r="AL60" s="144">
        <v>0</v>
      </c>
      <c r="AM60" s="143">
        <v>0</v>
      </c>
      <c r="AN60" s="143">
        <v>0</v>
      </c>
      <c r="AO60" s="143">
        <v>0</v>
      </c>
      <c r="AP60" s="143">
        <v>0</v>
      </c>
      <c r="AQ60" s="144">
        <v>0</v>
      </c>
      <c r="AR60" s="141"/>
      <c r="AS60" s="141"/>
      <c r="AT60" s="141"/>
      <c r="AU60" s="141"/>
      <c r="AV60" s="142"/>
      <c r="AW60" s="141">
        <f t="shared" ref="AW60:BA61" si="43">AVERAGE(30,50)</f>
        <v>40</v>
      </c>
      <c r="AX60" s="141">
        <f t="shared" si="43"/>
        <v>40</v>
      </c>
      <c r="AY60" s="141">
        <f t="shared" si="43"/>
        <v>40</v>
      </c>
      <c r="AZ60" s="141">
        <f t="shared" si="43"/>
        <v>40</v>
      </c>
      <c r="BA60" s="142">
        <f t="shared" si="43"/>
        <v>40</v>
      </c>
      <c r="BB60" s="140">
        <f>AVERAGE(18,22)</f>
        <v>20</v>
      </c>
      <c r="BC60" s="141">
        <f t="shared" ref="BC60:BF60" si="44">AVERAGE(18,22)</f>
        <v>20</v>
      </c>
      <c r="BD60" s="141">
        <f t="shared" si="44"/>
        <v>20</v>
      </c>
      <c r="BE60" s="141">
        <f t="shared" si="44"/>
        <v>20</v>
      </c>
      <c r="BF60" s="142">
        <f t="shared" si="44"/>
        <v>20</v>
      </c>
      <c r="BG60" s="141">
        <v>0</v>
      </c>
      <c r="BH60" s="141">
        <v>0</v>
      </c>
      <c r="BI60" s="141">
        <v>0</v>
      </c>
      <c r="BJ60" s="141">
        <v>0</v>
      </c>
      <c r="BK60" s="142">
        <v>0</v>
      </c>
      <c r="BL60" s="141">
        <v>250</v>
      </c>
      <c r="BM60" s="141">
        <v>250</v>
      </c>
      <c r="BN60" s="141">
        <v>250</v>
      </c>
      <c r="BO60" s="141">
        <v>250</v>
      </c>
      <c r="BP60" s="142">
        <v>250</v>
      </c>
      <c r="BQ60" s="140">
        <v>0</v>
      </c>
      <c r="BR60" s="141">
        <v>0</v>
      </c>
      <c r="BS60" s="141">
        <v>0</v>
      </c>
      <c r="BT60" s="141">
        <v>0</v>
      </c>
      <c r="BU60" s="142">
        <v>0</v>
      </c>
      <c r="BV60" s="169"/>
      <c r="BW60" s="256" t="str">
        <f t="shared" si="22"/>
        <v/>
      </c>
      <c r="BX60" s="256" t="str">
        <f t="shared" si="23"/>
        <v/>
      </c>
      <c r="BY60" s="256" t="str">
        <f t="shared" si="24"/>
        <v/>
      </c>
      <c r="BZ60" s="256" t="str">
        <f t="shared" si="25"/>
        <v/>
      </c>
      <c r="CA60" s="257" t="str">
        <f t="shared" si="26"/>
        <v/>
      </c>
      <c r="CB60" s="256" t="str">
        <f t="shared" si="27"/>
        <v/>
      </c>
      <c r="CC60" s="256" t="str">
        <f t="shared" si="28"/>
        <v/>
      </c>
      <c r="CD60" s="256" t="str">
        <f t="shared" si="29"/>
        <v/>
      </c>
      <c r="CE60" s="256" t="str">
        <f t="shared" si="30"/>
        <v/>
      </c>
      <c r="CF60" s="257" t="str">
        <f t="shared" si="31"/>
        <v/>
      </c>
      <c r="CG60" s="256" t="str">
        <f t="shared" si="32"/>
        <v/>
      </c>
      <c r="CH60" s="256" t="str">
        <f t="shared" si="33"/>
        <v/>
      </c>
      <c r="CI60" s="256" t="str">
        <f t="shared" si="34"/>
        <v/>
      </c>
      <c r="CJ60" s="256" t="str">
        <f t="shared" si="35"/>
        <v/>
      </c>
      <c r="CK60" s="257" t="str">
        <f t="shared" si="36"/>
        <v/>
      </c>
    </row>
    <row r="61" spans="1:89" s="21" customFormat="1" ht="14.25" customHeight="1" x14ac:dyDescent="0.25">
      <c r="A61" s="137" t="s">
        <v>313</v>
      </c>
      <c r="B61" s="138" t="s">
        <v>314</v>
      </c>
      <c r="C61" s="139"/>
      <c r="D61" s="140"/>
      <c r="E61" s="141"/>
      <c r="F61" s="141"/>
      <c r="G61" s="141"/>
      <c r="H61" s="142"/>
      <c r="I61" s="141"/>
      <c r="J61" s="141"/>
      <c r="K61" s="141"/>
      <c r="L61" s="141"/>
      <c r="M61" s="142"/>
      <c r="N61" s="141"/>
      <c r="O61" s="141"/>
      <c r="P61" s="141"/>
      <c r="Q61" s="141"/>
      <c r="R61" s="142"/>
      <c r="S61" s="141"/>
      <c r="T61" s="141"/>
      <c r="U61" s="141"/>
      <c r="V61" s="141"/>
      <c r="W61" s="142"/>
      <c r="X61" s="141"/>
      <c r="Y61" s="141"/>
      <c r="Z61" s="141"/>
      <c r="AA61" s="141"/>
      <c r="AB61" s="142"/>
      <c r="AC61" s="205">
        <v>0.85499999999999998</v>
      </c>
      <c r="AD61" s="205">
        <v>0.85499999999999998</v>
      </c>
      <c r="AE61" s="205">
        <v>0.85499999999999998</v>
      </c>
      <c r="AF61" s="205">
        <v>0.85499999999999998</v>
      </c>
      <c r="AG61" s="206">
        <v>0.85499999999999998</v>
      </c>
      <c r="AH61" s="143">
        <v>0</v>
      </c>
      <c r="AI61" s="143">
        <v>0</v>
      </c>
      <c r="AJ61" s="143">
        <v>0</v>
      </c>
      <c r="AK61" s="143">
        <v>0</v>
      </c>
      <c r="AL61" s="144">
        <v>0</v>
      </c>
      <c r="AM61" s="143">
        <v>0</v>
      </c>
      <c r="AN61" s="143">
        <v>0</v>
      </c>
      <c r="AO61" s="143">
        <v>0</v>
      </c>
      <c r="AP61" s="143">
        <v>0</v>
      </c>
      <c r="AQ61" s="144">
        <v>0</v>
      </c>
      <c r="AR61" s="141"/>
      <c r="AS61" s="141"/>
      <c r="AT61" s="141"/>
      <c r="AU61" s="141"/>
      <c r="AV61" s="142"/>
      <c r="AW61" s="141">
        <f>AVERAGE(30,50)</f>
        <v>40</v>
      </c>
      <c r="AX61" s="141">
        <f t="shared" si="43"/>
        <v>40</v>
      </c>
      <c r="AY61" s="141">
        <f t="shared" si="43"/>
        <v>40</v>
      </c>
      <c r="AZ61" s="141">
        <f t="shared" si="43"/>
        <v>40</v>
      </c>
      <c r="BA61" s="142">
        <f t="shared" si="43"/>
        <v>40</v>
      </c>
      <c r="BB61" s="140">
        <f>AVERAGE(135,155)</f>
        <v>145</v>
      </c>
      <c r="BC61" s="141">
        <f t="shared" ref="BC61:BF61" si="45">AVERAGE(135,155)</f>
        <v>145</v>
      </c>
      <c r="BD61" s="141">
        <f t="shared" si="45"/>
        <v>145</v>
      </c>
      <c r="BE61" s="141">
        <f t="shared" si="45"/>
        <v>145</v>
      </c>
      <c r="BF61" s="142">
        <f t="shared" si="45"/>
        <v>145</v>
      </c>
      <c r="BG61" s="141">
        <v>0</v>
      </c>
      <c r="BH61" s="141">
        <v>0</v>
      </c>
      <c r="BI61" s="141">
        <v>0</v>
      </c>
      <c r="BJ61" s="141">
        <v>0</v>
      </c>
      <c r="BK61" s="142">
        <v>0</v>
      </c>
      <c r="BL61" s="141">
        <f>AVERAGE(1000,1200)</f>
        <v>1100</v>
      </c>
      <c r="BM61" s="141">
        <f t="shared" ref="BM61:BP61" si="46">AVERAGE(1000,1200)</f>
        <v>1100</v>
      </c>
      <c r="BN61" s="141">
        <f t="shared" si="46"/>
        <v>1100</v>
      </c>
      <c r="BO61" s="141">
        <f t="shared" si="46"/>
        <v>1100</v>
      </c>
      <c r="BP61" s="142">
        <f t="shared" si="46"/>
        <v>1100</v>
      </c>
      <c r="BQ61" s="140">
        <v>0</v>
      </c>
      <c r="BR61" s="141">
        <v>0</v>
      </c>
      <c r="BS61" s="141">
        <v>0</v>
      </c>
      <c r="BT61" s="141">
        <v>0</v>
      </c>
      <c r="BU61" s="142">
        <v>0</v>
      </c>
      <c r="BV61" s="169"/>
      <c r="BW61" s="256" t="str">
        <f t="shared" si="22"/>
        <v/>
      </c>
      <c r="BX61" s="256" t="str">
        <f t="shared" si="23"/>
        <v/>
      </c>
      <c r="BY61" s="256" t="str">
        <f t="shared" si="24"/>
        <v/>
      </c>
      <c r="BZ61" s="256" t="str">
        <f t="shared" si="25"/>
        <v/>
      </c>
      <c r="CA61" s="257" t="str">
        <f t="shared" si="26"/>
        <v/>
      </c>
      <c r="CB61" s="256" t="str">
        <f t="shared" si="27"/>
        <v/>
      </c>
      <c r="CC61" s="256" t="str">
        <f t="shared" si="28"/>
        <v/>
      </c>
      <c r="CD61" s="256" t="str">
        <f t="shared" si="29"/>
        <v/>
      </c>
      <c r="CE61" s="256" t="str">
        <f t="shared" si="30"/>
        <v/>
      </c>
      <c r="CF61" s="257" t="str">
        <f t="shared" si="31"/>
        <v/>
      </c>
      <c r="CG61" s="256" t="str">
        <f t="shared" si="32"/>
        <v/>
      </c>
      <c r="CH61" s="256" t="str">
        <f t="shared" si="33"/>
        <v/>
      </c>
      <c r="CI61" s="256" t="str">
        <f t="shared" si="34"/>
        <v/>
      </c>
      <c r="CJ61" s="256" t="str">
        <f t="shared" si="35"/>
        <v/>
      </c>
      <c r="CK61" s="257" t="str">
        <f t="shared" si="36"/>
        <v/>
      </c>
    </row>
    <row r="62" spans="1:89" x14ac:dyDescent="0.25">
      <c r="A62" s="113" t="s">
        <v>315</v>
      </c>
      <c r="B62" s="114" t="s">
        <v>55</v>
      </c>
      <c r="C62" s="115" t="s">
        <v>56</v>
      </c>
      <c r="D62" s="116">
        <v>10</v>
      </c>
      <c r="E62" s="117">
        <v>10</v>
      </c>
      <c r="F62" s="117">
        <v>10</v>
      </c>
      <c r="G62" s="117">
        <v>10</v>
      </c>
      <c r="H62" s="118">
        <v>10</v>
      </c>
      <c r="I62" s="117"/>
      <c r="J62" s="117"/>
      <c r="K62" s="117"/>
      <c r="L62" s="117"/>
      <c r="M62" s="118"/>
      <c r="N62" s="117">
        <v>100</v>
      </c>
      <c r="O62" s="117">
        <v>100</v>
      </c>
      <c r="P62" s="117">
        <v>100</v>
      </c>
      <c r="Q62" s="117">
        <v>100</v>
      </c>
      <c r="R62" s="118">
        <v>100</v>
      </c>
      <c r="S62" s="117"/>
      <c r="T62" s="117"/>
      <c r="U62" s="117"/>
      <c r="V62" s="117"/>
      <c r="W62" s="118"/>
      <c r="X62" s="117">
        <v>100</v>
      </c>
      <c r="Y62" s="117">
        <v>100</v>
      </c>
      <c r="Z62" s="117">
        <v>100</v>
      </c>
      <c r="AA62" s="117">
        <v>100</v>
      </c>
      <c r="AB62" s="118">
        <v>100</v>
      </c>
      <c r="AC62" s="198">
        <v>0.98</v>
      </c>
      <c r="AD62" s="198">
        <v>0.98</v>
      </c>
      <c r="AE62" s="198">
        <v>0.98</v>
      </c>
      <c r="AF62" s="198">
        <v>0.98</v>
      </c>
      <c r="AG62" s="199">
        <v>0.98</v>
      </c>
      <c r="AH62" s="119">
        <v>0</v>
      </c>
      <c r="AI62" s="119">
        <v>0</v>
      </c>
      <c r="AJ62" s="119">
        <v>0</v>
      </c>
      <c r="AK62" s="119">
        <v>0</v>
      </c>
      <c r="AL62" s="120">
        <v>0</v>
      </c>
      <c r="AM62" s="119">
        <v>0</v>
      </c>
      <c r="AN62" s="119">
        <v>0</v>
      </c>
      <c r="AO62" s="119">
        <v>0</v>
      </c>
      <c r="AP62" s="119">
        <v>0</v>
      </c>
      <c r="AQ62" s="120">
        <v>0</v>
      </c>
      <c r="AR62" s="117"/>
      <c r="AS62" s="117"/>
      <c r="AT62" s="117"/>
      <c r="AU62" s="117"/>
      <c r="AV62" s="118"/>
      <c r="AW62" s="117">
        <v>20</v>
      </c>
      <c r="AX62" s="117">
        <v>20</v>
      </c>
      <c r="AY62" s="117">
        <v>20</v>
      </c>
      <c r="AZ62" s="117">
        <v>20</v>
      </c>
      <c r="BA62" s="118">
        <v>20</v>
      </c>
      <c r="BB62" s="126">
        <v>2500</v>
      </c>
      <c r="BC62" s="124">
        <v>2500</v>
      </c>
      <c r="BD62" s="124">
        <v>2500</v>
      </c>
      <c r="BE62" s="124">
        <v>2500</v>
      </c>
      <c r="BF62" s="125">
        <v>2500</v>
      </c>
      <c r="BG62" s="121">
        <v>3000</v>
      </c>
      <c r="BH62" s="121">
        <v>3000</v>
      </c>
      <c r="BI62" s="121">
        <v>3000</v>
      </c>
      <c r="BJ62" s="121">
        <v>3000</v>
      </c>
      <c r="BK62" s="122">
        <v>3000</v>
      </c>
      <c r="BL62" s="121">
        <v>150</v>
      </c>
      <c r="BM62" s="121">
        <v>150</v>
      </c>
      <c r="BN62" s="121">
        <v>150</v>
      </c>
      <c r="BO62" s="121">
        <v>150</v>
      </c>
      <c r="BP62" s="122">
        <v>150</v>
      </c>
      <c r="BQ62" s="123">
        <v>0</v>
      </c>
      <c r="BR62" s="121">
        <v>0</v>
      </c>
      <c r="BS62" s="121">
        <v>0</v>
      </c>
      <c r="BT62" s="121">
        <v>0</v>
      </c>
      <c r="BU62" s="122">
        <v>0</v>
      </c>
      <c r="BV62" s="161"/>
      <c r="BW62" s="240">
        <f t="shared" si="22"/>
        <v>250</v>
      </c>
      <c r="BX62" s="240">
        <f t="shared" si="23"/>
        <v>250</v>
      </c>
      <c r="BY62" s="240">
        <f t="shared" si="24"/>
        <v>250</v>
      </c>
      <c r="BZ62" s="240">
        <f t="shared" si="25"/>
        <v>250</v>
      </c>
      <c r="CA62" s="249">
        <f t="shared" si="26"/>
        <v>250</v>
      </c>
      <c r="CB62" s="240">
        <f t="shared" si="27"/>
        <v>300</v>
      </c>
      <c r="CC62" s="240">
        <f t="shared" si="28"/>
        <v>300</v>
      </c>
      <c r="CD62" s="240">
        <f t="shared" si="29"/>
        <v>300</v>
      </c>
      <c r="CE62" s="240">
        <f t="shared" si="30"/>
        <v>300</v>
      </c>
      <c r="CF62" s="249">
        <f t="shared" si="31"/>
        <v>300</v>
      </c>
      <c r="CG62" s="240">
        <f t="shared" si="32"/>
        <v>15</v>
      </c>
      <c r="CH62" s="240">
        <f t="shared" si="33"/>
        <v>15</v>
      </c>
      <c r="CI62" s="240">
        <f t="shared" si="34"/>
        <v>15</v>
      </c>
      <c r="CJ62" s="240">
        <f t="shared" si="35"/>
        <v>15</v>
      </c>
      <c r="CK62" s="249">
        <f t="shared" si="36"/>
        <v>15</v>
      </c>
    </row>
    <row r="63" spans="1:89" x14ac:dyDescent="0.25">
      <c r="A63" s="148" t="s">
        <v>316</v>
      </c>
      <c r="B63" s="149" t="s">
        <v>6</v>
      </c>
      <c r="C63" s="150"/>
      <c r="D63" s="151">
        <v>0</v>
      </c>
      <c r="E63" s="152">
        <v>0</v>
      </c>
      <c r="F63" s="152">
        <v>0</v>
      </c>
      <c r="G63" s="152">
        <v>0</v>
      </c>
      <c r="H63" s="153">
        <v>0</v>
      </c>
      <c r="I63" s="152"/>
      <c r="J63" s="152"/>
      <c r="K63" s="152"/>
      <c r="L63" s="152"/>
      <c r="M63" s="153"/>
      <c r="N63" s="152">
        <v>0</v>
      </c>
      <c r="O63" s="152">
        <v>0</v>
      </c>
      <c r="P63" s="152">
        <v>0</v>
      </c>
      <c r="Q63" s="152">
        <v>0</v>
      </c>
      <c r="R63" s="153">
        <v>0</v>
      </c>
      <c r="S63" s="152"/>
      <c r="T63" s="152"/>
      <c r="U63" s="152"/>
      <c r="V63" s="152"/>
      <c r="W63" s="153"/>
      <c r="X63" s="152">
        <v>0</v>
      </c>
      <c r="Y63" s="152">
        <v>0</v>
      </c>
      <c r="Z63" s="152">
        <v>0</v>
      </c>
      <c r="AA63" s="152">
        <v>0</v>
      </c>
      <c r="AB63" s="153">
        <v>0</v>
      </c>
      <c r="AC63" s="207">
        <v>0</v>
      </c>
      <c r="AD63" s="207">
        <v>0</v>
      </c>
      <c r="AE63" s="207">
        <v>0</v>
      </c>
      <c r="AF63" s="207">
        <v>0</v>
      </c>
      <c r="AG63" s="208">
        <v>0</v>
      </c>
      <c r="AH63" s="154">
        <v>0</v>
      </c>
      <c r="AI63" s="154">
        <v>0</v>
      </c>
      <c r="AJ63" s="154">
        <v>0</v>
      </c>
      <c r="AK63" s="154">
        <v>0</v>
      </c>
      <c r="AL63" s="155">
        <v>0</v>
      </c>
      <c r="AM63" s="154">
        <v>0</v>
      </c>
      <c r="AN63" s="154">
        <v>0</v>
      </c>
      <c r="AO63" s="154">
        <v>0</v>
      </c>
      <c r="AP63" s="154">
        <v>0</v>
      </c>
      <c r="AQ63" s="155">
        <v>0</v>
      </c>
      <c r="AR63" s="152"/>
      <c r="AS63" s="152"/>
      <c r="AT63" s="152"/>
      <c r="AU63" s="152"/>
      <c r="AV63" s="153"/>
      <c r="AW63" s="152">
        <v>0</v>
      </c>
      <c r="AX63" s="152">
        <v>0</v>
      </c>
      <c r="AY63" s="152">
        <v>0</v>
      </c>
      <c r="AZ63" s="152">
        <v>0</v>
      </c>
      <c r="BA63" s="153">
        <v>0</v>
      </c>
      <c r="BB63" s="151">
        <v>0</v>
      </c>
      <c r="BC63" s="152">
        <v>0</v>
      </c>
      <c r="BD63" s="152">
        <v>0</v>
      </c>
      <c r="BE63" s="152">
        <v>0</v>
      </c>
      <c r="BF63" s="153">
        <v>0</v>
      </c>
      <c r="BG63" s="152">
        <v>0</v>
      </c>
      <c r="BH63" s="152">
        <v>0</v>
      </c>
      <c r="BI63" s="152">
        <v>0</v>
      </c>
      <c r="BJ63" s="152">
        <v>0</v>
      </c>
      <c r="BK63" s="153">
        <v>0</v>
      </c>
      <c r="BL63" s="152">
        <v>0</v>
      </c>
      <c r="BM63" s="152">
        <v>0</v>
      </c>
      <c r="BN63" s="152">
        <v>0</v>
      </c>
      <c r="BO63" s="152">
        <v>0</v>
      </c>
      <c r="BP63" s="153">
        <v>0</v>
      </c>
      <c r="BQ63" s="151">
        <v>0</v>
      </c>
      <c r="BR63" s="152">
        <v>0</v>
      </c>
      <c r="BS63" s="152">
        <v>0</v>
      </c>
      <c r="BT63" s="152">
        <v>0</v>
      </c>
      <c r="BU63" s="153">
        <v>0</v>
      </c>
      <c r="BV63" s="170" t="s">
        <v>48</v>
      </c>
      <c r="BW63" s="258" t="str">
        <f t="shared" si="22"/>
        <v/>
      </c>
      <c r="BX63" s="258" t="str">
        <f t="shared" si="23"/>
        <v/>
      </c>
      <c r="BY63" s="258" t="str">
        <f t="shared" si="24"/>
        <v/>
      </c>
      <c r="BZ63" s="258" t="str">
        <f t="shared" si="25"/>
        <v/>
      </c>
      <c r="CA63" s="259" t="str">
        <f t="shared" si="26"/>
        <v/>
      </c>
      <c r="CB63" s="258" t="str">
        <f t="shared" si="27"/>
        <v/>
      </c>
      <c r="CC63" s="258" t="str">
        <f t="shared" si="28"/>
        <v/>
      </c>
      <c r="CD63" s="258" t="str">
        <f t="shared" si="29"/>
        <v/>
      </c>
      <c r="CE63" s="258" t="str">
        <f t="shared" si="30"/>
        <v/>
      </c>
      <c r="CF63" s="259" t="str">
        <f t="shared" si="31"/>
        <v/>
      </c>
      <c r="CG63" s="258" t="str">
        <f t="shared" si="32"/>
        <v/>
      </c>
      <c r="CH63" s="258" t="str">
        <f t="shared" si="33"/>
        <v/>
      </c>
      <c r="CI63" s="258" t="str">
        <f t="shared" si="34"/>
        <v/>
      </c>
      <c r="CJ63" s="258" t="str">
        <f t="shared" si="35"/>
        <v/>
      </c>
      <c r="CK63" s="259" t="str">
        <f t="shared" si="36"/>
        <v/>
      </c>
    </row>
    <row r="64" spans="1:89" s="21" customFormat="1" x14ac:dyDescent="0.25"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1"/>
      <c r="BB64" s="171"/>
      <c r="BC64" s="171"/>
      <c r="BD64" s="171"/>
      <c r="BE64" s="171"/>
      <c r="BF64" s="171"/>
      <c r="BG64" s="171"/>
      <c r="BH64" s="171"/>
      <c r="BI64" s="171"/>
      <c r="BJ64" s="171"/>
      <c r="BK64" s="171"/>
      <c r="BL64" s="171"/>
      <c r="BM64" s="171"/>
      <c r="BN64" s="171"/>
      <c r="BO64" s="171"/>
      <c r="BP64" s="171"/>
      <c r="BQ64" s="171"/>
      <c r="BR64" s="171"/>
      <c r="BS64" s="171"/>
      <c r="BT64" s="171"/>
      <c r="BU64" s="171"/>
      <c r="BV64" s="171"/>
      <c r="BW64" s="171"/>
      <c r="BX64" s="171"/>
      <c r="BY64" s="171"/>
      <c r="BZ64" s="171"/>
      <c r="CA64" s="171"/>
      <c r="CB64" s="171"/>
      <c r="CC64" s="171"/>
      <c r="CD64" s="171"/>
      <c r="CE64" s="171"/>
      <c r="CF64" s="171"/>
      <c r="CG64" s="171"/>
      <c r="CH64" s="171"/>
      <c r="CI64" s="171"/>
      <c r="CJ64" s="171"/>
      <c r="CK64" s="171"/>
    </row>
    <row r="65" spans="4:91" s="21" customFormat="1" x14ac:dyDescent="0.25"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</row>
    <row r="66" spans="4:91" s="21" customFormat="1" x14ac:dyDescent="0.25"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1"/>
      <c r="AW66" s="171"/>
      <c r="AX66" s="171"/>
      <c r="AY66" s="171"/>
      <c r="AZ66" s="171"/>
      <c r="BA66" s="171"/>
      <c r="BB66" s="171"/>
      <c r="BC66" s="171"/>
      <c r="BD66" s="171"/>
      <c r="BE66" s="171"/>
      <c r="BF66" s="171"/>
      <c r="BG66" s="171"/>
      <c r="BH66" s="171"/>
      <c r="BI66" s="171"/>
      <c r="BJ66" s="171"/>
      <c r="BK66" s="171"/>
      <c r="BL66" s="171"/>
      <c r="BM66" s="171"/>
      <c r="BN66" s="171"/>
      <c r="BO66" s="171"/>
      <c r="BP66" s="171"/>
      <c r="BQ66" s="171"/>
      <c r="BR66" s="171"/>
      <c r="BS66" s="171"/>
      <c r="BT66" s="171"/>
      <c r="BU66" s="171"/>
      <c r="BV66" s="171"/>
      <c r="BW66" s="171"/>
      <c r="BX66" s="171"/>
      <c r="BY66" s="171"/>
      <c r="BZ66" s="171"/>
      <c r="CA66" s="171"/>
      <c r="CB66" s="171"/>
      <c r="CC66" s="171"/>
      <c r="CD66" s="171"/>
      <c r="CE66" s="171"/>
      <c r="CF66" s="171"/>
      <c r="CG66" s="171"/>
      <c r="CH66" s="171"/>
      <c r="CI66" s="171"/>
      <c r="CJ66" s="171"/>
      <c r="CK66" s="171"/>
    </row>
    <row r="67" spans="4:91" s="21" customFormat="1" x14ac:dyDescent="0.25"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171"/>
      <c r="AX67" s="171"/>
      <c r="AY67" s="171"/>
      <c r="AZ67" s="171"/>
      <c r="BA67" s="171"/>
      <c r="BB67" s="171"/>
      <c r="BC67" s="171"/>
      <c r="BD67" s="171"/>
      <c r="BE67" s="171"/>
      <c r="BF67" s="171"/>
      <c r="BG67" s="171"/>
      <c r="BH67" s="171"/>
      <c r="BI67" s="171"/>
      <c r="BJ67" s="171"/>
      <c r="BK67" s="171"/>
      <c r="BL67" s="171"/>
      <c r="BM67" s="171"/>
      <c r="BN67" s="171"/>
      <c r="BO67" s="171"/>
      <c r="BP67" s="171"/>
      <c r="BQ67" s="171"/>
      <c r="BR67" s="171"/>
      <c r="BS67" s="171"/>
      <c r="BT67" s="171"/>
      <c r="BU67" s="171"/>
      <c r="BV67" s="171"/>
      <c r="BW67" s="171"/>
      <c r="BX67" s="171"/>
      <c r="BY67" s="171"/>
      <c r="BZ67" s="171"/>
      <c r="CA67" s="171"/>
      <c r="CB67" s="171"/>
      <c r="CC67" s="171"/>
      <c r="CD67" s="171"/>
      <c r="CE67" s="171"/>
      <c r="CF67" s="171"/>
      <c r="CG67" s="171"/>
      <c r="CH67" s="171"/>
      <c r="CI67" s="171"/>
      <c r="CJ67" s="171"/>
      <c r="CK67" s="171"/>
    </row>
    <row r="68" spans="4:91" s="21" customFormat="1" x14ac:dyDescent="0.25"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71"/>
      <c r="BN68" s="171"/>
      <c r="BO68" s="171"/>
      <c r="BP68" s="171"/>
      <c r="BQ68" s="171"/>
      <c r="BR68" s="171"/>
      <c r="BS68" s="171"/>
      <c r="BT68" s="171"/>
      <c r="BU68" s="171"/>
      <c r="BV68" s="171"/>
      <c r="BW68" s="171"/>
      <c r="BX68" s="171"/>
      <c r="BY68" s="171"/>
      <c r="BZ68" s="171"/>
      <c r="CA68" s="171"/>
      <c r="CB68" s="171"/>
      <c r="CC68" s="171"/>
      <c r="CD68" s="171"/>
      <c r="CE68" s="171"/>
      <c r="CF68" s="171"/>
      <c r="CG68" s="171"/>
      <c r="CH68" s="171"/>
      <c r="CI68" s="171"/>
      <c r="CJ68" s="171"/>
      <c r="CK68" s="171"/>
    </row>
    <row r="69" spans="4:91" s="21" customFormat="1" x14ac:dyDescent="0.25"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71"/>
      <c r="AX69" s="171"/>
      <c r="AY69" s="171"/>
      <c r="AZ69" s="171"/>
      <c r="BA69" s="171"/>
      <c r="BB69" s="171"/>
      <c r="BC69" s="171"/>
      <c r="BD69" s="171"/>
      <c r="BE69" s="171"/>
      <c r="BF69" s="171"/>
      <c r="BG69" s="171"/>
      <c r="BH69" s="171"/>
      <c r="BI69" s="171"/>
      <c r="BJ69" s="171"/>
      <c r="BK69" s="171"/>
      <c r="BL69" s="171"/>
      <c r="BM69" s="171"/>
      <c r="BN69" s="171"/>
      <c r="BO69" s="171"/>
      <c r="BP69" s="171"/>
      <c r="BQ69" s="171"/>
      <c r="BR69" s="171"/>
      <c r="BS69" s="171"/>
      <c r="BT69" s="171"/>
      <c r="BU69" s="171"/>
      <c r="BV69" s="171"/>
      <c r="BW69" s="171"/>
      <c r="BX69" s="171"/>
      <c r="BY69" s="171"/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M69" s="21">
        <v>0.3</v>
      </c>
    </row>
    <row r="70" spans="4:91" s="21" customFormat="1" x14ac:dyDescent="0.25"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71"/>
      <c r="BC70" s="171"/>
      <c r="BD70" s="171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71"/>
      <c r="BP70" s="171"/>
      <c r="BQ70" s="17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2021-11-09T20:27:34Z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990418851375579</vt:r8>
  </property>
</Properties>
</file>