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90F55817-9AC9-43E3-BA1F-7A7069DB5EB9}" xr6:coauthVersionLast="47" xr6:coauthVersionMax="47" xr10:uidLastSave="{00000000-0000-0000-0000-000000000000}"/>
  <bookViews>
    <workbookView xWindow="-120" yWindow="-120" windowWidth="29040" windowHeight="15840" firstSheet="4" activeTab="12" xr2:uid="{00000000-000D-0000-FFFF-FFFF00000000}"/>
  </bookViews>
  <sheets>
    <sheet name="Legend" sheetId="63" r:id="rId1"/>
    <sheet name="Regions" sheetId="74" r:id="rId2"/>
    <sheet name="EB_SRV" sheetId="75" r:id="rId3"/>
    <sheet name="Key Inputs" sheetId="61" r:id="rId4"/>
    <sheet name="Commodities" sheetId="29" r:id="rId5"/>
    <sheet name="Fuel Techs" sheetId="62" r:id="rId6"/>
    <sheet name="Building stock" sheetId="11" r:id="rId7"/>
    <sheet name="TH_Techs" sheetId="53" r:id="rId8"/>
    <sheet name="CK_Techs" sheetId="57" r:id="rId9"/>
    <sheet name="EAP_Techs" sheetId="79" r:id="rId10"/>
    <sheet name="PLIG_Techs" sheetId="80" r:id="rId11"/>
    <sheet name="DCE_Techs" sheetId="82" r:id="rId12"/>
    <sheet name="Emissions" sheetId="49" r:id="rId13"/>
    <sheet name="EB2018" sheetId="73" r:id="rId14"/>
    <sheet name="CSO data" sheetId="78" r:id="rId15"/>
    <sheet name="Public SEAI" sheetId="76" r:id="rId16"/>
  </sheets>
  <definedNames>
    <definedName name="__123Graph_AEUMILKPN" localSheetId="15" hidden="1">#REF!</definedName>
    <definedName name="__123Graph_AEUMILKPN" hidden="1">#REF!</definedName>
    <definedName name="_Order1" hidden="1">255</definedName>
    <definedName name="_Order2" hidden="1">255</definedName>
    <definedName name="_Regression_Y" localSheetId="15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62" l="1"/>
  <c r="D15" i="62"/>
  <c r="C32" i="29"/>
  <c r="D32" i="29"/>
  <c r="E32" i="29"/>
  <c r="C60" i="63"/>
  <c r="F22" i="29" l="1"/>
  <c r="J106" i="61"/>
  <c r="J105" i="61"/>
  <c r="J104" i="61"/>
  <c r="J103" i="61"/>
  <c r="G103" i="61"/>
  <c r="F9" i="62"/>
  <c r="F7" i="62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66" i="63"/>
  <c r="D22" i="62" s="1"/>
  <c r="K19" i="62" s="1"/>
  <c r="B22" i="62" s="1"/>
  <c r="J18" i="62"/>
  <c r="J17" i="62"/>
  <c r="C64" i="63"/>
  <c r="D20" i="62" s="1"/>
  <c r="K17" i="62" s="1"/>
  <c r="B20" i="62" s="1"/>
  <c r="M6" i="82"/>
  <c r="M6" i="80"/>
  <c r="M6" i="57"/>
  <c r="R43" i="53"/>
  <c r="R35" i="53"/>
  <c r="R26" i="53"/>
  <c r="R23" i="53"/>
  <c r="R15" i="53"/>
  <c r="R6" i="53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E6" i="49" l="1"/>
  <c r="D36" i="29"/>
  <c r="B28" i="11"/>
  <c r="E21" i="29"/>
  <c r="D21" i="29"/>
  <c r="E22" i="29"/>
  <c r="D22" i="29"/>
  <c r="E6" i="29"/>
  <c r="E5" i="29"/>
  <c r="D6" i="29"/>
  <c r="D5" i="29"/>
  <c r="O7" i="11"/>
  <c r="O6" i="11"/>
  <c r="L10" i="80" l="1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81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65" i="63"/>
  <c r="C63" i="63"/>
  <c r="C62" i="63"/>
  <c r="C61" i="63"/>
  <c r="C59" i="63"/>
  <c r="C58" i="63"/>
  <c r="C57" i="63"/>
  <c r="C56" i="63"/>
  <c r="C55" i="63"/>
  <c r="C54" i="63"/>
  <c r="D26" i="29" s="1"/>
  <c r="C53" i="63"/>
  <c r="C52" i="63"/>
  <c r="C51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17" i="62"/>
  <c r="K14" i="62" s="1"/>
  <c r="B17" i="62" s="1"/>
  <c r="D33" i="29"/>
  <c r="D18" i="62"/>
  <c r="K15" i="62" s="1"/>
  <c r="B18" i="62" s="1"/>
  <c r="D34" i="29"/>
  <c r="D7" i="62"/>
  <c r="K7" i="62" s="1"/>
  <c r="B7" i="62" s="1"/>
  <c r="D25" i="29"/>
  <c r="D19" i="62"/>
  <c r="K16" i="62" s="1"/>
  <c r="B19" i="62" s="1"/>
  <c r="D35" i="29"/>
  <c r="D11" i="62"/>
  <c r="K9" i="62" s="1"/>
  <c r="B11" i="62" s="1"/>
  <c r="D27" i="29"/>
  <c r="D21" i="62"/>
  <c r="K18" i="62" s="1"/>
  <c r="B21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N14" i="57"/>
  <c r="P7" i="79"/>
  <c r="N7" i="79"/>
  <c r="P10" i="79"/>
  <c r="Q10" i="79"/>
  <c r="N10" i="79"/>
  <c r="M7" i="57"/>
  <c r="E7" i="57"/>
  <c r="P8" i="79"/>
  <c r="N8" i="79"/>
  <c r="M15" i="57"/>
  <c r="M9" i="57"/>
  <c r="P11" i="79"/>
  <c r="N11" i="79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B7" i="79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B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B11" i="79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3" i="57" l="1"/>
  <c r="N10" i="57"/>
  <c r="B10" i="57" s="1"/>
  <c r="B9" i="57"/>
  <c r="N15" i="57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B14" i="57"/>
  <c r="B15" i="57"/>
  <c r="E9" i="57"/>
  <c r="B13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R32" i="53"/>
  <c r="S32" i="53"/>
  <c r="R10" i="53"/>
  <c r="S10" i="53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B32" i="53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B12" i="53"/>
  <c r="W10" i="53"/>
  <c r="Q10" i="53"/>
  <c r="K10" i="53"/>
  <c r="T10" i="53"/>
  <c r="C10" i="53" s="1"/>
  <c r="B10" i="53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G86" i="75"/>
  <c r="K35" i="61"/>
  <c r="L13" i="53"/>
  <c r="J55" i="61"/>
  <c r="K55" i="61" s="1"/>
  <c r="L33" i="53"/>
  <c r="F97" i="61"/>
  <c r="K80" i="61"/>
  <c r="F84" i="61"/>
  <c r="G96" i="61"/>
  <c r="G11" i="79" s="1"/>
  <c r="F8" i="79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F7" i="57"/>
  <c r="K45" i="61"/>
  <c r="K48" i="61"/>
  <c r="K57" i="61"/>
  <c r="K29" i="61"/>
  <c r="J37" i="61"/>
  <c r="J69" i="61" s="1"/>
  <c r="L8" i="73"/>
  <c r="AQ8" i="73" s="1"/>
  <c r="L72" i="73"/>
  <c r="AQ72" i="73" s="1"/>
  <c r="E33" i="61"/>
  <c r="L85" i="61" l="1"/>
  <c r="F17" i="57"/>
  <c r="AD7" i="57"/>
  <c r="E53" i="61"/>
  <c r="AE31" i="53" s="1"/>
  <c r="AE11" i="53"/>
  <c r="K37" i="61"/>
  <c r="K69" i="61" s="1"/>
  <c r="D41" i="61"/>
  <c r="D40" i="61"/>
  <c r="D31" i="61"/>
  <c r="AC7" i="57" l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B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R45" i="53"/>
  <c r="S45" i="53"/>
  <c r="F44" i="53"/>
  <c r="G45" i="53"/>
  <c r="F45" i="53"/>
  <c r="J45" i="53"/>
  <c r="I45" i="53"/>
  <c r="H45" i="53"/>
  <c r="V45" i="53"/>
  <c r="B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B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B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B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F7" i="53"/>
  <c r="R27" i="53"/>
  <c r="S27" i="53"/>
  <c r="R21" i="53"/>
  <c r="S21" i="53"/>
  <c r="R20" i="53"/>
  <c r="S20" i="53"/>
  <c r="R16" i="53"/>
  <c r="S16" i="53"/>
  <c r="R11" i="53"/>
  <c r="S11" i="53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B7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B11" i="53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Disclaimer:</t>
        </r>
        <r>
          <rPr>
            <sz val="9"/>
            <color indexed="81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  <comment ref="B71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2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3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74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<sst xmlns="http://schemas.openxmlformats.org/spreadsheetml/2006/main" count="1346" uniqueCount="609">
  <si>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</si>
  <si>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</si>
  <si>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</si>
  <si>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</si>
  <si>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</si>
  <si>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</si>
  <si>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</si>
  <si>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</si>
  <si>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</si>
  <si>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</si>
  <si>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</si>
  <si>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</si>
  <si>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</si>
  <si>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</si>
  <si>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</si>
  <si>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</si>
  <si>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</si>
  <si>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</si>
  <si>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</si>
  <si>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</si>
  <si>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</si>
  <si>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</si>
  <si>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</si>
  <si>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</si>
  <si>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</si>
  <si>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</si>
  <si>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</si>
  <si>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</si>
  <si>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</si>
  <si>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</si>
  <si>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</si>
  <si>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</si>
  <si>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</si>
  <si>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</si>
  <si>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</si>
  <si>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</si>
  <si>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</si>
  <si>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</si>
  <si>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</si>
  <si>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</si>
  <si>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</si>
  <si>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</si>
  <si>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</si>
  <si>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</si>
  <si>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</si>
  <si>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</si>
  <si>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</si>
  <si>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</si>
  <si>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</si>
  <si>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</si>
  <si>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</si>
  <si>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</si>
  <si>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</si>
  <si>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</si>
  <si>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</si>
  <si>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</si>
  <si>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</si>
  <si>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</si>
  <si>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</si>
  <si>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</si>
  <si>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</si>
  <si>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</si>
  <si>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</si>
  <si>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</si>
  <si>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</si>
  <si>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</si>
  <si>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</si>
  <si>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</si>
  <si>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</si>
  <si>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</si>
  <si>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</si>
  <si>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</si>
  <si>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</si>
  <si>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</si>
  <si>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</si>
  <si>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 xml:space="preserve">Base Year Template </t>
  </si>
  <si>
    <t>Sector:</t>
  </si>
  <si>
    <t>Base-year</t>
  </si>
  <si>
    <t>Developer: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</si>
  <si>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</si>
  <si>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</si>
  <si>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</si>
  <si>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</si>
  <si>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</si>
  <si>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</si>
  <si>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</si>
  <si>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</si>
  <si>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</si>
  <si>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</si>
  <si>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</si>
  <si>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</si>
  <si>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Table of contents</t>
  </si>
  <si>
    <t>Sheet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</si>
  <si>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</si>
  <si>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</si>
  <si>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</si>
  <si>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</si>
  <si>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</si>
  <si>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</si>
  <si>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</si>
  <si>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</si>
  <si>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</si>
  <si>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Version date: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</si>
  <si>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</si>
  <si>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</si>
  <si>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</si>
  <si>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</si>
  <si>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</si>
  <si>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</si>
  <si>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</si>
  <si>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</si>
  <si>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</si>
  <si>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</si>
  <si>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</si>
  <si>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</si>
  <si>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</si>
  <si>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</si>
  <si>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</si>
  <si>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</si>
  <si>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</si>
  <si>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</si>
  <si>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</si>
  <si>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</si>
  <si>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</si>
  <si>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</si>
  <si>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</si>
  <si>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</si>
  <si>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</si>
  <si>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</si>
  <si>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</si>
  <si>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</si>
  <si>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</si>
  <si>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</si>
  <si>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</si>
  <si>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</si>
  <si>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</si>
  <si>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</si>
  <si>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</si>
  <si>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</si>
  <si>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</si>
  <si>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</si>
  <si>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</si>
  <si>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</si>
  <si>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</si>
  <si>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</si>
  <si>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</si>
  <si>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</si>
  <si>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</si>
  <si>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</si>
  <si>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</si>
  <si>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</si>
  <si>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</si>
  <si>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</si>
  <si>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</si>
  <si>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</si>
  <si>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</si>
  <si>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</si>
  <si>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</si>
  <si>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</si>
  <si>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</si>
  <si>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</si>
  <si>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</si>
  <si>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</si>
  <si>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</si>
  <si>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</si>
  <si>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</si>
  <si>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</si>
  <si>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</si>
  <si>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</si>
  <si>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</si>
  <si>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</si>
  <si>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</si>
  <si>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</si>
  <si>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</si>
  <si>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</si>
  <si>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</si>
  <si>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</si>
  <si>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</si>
  <si>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</si>
  <si>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</si>
  <si>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</si>
  <si>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</si>
  <si>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</si>
  <si>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</si>
  <si>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</si>
  <si>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</si>
  <si>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</si>
  <si>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</si>
  <si>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</si>
  <si>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</si>
  <si>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</si>
  <si>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</si>
  <si>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</si>
  <si>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</si>
  <si>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>TIMES-Ireland Model (TIM)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</si>
  <si>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</si>
  <si>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</si>
  <si>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</si>
  <si>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</si>
  <si>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</si>
  <si>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</si>
  <si>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</si>
  <si>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</si>
  <si>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</si>
  <si>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</si>
  <si>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</si>
  <si>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</si>
  <si>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</si>
  <si>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</si>
  <si>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</si>
  <si>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</si>
  <si>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</si>
  <si>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</si>
  <si>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</si>
  <si>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</si>
  <si>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</si>
  <si>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</si>
  <si>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</si>
  <si>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</si>
  <si>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</si>
  <si>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</si>
  <si>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</si>
  <si>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</si>
  <si>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</si>
  <si>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</si>
  <si>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</si>
  <si>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</si>
  <si>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</si>
  <si>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</si>
  <si>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</si>
  <si>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</si>
  <si>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</si>
  <si>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</si>
  <si>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</si>
  <si>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</si>
  <si>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</si>
  <si>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</si>
  <si>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</si>
  <si>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</si>
  <si>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</si>
  <si>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</si>
  <si>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</si>
  <si>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</si>
  <si>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</si>
  <si>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</si>
  <si>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</si>
  <si>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</si>
  <si>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</si>
  <si>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</si>
  <si>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</si>
  <si>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</si>
  <si>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</si>
  <si>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</si>
  <si>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</si>
  <si>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</si>
  <si>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</si>
  <si>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</si>
  <si>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</si>
  <si>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</si>
  <si>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</si>
  <si>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</si>
  <si>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</si>
  <si>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</si>
  <si>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</si>
  <si>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</si>
  <si>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</si>
  <si>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</si>
  <si>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</si>
  <si>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</si>
  <si>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</si>
  <si>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</si>
  <si>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</si>
  <si>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</si>
  <si>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</si>
  <si>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</si>
  <si>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</si>
  <si>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</si>
  <si>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</si>
  <si>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</si>
  <si>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</si>
  <si>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</si>
  <si>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</si>
  <si>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</si>
  <si>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</si>
  <si>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</si>
  <si>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</si>
  <si>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</si>
  <si>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</si>
  <si>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</si>
  <si>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</si>
  <si>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</si>
  <si>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</si>
  <si>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</si>
  <si>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</si>
  <si>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</si>
  <si>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</si>
  <si>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</si>
  <si>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</si>
  <si>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</si>
  <si>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</si>
  <si>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</si>
  <si>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</si>
  <si>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</si>
  <si>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</si>
  <si>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</si>
  <si>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</si>
  <si>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</si>
  <si>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</si>
  <si>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</si>
  <si>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</si>
  <si>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</si>
  <si>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</si>
  <si>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</si>
  <si>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</si>
  <si>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</si>
  <si>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</si>
  <si>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</si>
  <si>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</si>
  <si>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</si>
  <si>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</si>
  <si>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</si>
  <si>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</si>
  <si>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</si>
  <si>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</si>
  <si>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</si>
  <si>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</si>
  <si>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</si>
  <si>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</si>
  <si>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</si>
  <si>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</si>
  <si>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</si>
  <si>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</si>
  <si>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</si>
  <si>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</si>
  <si>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</si>
  <si>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</si>
  <si>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</si>
  <si>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</si>
  <si>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</si>
  <si>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</si>
  <si>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</si>
  <si>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</si>
  <si>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</si>
  <si>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</si>
  <si>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</si>
  <si>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</si>
  <si>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</si>
  <si>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</si>
  <si>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</si>
  <si>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</si>
  <si>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</si>
  <si>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</si>
  <si>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</si>
  <si>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</si>
  <si>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</si>
  <si>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</si>
  <si>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</si>
  <si>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</si>
  <si>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</si>
  <si>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</si>
  <si>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</si>
  <si>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</si>
  <si>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</si>
  <si>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</si>
  <si>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</si>
  <si>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</si>
  <si>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</si>
  <si>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</si>
  <si>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</si>
  <si>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</si>
  <si>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</si>
  <si>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</si>
  <si>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</si>
  <si>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</si>
  <si>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</si>
  <si>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</si>
  <si>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</si>
  <si>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</si>
  <si>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</si>
  <si>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</si>
  <si>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</si>
  <si>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</si>
  <si>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</si>
  <si>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</si>
  <si>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</si>
  <si>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</si>
  <si>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</si>
  <si>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</si>
  <si>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</si>
  <si>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</si>
  <si>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</si>
  <si>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</si>
  <si>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</si>
  <si>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</si>
  <si>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</si>
  <si>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</si>
  <si>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</si>
  <si>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</si>
  <si>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</si>
  <si>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</si>
  <si>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</si>
  <si>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</si>
  <si>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</si>
  <si>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</si>
  <si>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</si>
  <si>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</si>
  <si>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</si>
  <si>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</si>
  <si>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</si>
  <si>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</si>
  <si>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</si>
  <si>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</si>
  <si>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</si>
  <si>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</si>
  <si>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</si>
  <si>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</si>
  <si>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</si>
  <si>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</si>
  <si>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</si>
  <si>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</si>
  <si>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</si>
  <si>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</si>
  <si>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</si>
  <si>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</si>
  <si>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</si>
  <si>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</si>
  <si>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</si>
  <si>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</si>
  <si>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</si>
  <si>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</si>
  <si>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</si>
  <si>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</si>
  <si>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</si>
  <si>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</si>
  <si>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</si>
  <si>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</si>
  <si>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</si>
  <si>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</si>
  <si>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</si>
  <si>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</si>
  <si>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</si>
  <si>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</si>
  <si>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</si>
  <si>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</si>
  <si>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</si>
  <si>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</si>
  <si>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</si>
  <si>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</si>
  <si>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</si>
  <si>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</si>
  <si>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</si>
  <si>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</si>
  <si>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</si>
  <si>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</si>
  <si>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</si>
  <si>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</si>
  <si>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</si>
  <si>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</si>
  <si>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</si>
  <si>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</si>
  <si>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</si>
  <si>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</si>
  <si>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</si>
  <si>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</si>
  <si>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</si>
  <si>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</si>
  <si>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</si>
  <si>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</si>
  <si>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</si>
  <si>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</si>
  <si>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</si>
  <si>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</si>
  <si>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</si>
  <si>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</si>
  <si>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</si>
  <si>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</si>
  <si>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</si>
  <si>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</si>
  <si>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</si>
  <si>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</si>
  <si>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</si>
  <si>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</si>
  <si>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</si>
  <si>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</si>
  <si>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</si>
  <si>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</si>
  <si>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</si>
  <si>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</si>
  <si>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</si>
  <si>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</si>
  <si>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</si>
  <si>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</si>
  <si>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</si>
  <si>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</si>
  <si>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</si>
  <si>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</si>
  <si>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</si>
  <si>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</si>
  <si>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</si>
  <si>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</si>
  <si>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</si>
  <si>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</si>
  <si>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</si>
  <si>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</si>
  <si>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</si>
  <si>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</si>
  <si>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</si>
  <si>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</si>
  <si>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</si>
  <si>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</si>
  <si>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</si>
  <si>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</si>
  <si>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</si>
  <si>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</si>
  <si>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</si>
  <si>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</si>
  <si>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</si>
  <si>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</si>
  <si>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</si>
  <si>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</si>
  <si>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</si>
  <si>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</si>
  <si>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</si>
  <si>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</si>
  <si>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</si>
  <si>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</si>
  <si>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</si>
  <si>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</si>
  <si>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</si>
  <si>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</si>
  <si>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</si>
  <si>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</si>
  <si>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</si>
  <si>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</si>
  <si>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</si>
  <si>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</si>
  <si>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</si>
  <si>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</si>
  <si>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</si>
  <si>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</si>
  <si>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</si>
  <si>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</si>
  <si>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</si>
  <si>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</si>
  <si>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</si>
  <si>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</si>
  <si>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</si>
  <si>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</si>
  <si>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</si>
  <si>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</si>
  <si>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</si>
  <si>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</si>
  <si>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</si>
  <si>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</si>
  <si>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</si>
  <si>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</si>
  <si>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</si>
  <si>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</si>
  <si>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</si>
  <si>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</si>
  <si>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</si>
  <si>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</si>
  <si>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</si>
  <si>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</si>
  <si>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</si>
  <si>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</si>
  <si>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</si>
  <si>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</si>
  <si>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</si>
  <si>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</si>
  <si>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</si>
  <si>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</si>
  <si>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</si>
  <si>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</si>
  <si>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</si>
  <si>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</si>
  <si>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</si>
  <si>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</si>
  <si>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</si>
  <si>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</si>
  <si>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</si>
  <si>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</si>
  <si>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</si>
  <si>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</si>
  <si>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</si>
  <si>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</si>
  <si>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</si>
  <si>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</si>
  <si>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</si>
  <si>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</si>
  <si>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</si>
  <si>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</si>
  <si>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[to be completed]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</si>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</sst>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6" formatCode="0.0"/>
    <numFmt numFmtId="169" formatCode="\Te\x\t"/>
    <numFmt numFmtId="170" formatCode="0.000"/>
    <numFmt numFmtId="171" formatCode="0.0%"/>
    <numFmt numFmtId="197" formatCode="dd/mm/yyyy;@"/>
  </numFmts>
  <fonts count="7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 style="medium">
        <color theme="0"/>
      </top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</cellStyleXfs>
  <cellXfs count="740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27" fillId="0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6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9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70" fontId="19" fillId="0" borderId="0" xfId="0" applyNumberFormat="1" applyFont="1" applyAlignment="1">
      <alignment horizontal="left" vertical="center"/>
    </xf>
    <xf numFmtId="169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9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5" fillId="35" borderId="0" xfId="0" applyFont="1" applyFill="1" applyBorder="1" applyAlignment="1">
      <alignment vertical="center"/>
    </xf>
    <xf numFmtId="14" fontId="0" fillId="0" borderId="0" xfId="0" applyNumberFormat="1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6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6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71" fontId="45" fillId="0" borderId="0" xfId="0" applyNumberFormat="1" applyFont="1" applyFill="1" applyBorder="1" applyAlignment="1">
      <alignment horizontal="center"/>
    </xf>
    <xf numFmtId="197" fontId="45" fillId="0" borderId="0" xfId="0" applyNumberFormat="1" applyFont="1" applyAlignment="1">
      <alignment horizontal="left"/>
    </xf>
    <xf numFmtId="197" fontId="34" fillId="42" borderId="0" xfId="0" applyNumberFormat="1" applyFont="1" applyFill="1" applyAlignment="1">
      <alignment horizontal="left"/>
    </xf>
    <xf numFmtId="197" fontId="45" fillId="34" borderId="0" xfId="0" applyNumberFormat="1" applyFont="1" applyFill="1" applyAlignment="1">
      <alignment horizontal="left"/>
    </xf>
    <xf numFmtId="197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97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71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71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71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71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6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6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6" fontId="16" fillId="0" borderId="0" xfId="0" applyNumberFormat="1" applyFont="1" applyAlignment="1">
      <alignment horizontal="left" vertical="center"/>
    </xf>
    <xf numFmtId="166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71" fontId="14" fillId="44" borderId="0" xfId="0" applyNumberFormat="1" applyFont="1" applyFill="1" applyAlignment="1">
      <alignment horizontal="left" vertical="center"/>
    </xf>
    <xf numFmtId="171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6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71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6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6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6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6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6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70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70" fontId="0" fillId="0" borderId="0" xfId="0" applyNumberFormat="1" applyFill="1" applyAlignment="1">
      <alignment horizontal="left" vertical="center"/>
    </xf>
    <xf numFmtId="170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6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70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4" fillId="0" borderId="173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</cellXfs>
  <cellStyles count="127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57149</xdr:rowOff>
    </xdr:from>
    <xdr:to>
      <xdr:col>2</xdr:col>
      <xdr:colOff>738187</xdr:colOff>
      <xdr:row>6</xdr:row>
      <xdr:rowOff>180574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931" y="1116805"/>
          <a:ext cx="1943100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1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81"/>
  <sheetViews>
    <sheetView showGridLines="0" topLeftCell="A52" zoomScaleNormal="100" workbookViewId="0">
      <selection activeCell="C61" sqref="C61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7" ht="23.25">
      <c r="A1" s="12" t="s">
        <v>194</v>
      </c>
      <c r="B1" s="6"/>
    </row>
    <row r="2" spans="1:7">
      <c r="A2" s="9" t="s">
        <v>74</v>
      </c>
      <c r="B2" s="10" t="s">
        <v>75</v>
      </c>
    </row>
    <row r="3" spans="1:7">
      <c r="A3" s="9" t="s">
        <v>101</v>
      </c>
      <c r="B3" s="7" t="s">
        <v>193</v>
      </c>
      <c r="C3" s="10" t="s">
        <v>192</v>
      </c>
    </row>
    <row r="4" spans="1:7">
      <c r="A4" s="9" t="s">
        <v>76</v>
      </c>
      <c r="B4" s="10" t="s">
        <v>56</v>
      </c>
      <c r="C4" s="7" t="s">
        <v>455</v>
      </c>
    </row>
    <row r="5" spans="1:7">
      <c r="A5" s="9" t="s">
        <v>77</v>
      </c>
      <c r="B5" s="11">
        <v>2018</v>
      </c>
    </row>
    <row r="6" spans="1:7">
      <c r="A6" s="9" t="s">
        <v>78</v>
      </c>
      <c r="B6" s="10"/>
    </row>
    <row r="7" spans="1:7" ht="15" customHeight="1">
      <c r="A7" s="5"/>
      <c r="B7" s="6"/>
    </row>
    <row r="8" spans="1:7" ht="15" customHeight="1">
      <c r="A8" s="93" t="s">
        <v>102</v>
      </c>
      <c r="B8" s="94">
        <v>44299</v>
      </c>
    </row>
    <row r="9" spans="1:7" ht="15" customHeight="1">
      <c r="A9" s="5"/>
      <c r="B9" s="6"/>
    </row>
    <row r="10" spans="1:7" ht="15" customHeight="1">
      <c r="A10" s="16" t="s">
        <v>91</v>
      </c>
    </row>
    <row r="11" spans="1:7" ht="15" customHeight="1" thickBot="1">
      <c r="A11" s="35" t="s">
        <v>92</v>
      </c>
      <c r="B11" s="35" t="s">
        <v>93</v>
      </c>
      <c r="C11" s="35"/>
      <c r="F11" s="8"/>
    </row>
    <row r="12" spans="1:7" ht="15" customHeight="1">
      <c r="A12" s="717" t="s">
        <v>592</v>
      </c>
      <c r="B12" s="717"/>
      <c r="C12" s="717"/>
    </row>
    <row r="13" spans="1:7" ht="15" customHeight="1">
      <c r="A13" s="718"/>
      <c r="B13" s="718"/>
      <c r="C13" s="718"/>
      <c r="G13" s="124"/>
    </row>
    <row r="14" spans="1:7" ht="15" customHeight="1">
      <c r="A14" s="718"/>
      <c r="B14" s="718"/>
      <c r="C14" s="718"/>
      <c r="G14" s="124"/>
    </row>
    <row r="15" spans="1:7" s="13" customFormat="1">
      <c r="A15" s="718"/>
      <c r="B15" s="718"/>
      <c r="C15" s="718"/>
    </row>
    <row r="16" spans="1:7" s="13" customFormat="1">
      <c r="A16" s="718"/>
      <c r="B16" s="718"/>
      <c r="C16" s="718"/>
    </row>
    <row r="17" spans="1:3" s="13" customFormat="1">
      <c r="A17" s="718"/>
      <c r="B17" s="718"/>
      <c r="C17" s="718"/>
    </row>
    <row r="18" spans="1:3" s="13" customFormat="1">
      <c r="A18" s="718"/>
      <c r="B18" s="718"/>
      <c r="C18" s="718"/>
    </row>
    <row r="19" spans="1:3" s="13" customFormat="1">
      <c r="A19" s="718"/>
      <c r="B19" s="718"/>
      <c r="C19" s="718"/>
    </row>
    <row r="20" spans="1:3" s="13" customFormat="1">
      <c r="A20" s="718"/>
      <c r="B20" s="718"/>
      <c r="C20" s="718"/>
    </row>
    <row r="21" spans="1:3" ht="15" customHeight="1">
      <c r="A21" s="719"/>
      <c r="B21" s="719"/>
      <c r="C21" s="719"/>
    </row>
    <row r="22" spans="1:3">
      <c r="A22" s="15"/>
      <c r="B22" s="13"/>
      <c r="C22" s="13"/>
    </row>
    <row r="23" spans="1:3" ht="18.75">
      <c r="A23" s="36" t="s">
        <v>103</v>
      </c>
      <c r="B23" s="37"/>
      <c r="C23" s="38"/>
    </row>
    <row r="24" spans="1:3">
      <c r="A24" s="703" t="s">
        <v>583</v>
      </c>
      <c r="B24" s="705" t="s">
        <v>584</v>
      </c>
      <c r="C24" s="706"/>
    </row>
    <row r="25" spans="1:3">
      <c r="A25" s="704" t="s">
        <v>583</v>
      </c>
      <c r="B25" s="705" t="s">
        <v>585</v>
      </c>
      <c r="C25" s="706"/>
    </row>
    <row r="26" spans="1:3">
      <c r="A26" s="697"/>
      <c r="B26" s="705" t="s">
        <v>586</v>
      </c>
      <c r="C26" s="706"/>
    </row>
    <row r="28" spans="1:3" ht="18.75">
      <c r="A28" s="36" t="s">
        <v>104</v>
      </c>
      <c r="B28" s="37"/>
      <c r="C28" s="38"/>
    </row>
    <row r="29" spans="1:3">
      <c r="A29" s="700"/>
      <c r="B29" s="39" t="s">
        <v>105</v>
      </c>
      <c r="C29" s="40"/>
    </row>
    <row r="30" spans="1:3">
      <c r="A30" s="702"/>
      <c r="B30" s="39" t="s">
        <v>581</v>
      </c>
      <c r="C30" s="40"/>
    </row>
    <row r="31" spans="1:3">
      <c r="A31" s="701"/>
      <c r="B31" s="39" t="s">
        <v>582</v>
      </c>
      <c r="C31" s="40"/>
    </row>
    <row r="33" spans="1:3" ht="21">
      <c r="A33" s="16" t="s">
        <v>34</v>
      </c>
    </row>
    <row r="34" spans="1:3">
      <c r="A34" s="699" t="s">
        <v>554</v>
      </c>
      <c r="B34" s="699" t="s">
        <v>555</v>
      </c>
      <c r="C34" s="699" t="s">
        <v>556</v>
      </c>
    </row>
    <row r="35" spans="1:3">
      <c r="A35" s="698" t="s">
        <v>552</v>
      </c>
      <c r="B35" s="558"/>
      <c r="C35" s="558"/>
    </row>
    <row r="36" spans="1:3">
      <c r="A36" s="13" t="s">
        <v>397</v>
      </c>
      <c r="B36" s="13"/>
      <c r="C36" s="13" t="s">
        <v>417</v>
      </c>
    </row>
    <row r="37" spans="1:3">
      <c r="A37" s="15" t="s">
        <v>398</v>
      </c>
      <c r="B37" s="15"/>
      <c r="C37" s="15" t="s">
        <v>43</v>
      </c>
    </row>
    <row r="38" spans="1:3">
      <c r="A38" s="19" t="s">
        <v>164</v>
      </c>
      <c r="B38" s="13"/>
      <c r="C38" s="13"/>
    </row>
    <row r="39" spans="1:3">
      <c r="A39" s="13" t="s">
        <v>36</v>
      </c>
      <c r="B39" s="13"/>
      <c r="C39" s="13" t="s">
        <v>37</v>
      </c>
    </row>
    <row r="40" spans="1:3">
      <c r="A40" s="13" t="s">
        <v>38</v>
      </c>
      <c r="B40" s="13"/>
      <c r="C40" s="13" t="s">
        <v>39</v>
      </c>
    </row>
    <row r="41" spans="1:3">
      <c r="A41" s="13" t="s">
        <v>166</v>
      </c>
      <c r="B41" s="13"/>
      <c r="C41" s="13" t="s">
        <v>35</v>
      </c>
    </row>
    <row r="42" spans="1:3">
      <c r="A42" s="19" t="s">
        <v>514</v>
      </c>
      <c r="B42" s="13"/>
      <c r="C42" s="13"/>
    </row>
    <row r="43" spans="1:3">
      <c r="A43" s="13" t="s">
        <v>399</v>
      </c>
      <c r="B43" s="13"/>
      <c r="C43" s="13" t="s">
        <v>409</v>
      </c>
    </row>
    <row r="44" spans="1:3">
      <c r="A44" s="13" t="s">
        <v>168</v>
      </c>
      <c r="B44" s="13"/>
      <c r="C44" s="13" t="s">
        <v>410</v>
      </c>
    </row>
    <row r="45" spans="1:3">
      <c r="A45" s="13" t="s">
        <v>411</v>
      </c>
      <c r="B45" s="13"/>
      <c r="C45" s="13" t="s">
        <v>412</v>
      </c>
    </row>
    <row r="46" spans="1:3">
      <c r="A46" s="13" t="s">
        <v>413</v>
      </c>
      <c r="B46" s="14"/>
      <c r="C46" s="13" t="s">
        <v>40</v>
      </c>
    </row>
    <row r="47" spans="1:3">
      <c r="A47" s="13" t="s">
        <v>456</v>
      </c>
      <c r="B47" s="14"/>
      <c r="C47" s="13" t="s">
        <v>457</v>
      </c>
    </row>
    <row r="48" spans="1:3">
      <c r="A48" s="13" t="s">
        <v>489</v>
      </c>
      <c r="B48" s="13"/>
      <c r="C48" s="13" t="s">
        <v>44</v>
      </c>
    </row>
    <row r="49" spans="1:3">
      <c r="A49" s="41" t="s">
        <v>490</v>
      </c>
      <c r="B49" s="41"/>
      <c r="C49" s="41" t="s">
        <v>69</v>
      </c>
    </row>
    <row r="50" spans="1:3">
      <c r="A50" s="8" t="s">
        <v>553</v>
      </c>
    </row>
    <row r="51" spans="1:3">
      <c r="A51" s="13" t="s">
        <v>3</v>
      </c>
      <c r="B51" s="14" t="s">
        <v>52</v>
      </c>
      <c r="C51" s="13" t="str">
        <f>$C$4&amp;B51</f>
        <v>SRVCOA</v>
      </c>
    </row>
    <row r="52" spans="1:3">
      <c r="A52" s="13" t="s">
        <v>2</v>
      </c>
      <c r="B52" s="14" t="s">
        <v>2</v>
      </c>
      <c r="C52" s="13" t="str">
        <f t="shared" ref="C52:C59" si="0">$C$4&amp;B52</f>
        <v>SRVLPG</v>
      </c>
    </row>
    <row r="53" spans="1:3">
      <c r="A53" s="13" t="s">
        <v>68</v>
      </c>
      <c r="B53" s="14" t="s">
        <v>50</v>
      </c>
      <c r="C53" s="13" t="str">
        <f t="shared" si="0"/>
        <v>SRVOIL</v>
      </c>
    </row>
    <row r="54" spans="1:3">
      <c r="A54" s="13" t="s">
        <v>96</v>
      </c>
      <c r="B54" s="14" t="s">
        <v>48</v>
      </c>
      <c r="C54" s="13" t="str">
        <f t="shared" si="0"/>
        <v>SRVGAS</v>
      </c>
    </row>
    <row r="55" spans="1:3">
      <c r="A55" s="13" t="s">
        <v>402</v>
      </c>
      <c r="B55" s="14" t="s">
        <v>51</v>
      </c>
      <c r="C55" s="13" t="str">
        <f t="shared" si="0"/>
        <v>SRVBIO</v>
      </c>
    </row>
    <row r="56" spans="1:3">
      <c r="A56" s="13" t="s">
        <v>106</v>
      </c>
      <c r="B56" s="14" t="s">
        <v>107</v>
      </c>
      <c r="C56" s="13" t="str">
        <f t="shared" si="0"/>
        <v>SRVBGS</v>
      </c>
    </row>
    <row r="57" spans="1:3">
      <c r="A57" s="13" t="s">
        <v>41</v>
      </c>
      <c r="B57" s="14" t="s">
        <v>53</v>
      </c>
      <c r="C57" s="13" t="str">
        <f t="shared" si="0"/>
        <v>SRVSOL</v>
      </c>
    </row>
    <row r="58" spans="1:3">
      <c r="A58" s="13" t="s">
        <v>1</v>
      </c>
      <c r="B58" s="14" t="s">
        <v>47</v>
      </c>
      <c r="C58" s="13" t="str">
        <f t="shared" si="0"/>
        <v>SRVELC</v>
      </c>
    </row>
    <row r="59" spans="1:3">
      <c r="A59" s="7" t="s">
        <v>404</v>
      </c>
      <c r="B59" s="7" t="s">
        <v>403</v>
      </c>
      <c r="C59" s="13" t="str">
        <f t="shared" si="0"/>
        <v>SRVAHT</v>
      </c>
    </row>
    <row r="60" spans="1:3">
      <c r="A60" s="7" t="s">
        <v>607</v>
      </c>
      <c r="B60" s="7" t="s">
        <v>608</v>
      </c>
      <c r="C60" s="13" t="str">
        <f t="shared" ref="C60" si="1">$C$4&amp;B60</f>
        <v>SRVAHT2</v>
      </c>
    </row>
    <row r="61" spans="1:3">
      <c r="A61" s="13" t="s">
        <v>563</v>
      </c>
      <c r="B61" s="14" t="s">
        <v>49</v>
      </c>
      <c r="C61" s="13" t="str">
        <f t="shared" ref="C61" si="2">$C$4&amp;B61</f>
        <v>SRVHET</v>
      </c>
    </row>
    <row r="62" spans="1:3" s="13" customFormat="1">
      <c r="A62" s="13" t="s">
        <v>109</v>
      </c>
      <c r="B62" s="14" t="s">
        <v>110</v>
      </c>
      <c r="C62" s="13" t="str">
        <f t="shared" ref="C62:C66" si="3">$C$4&amp;B62</f>
        <v>SRVWIN</v>
      </c>
    </row>
    <row r="63" spans="1:3" s="13" customFormat="1">
      <c r="A63" s="13" t="s">
        <v>574</v>
      </c>
      <c r="B63" s="13" t="s">
        <v>573</v>
      </c>
      <c r="C63" s="13" t="str">
        <f t="shared" si="3"/>
        <v>SRVH2G</v>
      </c>
    </row>
    <row r="64" spans="1:3" s="13" customFormat="1">
      <c r="A64" s="13" t="s">
        <v>575</v>
      </c>
      <c r="B64" s="13" t="s">
        <v>576</v>
      </c>
      <c r="C64" s="13" t="str">
        <f t="shared" ref="C64" si="4">$C$4&amp;B64</f>
        <v>SRVH2L</v>
      </c>
    </row>
    <row r="65" spans="1:3">
      <c r="A65" s="13" t="s">
        <v>55</v>
      </c>
      <c r="B65" s="13" t="s">
        <v>108</v>
      </c>
      <c r="C65" s="13" t="str">
        <f t="shared" si="3"/>
        <v>SRVBDL</v>
      </c>
    </row>
    <row r="66" spans="1:3">
      <c r="A66" s="15" t="s">
        <v>578</v>
      </c>
      <c r="B66" s="15" t="s">
        <v>579</v>
      </c>
      <c r="C66" s="15" t="str">
        <f t="shared" si="3"/>
        <v>SRVETH</v>
      </c>
    </row>
    <row r="68" spans="1:3" ht="21">
      <c r="A68" s="16" t="s">
        <v>587</v>
      </c>
      <c r="B68" s="6"/>
    </row>
    <row r="69" spans="1:3" ht="15.75" thickBot="1">
      <c r="A69" s="35" t="s">
        <v>111</v>
      </c>
      <c r="B69" s="35" t="s">
        <v>42</v>
      </c>
      <c r="C69" s="35" t="s">
        <v>112</v>
      </c>
    </row>
    <row r="70" spans="1:3">
      <c r="A70" s="19" t="s">
        <v>113</v>
      </c>
      <c r="B70" s="91" t="s">
        <v>492</v>
      </c>
      <c r="C70" s="7" t="s">
        <v>588</v>
      </c>
    </row>
    <row r="71" spans="1:3">
      <c r="A71" s="19"/>
      <c r="B71" s="582" t="s">
        <v>185</v>
      </c>
      <c r="C71" s="7" t="s">
        <v>589</v>
      </c>
    </row>
    <row r="72" spans="1:3">
      <c r="A72" s="43" t="s">
        <v>114</v>
      </c>
      <c r="B72" s="91" t="s">
        <v>185</v>
      </c>
      <c r="C72" s="44" t="s">
        <v>186</v>
      </c>
    </row>
    <row r="73" spans="1:3">
      <c r="A73" s="45"/>
      <c r="B73" s="109" t="s">
        <v>127</v>
      </c>
      <c r="C73" s="46" t="s">
        <v>57</v>
      </c>
    </row>
    <row r="74" spans="1:3" ht="14.45" customHeight="1">
      <c r="A74" s="48" t="s">
        <v>115</v>
      </c>
      <c r="B74" s="91" t="s">
        <v>185</v>
      </c>
      <c r="C74" s="13" t="s">
        <v>590</v>
      </c>
    </row>
    <row r="75" spans="1:3" ht="30">
      <c r="A75" s="47"/>
      <c r="B75" s="126" t="s">
        <v>187</v>
      </c>
      <c r="C75" s="126" t="s">
        <v>591</v>
      </c>
    </row>
    <row r="76" spans="1:3">
      <c r="A76" s="92" t="s">
        <v>117</v>
      </c>
      <c r="B76" s="49" t="s">
        <v>188</v>
      </c>
      <c r="C76" s="15" t="s">
        <v>118</v>
      </c>
    </row>
    <row r="79" spans="1:3">
      <c r="A79" s="8" t="s">
        <v>172</v>
      </c>
    </row>
    <row r="80" spans="1:3">
      <c r="A80" s="558" t="s">
        <v>173</v>
      </c>
      <c r="B80" s="559">
        <v>4.1868000000000002E-2</v>
      </c>
    </row>
    <row r="81" spans="1:2">
      <c r="A81" s="15" t="s">
        <v>458</v>
      </c>
      <c r="B81" s="557">
        <f>3.6*10^-3</f>
        <v>3.6000000000000003E-3</v>
      </c>
    </row>
  </sheetData>
  <mergeCells count="1">
    <mergeCell ref="A12:C21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5" customWidth="1"/>
    <col min="2" max="2" width="11.7109375" style="415" customWidth="1"/>
    <col min="3" max="3" width="3.140625" style="415" bestFit="1" customWidth="1"/>
    <col min="4" max="4" width="8.5703125" style="415" bestFit="1" customWidth="1"/>
    <col min="5" max="5" width="6.42578125" style="415" bestFit="1" customWidth="1"/>
    <col min="6" max="6" width="5" style="415" bestFit="1" customWidth="1"/>
    <col min="7" max="7" width="5.7109375" style="415" bestFit="1" customWidth="1"/>
    <col min="8" max="8" width="5.85546875" style="415" bestFit="1" customWidth="1"/>
    <col min="9" max="9" width="5.42578125" style="415" bestFit="1" customWidth="1"/>
    <col min="10" max="11" width="5.7109375" style="415" bestFit="1" customWidth="1"/>
    <col min="12" max="12" width="6.5703125" style="415" bestFit="1" customWidth="1"/>
    <col min="13" max="13" width="6" style="415" bestFit="1" customWidth="1"/>
    <col min="14" max="14" width="6.7109375" style="415" bestFit="1" customWidth="1"/>
    <col min="15" max="15" width="6.5703125" style="415" bestFit="1" customWidth="1"/>
    <col min="16" max="16" width="7.140625" style="415" bestFit="1" customWidth="1"/>
    <col min="17" max="17" width="5.7109375" style="415" bestFit="1" customWidth="1"/>
    <col min="18" max="18" width="6" style="415" bestFit="1" customWidth="1"/>
    <col min="19" max="19" width="5.85546875" style="415" bestFit="1" customWidth="1"/>
    <col min="20" max="20" width="5.5703125" style="415" bestFit="1" customWidth="1"/>
    <col min="21" max="21" width="5.85546875" style="415" bestFit="1" customWidth="1"/>
    <col min="22" max="22" width="6.7109375" style="415" bestFit="1" customWidth="1"/>
    <col min="23" max="23" width="5" style="415" bestFit="1" customWidth="1"/>
    <col min="24" max="24" width="7.5703125" style="415" customWidth="1"/>
    <col min="25" max="25" width="6.7109375" style="415" bestFit="1" customWidth="1"/>
    <col min="26" max="28" width="6" style="415" bestFit="1" customWidth="1"/>
    <col min="29" max="29" width="5.7109375" style="415" bestFit="1" customWidth="1"/>
    <col min="30" max="30" width="6.7109375" style="415" bestFit="1" customWidth="1"/>
    <col min="31" max="16384" width="9" style="415"/>
  </cols>
  <sheetData>
    <row r="3" spans="1:30">
      <c r="C3" s="417" t="str" cm="1">
        <f t="array" ref="C3">INDEX(C5:C7,$A$4)</f>
        <v>IE</v>
      </c>
      <c r="D3" s="417" t="str" cm="1">
        <f t="array" ref="D3">INDEX(D5:D7,$A$4)</f>
        <v>National</v>
      </c>
      <c r="E3" s="417" t="str" cm="1">
        <f t="array" ref="E3">INDEX(E5:E7,$A$4)</f>
        <v>IE-CW</v>
      </c>
      <c r="F3" s="417" t="str" cm="1">
        <f t="array" ref="F3">INDEX(F5:F7,$A$4)</f>
        <v>IE-D</v>
      </c>
      <c r="G3" s="417" t="str" cm="1">
        <f t="array" ref="G3">INDEX(G5:G7,$A$4)</f>
        <v>IE-KE</v>
      </c>
      <c r="H3" s="417" t="str" cm="1">
        <f t="array" ref="H3">INDEX(H5:H7,$A$4)</f>
        <v>IE-KK</v>
      </c>
      <c r="I3" s="417" t="str" cm="1">
        <f t="array" ref="I3">INDEX(I5:I7,$A$4)</f>
        <v>IE-LS</v>
      </c>
      <c r="J3" s="417" t="str" cm="1">
        <f t="array" ref="J3">INDEX(J5:J7,$A$4)</f>
        <v>IE-LD</v>
      </c>
      <c r="K3" s="417" t="str" cm="1">
        <f t="array" ref="K3">INDEX(K5:K7,$A$4)</f>
        <v>IE-LH</v>
      </c>
      <c r="L3" s="417" t="str" cm="1">
        <f t="array" ref="L3">INDEX(L5:L7,$A$4)</f>
        <v>IE-MH</v>
      </c>
      <c r="M3" s="417" t="str" cm="1">
        <f t="array" ref="M3">INDEX(M5:M7,$A$4)</f>
        <v>IE-OY</v>
      </c>
      <c r="N3" s="417" t="str" cm="1">
        <f t="array" ref="N3">INDEX(N5:N7,$A$4)</f>
        <v>IE-WH</v>
      </c>
      <c r="O3" s="417" t="str" cm="1">
        <f t="array" ref="O3">INDEX(O5:O7,$A$4)</f>
        <v>IE-WX</v>
      </c>
      <c r="P3" s="417" t="str" cm="1">
        <f t="array" ref="P3">INDEX(P5:P7,$A$4)</f>
        <v>IE-WW</v>
      </c>
      <c r="Q3" s="417" t="str" cm="1">
        <f t="array" ref="Q3">INDEX(Q5:Q7,$A$4)</f>
        <v>IE-CE</v>
      </c>
      <c r="R3" s="417" t="str" cm="1">
        <f t="array" ref="R3">INDEX(R5:R7,$A$4)</f>
        <v>IE-CO</v>
      </c>
      <c r="S3" s="417" t="str" cm="1">
        <f t="array" ref="S3">INDEX(S5:S7,$A$4)</f>
        <v>IE-KY</v>
      </c>
      <c r="T3" s="417" t="str" cm="1">
        <f t="array" ref="T3">INDEX(T5:T7,$A$4)</f>
        <v>IE-LK</v>
      </c>
      <c r="U3" s="417" t="str" cm="1">
        <f t="array" ref="U3">INDEX(U5:U7,$A$4)</f>
        <v>IE-TA</v>
      </c>
      <c r="V3" s="417" t="str" cm="1">
        <f t="array" ref="V3">INDEX(V5:V7,$A$4)</f>
        <v>IE-WD</v>
      </c>
      <c r="W3" s="417" t="str" cm="1">
        <f t="array" ref="W3">INDEX(W5:W7,$A$4)</f>
        <v>IE-G</v>
      </c>
      <c r="X3" s="417" t="str" cm="1">
        <f t="array" ref="X3">INDEX(X5:X7,$A$4)</f>
        <v>IE-LM</v>
      </c>
      <c r="Y3" s="417" t="str" cm="1">
        <f t="array" ref="Y3">INDEX(Y5:Y7,$A$4)</f>
        <v>IE-MO</v>
      </c>
      <c r="Z3" s="417" t="str" cm="1">
        <f t="array" ref="Z3">INDEX(Z5:Z7,$A$4)</f>
        <v>IE-RN</v>
      </c>
      <c r="AA3" s="417" t="str" cm="1">
        <f t="array" ref="AA3">INDEX(AA5:AA7,$A$4)</f>
        <v>IE-SO</v>
      </c>
      <c r="AB3" s="417" t="str" cm="1">
        <f t="array" ref="AB3">INDEX(AB5:AB7,$A$4)</f>
        <v>IE-CN</v>
      </c>
      <c r="AC3" s="417" t="str" cm="1">
        <f t="array" ref="AC3">INDEX(AC5:AC7,$A$4)</f>
        <v>IE-DL</v>
      </c>
      <c r="AD3" s="417" t="str" cm="1">
        <f t="array" ref="AD3">INDEX(AD5:AD7,$A$4)</f>
        <v>IE-MN</v>
      </c>
    </row>
    <row r="4" spans="1:30">
      <c r="A4" s="415">
        <v>1</v>
      </c>
    </row>
    <row r="5" spans="1:30">
      <c r="A5" s="415" t="s">
        <v>331</v>
      </c>
      <c r="C5" s="418" t="s">
        <v>192</v>
      </c>
      <c r="D5" s="418" t="s">
        <v>332</v>
      </c>
      <c r="E5" s="417" t="str">
        <f>A11</f>
        <v>IE-CW</v>
      </c>
      <c r="F5" s="417" t="str">
        <f>A16</f>
        <v>IE-D</v>
      </c>
      <c r="G5" s="417" t="str">
        <f>A19</f>
        <v>IE-KE</v>
      </c>
      <c r="H5" s="417" t="str">
        <f>A20</f>
        <v>IE-KK</v>
      </c>
      <c r="I5" s="417" t="str">
        <f>A21</f>
        <v>IE-LS</v>
      </c>
      <c r="J5" s="417" t="str">
        <f>A24</f>
        <v>IE-LD</v>
      </c>
      <c r="K5" s="417" t="str">
        <f>A25</f>
        <v>IE-LH</v>
      </c>
      <c r="L5" s="417" t="str">
        <f>A27</f>
        <v>IE-MH</v>
      </c>
      <c r="M5" s="417" t="str">
        <f>A29</f>
        <v>IE-OY</v>
      </c>
      <c r="N5" s="417" t="str">
        <f>A34</f>
        <v>IE-WH</v>
      </c>
      <c r="O5" s="417" t="str">
        <f>A35</f>
        <v>IE-WX</v>
      </c>
      <c r="P5" s="417" t="str">
        <f>A36</f>
        <v>IE-WW</v>
      </c>
      <c r="Q5" s="417" t="str">
        <f>A13</f>
        <v>IE-CE</v>
      </c>
      <c r="R5" s="417" t="str">
        <f>A14</f>
        <v>IE-CO</v>
      </c>
      <c r="S5" s="417" t="str">
        <f>A18</f>
        <v>IE-KY</v>
      </c>
      <c r="T5" s="417" t="str">
        <f>A23</f>
        <v>IE-LK</v>
      </c>
      <c r="U5" s="417" t="str">
        <f>A32</f>
        <v>IE-TA</v>
      </c>
      <c r="V5" s="417" t="str">
        <f>A33</f>
        <v>IE-WD</v>
      </c>
      <c r="W5" s="417" t="str">
        <f>A17</f>
        <v>IE-G</v>
      </c>
      <c r="X5" s="417" t="str">
        <f>A22</f>
        <v>IE-LM</v>
      </c>
      <c r="Y5" s="417" t="str">
        <f>A26</f>
        <v>IE-MO</v>
      </c>
      <c r="Z5" s="417" t="str">
        <f>A30</f>
        <v>IE-RN</v>
      </c>
      <c r="AA5" s="417" t="str">
        <f>A31</f>
        <v>IE-SO</v>
      </c>
      <c r="AB5" s="417" t="str">
        <f>A12</f>
        <v>IE-CN</v>
      </c>
      <c r="AC5" s="417" t="str">
        <f>A15</f>
        <v>IE-DL</v>
      </c>
      <c r="AD5" s="417" t="str">
        <f>A28</f>
        <v>IE-MN</v>
      </c>
    </row>
    <row r="6" spans="1:30">
      <c r="A6" s="415" t="s">
        <v>333</v>
      </c>
      <c r="C6" s="417" t="str">
        <f>C5</f>
        <v>IE</v>
      </c>
      <c r="D6" s="417" t="str">
        <f>"*"&amp;D5</f>
        <v>*National</v>
      </c>
      <c r="E6" s="417" t="str">
        <f>"*"&amp;E5</f>
        <v>*IE-CW</v>
      </c>
      <c r="F6" s="417" t="str">
        <f t="shared" ref="F6:AD6" si="0">"*"&amp;F5</f>
        <v>*IE-D</v>
      </c>
      <c r="G6" s="417" t="str">
        <f t="shared" si="0"/>
        <v>*IE-KE</v>
      </c>
      <c r="H6" s="417" t="str">
        <f t="shared" si="0"/>
        <v>*IE-KK</v>
      </c>
      <c r="I6" s="417" t="str">
        <f t="shared" si="0"/>
        <v>*IE-LS</v>
      </c>
      <c r="J6" s="417" t="str">
        <f t="shared" si="0"/>
        <v>*IE-LD</v>
      </c>
      <c r="K6" s="417" t="str">
        <f t="shared" si="0"/>
        <v>*IE-LH</v>
      </c>
      <c r="L6" s="417" t="str">
        <f t="shared" si="0"/>
        <v>*IE-MH</v>
      </c>
      <c r="M6" s="417" t="str">
        <f t="shared" si="0"/>
        <v>*IE-OY</v>
      </c>
      <c r="N6" s="417" t="str">
        <f t="shared" si="0"/>
        <v>*IE-WH</v>
      </c>
      <c r="O6" s="417" t="str">
        <f t="shared" si="0"/>
        <v>*IE-WX</v>
      </c>
      <c r="P6" s="417" t="str">
        <f t="shared" si="0"/>
        <v>*IE-WW</v>
      </c>
      <c r="Q6" s="417" t="str">
        <f t="shared" si="0"/>
        <v>*IE-CE</v>
      </c>
      <c r="R6" s="417" t="str">
        <f t="shared" si="0"/>
        <v>*IE-CO</v>
      </c>
      <c r="S6" s="417" t="str">
        <f t="shared" si="0"/>
        <v>*IE-KY</v>
      </c>
      <c r="T6" s="417" t="str">
        <f t="shared" si="0"/>
        <v>*IE-LK</v>
      </c>
      <c r="U6" s="417" t="str">
        <f t="shared" si="0"/>
        <v>*IE-TA</v>
      </c>
      <c r="V6" s="417" t="str">
        <f t="shared" si="0"/>
        <v>*IE-WD</v>
      </c>
      <c r="W6" s="417" t="str">
        <f t="shared" si="0"/>
        <v>*IE-G</v>
      </c>
      <c r="X6" s="417" t="str">
        <f t="shared" si="0"/>
        <v>*IE-LM</v>
      </c>
      <c r="Y6" s="417" t="str">
        <f t="shared" si="0"/>
        <v>*IE-MO</v>
      </c>
      <c r="Z6" s="417" t="str">
        <f t="shared" si="0"/>
        <v>*IE-RN</v>
      </c>
      <c r="AA6" s="417" t="str">
        <f t="shared" si="0"/>
        <v>*IE-SO</v>
      </c>
      <c r="AB6" s="417" t="str">
        <f t="shared" si="0"/>
        <v>*IE-CN</v>
      </c>
      <c r="AC6" s="417" t="str">
        <f t="shared" si="0"/>
        <v>*IE-DL</v>
      </c>
      <c r="AD6" s="417" t="str">
        <f t="shared" si="0"/>
        <v>*IE-MN</v>
      </c>
    </row>
    <row r="7" spans="1:30">
      <c r="A7" s="415" t="s">
        <v>334</v>
      </c>
      <c r="C7" s="417" t="str">
        <f>"*"&amp;C5</f>
        <v>*IE</v>
      </c>
      <c r="D7" s="417" t="str">
        <f>D5</f>
        <v>National</v>
      </c>
      <c r="E7" s="417" t="str">
        <f t="shared" ref="E7:AD7" si="1">E5</f>
        <v>IE-CW</v>
      </c>
      <c r="F7" s="417" t="str">
        <f t="shared" si="1"/>
        <v>IE-D</v>
      </c>
      <c r="G7" s="417" t="str">
        <f t="shared" si="1"/>
        <v>IE-KE</v>
      </c>
      <c r="H7" s="417" t="str">
        <f t="shared" si="1"/>
        <v>IE-KK</v>
      </c>
      <c r="I7" s="417" t="str">
        <f t="shared" si="1"/>
        <v>IE-LS</v>
      </c>
      <c r="J7" s="417" t="str">
        <f t="shared" si="1"/>
        <v>IE-LD</v>
      </c>
      <c r="K7" s="417" t="str">
        <f t="shared" si="1"/>
        <v>IE-LH</v>
      </c>
      <c r="L7" s="417" t="str">
        <f t="shared" si="1"/>
        <v>IE-MH</v>
      </c>
      <c r="M7" s="417" t="str">
        <f t="shared" si="1"/>
        <v>IE-OY</v>
      </c>
      <c r="N7" s="417" t="str">
        <f t="shared" si="1"/>
        <v>IE-WH</v>
      </c>
      <c r="O7" s="417" t="str">
        <f t="shared" si="1"/>
        <v>IE-WX</v>
      </c>
      <c r="P7" s="417" t="str">
        <f t="shared" si="1"/>
        <v>IE-WW</v>
      </c>
      <c r="Q7" s="417" t="str">
        <f t="shared" si="1"/>
        <v>IE-CE</v>
      </c>
      <c r="R7" s="417" t="str">
        <f t="shared" si="1"/>
        <v>IE-CO</v>
      </c>
      <c r="S7" s="417" t="str">
        <f t="shared" si="1"/>
        <v>IE-KY</v>
      </c>
      <c r="T7" s="417" t="str">
        <f t="shared" si="1"/>
        <v>IE-LK</v>
      </c>
      <c r="U7" s="417" t="str">
        <f t="shared" si="1"/>
        <v>IE-TA</v>
      </c>
      <c r="V7" s="417" t="str">
        <f t="shared" si="1"/>
        <v>IE-WD</v>
      </c>
      <c r="W7" s="417" t="str">
        <f t="shared" si="1"/>
        <v>IE-G</v>
      </c>
      <c r="X7" s="417" t="str">
        <f t="shared" si="1"/>
        <v>IE-LM</v>
      </c>
      <c r="Y7" s="417" t="str">
        <f t="shared" si="1"/>
        <v>IE-MO</v>
      </c>
      <c r="Z7" s="417" t="str">
        <f t="shared" si="1"/>
        <v>IE-RN</v>
      </c>
      <c r="AA7" s="417" t="str">
        <f t="shared" si="1"/>
        <v>IE-SO</v>
      </c>
      <c r="AB7" s="417" t="str">
        <f t="shared" si="1"/>
        <v>IE-CN</v>
      </c>
      <c r="AC7" s="417" t="str">
        <f t="shared" si="1"/>
        <v>IE-DL</v>
      </c>
      <c r="AD7" s="417" t="str">
        <f t="shared" si="1"/>
        <v>IE-MN</v>
      </c>
    </row>
    <row r="10" spans="1:30" ht="15.75" thickBot="1">
      <c r="A10" s="419" t="s">
        <v>335</v>
      </c>
      <c r="B10" s="419" t="s">
        <v>336</v>
      </c>
    </row>
    <row r="11" spans="1:30">
      <c r="A11" s="420" t="s">
        <v>337</v>
      </c>
      <c r="B11" s="420" t="s">
        <v>338</v>
      </c>
    </row>
    <row r="12" spans="1:30">
      <c r="A12" s="421" t="s">
        <v>339</v>
      </c>
      <c r="B12" s="421" t="s">
        <v>340</v>
      </c>
    </row>
    <row r="13" spans="1:30">
      <c r="A13" s="421" t="s">
        <v>341</v>
      </c>
      <c r="B13" s="421" t="s">
        <v>342</v>
      </c>
    </row>
    <row r="14" spans="1:30">
      <c r="A14" s="421" t="s">
        <v>343</v>
      </c>
      <c r="B14" s="421" t="s">
        <v>344</v>
      </c>
    </row>
    <row r="15" spans="1:30">
      <c r="A15" s="421" t="s">
        <v>345</v>
      </c>
      <c r="B15" s="421" t="s">
        <v>346</v>
      </c>
    </row>
    <row r="16" spans="1:30">
      <c r="A16" s="421" t="s">
        <v>347</v>
      </c>
      <c r="B16" s="421" t="s">
        <v>348</v>
      </c>
    </row>
    <row r="17" spans="1:2">
      <c r="A17" s="421" t="s">
        <v>349</v>
      </c>
      <c r="B17" s="421" t="s">
        <v>350</v>
      </c>
    </row>
    <row r="18" spans="1:2">
      <c r="A18" s="421" t="s">
        <v>351</v>
      </c>
      <c r="B18" s="421" t="s">
        <v>352</v>
      </c>
    </row>
    <row r="19" spans="1:2">
      <c r="A19" s="421" t="s">
        <v>353</v>
      </c>
      <c r="B19" s="421" t="s">
        <v>354</v>
      </c>
    </row>
    <row r="20" spans="1:2">
      <c r="A20" s="421" t="s">
        <v>355</v>
      </c>
      <c r="B20" s="421" t="s">
        <v>356</v>
      </c>
    </row>
    <row r="21" spans="1:2">
      <c r="A21" s="421" t="s">
        <v>357</v>
      </c>
      <c r="B21" s="421" t="s">
        <v>358</v>
      </c>
    </row>
    <row r="22" spans="1:2">
      <c r="A22" s="421" t="s">
        <v>359</v>
      </c>
      <c r="B22" s="421" t="s">
        <v>360</v>
      </c>
    </row>
    <row r="23" spans="1:2">
      <c r="A23" s="421" t="s">
        <v>361</v>
      </c>
      <c r="B23" s="421" t="s">
        <v>362</v>
      </c>
    </row>
    <row r="24" spans="1:2">
      <c r="A24" s="421" t="s">
        <v>363</v>
      </c>
      <c r="B24" s="421" t="s">
        <v>364</v>
      </c>
    </row>
    <row r="25" spans="1:2">
      <c r="A25" s="421" t="s">
        <v>365</v>
      </c>
      <c r="B25" s="421" t="s">
        <v>366</v>
      </c>
    </row>
    <row r="26" spans="1:2">
      <c r="A26" s="421" t="s">
        <v>367</v>
      </c>
      <c r="B26" s="421" t="s">
        <v>368</v>
      </c>
    </row>
    <row r="27" spans="1:2">
      <c r="A27" s="421" t="s">
        <v>369</v>
      </c>
      <c r="B27" s="421" t="s">
        <v>370</v>
      </c>
    </row>
    <row r="28" spans="1:2">
      <c r="A28" s="421" t="s">
        <v>371</v>
      </c>
      <c r="B28" s="421" t="s">
        <v>372</v>
      </c>
    </row>
    <row r="29" spans="1:2">
      <c r="A29" s="421" t="s">
        <v>373</v>
      </c>
      <c r="B29" s="421" t="s">
        <v>374</v>
      </c>
    </row>
    <row r="30" spans="1:2">
      <c r="A30" s="421" t="s">
        <v>375</v>
      </c>
      <c r="B30" s="421" t="s">
        <v>376</v>
      </c>
    </row>
    <row r="31" spans="1:2">
      <c r="A31" s="421" t="s">
        <v>377</v>
      </c>
      <c r="B31" s="421" t="s">
        <v>378</v>
      </c>
    </row>
    <row r="32" spans="1:2">
      <c r="A32" s="421" t="s">
        <v>379</v>
      </c>
      <c r="B32" s="421" t="s">
        <v>380</v>
      </c>
    </row>
    <row r="33" spans="1:2">
      <c r="A33" s="421" t="s">
        <v>381</v>
      </c>
      <c r="B33" s="421" t="s">
        <v>382</v>
      </c>
    </row>
    <row r="34" spans="1:2">
      <c r="A34" s="421" t="s">
        <v>383</v>
      </c>
      <c r="B34" s="421" t="s">
        <v>384</v>
      </c>
    </row>
    <row r="35" spans="1:2">
      <c r="A35" s="421" t="s">
        <v>385</v>
      </c>
      <c r="B35" s="421" t="s">
        <v>386</v>
      </c>
    </row>
    <row r="36" spans="1:2">
      <c r="A36" s="421" t="s">
        <v>387</v>
      </c>
      <c r="B36" s="421" t="s">
        <v>388</v>
      </c>
    </row>
    <row r="37" spans="1:2">
      <c r="A37" s="422" t="s">
        <v>389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33" customWidth="1"/>
    <col min="45" max="16384" width="8.85546875" style="7"/>
  </cols>
  <sheetData>
    <row r="1" spans="1:44" ht="23.25">
      <c r="B1" s="17" t="s">
        <v>580</v>
      </c>
    </row>
    <row r="2" spans="1:44" customFormat="1"/>
    <row r="3" spans="1:44" s="427" customFormat="1" ht="15" customHeight="1">
      <c r="A3" s="455"/>
      <c r="B3" s="8" t="s">
        <v>390</v>
      </c>
      <c r="C3" s="8" t="s">
        <v>400</v>
      </c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423"/>
      <c r="Z3" s="423"/>
      <c r="AA3" s="423"/>
      <c r="AB3" s="424"/>
      <c r="AC3" s="423"/>
      <c r="AD3" s="423"/>
      <c r="AE3" s="423"/>
      <c r="AF3" s="423"/>
      <c r="AG3" s="423"/>
      <c r="AH3" s="423"/>
      <c r="AI3" s="423"/>
      <c r="AJ3" s="423"/>
      <c r="AK3" s="423"/>
      <c r="AL3" s="425"/>
      <c r="AM3" s="423"/>
      <c r="AN3" s="423"/>
      <c r="AO3" s="426"/>
      <c r="AP3" s="426"/>
      <c r="AQ3" s="426"/>
      <c r="AR3" s="426"/>
    </row>
    <row r="4" spans="1:44" s="455" customFormat="1" ht="45.75" thickBot="1">
      <c r="B4" s="428"/>
      <c r="C4" s="428"/>
      <c r="D4" s="429" t="s">
        <v>197</v>
      </c>
      <c r="E4" s="429" t="s">
        <v>198</v>
      </c>
      <c r="F4" s="429" t="s">
        <v>199</v>
      </c>
      <c r="G4" s="429" t="s">
        <v>200</v>
      </c>
      <c r="H4" s="429" t="s">
        <v>201</v>
      </c>
      <c r="I4" s="429" t="s">
        <v>202</v>
      </c>
      <c r="J4" s="429" t="s">
        <v>203</v>
      </c>
      <c r="K4" s="429" t="s">
        <v>204</v>
      </c>
      <c r="L4" s="429" t="s">
        <v>205</v>
      </c>
      <c r="M4" s="429" t="s">
        <v>206</v>
      </c>
      <c r="N4" s="429" t="s">
        <v>207</v>
      </c>
      <c r="O4" s="429" t="s">
        <v>208</v>
      </c>
      <c r="P4" s="429" t="s">
        <v>209</v>
      </c>
      <c r="Q4" s="429" t="s">
        <v>210</v>
      </c>
      <c r="R4" s="429" t="s">
        <v>211</v>
      </c>
      <c r="S4" s="429" t="s">
        <v>212</v>
      </c>
      <c r="T4" s="429" t="s">
        <v>213</v>
      </c>
      <c r="U4" s="429" t="s">
        <v>214</v>
      </c>
      <c r="V4" s="429" t="s">
        <v>215</v>
      </c>
      <c r="W4" s="429" t="s">
        <v>216</v>
      </c>
      <c r="X4" s="429" t="s">
        <v>217</v>
      </c>
      <c r="Y4" s="429" t="s">
        <v>218</v>
      </c>
      <c r="Z4" s="429" t="s">
        <v>219</v>
      </c>
      <c r="AA4" s="429" t="s">
        <v>220</v>
      </c>
      <c r="AB4" s="429" t="s">
        <v>221</v>
      </c>
      <c r="AC4" s="429" t="s">
        <v>222</v>
      </c>
      <c r="AD4" s="429" t="s">
        <v>223</v>
      </c>
      <c r="AE4" s="429" t="s">
        <v>224</v>
      </c>
      <c r="AF4" s="429" t="s">
        <v>225</v>
      </c>
      <c r="AG4" s="429" t="s">
        <v>226</v>
      </c>
      <c r="AH4" s="429" t="s">
        <v>227</v>
      </c>
      <c r="AI4" s="429" t="s">
        <v>228</v>
      </c>
      <c r="AJ4" s="429" t="s">
        <v>229</v>
      </c>
      <c r="AK4" s="429" t="s">
        <v>230</v>
      </c>
      <c r="AL4" s="429" t="s">
        <v>231</v>
      </c>
      <c r="AM4" s="429" t="s">
        <v>232</v>
      </c>
      <c r="AN4" s="429" t="s">
        <v>233</v>
      </c>
      <c r="AO4" s="429" t="s">
        <v>234</v>
      </c>
      <c r="AP4" s="429" t="s">
        <v>235</v>
      </c>
      <c r="AQ4" s="429" t="s">
        <v>236</v>
      </c>
      <c r="AR4" s="429" t="s">
        <v>237</v>
      </c>
    </row>
    <row r="5" spans="1:44" s="427" customFormat="1" ht="30" customHeight="1">
      <c r="B5" s="440" t="s">
        <v>56</v>
      </c>
      <c r="C5" s="451"/>
      <c r="D5" s="444">
        <f>'EB2018'!C57</f>
        <v>0.53991879699248124</v>
      </c>
      <c r="E5" s="444">
        <f>'EB2018'!D57</f>
        <v>0.53991879699248124</v>
      </c>
      <c r="F5" s="444">
        <f>'EB2018'!E57</f>
        <v>0</v>
      </c>
      <c r="G5" s="444">
        <f>'EB2018'!F57</f>
        <v>0</v>
      </c>
      <c r="H5" s="444">
        <f>'EB2018'!G57</f>
        <v>0</v>
      </c>
      <c r="I5" s="444">
        <f>'EB2018'!H57</f>
        <v>0</v>
      </c>
      <c r="J5" s="444">
        <f>'EB2018'!I57</f>
        <v>0</v>
      </c>
      <c r="K5" s="444">
        <f>'EB2018'!J57</f>
        <v>0</v>
      </c>
      <c r="L5" s="444">
        <f>'EB2018'!K57</f>
        <v>0</v>
      </c>
      <c r="M5" s="444">
        <f>'EB2018'!L57</f>
        <v>263.55542937744985</v>
      </c>
      <c r="N5" s="444">
        <f>'EB2018'!M57</f>
        <v>0</v>
      </c>
      <c r="O5" s="444">
        <f>'EB2018'!N57</f>
        <v>0</v>
      </c>
      <c r="P5" s="444">
        <f>'EB2018'!O57</f>
        <v>0</v>
      </c>
      <c r="Q5" s="444">
        <f>'EB2018'!P57</f>
        <v>0</v>
      </c>
      <c r="R5" s="444">
        <f>'EB2018'!Q57</f>
        <v>73.683977149948603</v>
      </c>
      <c r="S5" s="444">
        <f>'EB2018'!R57</f>
        <v>0</v>
      </c>
      <c r="T5" s="444">
        <f>'EB2018'!S57</f>
        <v>0.64284746861564912</v>
      </c>
      <c r="U5" s="444">
        <f>'EB2018'!T57</f>
        <v>69.72090857001308</v>
      </c>
      <c r="V5" s="444">
        <f>'EB2018'!U57</f>
        <v>119.50730406570531</v>
      </c>
      <c r="W5" s="444">
        <f>'EB2018'!V57</f>
        <v>3.9212316723240829E-4</v>
      </c>
      <c r="X5" s="444">
        <f>'EB2018'!W57</f>
        <v>0</v>
      </c>
      <c r="Y5" s="444">
        <f>'EB2018'!X57</f>
        <v>0</v>
      </c>
      <c r="Z5" s="444">
        <f>'EB2018'!Y57</f>
        <v>0</v>
      </c>
      <c r="AA5" s="444">
        <f>'EB2018'!Z57</f>
        <v>0</v>
      </c>
      <c r="AB5" s="444">
        <f>'EB2018'!AA57</f>
        <v>397.69184770224592</v>
      </c>
      <c r="AC5" s="444">
        <f>'EB2018'!AB57</f>
        <v>41.379323582548558</v>
      </c>
      <c r="AD5" s="444">
        <f>'EB2018'!AC57</f>
        <v>0</v>
      </c>
      <c r="AE5" s="444">
        <f>'EB2018'!AD57</f>
        <v>0</v>
      </c>
      <c r="AF5" s="444">
        <f>'EB2018'!AE57</f>
        <v>17.99312324724</v>
      </c>
      <c r="AG5" s="444">
        <f>'EB2018'!AF57</f>
        <v>0</v>
      </c>
      <c r="AH5" s="444">
        <f>'EB2018'!AG57</f>
        <v>0</v>
      </c>
      <c r="AI5" s="444">
        <f>'EB2018'!AH57</f>
        <v>7.541555368675982</v>
      </c>
      <c r="AJ5" s="444">
        <f>'EB2018'!AI57</f>
        <v>0</v>
      </c>
      <c r="AK5" s="444">
        <f>'EB2018'!AJ57</f>
        <v>0</v>
      </c>
      <c r="AL5" s="444">
        <f>'EB2018'!AK57</f>
        <v>0</v>
      </c>
      <c r="AM5" s="444">
        <f>'EB2018'!AL57</f>
        <v>0.16649466165720572</v>
      </c>
      <c r="AN5" s="444">
        <f>'EB2018'!AM57</f>
        <v>15.678150304975372</v>
      </c>
      <c r="AO5" s="444">
        <f>'EB2018'!AN57</f>
        <v>0</v>
      </c>
      <c r="AP5" s="444">
        <f>'EB2018'!AO57</f>
        <v>1019.3925755397834</v>
      </c>
      <c r="AQ5" s="444">
        <f>'EB2018'!AP57</f>
        <v>0</v>
      </c>
      <c r="AR5" s="444">
        <f>'EB2018'!AQ57</f>
        <v>1722.5590949990201</v>
      </c>
    </row>
    <row r="6" spans="1:44" s="427" customFormat="1" ht="30" customHeight="1">
      <c r="B6" s="476" t="s">
        <v>397</v>
      </c>
      <c r="D6" s="445">
        <f>'EB2018'!C58</f>
        <v>0.53991879699248124</v>
      </c>
      <c r="E6" s="445">
        <f>'EB2018'!D58</f>
        <v>0.53991879699248124</v>
      </c>
      <c r="F6" s="445">
        <f>'EB2018'!E58</f>
        <v>0</v>
      </c>
      <c r="G6" s="445">
        <f>'EB2018'!F58</f>
        <v>0</v>
      </c>
      <c r="H6" s="445">
        <f>'EB2018'!G58</f>
        <v>0</v>
      </c>
      <c r="I6" s="445">
        <f>'EB2018'!H58</f>
        <v>0</v>
      </c>
      <c r="J6" s="445">
        <f>'EB2018'!I58</f>
        <v>0</v>
      </c>
      <c r="K6" s="445">
        <f>'EB2018'!J58</f>
        <v>0</v>
      </c>
      <c r="L6" s="445">
        <f>'EB2018'!K58</f>
        <v>0</v>
      </c>
      <c r="M6" s="445">
        <f>'EB2018'!L58</f>
        <v>123.39297948584372</v>
      </c>
      <c r="N6" s="445">
        <f>'EB2018'!M58</f>
        <v>0</v>
      </c>
      <c r="O6" s="445">
        <f>'EB2018'!N58</f>
        <v>0</v>
      </c>
      <c r="P6" s="445">
        <f>'EB2018'!O58</f>
        <v>0</v>
      </c>
      <c r="Q6" s="445">
        <f>'EB2018'!P58</f>
        <v>0</v>
      </c>
      <c r="R6" s="445">
        <f>'EB2018'!Q58</f>
        <v>25.817592108194308</v>
      </c>
      <c r="S6" s="445">
        <f>'EB2018'!R58</f>
        <v>0</v>
      </c>
      <c r="T6" s="445">
        <f>'EB2018'!S58</f>
        <v>0</v>
      </c>
      <c r="U6" s="445">
        <f>'EB2018'!T58</f>
        <v>53.639757659500326</v>
      </c>
      <c r="V6" s="445">
        <f>'EB2018'!U58</f>
        <v>43.935237594981864</v>
      </c>
      <c r="W6" s="445">
        <f>'EB2018'!V58</f>
        <v>3.9212316723240829E-4</v>
      </c>
      <c r="X6" s="445">
        <f>'EB2018'!W58</f>
        <v>0</v>
      </c>
      <c r="Y6" s="445">
        <f>'EB2018'!X58</f>
        <v>0</v>
      </c>
      <c r="Z6" s="445">
        <f>'EB2018'!Y58</f>
        <v>0</v>
      </c>
      <c r="AA6" s="445">
        <f>'EB2018'!Z58</f>
        <v>0</v>
      </c>
      <c r="AB6" s="445">
        <f>'EB2018'!AA58</f>
        <v>205.61511570855646</v>
      </c>
      <c r="AC6" s="445">
        <f>'EB2018'!AB58</f>
        <v>23.586836774290585</v>
      </c>
      <c r="AD6" s="445">
        <f>'EB2018'!AC58</f>
        <v>0</v>
      </c>
      <c r="AE6" s="445">
        <f>'EB2018'!AD58</f>
        <v>0</v>
      </c>
      <c r="AF6" s="445">
        <f>'EB2018'!AE58</f>
        <v>5.0179504193776099</v>
      </c>
      <c r="AG6" s="445">
        <f>'EB2018'!AF58</f>
        <v>0</v>
      </c>
      <c r="AH6" s="445">
        <f>'EB2018'!AG58</f>
        <v>0</v>
      </c>
      <c r="AI6" s="445">
        <f>'EB2018'!AH58</f>
        <v>2.7242413882803982</v>
      </c>
      <c r="AJ6" s="445">
        <f>'EB2018'!AI58</f>
        <v>0</v>
      </c>
      <c r="AK6" s="445">
        <f>'EB2018'!AJ58</f>
        <v>0</v>
      </c>
      <c r="AL6" s="445">
        <f>'EB2018'!AK58</f>
        <v>0</v>
      </c>
      <c r="AM6" s="445">
        <f>'EB2018'!AL58</f>
        <v>0.16649466165720572</v>
      </c>
      <c r="AN6" s="445">
        <f>'EB2018'!AM58</f>
        <v>15.678150304975372</v>
      </c>
      <c r="AO6" s="445">
        <f>'EB2018'!AN58</f>
        <v>0</v>
      </c>
      <c r="AP6" s="445">
        <f>'EB2018'!AO58</f>
        <v>684.51532146142654</v>
      </c>
      <c r="AQ6" s="445">
        <f>'EB2018'!AP58</f>
        <v>0</v>
      </c>
      <c r="AR6" s="445">
        <f>'EB2018'!AQ58</f>
        <v>1037.6501722271098</v>
      </c>
    </row>
    <row r="7" spans="1:44" s="427" customFormat="1" ht="30" customHeight="1">
      <c r="B7" s="477" t="s">
        <v>398</v>
      </c>
      <c r="C7" s="443"/>
      <c r="D7" s="446">
        <f>'EB2018'!C65</f>
        <v>0</v>
      </c>
      <c r="E7" s="446">
        <f>'EB2018'!D65</f>
        <v>0</v>
      </c>
      <c r="F7" s="446">
        <f>'EB2018'!E65</f>
        <v>0</v>
      </c>
      <c r="G7" s="446">
        <f>'EB2018'!F65</f>
        <v>0</v>
      </c>
      <c r="H7" s="446">
        <f>'EB2018'!G65</f>
        <v>0</v>
      </c>
      <c r="I7" s="446">
        <f>'EB2018'!H65</f>
        <v>0</v>
      </c>
      <c r="J7" s="446">
        <f>'EB2018'!I65</f>
        <v>0</v>
      </c>
      <c r="K7" s="446">
        <f>'EB2018'!J65</f>
        <v>0</v>
      </c>
      <c r="L7" s="446">
        <f>'EB2018'!K65</f>
        <v>0</v>
      </c>
      <c r="M7" s="446">
        <f>'EB2018'!L65</f>
        <v>140.16244989160612</v>
      </c>
      <c r="N7" s="446">
        <f>'EB2018'!M65</f>
        <v>0</v>
      </c>
      <c r="O7" s="446">
        <f>'EB2018'!N65</f>
        <v>0</v>
      </c>
      <c r="P7" s="446">
        <f>'EB2018'!O65</f>
        <v>0</v>
      </c>
      <c r="Q7" s="446">
        <f>'EB2018'!P65</f>
        <v>0</v>
      </c>
      <c r="R7" s="446">
        <f>'EB2018'!Q65</f>
        <v>47.866385041754299</v>
      </c>
      <c r="S7" s="446">
        <f>'EB2018'!R65</f>
        <v>0</v>
      </c>
      <c r="T7" s="446">
        <f>'EB2018'!S65</f>
        <v>0.64284746861564912</v>
      </c>
      <c r="U7" s="446">
        <f>'EB2018'!T65</f>
        <v>16.081150910512747</v>
      </c>
      <c r="V7" s="446">
        <f>'EB2018'!U65</f>
        <v>75.572066470723442</v>
      </c>
      <c r="W7" s="446">
        <f>'EB2018'!V65</f>
        <v>0</v>
      </c>
      <c r="X7" s="446">
        <f>'EB2018'!W65</f>
        <v>0</v>
      </c>
      <c r="Y7" s="446">
        <f>'EB2018'!X65</f>
        <v>0</v>
      </c>
      <c r="Z7" s="446">
        <f>'EB2018'!Y65</f>
        <v>0</v>
      </c>
      <c r="AA7" s="446">
        <f>'EB2018'!Z65</f>
        <v>0</v>
      </c>
      <c r="AB7" s="446">
        <f>'EB2018'!AA65</f>
        <v>192.07673199368949</v>
      </c>
      <c r="AC7" s="446">
        <f>'EB2018'!AB65</f>
        <v>17.792486808257973</v>
      </c>
      <c r="AD7" s="446">
        <f>'EB2018'!AC65</f>
        <v>0</v>
      </c>
      <c r="AE7" s="446">
        <f>'EB2018'!AD65</f>
        <v>0</v>
      </c>
      <c r="AF7" s="446">
        <f>'EB2018'!AE65</f>
        <v>12.975172827862389</v>
      </c>
      <c r="AG7" s="446">
        <f>'EB2018'!AF65</f>
        <v>0</v>
      </c>
      <c r="AH7" s="446">
        <f>'EB2018'!AG65</f>
        <v>0</v>
      </c>
      <c r="AI7" s="446">
        <f>'EB2018'!AH65</f>
        <v>4.8173139803955838</v>
      </c>
      <c r="AJ7" s="446">
        <f>'EB2018'!AI65</f>
        <v>0</v>
      </c>
      <c r="AK7" s="446">
        <f>'EB2018'!AJ65</f>
        <v>0</v>
      </c>
      <c r="AL7" s="446">
        <f>'EB2018'!AK65</f>
        <v>0</v>
      </c>
      <c r="AM7" s="446">
        <f>'EB2018'!AL65</f>
        <v>0</v>
      </c>
      <c r="AN7" s="446">
        <f>'EB2018'!AM65</f>
        <v>0</v>
      </c>
      <c r="AO7" s="446">
        <f>'EB2018'!AN65</f>
        <v>0</v>
      </c>
      <c r="AP7" s="446">
        <f>'EB2018'!AO65</f>
        <v>334.87725407835688</v>
      </c>
      <c r="AQ7" s="446">
        <f>'EB2018'!AP65</f>
        <v>0</v>
      </c>
      <c r="AR7" s="446">
        <f>'EB2018'!AQ65</f>
        <v>684.90892277191051</v>
      </c>
    </row>
    <row r="8" spans="1:44" s="427" customFormat="1" ht="15.75" customHeight="1">
      <c r="A8" s="430"/>
      <c r="B8" s="430"/>
      <c r="C8" s="430"/>
      <c r="D8" s="431"/>
      <c r="E8" s="431"/>
      <c r="F8" s="431"/>
      <c r="G8" s="431"/>
      <c r="H8" s="431"/>
      <c r="I8" s="431"/>
      <c r="J8" s="431"/>
      <c r="K8" s="426"/>
      <c r="L8" s="426"/>
      <c r="M8" s="426"/>
      <c r="N8" s="426"/>
      <c r="O8" s="426"/>
      <c r="P8" s="426"/>
      <c r="Q8" s="426"/>
      <c r="R8" s="426"/>
      <c r="S8" s="426"/>
      <c r="T8" s="426"/>
      <c r="U8" s="426"/>
      <c r="V8" s="432"/>
      <c r="W8" s="432"/>
      <c r="X8" s="432"/>
      <c r="Y8" s="432"/>
      <c r="Z8" s="432"/>
      <c r="AA8" s="432"/>
      <c r="AB8" s="432"/>
      <c r="AC8" s="432"/>
      <c r="AD8" s="432"/>
      <c r="AE8" s="432"/>
      <c r="AF8" s="432"/>
      <c r="AG8" s="432"/>
      <c r="AH8" s="432"/>
      <c r="AI8" s="432"/>
      <c r="AJ8" s="432"/>
      <c r="AK8" s="432"/>
      <c r="AL8" s="432"/>
      <c r="AM8" s="432"/>
      <c r="AN8" s="432"/>
      <c r="AO8" s="432"/>
      <c r="AP8" s="426"/>
      <c r="AQ8" s="426"/>
      <c r="AR8" s="426"/>
    </row>
    <row r="9" spans="1:44" s="427" customFormat="1" ht="15.75" customHeight="1">
      <c r="A9" s="430" t="s">
        <v>391</v>
      </c>
      <c r="B9" s="430"/>
      <c r="C9" s="430"/>
      <c r="D9" s="431"/>
      <c r="E9" s="431"/>
      <c r="F9" s="431"/>
      <c r="G9" s="431"/>
      <c r="H9" s="431"/>
      <c r="I9" s="431"/>
      <c r="J9" s="431"/>
      <c r="K9" s="426"/>
      <c r="L9" s="426"/>
      <c r="M9" s="426"/>
      <c r="N9" s="426"/>
      <c r="O9" s="426"/>
      <c r="P9" s="426"/>
      <c r="Q9" s="426"/>
      <c r="R9" s="426"/>
      <c r="S9" s="426"/>
      <c r="T9" s="426"/>
      <c r="U9" s="426"/>
      <c r="V9" s="432"/>
      <c r="W9" s="432"/>
      <c r="X9" s="432"/>
      <c r="Y9" s="432"/>
      <c r="Z9" s="432"/>
      <c r="AA9" s="432"/>
      <c r="AB9" s="432"/>
      <c r="AC9" s="432"/>
      <c r="AD9" s="432"/>
      <c r="AE9" s="432"/>
      <c r="AF9" s="432"/>
      <c r="AG9" s="432"/>
      <c r="AH9" s="432"/>
      <c r="AI9" s="432"/>
      <c r="AJ9" s="432"/>
      <c r="AK9" s="432"/>
      <c r="AL9" s="432"/>
      <c r="AM9" s="432"/>
      <c r="AN9" s="432"/>
      <c r="AO9" s="432"/>
      <c r="AP9" s="426"/>
      <c r="AQ9" s="426"/>
      <c r="AR9" s="426"/>
    </row>
    <row r="10" spans="1:44">
      <c r="B10" s="8" t="s">
        <v>392</v>
      </c>
      <c r="C10" s="8" t="s">
        <v>401</v>
      </c>
      <c r="AP10" s="7"/>
      <c r="AQ10" s="7"/>
      <c r="AR10" s="7"/>
    </row>
    <row r="11" spans="1:44" s="434" customFormat="1" ht="15.75" thickBot="1">
      <c r="B11" s="435"/>
      <c r="C11" s="435"/>
      <c r="D11" s="436" t="str">
        <f>Legend!$A$51</f>
        <v>Solids</v>
      </c>
      <c r="E11" s="436" t="str">
        <f>Legend!$A$52</f>
        <v>LPG</v>
      </c>
      <c r="F11" s="436" t="str">
        <f>Legend!$A$53</f>
        <v>Oil</v>
      </c>
      <c r="G11" s="436" t="str">
        <f>Legend!$A$54</f>
        <v>Natural Gas</v>
      </c>
      <c r="H11" s="436" t="str">
        <f>Legend!$A$55</f>
        <v>Biomass</v>
      </c>
      <c r="I11" s="436" t="str">
        <f>Legend!$A$56</f>
        <v>Biogas</v>
      </c>
      <c r="J11" s="436" t="str">
        <f>Legend!$A$57</f>
        <v>Solar</v>
      </c>
      <c r="K11" s="436" t="str">
        <f>Legend!$A$58</f>
        <v>Electricity</v>
      </c>
      <c r="L11" s="436" t="str">
        <f>Legend!$A$59</f>
        <v>Ambient Heat</v>
      </c>
      <c r="M11" s="436" t="s">
        <v>150</v>
      </c>
      <c r="P11" s="437"/>
      <c r="Q11" s="437"/>
      <c r="R11" s="437"/>
      <c r="S11" s="437"/>
      <c r="T11" s="437"/>
      <c r="U11" s="437"/>
      <c r="V11" s="437"/>
      <c r="W11" s="437"/>
      <c r="X11" s="437"/>
      <c r="Y11" s="437"/>
      <c r="Z11" s="437"/>
      <c r="AA11" s="437"/>
      <c r="AB11" s="437"/>
      <c r="AC11" s="437"/>
      <c r="AD11" s="437"/>
      <c r="AE11" s="437"/>
      <c r="AF11" s="437"/>
      <c r="AG11" s="437"/>
      <c r="AH11" s="437"/>
      <c r="AI11" s="437"/>
      <c r="AJ11" s="437"/>
      <c r="AK11" s="437"/>
      <c r="AL11" s="437"/>
      <c r="AM11" s="437"/>
      <c r="AN11" s="437"/>
      <c r="AO11" s="437"/>
    </row>
    <row r="12" spans="1:44">
      <c r="B12" s="440" t="s">
        <v>56</v>
      </c>
      <c r="C12" s="441"/>
      <c r="D12" s="449">
        <f>SUM(D5,I5)*Legend!$B$80</f>
        <v>2.2605320192481206E-2</v>
      </c>
      <c r="E12" s="449">
        <f>U5*Legend!$B$80</f>
        <v>2.919075000009308</v>
      </c>
      <c r="F12" s="449">
        <f>SUM(R5,T5,V5)*Legend!$B$80</f>
        <v>8.1154472997529989</v>
      </c>
      <c r="G12" s="449">
        <f>AB5*Legend!$B$80</f>
        <v>16.650562279597633</v>
      </c>
      <c r="H12" s="449">
        <f>AF5*Legend!$B$80</f>
        <v>0.75333608411544439</v>
      </c>
      <c r="I12" s="449">
        <f>AI5*Legend!$B$80</f>
        <v>0.31574984017572605</v>
      </c>
      <c r="J12" s="449">
        <f>AM5*Legend!$B$80</f>
        <v>6.9707984942638896E-3</v>
      </c>
      <c r="K12" s="449">
        <f>AP5*Legend!$B$80</f>
        <v>42.679928352699655</v>
      </c>
      <c r="L12" s="449">
        <f>AN5*Legend!$B$80</f>
        <v>0.65641279696870891</v>
      </c>
      <c r="M12" s="449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3" customFormat="1">
      <c r="B13" s="554" t="str">
        <f>Legend!$A$36</f>
        <v>Commercial Services</v>
      </c>
      <c r="D13" s="447">
        <f>SUM(D6,I6)*Legend!$B$80</f>
        <v>2.2605320192481206E-2</v>
      </c>
      <c r="E13" s="447">
        <f>U6*Legend!$B$80</f>
        <v>2.2457893736879599</v>
      </c>
      <c r="F13" s="447">
        <f>SUM(R6,T6,V6)*Legend!$B$80</f>
        <v>2.9204114740125804</v>
      </c>
      <c r="G13" s="447">
        <f>AB6*Legend!$B$80</f>
        <v>8.6086936644858429</v>
      </c>
      <c r="H13" s="447">
        <f>AF6*Legend!$B$80</f>
        <v>0.21009154815850178</v>
      </c>
      <c r="I13" s="447">
        <f>AI6*Legend!$B$80</f>
        <v>0.11405853844452372</v>
      </c>
      <c r="J13" s="447">
        <f>AM6*Legend!$B$80</f>
        <v>6.9707984942638896E-3</v>
      </c>
      <c r="K13" s="447">
        <f>AP6*Legend!$B$80</f>
        <v>28.659287478947007</v>
      </c>
      <c r="L13" s="447">
        <f>AN6*Legend!$B$80</f>
        <v>0.65641279696870891</v>
      </c>
      <c r="M13" s="449">
        <f>SUM(D13:L13)</f>
        <v>43.444320993391869</v>
      </c>
      <c r="P13" s="448"/>
      <c r="Q13" s="447"/>
      <c r="R13" s="448"/>
      <c r="S13" s="448"/>
      <c r="T13" s="448"/>
      <c r="U13" s="448"/>
      <c r="V13" s="448"/>
      <c r="W13" s="448"/>
      <c r="X13" s="448"/>
      <c r="Y13" s="448"/>
      <c r="Z13" s="448"/>
      <c r="AA13" s="448"/>
      <c r="AB13" s="448"/>
      <c r="AC13" s="448"/>
      <c r="AD13" s="448"/>
      <c r="AE13" s="448"/>
      <c r="AF13" s="448"/>
      <c r="AG13" s="448"/>
      <c r="AH13" s="448"/>
      <c r="AI13" s="448"/>
      <c r="AJ13" s="448"/>
      <c r="AK13" s="448"/>
      <c r="AL13" s="448"/>
      <c r="AM13" s="448"/>
      <c r="AN13" s="448"/>
      <c r="AO13" s="448"/>
    </row>
    <row r="14" spans="1:44" s="13" customFormat="1">
      <c r="B14" s="556" t="str">
        <f>Legend!$A$47</f>
        <v>Data centers</v>
      </c>
      <c r="D14" s="576"/>
      <c r="E14" s="576"/>
      <c r="F14" s="576"/>
      <c r="G14" s="576"/>
      <c r="H14" s="576"/>
      <c r="I14" s="576"/>
      <c r="J14" s="576"/>
      <c r="K14" s="597">
        <f>'Key Inputs'!$I$114</f>
        <v>5.6291760000000002</v>
      </c>
      <c r="L14" s="576"/>
      <c r="M14" s="577">
        <f>SUM(D14:L14)</f>
        <v>5.6291760000000002</v>
      </c>
      <c r="P14" s="448"/>
      <c r="Q14" s="447"/>
      <c r="R14" s="448"/>
      <c r="S14" s="448"/>
      <c r="T14" s="448"/>
      <c r="U14" s="448"/>
      <c r="V14" s="448"/>
      <c r="W14" s="448"/>
      <c r="X14" s="448"/>
      <c r="Y14" s="448"/>
      <c r="Z14" s="448"/>
      <c r="AA14" s="448"/>
      <c r="AB14" s="448"/>
      <c r="AC14" s="448"/>
      <c r="AD14" s="448"/>
      <c r="AE14" s="448"/>
      <c r="AF14" s="448"/>
      <c r="AG14" s="448"/>
      <c r="AH14" s="448"/>
      <c r="AI14" s="448"/>
      <c r="AJ14" s="448"/>
      <c r="AK14" s="448"/>
      <c r="AL14" s="448"/>
      <c r="AM14" s="448"/>
      <c r="AN14" s="448"/>
      <c r="AO14" s="448"/>
    </row>
    <row r="15" spans="1:44">
      <c r="B15" s="554" t="str">
        <f>Legend!$A$37</f>
        <v>Public Services</v>
      </c>
      <c r="C15" s="13"/>
      <c r="D15" s="447">
        <f>SUM(D7,I7)*Legend!$B$80</f>
        <v>0</v>
      </c>
      <c r="E15" s="447">
        <f>U7*Legend!$B$80</f>
        <v>0.6732856263213477</v>
      </c>
      <c r="F15" s="447">
        <f>SUM(R7,T7,V7)*Legend!$B$80</f>
        <v>5.195035825740419</v>
      </c>
      <c r="G15" s="447">
        <f>AB7*Legend!$B$80</f>
        <v>8.0418686151117917</v>
      </c>
      <c r="H15" s="447">
        <f>AF7*Legend!$B$80</f>
        <v>0.54324453595694255</v>
      </c>
      <c r="I15" s="447">
        <f>AI7*Legend!$B$80</f>
        <v>0.20169130173120231</v>
      </c>
      <c r="J15" s="447">
        <f>AM7*Legend!$B$80</f>
        <v>0</v>
      </c>
      <c r="K15" s="447">
        <f>AP7*Legend!$B$80</f>
        <v>14.020640873752647</v>
      </c>
      <c r="L15" s="447">
        <f>AN7*Legend!$B$80</f>
        <v>0</v>
      </c>
      <c r="M15" s="449">
        <f>SUM(D15:L15)</f>
        <v>28.675766778614353</v>
      </c>
      <c r="O15" s="7"/>
      <c r="AP15" s="7"/>
      <c r="AQ15" s="7"/>
      <c r="AR15" s="7"/>
    </row>
    <row r="16" spans="1:44">
      <c r="B16" s="560" t="str">
        <f>Legend!$A$48</f>
        <v>Public lighting</v>
      </c>
      <c r="C16" s="15"/>
      <c r="D16" s="578"/>
      <c r="E16" s="578"/>
      <c r="F16" s="578"/>
      <c r="G16" s="578"/>
      <c r="H16" s="578"/>
      <c r="I16" s="578"/>
      <c r="J16" s="578"/>
      <c r="K16" s="598">
        <f>'Public SEAI'!C29*Legend!$B$81</f>
        <v>1.4472</v>
      </c>
      <c r="L16" s="578"/>
      <c r="M16" s="579">
        <f>SUM(D16:L16)</f>
        <v>1.4472</v>
      </c>
      <c r="O16" s="7"/>
      <c r="AP16" s="7"/>
      <c r="AQ16" s="7"/>
      <c r="AR16" s="7"/>
    </row>
    <row r="17" spans="2:44">
      <c r="B17" s="554" t="str">
        <f>Legend!$A$36&amp;" (excl. "&amp;B14&amp;")"</f>
        <v>Commercial Services (excl. Data centers)</v>
      </c>
      <c r="C17" s="13"/>
      <c r="D17" s="580">
        <f>D13-D14</f>
        <v>2.2605320192481206E-2</v>
      </c>
      <c r="E17" s="580">
        <f t="shared" ref="E17:M17" si="0">E13-E14</f>
        <v>2.2457893736879599</v>
      </c>
      <c r="F17" s="580">
        <f t="shared" si="0"/>
        <v>2.9204114740125804</v>
      </c>
      <c r="G17" s="580">
        <f t="shared" si="0"/>
        <v>8.6086936644858429</v>
      </c>
      <c r="H17" s="580">
        <f t="shared" si="0"/>
        <v>0.21009154815850178</v>
      </c>
      <c r="I17" s="580">
        <f t="shared" si="0"/>
        <v>0.11405853844452372</v>
      </c>
      <c r="J17" s="580">
        <f t="shared" si="0"/>
        <v>6.9707984942638896E-3</v>
      </c>
      <c r="K17" s="580">
        <f t="shared" si="0"/>
        <v>23.030111478947006</v>
      </c>
      <c r="L17" s="580">
        <f t="shared" si="0"/>
        <v>0.65641279696870891</v>
      </c>
      <c r="M17" s="449">
        <f t="shared" si="0"/>
        <v>37.815144993391868</v>
      </c>
      <c r="O17" s="7"/>
      <c r="AP17" s="7"/>
      <c r="AQ17" s="7"/>
      <c r="AR17" s="7"/>
    </row>
    <row r="18" spans="2:44">
      <c r="B18" s="555" t="str">
        <f>Legend!$A$37&amp;" (excl. "&amp;B16&amp;")"</f>
        <v>Public Services (excl. Public lighting)</v>
      </c>
      <c r="C18" s="15"/>
      <c r="D18" s="581">
        <f>D15-D16</f>
        <v>0</v>
      </c>
      <c r="E18" s="581">
        <f t="shared" ref="E18:M18" si="1">E15-E16</f>
        <v>0.6732856263213477</v>
      </c>
      <c r="F18" s="581">
        <f t="shared" si="1"/>
        <v>5.195035825740419</v>
      </c>
      <c r="G18" s="581">
        <f t="shared" si="1"/>
        <v>8.0418686151117917</v>
      </c>
      <c r="H18" s="581">
        <f t="shared" si="1"/>
        <v>0.54324453595694255</v>
      </c>
      <c r="I18" s="581">
        <f t="shared" si="1"/>
        <v>0.20169130173120231</v>
      </c>
      <c r="J18" s="581">
        <f t="shared" si="1"/>
        <v>0</v>
      </c>
      <c r="K18" s="581">
        <f t="shared" si="1"/>
        <v>12.573440873752647</v>
      </c>
      <c r="L18" s="581">
        <f t="shared" si="1"/>
        <v>0</v>
      </c>
      <c r="M18" s="450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393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8" t="s">
        <v>395</v>
      </c>
      <c r="C22" s="428" t="s">
        <v>165</v>
      </c>
      <c r="D22" s="20" t="s">
        <v>83</v>
      </c>
      <c r="E22" s="20" t="s">
        <v>405</v>
      </c>
      <c r="F22" s="429" t="s">
        <v>415</v>
      </c>
      <c r="G22" s="436" t="s">
        <v>85</v>
      </c>
      <c r="AP22" s="7"/>
      <c r="AQ22" s="7"/>
      <c r="AR22" s="7"/>
    </row>
    <row r="23" spans="2:44" ht="15.75" thickBot="1">
      <c r="B23" s="603" t="s">
        <v>494</v>
      </c>
      <c r="C23" s="19"/>
      <c r="D23" s="583"/>
      <c r="E23" s="583"/>
      <c r="F23" s="471" t="s">
        <v>185</v>
      </c>
      <c r="G23" s="452"/>
      <c r="AP23" s="7"/>
      <c r="AQ23" s="7"/>
      <c r="AR23" s="7"/>
    </row>
    <row r="24" spans="2:44">
      <c r="B24" s="462"/>
      <c r="C24" s="462"/>
      <c r="D24" s="100"/>
      <c r="E24" s="100"/>
      <c r="F24" s="474" t="s">
        <v>137</v>
      </c>
      <c r="G24" s="475" t="s">
        <v>46</v>
      </c>
      <c r="AP24" s="7"/>
      <c r="AQ24" s="7"/>
      <c r="AR24" s="7"/>
    </row>
    <row r="25" spans="2:44">
      <c r="B25" s="442" t="str">
        <f t="shared" ref="B25:B57" si="2">$B$17</f>
        <v>Commercial Services (excl. Data centers)</v>
      </c>
      <c r="C25" s="453" t="str">
        <f>Legend!$A$39</f>
        <v>Space heating</v>
      </c>
      <c r="D25" s="129" t="str">
        <f>Legend!$A$51</f>
        <v>Solids</v>
      </c>
      <c r="E25" s="129"/>
      <c r="F25" s="464">
        <v>1</v>
      </c>
      <c r="G25" s="463">
        <f>SUMIFS($D$17:$L$17,$D$11:$L$11,$D25)*F25</f>
        <v>2.2605320192481206E-2</v>
      </c>
      <c r="H25" s="454"/>
      <c r="I25" s="454"/>
      <c r="J25" s="454"/>
      <c r="L25" s="31"/>
      <c r="M25" s="31"/>
      <c r="AP25" s="7"/>
      <c r="AQ25" s="7"/>
      <c r="AR25" s="7"/>
    </row>
    <row r="26" spans="2:44">
      <c r="B26" s="442" t="str">
        <f t="shared" si="2"/>
        <v>Commercial Services (excl. Data centers)</v>
      </c>
      <c r="C26" s="453" t="str">
        <f>Legend!$A$39</f>
        <v>Space heating</v>
      </c>
      <c r="D26" s="129" t="str">
        <f>Legend!$A$52</f>
        <v>LPG</v>
      </c>
      <c r="E26" s="129"/>
      <c r="F26" s="459">
        <v>0</v>
      </c>
      <c r="G26" s="463">
        <f t="shared" ref="G26:G34" si="3">SUMIFS($D$17:$L$17,$D$11:$L$11,$D26)*F26</f>
        <v>0</v>
      </c>
      <c r="H26" s="454"/>
      <c r="I26" s="454"/>
      <c r="J26" s="454"/>
      <c r="L26" s="31"/>
      <c r="M26" s="31"/>
      <c r="AP26" s="7"/>
      <c r="AQ26" s="7"/>
      <c r="AR26" s="7"/>
    </row>
    <row r="27" spans="2:44">
      <c r="B27" s="442" t="str">
        <f t="shared" si="2"/>
        <v>Commercial Services (excl. Data centers)</v>
      </c>
      <c r="C27" s="453" t="str">
        <f>Legend!$A$39</f>
        <v>Space heating</v>
      </c>
      <c r="D27" s="129" t="str">
        <f>Legend!$A$53</f>
        <v>Oil</v>
      </c>
      <c r="E27" s="129"/>
      <c r="F27" s="459">
        <v>0.77148994613935973</v>
      </c>
      <c r="G27" s="463">
        <f t="shared" si="3"/>
        <v>2.2530680907907339</v>
      </c>
      <c r="H27" s="454"/>
      <c r="I27" s="454"/>
      <c r="J27" s="454"/>
      <c r="L27" s="31"/>
      <c r="M27" s="31"/>
      <c r="AP27" s="7"/>
      <c r="AQ27" s="7"/>
      <c r="AR27" s="7"/>
    </row>
    <row r="28" spans="2:44">
      <c r="B28" s="442" t="str">
        <f t="shared" si="2"/>
        <v>Commercial Services (excl. Data centers)</v>
      </c>
      <c r="C28" s="453" t="str">
        <f>Legend!$A$39</f>
        <v>Space heating</v>
      </c>
      <c r="D28" s="129" t="str">
        <f>Legend!$A$54</f>
        <v>Natural Gas</v>
      </c>
      <c r="E28" s="129"/>
      <c r="F28" s="459">
        <v>0.57925202920378049</v>
      </c>
      <c r="G28" s="463">
        <f t="shared" si="3"/>
        <v>4.9866032739471535</v>
      </c>
      <c r="H28" s="454"/>
      <c r="I28" s="454"/>
      <c r="J28" s="454"/>
      <c r="L28" s="31"/>
      <c r="M28" s="31"/>
      <c r="AP28" s="7"/>
      <c r="AQ28" s="7"/>
      <c r="AR28" s="7"/>
    </row>
    <row r="29" spans="2:44">
      <c r="B29" s="442" t="str">
        <f t="shared" si="2"/>
        <v>Commercial Services (excl. Data centers)</v>
      </c>
      <c r="C29" s="453" t="str">
        <f>Legend!$A$39</f>
        <v>Space heating</v>
      </c>
      <c r="D29" s="129" t="str">
        <f>Legend!$A$55</f>
        <v>Biomass</v>
      </c>
      <c r="E29" s="129"/>
      <c r="F29" s="459">
        <v>1</v>
      </c>
      <c r="G29" s="463">
        <f t="shared" si="3"/>
        <v>0.21009154815850178</v>
      </c>
      <c r="H29" s="454"/>
      <c r="I29" s="454"/>
      <c r="J29" s="454"/>
      <c r="L29" s="31"/>
      <c r="M29" s="31"/>
      <c r="AP29" s="7"/>
      <c r="AQ29" s="7"/>
      <c r="AR29" s="7"/>
    </row>
    <row r="30" spans="2:44">
      <c r="B30" s="442" t="str">
        <f t="shared" si="2"/>
        <v>Commercial Services (excl. Data centers)</v>
      </c>
      <c r="C30" s="453" t="str">
        <f>Legend!$A$39</f>
        <v>Space heating</v>
      </c>
      <c r="D30" s="87" t="str">
        <f>Legend!$A$56</f>
        <v>Biogas</v>
      </c>
      <c r="E30" s="129"/>
      <c r="F30" s="464">
        <v>1</v>
      </c>
      <c r="G30" s="463">
        <f t="shared" si="3"/>
        <v>0.11405853844452372</v>
      </c>
      <c r="H30" s="454"/>
      <c r="I30" s="454"/>
      <c r="J30" s="454"/>
      <c r="L30" s="31"/>
      <c r="M30" s="31"/>
      <c r="AP30" s="7"/>
      <c r="AQ30" s="7"/>
      <c r="AR30" s="7"/>
    </row>
    <row r="31" spans="2:44">
      <c r="B31" s="442" t="str">
        <f t="shared" si="2"/>
        <v>Commercial Services (excl. Data centers)</v>
      </c>
      <c r="C31" s="453" t="str">
        <f>Legend!$A$39</f>
        <v>Space heating</v>
      </c>
      <c r="D31" s="87" t="str">
        <f>Legend!$A$57</f>
        <v>Solar</v>
      </c>
      <c r="E31" s="129"/>
      <c r="F31" s="459">
        <v>0</v>
      </c>
      <c r="G31" s="463">
        <f t="shared" si="3"/>
        <v>0</v>
      </c>
      <c r="H31" s="454"/>
      <c r="I31" s="454"/>
      <c r="J31" s="454"/>
      <c r="L31" s="31"/>
      <c r="M31" s="31"/>
      <c r="AP31" s="7"/>
      <c r="AQ31" s="7"/>
      <c r="AR31" s="7"/>
    </row>
    <row r="32" spans="2:44">
      <c r="B32" s="442" t="str">
        <f t="shared" si="2"/>
        <v>Commercial Services (excl. Data centers)</v>
      </c>
      <c r="C32" s="453" t="str">
        <f>Legend!$A$39</f>
        <v>Space heating</v>
      </c>
      <c r="D32" s="129" t="str">
        <f>Legend!$A$58</f>
        <v>Electricity</v>
      </c>
      <c r="E32" s="129" t="s">
        <v>406</v>
      </c>
      <c r="F32" s="459">
        <v>2.0979079880167242E-2</v>
      </c>
      <c r="G32" s="463">
        <f t="shared" si="3"/>
        <v>0.48315054836598581</v>
      </c>
      <c r="H32" s="454"/>
      <c r="I32" s="454"/>
      <c r="J32" s="454"/>
      <c r="L32" s="31"/>
      <c r="M32" s="31"/>
      <c r="AP32" s="7"/>
      <c r="AQ32" s="7"/>
      <c r="AR32" s="7"/>
    </row>
    <row r="33" spans="2:44">
      <c r="B33" s="442" t="str">
        <f t="shared" si="2"/>
        <v>Commercial Services (excl. Data centers)</v>
      </c>
      <c r="C33" s="453" t="str">
        <f>Legend!$A$39</f>
        <v>Space heating</v>
      </c>
      <c r="D33" s="129" t="str">
        <f>Legend!$A$58</f>
        <v>Electricity</v>
      </c>
      <c r="E33" s="129" t="s">
        <v>407</v>
      </c>
      <c r="F33" s="459">
        <v>9.0683292361053588E-2</v>
      </c>
      <c r="G33" s="463">
        <f t="shared" si="3"/>
        <v>2.0884463323530076</v>
      </c>
      <c r="H33" s="454"/>
      <c r="I33" s="454"/>
      <c r="J33" s="454"/>
      <c r="L33" s="31"/>
      <c r="M33" s="31"/>
      <c r="AP33" s="7"/>
      <c r="AQ33" s="7"/>
      <c r="AR33" s="7"/>
    </row>
    <row r="34" spans="2:44">
      <c r="B34" s="442" t="str">
        <f t="shared" si="2"/>
        <v>Commercial Services (excl. Data centers)</v>
      </c>
      <c r="C34" s="453" t="str">
        <f>Legend!$A$39</f>
        <v>Space heating</v>
      </c>
      <c r="D34" s="129" t="str">
        <f>Legend!$A$59</f>
        <v>Ambient Heat</v>
      </c>
      <c r="E34" s="129"/>
      <c r="F34" s="464">
        <v>1</v>
      </c>
      <c r="G34" s="463">
        <f t="shared" si="3"/>
        <v>0.65641279696870891</v>
      </c>
      <c r="H34" s="454"/>
      <c r="I34" s="454"/>
      <c r="J34" s="454"/>
      <c r="L34" s="31"/>
      <c r="M34" s="31"/>
      <c r="AP34" s="7"/>
      <c r="AQ34" s="7"/>
      <c r="AR34" s="7"/>
    </row>
    <row r="35" spans="2:44">
      <c r="B35" s="438" t="str">
        <f t="shared" si="2"/>
        <v>Commercial Services (excl. Data centers)</v>
      </c>
      <c r="C35" s="439" t="str">
        <f>Legend!$A$39</f>
        <v>Space heating</v>
      </c>
      <c r="D35" s="439" t="s">
        <v>408</v>
      </c>
      <c r="E35" s="465"/>
      <c r="F35" s="467"/>
      <c r="G35" s="466">
        <f>SUM(G25:G34)</f>
        <v>10.814436449221098</v>
      </c>
      <c r="H35" s="452"/>
      <c r="I35" s="452"/>
      <c r="J35" s="452"/>
      <c r="L35" s="31"/>
      <c r="M35" s="31"/>
      <c r="AP35" s="7"/>
      <c r="AQ35" s="7"/>
      <c r="AR35" s="7"/>
    </row>
    <row r="36" spans="2:44">
      <c r="B36" s="442" t="str">
        <f t="shared" si="2"/>
        <v>Commercial Services (excl. Data centers)</v>
      </c>
      <c r="C36" s="453" t="str">
        <f>Legend!$A$40</f>
        <v>Water heating</v>
      </c>
      <c r="D36" s="129" t="str">
        <f>Legend!$A$51</f>
        <v>Solids</v>
      </c>
      <c r="E36" s="454"/>
      <c r="F36" s="459">
        <v>0</v>
      </c>
      <c r="G36" s="463">
        <f t="shared" ref="G36:G43" si="4">SUMIFS($D$17:$L$17,$D$11:$L$11,$D36)*F36</f>
        <v>0</v>
      </c>
      <c r="H36" s="454"/>
      <c r="I36" s="454"/>
      <c r="J36" s="454"/>
      <c r="L36" s="31"/>
      <c r="M36" s="31"/>
      <c r="AP36" s="7"/>
      <c r="AQ36" s="7"/>
      <c r="AR36" s="7"/>
    </row>
    <row r="37" spans="2:44">
      <c r="B37" s="442" t="str">
        <f t="shared" si="2"/>
        <v>Commercial Services (excl. Data centers)</v>
      </c>
      <c r="C37" s="453" t="str">
        <f>Legend!$A$40</f>
        <v>Water heating</v>
      </c>
      <c r="D37" s="129" t="str">
        <f>Legend!$A$52</f>
        <v>LPG</v>
      </c>
      <c r="E37" s="454"/>
      <c r="F37" s="459">
        <v>0</v>
      </c>
      <c r="G37" s="463">
        <f t="shared" si="4"/>
        <v>0</v>
      </c>
      <c r="H37" s="454"/>
      <c r="I37" s="454"/>
      <c r="J37" s="454"/>
      <c r="L37" s="31"/>
      <c r="M37" s="31"/>
      <c r="AP37" s="7"/>
      <c r="AQ37" s="7"/>
      <c r="AR37" s="7"/>
    </row>
    <row r="38" spans="2:44">
      <c r="B38" s="442" t="str">
        <f t="shared" si="2"/>
        <v>Commercial Services (excl. Data centers)</v>
      </c>
      <c r="C38" s="453" t="str">
        <f>Legend!$A$40</f>
        <v>Water heating</v>
      </c>
      <c r="D38" s="129" t="str">
        <f>Legend!$A$53</f>
        <v>Oil</v>
      </c>
      <c r="E38" s="454"/>
      <c r="F38" s="459">
        <v>0.2285100538606403</v>
      </c>
      <c r="G38" s="463">
        <f t="shared" si="4"/>
        <v>0.66734338322184672</v>
      </c>
      <c r="H38" s="454"/>
      <c r="I38" s="454"/>
      <c r="J38" s="454"/>
      <c r="L38" s="31"/>
      <c r="M38" s="31"/>
      <c r="AP38" s="7"/>
      <c r="AQ38" s="7"/>
      <c r="AR38" s="7"/>
    </row>
    <row r="39" spans="2:44">
      <c r="B39" s="442" t="str">
        <f t="shared" si="2"/>
        <v>Commercial Services (excl. Data centers)</v>
      </c>
      <c r="C39" s="453" t="str">
        <f>Legend!$A$40</f>
        <v>Water heating</v>
      </c>
      <c r="D39" s="129" t="str">
        <f>Legend!$A$54</f>
        <v>Natural Gas</v>
      </c>
      <c r="E39" s="454"/>
      <c r="F39" s="459">
        <v>0.17174852165350002</v>
      </c>
      <c r="G39" s="463">
        <f t="shared" si="4"/>
        <v>1.4785304102432952</v>
      </c>
      <c r="H39" s="463"/>
      <c r="I39" s="454"/>
      <c r="J39" s="454"/>
      <c r="L39" s="31"/>
      <c r="M39" s="31"/>
      <c r="AP39" s="7"/>
      <c r="AQ39" s="7"/>
      <c r="AR39" s="7"/>
    </row>
    <row r="40" spans="2:44">
      <c r="B40" s="442" t="str">
        <f t="shared" si="2"/>
        <v>Commercial Services (excl. Data centers)</v>
      </c>
      <c r="C40" s="453" t="str">
        <f>Legend!$A$40</f>
        <v>Water heating</v>
      </c>
      <c r="D40" s="129" t="str">
        <f>Legend!$A$55</f>
        <v>Biomass</v>
      </c>
      <c r="E40" s="454"/>
      <c r="F40" s="459">
        <v>0</v>
      </c>
      <c r="G40" s="463">
        <f t="shared" si="4"/>
        <v>0</v>
      </c>
      <c r="H40" s="454"/>
      <c r="I40" s="454"/>
      <c r="J40" s="454"/>
      <c r="L40" s="31"/>
      <c r="M40" s="31"/>
      <c r="AP40" s="7"/>
      <c r="AQ40" s="7"/>
      <c r="AR40" s="7"/>
    </row>
    <row r="41" spans="2:44">
      <c r="B41" s="442" t="str">
        <f t="shared" si="2"/>
        <v>Commercial Services (excl. Data centers)</v>
      </c>
      <c r="C41" s="453" t="str">
        <f>Legend!$A$40</f>
        <v>Water heating</v>
      </c>
      <c r="D41" s="129" t="str">
        <f>Legend!$A$56</f>
        <v>Biogas</v>
      </c>
      <c r="E41" s="454"/>
      <c r="F41" s="464">
        <v>0</v>
      </c>
      <c r="G41" s="463">
        <f t="shared" si="4"/>
        <v>0</v>
      </c>
      <c r="H41" s="454"/>
      <c r="I41" s="454"/>
      <c r="J41" s="454"/>
      <c r="L41" s="31"/>
      <c r="M41" s="31"/>
      <c r="AP41" s="7"/>
      <c r="AQ41" s="7"/>
      <c r="AR41" s="7"/>
    </row>
    <row r="42" spans="2:44">
      <c r="B42" s="442" t="str">
        <f t="shared" si="2"/>
        <v>Commercial Services (excl. Data centers)</v>
      </c>
      <c r="C42" s="453" t="str">
        <f>Legend!$A$40</f>
        <v>Water heating</v>
      </c>
      <c r="D42" s="129" t="str">
        <f>Legend!$A$58</f>
        <v>Electricity</v>
      </c>
      <c r="E42" s="454"/>
      <c r="F42" s="459">
        <v>5.144655820488965E-2</v>
      </c>
      <c r="G42" s="463">
        <f t="shared" si="4"/>
        <v>1.1848199706667444</v>
      </c>
      <c r="H42" s="454"/>
      <c r="I42" s="454"/>
      <c r="J42" s="454"/>
      <c r="L42" s="31"/>
      <c r="M42" s="31"/>
      <c r="AP42" s="7"/>
      <c r="AQ42" s="7"/>
      <c r="AR42" s="7"/>
    </row>
    <row r="43" spans="2:44">
      <c r="B43" s="442" t="str">
        <f t="shared" si="2"/>
        <v>Commercial Services (excl. Data centers)</v>
      </c>
      <c r="C43" s="453" t="str">
        <f>Legend!$A$40</f>
        <v>Water heating</v>
      </c>
      <c r="D43" s="129" t="str">
        <f>Legend!$A$57</f>
        <v>Solar</v>
      </c>
      <c r="E43" s="454"/>
      <c r="F43" s="459">
        <v>0.99999999999999989</v>
      </c>
      <c r="G43" s="463">
        <f t="shared" si="4"/>
        <v>6.9707984942638888E-3</v>
      </c>
      <c r="H43" s="454"/>
      <c r="I43" s="454"/>
      <c r="J43" s="454"/>
      <c r="L43" s="31"/>
      <c r="M43" s="31"/>
      <c r="AP43" s="7"/>
      <c r="AQ43" s="7"/>
      <c r="AR43" s="7"/>
    </row>
    <row r="44" spans="2:44">
      <c r="B44" s="438" t="str">
        <f t="shared" si="2"/>
        <v>Commercial Services (excl. Data centers)</v>
      </c>
      <c r="C44" s="439" t="str">
        <f>Legend!$A$40</f>
        <v>Water heating</v>
      </c>
      <c r="D44" s="439" t="s">
        <v>408</v>
      </c>
      <c r="E44" s="465"/>
      <c r="F44" s="467"/>
      <c r="G44" s="466">
        <f>SUM(G36:G43)</f>
        <v>3.3376645626261503</v>
      </c>
      <c r="H44" s="454"/>
      <c r="I44" s="454"/>
      <c r="J44" s="454"/>
      <c r="L44" s="31"/>
      <c r="M44" s="31"/>
      <c r="AP44" s="7"/>
      <c r="AQ44" s="7"/>
      <c r="AR44" s="7"/>
    </row>
    <row r="45" spans="2:44">
      <c r="B45" s="442" t="str">
        <f t="shared" si="2"/>
        <v>Commercial Services (excl. Data centers)</v>
      </c>
      <c r="C45" s="453" t="str">
        <f>Legend!$A$41</f>
        <v>Space cooling</v>
      </c>
      <c r="D45" s="458" t="str">
        <f>Legend!$A$54</f>
        <v>Natural Gas</v>
      </c>
      <c r="E45" s="454"/>
      <c r="F45" s="460">
        <v>5.5954037870663276E-4</v>
      </c>
      <c r="G45" s="463">
        <f t="shared" ref="G45:G46" si="5">SUMIFS($D$17:$L$17,$D$11:$L$11,$D45)*F45</f>
        <v>4.8169117131957985E-3</v>
      </c>
      <c r="H45" s="454"/>
      <c r="I45" s="454"/>
      <c r="J45" s="454"/>
      <c r="L45" s="31"/>
      <c r="M45" s="31"/>
      <c r="AP45" s="7"/>
      <c r="AQ45" s="7"/>
      <c r="AR45" s="7"/>
    </row>
    <row r="46" spans="2:44">
      <c r="B46" s="442" t="str">
        <f t="shared" si="2"/>
        <v>Commercial Services (excl. Data centers)</v>
      </c>
      <c r="C46" s="453" t="str">
        <f>Legend!$A$41</f>
        <v>Space cooling</v>
      </c>
      <c r="D46" s="458" t="str">
        <f>Legend!$A$58</f>
        <v>Electricity</v>
      </c>
      <c r="E46" s="454"/>
      <c r="F46" s="460">
        <v>4.5127826308389997E-2</v>
      </c>
      <c r="G46" s="463">
        <f t="shared" si="5"/>
        <v>1.0392988706847792</v>
      </c>
      <c r="H46" s="454"/>
      <c r="I46" s="454"/>
      <c r="J46" s="454"/>
      <c r="L46" s="31"/>
      <c r="M46" s="31"/>
      <c r="AP46" s="7"/>
      <c r="AQ46" s="7"/>
      <c r="AR46" s="7"/>
    </row>
    <row r="47" spans="2:44">
      <c r="B47" s="438" t="str">
        <f t="shared" si="2"/>
        <v>Commercial Services (excl. Data centers)</v>
      </c>
      <c r="C47" s="439" t="str">
        <f>Legend!$A$41</f>
        <v>Space cooling</v>
      </c>
      <c r="D47" s="439" t="s">
        <v>408</v>
      </c>
      <c r="E47" s="465"/>
      <c r="F47" s="467"/>
      <c r="G47" s="466">
        <f>SUM(G45:G46)</f>
        <v>1.044115782397975</v>
      </c>
      <c r="H47" s="454"/>
      <c r="I47" s="454"/>
      <c r="J47" s="454"/>
      <c r="K47" s="7"/>
      <c r="L47" s="31"/>
      <c r="M47" s="31"/>
      <c r="AP47" s="7"/>
      <c r="AQ47" s="7"/>
      <c r="AR47" s="7"/>
    </row>
    <row r="48" spans="2:44">
      <c r="B48" s="442" t="str">
        <f t="shared" si="2"/>
        <v>Commercial Services (excl. Data centers)</v>
      </c>
      <c r="C48" s="453" t="str">
        <f>Legend!$A$43</f>
        <v>Cooking</v>
      </c>
      <c r="D48" s="458" t="str">
        <f>Legend!$A$52</f>
        <v>LPG</v>
      </c>
      <c r="E48" s="454"/>
      <c r="F48" s="459">
        <v>0.99999999999999989</v>
      </c>
      <c r="G48" s="463">
        <f t="shared" ref="G48:G51" si="6">SUMIFS($D$17:$L$17,$D$11:$L$11,$D48)*F48</f>
        <v>2.2457893736879595</v>
      </c>
      <c r="H48" s="454"/>
      <c r="I48" s="454"/>
      <c r="J48" s="454"/>
      <c r="K48" s="7"/>
      <c r="L48" s="31"/>
      <c r="M48" s="31"/>
      <c r="AP48" s="7"/>
      <c r="AQ48" s="7"/>
      <c r="AR48" s="7"/>
    </row>
    <row r="49" spans="2:44">
      <c r="B49" s="442" t="str">
        <f t="shared" si="2"/>
        <v>Commercial Services (excl. Data centers)</v>
      </c>
      <c r="C49" s="453" t="str">
        <f>Legend!$A$43</f>
        <v>Cooking</v>
      </c>
      <c r="D49" s="458" t="str">
        <f>Legend!$A$54</f>
        <v>Natural Gas</v>
      </c>
      <c r="E49" s="454"/>
      <c r="F49" s="459">
        <v>0.24844748726336943</v>
      </c>
      <c r="G49" s="463">
        <f t="shared" si="6"/>
        <v>2.1388083095615955</v>
      </c>
      <c r="H49" s="454"/>
      <c r="I49" s="454"/>
      <c r="J49" s="454"/>
      <c r="K49" s="7"/>
      <c r="L49" s="31"/>
      <c r="M49" s="31"/>
      <c r="AP49" s="7"/>
      <c r="AQ49" s="7"/>
      <c r="AR49" s="7"/>
    </row>
    <row r="50" spans="2:44">
      <c r="B50" s="442" t="str">
        <f t="shared" si="2"/>
        <v>Commercial Services (excl. Data centers)</v>
      </c>
      <c r="C50" s="453" t="str">
        <f>Legend!$A$43</f>
        <v>Cooking</v>
      </c>
      <c r="D50" s="458" t="str">
        <f>Legend!$A$55</f>
        <v>Biomass</v>
      </c>
      <c r="E50" s="454"/>
      <c r="F50" s="459">
        <v>0</v>
      </c>
      <c r="G50" s="463">
        <f t="shared" si="6"/>
        <v>0</v>
      </c>
      <c r="H50" s="454"/>
      <c r="I50" s="454"/>
      <c r="J50" s="454"/>
      <c r="K50" s="7"/>
      <c r="L50" s="31"/>
      <c r="M50" s="31"/>
      <c r="AP50" s="7"/>
      <c r="AQ50" s="7"/>
      <c r="AR50" s="7"/>
    </row>
    <row r="51" spans="2:44">
      <c r="B51" s="442" t="str">
        <f t="shared" si="2"/>
        <v>Commercial Services (excl. Data centers)</v>
      </c>
      <c r="C51" s="453" t="str">
        <f>Legend!$A$43</f>
        <v>Cooking</v>
      </c>
      <c r="D51" s="458" t="str">
        <f>Legend!$A$58</f>
        <v>Electricity</v>
      </c>
      <c r="E51" s="454"/>
      <c r="F51" s="459">
        <v>9.8223015432927246E-2</v>
      </c>
      <c r="G51" s="463">
        <f t="shared" si="6"/>
        <v>2.2620869952186466</v>
      </c>
      <c r="H51" s="454"/>
      <c r="I51" s="454"/>
      <c r="J51" s="454"/>
      <c r="K51" s="7"/>
      <c r="L51" s="31"/>
      <c r="M51" s="31"/>
      <c r="AP51" s="7"/>
      <c r="AQ51" s="7"/>
      <c r="AR51" s="7"/>
    </row>
    <row r="52" spans="2:44">
      <c r="B52" s="438" t="str">
        <f t="shared" si="2"/>
        <v>Commercial Services (excl. Data centers)</v>
      </c>
      <c r="C52" s="439" t="str">
        <f>Legend!$A$43</f>
        <v>Cooking</v>
      </c>
      <c r="D52" s="439" t="s">
        <v>408</v>
      </c>
      <c r="E52" s="465"/>
      <c r="F52" s="467"/>
      <c r="G52" s="466">
        <f>SUM(G48:G51)</f>
        <v>6.6466846784682012</v>
      </c>
      <c r="H52" s="454"/>
      <c r="I52" s="454"/>
      <c r="J52" s="454"/>
      <c r="K52" s="7"/>
      <c r="L52" s="31"/>
      <c r="M52" s="31"/>
      <c r="AP52" s="7"/>
      <c r="AQ52" s="7"/>
      <c r="AR52" s="7"/>
    </row>
    <row r="53" spans="2:44">
      <c r="B53" s="442" t="str">
        <f t="shared" si="2"/>
        <v>Commercial Services (excl. Data centers)</v>
      </c>
      <c r="C53" s="458" t="str">
        <f>Legend!$A$44</f>
        <v>Building lighting</v>
      </c>
      <c r="D53" s="458" t="str">
        <f>Legend!$A$58</f>
        <v>Electricity</v>
      </c>
      <c r="E53" s="454"/>
      <c r="F53" s="461">
        <v>0.25516550175799979</v>
      </c>
      <c r="G53" s="463">
        <f t="shared" ref="G53:G55" si="7">SUMIFS($D$17:$L$17,$D$11:$L$11,$D53)*F53</f>
        <v>5.8764899510681836</v>
      </c>
      <c r="H53" s="454"/>
      <c r="I53" s="454"/>
      <c r="J53" s="454"/>
      <c r="K53" s="7"/>
      <c r="L53" s="31"/>
      <c r="M53" s="31"/>
      <c r="AP53" s="7"/>
      <c r="AQ53" s="7"/>
      <c r="AR53" s="7"/>
    </row>
    <row r="54" spans="2:44">
      <c r="B54" s="442" t="str">
        <f t="shared" si="2"/>
        <v>Commercial Services (excl. Data centers)</v>
      </c>
      <c r="C54" s="458" t="str">
        <f>Legend!$A$45</f>
        <v>Refrigeration</v>
      </c>
      <c r="D54" s="458" t="str">
        <f>Legend!$A$58</f>
        <v>Electricity</v>
      </c>
      <c r="E54" s="454"/>
      <c r="F54" s="461">
        <v>9.892425266646325E-2</v>
      </c>
      <c r="G54" s="463">
        <f t="shared" si="7"/>
        <v>2.2782365668801692</v>
      </c>
      <c r="H54" s="454"/>
      <c r="I54" s="454"/>
      <c r="J54" s="454"/>
      <c r="K54" s="7"/>
      <c r="L54" s="31"/>
      <c r="M54" s="31"/>
      <c r="AP54" s="7"/>
      <c r="AQ54" s="7"/>
      <c r="AR54" s="7"/>
    </row>
    <row r="55" spans="2:44">
      <c r="B55" s="442" t="str">
        <f t="shared" si="2"/>
        <v>Commercial Services (excl. Data centers)</v>
      </c>
      <c r="C55" s="458" t="str">
        <f>Legend!$A$46</f>
        <v>Other appliances</v>
      </c>
      <c r="D55" s="458" t="str">
        <f>Legend!$A$58</f>
        <v>Electricity</v>
      </c>
      <c r="E55" s="454"/>
      <c r="F55" s="461">
        <f>1-SUMIFS($F$25:$F$54,$D$25:$D$54,D55)</f>
        <v>0.3394504733881093</v>
      </c>
      <c r="G55" s="463">
        <f t="shared" si="7"/>
        <v>7.8175822437094915</v>
      </c>
      <c r="H55" s="454"/>
      <c r="I55" s="454"/>
      <c r="J55" s="454"/>
      <c r="K55" s="7"/>
      <c r="L55" s="31"/>
      <c r="M55" s="31"/>
      <c r="AP55" s="7"/>
      <c r="AQ55" s="7"/>
      <c r="AR55" s="7"/>
    </row>
    <row r="56" spans="2:44">
      <c r="B56" s="438" t="str">
        <f t="shared" si="2"/>
        <v>Commercial Services (excl. Data centers)</v>
      </c>
      <c r="C56" s="439" t="s">
        <v>414</v>
      </c>
      <c r="D56" s="439" t="str">
        <f>Legend!$A$58</f>
        <v>Electricity</v>
      </c>
      <c r="E56" s="465"/>
      <c r="F56" s="467"/>
      <c r="G56" s="466">
        <f>SUM(G53:G55)</f>
        <v>15.972308761657844</v>
      </c>
      <c r="H56" s="454"/>
      <c r="I56" s="454"/>
      <c r="J56" s="454"/>
      <c r="K56" s="7"/>
      <c r="L56" s="7"/>
      <c r="AP56" s="7"/>
      <c r="AQ56" s="7"/>
      <c r="AR56" s="7"/>
    </row>
    <row r="57" spans="2:44">
      <c r="B57" s="468" t="str">
        <f t="shared" si="2"/>
        <v>Commercial Services (excl. Data centers)</v>
      </c>
      <c r="C57" s="469" t="s">
        <v>416</v>
      </c>
      <c r="D57" s="473" t="s">
        <v>408</v>
      </c>
      <c r="E57" s="468"/>
      <c r="F57" s="470"/>
      <c r="G57" s="466">
        <f>SUM(G35,G44,G47,G52,G56)</f>
        <v>37.815210234371271</v>
      </c>
      <c r="H57" s="454"/>
      <c r="I57" s="454"/>
      <c r="J57" s="454"/>
      <c r="L57" s="7"/>
      <c r="AP57" s="7"/>
      <c r="AQ57" s="7"/>
      <c r="AR57" s="7"/>
    </row>
    <row r="58" spans="2:44">
      <c r="D58" s="7"/>
      <c r="E58" s="454"/>
      <c r="F58" s="471" t="s">
        <v>396</v>
      </c>
      <c r="G58" s="472">
        <f>G57-M17</f>
        <v>6.5240979402858557E-5</v>
      </c>
      <c r="H58" s="454"/>
      <c r="I58" s="454"/>
      <c r="J58" s="454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394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8" t="s">
        <v>395</v>
      </c>
      <c r="C61" s="428" t="s">
        <v>165</v>
      </c>
      <c r="D61" s="20" t="s">
        <v>83</v>
      </c>
      <c r="E61" s="20" t="s">
        <v>405</v>
      </c>
      <c r="F61" s="429" t="s">
        <v>415</v>
      </c>
      <c r="G61" s="436" t="s">
        <v>85</v>
      </c>
      <c r="AP61" s="7"/>
      <c r="AQ61" s="7"/>
      <c r="AR61" s="7"/>
    </row>
    <row r="62" spans="2:44" ht="15.75" thickBot="1">
      <c r="B62" s="603" t="s">
        <v>494</v>
      </c>
      <c r="C62" s="19"/>
      <c r="D62" s="583"/>
      <c r="E62" s="583"/>
      <c r="F62" s="471" t="s">
        <v>185</v>
      </c>
      <c r="G62" s="452"/>
      <c r="AP62" s="7"/>
      <c r="AQ62" s="7"/>
      <c r="AR62" s="7"/>
    </row>
    <row r="63" spans="2:44">
      <c r="B63" s="462"/>
      <c r="C63" s="462"/>
      <c r="D63" s="100"/>
      <c r="E63" s="100"/>
      <c r="F63" s="474" t="s">
        <v>137</v>
      </c>
      <c r="G63" s="475" t="s">
        <v>46</v>
      </c>
      <c r="AP63" s="7"/>
      <c r="AQ63" s="7"/>
      <c r="AR63" s="7"/>
    </row>
    <row r="64" spans="2:44">
      <c r="B64" s="442" t="str">
        <f t="shared" ref="B64:B96" si="8">$B$18</f>
        <v>Public Services (excl. Public lighting)</v>
      </c>
      <c r="C64" s="453" t="str">
        <f>Legend!$A$39</f>
        <v>Space heating</v>
      </c>
      <c r="D64" s="129" t="str">
        <f>Legend!$A$51</f>
        <v>Solids</v>
      </c>
      <c r="E64" s="129"/>
      <c r="F64" s="464">
        <f t="shared" ref="F64:F73" si="9">F25</f>
        <v>1</v>
      </c>
      <c r="G64" s="463">
        <f t="shared" ref="G64:G73" si="10">SUMIFS($D$18:$L$18,$D$11:$L$11,$D64)*F64</f>
        <v>0</v>
      </c>
    </row>
    <row r="65" spans="2:7">
      <c r="B65" s="442" t="str">
        <f t="shared" si="8"/>
        <v>Public Services (excl. Public lighting)</v>
      </c>
      <c r="C65" s="453" t="str">
        <f>Legend!$A$39</f>
        <v>Space heating</v>
      </c>
      <c r="D65" s="129" t="str">
        <f>Legend!$A$52</f>
        <v>LPG</v>
      </c>
      <c r="E65" s="129"/>
      <c r="F65" s="459">
        <f t="shared" si="9"/>
        <v>0</v>
      </c>
      <c r="G65" s="463">
        <f t="shared" si="10"/>
        <v>0</v>
      </c>
    </row>
    <row r="66" spans="2:7">
      <c r="B66" s="442" t="str">
        <f t="shared" si="8"/>
        <v>Public Services (excl. Public lighting)</v>
      </c>
      <c r="C66" s="453" t="str">
        <f>Legend!$A$39</f>
        <v>Space heating</v>
      </c>
      <c r="D66" s="129" t="str">
        <f>Legend!$A$53</f>
        <v>Oil</v>
      </c>
      <c r="E66" s="129"/>
      <c r="F66" s="459">
        <f t="shared" si="9"/>
        <v>0.77148994613935973</v>
      </c>
      <c r="G66" s="463">
        <f t="shared" si="10"/>
        <v>4.0079179093925204</v>
      </c>
    </row>
    <row r="67" spans="2:7">
      <c r="B67" s="442" t="str">
        <f t="shared" si="8"/>
        <v>Public Services (excl. Public lighting)</v>
      </c>
      <c r="C67" s="453" t="str">
        <f>Legend!$A$39</f>
        <v>Space heating</v>
      </c>
      <c r="D67" s="129" t="str">
        <f>Legend!$A$54</f>
        <v>Natural Gas</v>
      </c>
      <c r="E67" s="129"/>
      <c r="F67" s="459">
        <f t="shared" si="9"/>
        <v>0.57925202920378049</v>
      </c>
      <c r="G67" s="463">
        <f t="shared" si="10"/>
        <v>4.6582687138937011</v>
      </c>
    </row>
    <row r="68" spans="2:7">
      <c r="B68" s="442" t="str">
        <f t="shared" si="8"/>
        <v>Public Services (excl. Public lighting)</v>
      </c>
      <c r="C68" s="453" t="str">
        <f>Legend!$A$39</f>
        <v>Space heating</v>
      </c>
      <c r="D68" s="129" t="str">
        <f>Legend!$A$55</f>
        <v>Biomass</v>
      </c>
      <c r="E68" s="129"/>
      <c r="F68" s="459">
        <f t="shared" si="9"/>
        <v>1</v>
      </c>
      <c r="G68" s="463">
        <f t="shared" si="10"/>
        <v>0.54324453595694255</v>
      </c>
    </row>
    <row r="69" spans="2:7">
      <c r="B69" s="442" t="str">
        <f t="shared" si="8"/>
        <v>Public Services (excl. Public lighting)</v>
      </c>
      <c r="C69" s="453" t="str">
        <f>Legend!$A$39</f>
        <v>Space heating</v>
      </c>
      <c r="D69" s="87" t="str">
        <f>Legend!$A$56</f>
        <v>Biogas</v>
      </c>
      <c r="E69" s="129"/>
      <c r="F69" s="464">
        <f t="shared" si="9"/>
        <v>1</v>
      </c>
      <c r="G69" s="463">
        <f t="shared" si="10"/>
        <v>0.20169130173120231</v>
      </c>
    </row>
    <row r="70" spans="2:7">
      <c r="B70" s="442" t="str">
        <f t="shared" si="8"/>
        <v>Public Services (excl. Public lighting)</v>
      </c>
      <c r="C70" s="453" t="str">
        <f>Legend!$A$39</f>
        <v>Space heating</v>
      </c>
      <c r="D70" s="87" t="str">
        <f>Legend!$A$57</f>
        <v>Solar</v>
      </c>
      <c r="E70" s="129"/>
      <c r="F70" s="459">
        <f t="shared" si="9"/>
        <v>0</v>
      </c>
      <c r="G70" s="463">
        <f t="shared" si="10"/>
        <v>0</v>
      </c>
    </row>
    <row r="71" spans="2:7">
      <c r="B71" s="442" t="str">
        <f t="shared" si="8"/>
        <v>Public Services (excl. Public lighting)</v>
      </c>
      <c r="C71" s="453" t="str">
        <f>Legend!$A$39</f>
        <v>Space heating</v>
      </c>
      <c r="D71" s="129" t="str">
        <f>Legend!$A$58</f>
        <v>Electricity</v>
      </c>
      <c r="E71" s="129" t="s">
        <v>406</v>
      </c>
      <c r="F71" s="459">
        <f t="shared" si="9"/>
        <v>2.0979079880167242E-2</v>
      </c>
      <c r="G71" s="463">
        <f t="shared" si="10"/>
        <v>0.26377922045901658</v>
      </c>
    </row>
    <row r="72" spans="2:7">
      <c r="B72" s="442" t="str">
        <f t="shared" si="8"/>
        <v>Public Services (excl. Public lighting)</v>
      </c>
      <c r="C72" s="453" t="str">
        <f>Legend!$A$39</f>
        <v>Space heating</v>
      </c>
      <c r="D72" s="129" t="str">
        <f>Legend!$A$58</f>
        <v>Electricity</v>
      </c>
      <c r="E72" s="129" t="s">
        <v>407</v>
      </c>
      <c r="F72" s="459">
        <f t="shared" si="9"/>
        <v>9.0683292361053588E-2</v>
      </c>
      <c r="G72" s="463">
        <f t="shared" si="10"/>
        <v>1.1402010147389323</v>
      </c>
    </row>
    <row r="73" spans="2:7">
      <c r="B73" s="442" t="str">
        <f t="shared" si="8"/>
        <v>Public Services (excl. Public lighting)</v>
      </c>
      <c r="C73" s="453" t="str">
        <f>Legend!$A$39</f>
        <v>Space heating</v>
      </c>
      <c r="D73" s="129" t="str">
        <f>Legend!$A$59</f>
        <v>Ambient Heat</v>
      </c>
      <c r="E73" s="129"/>
      <c r="F73" s="464">
        <f t="shared" si="9"/>
        <v>1</v>
      </c>
      <c r="G73" s="463">
        <f t="shared" si="10"/>
        <v>0</v>
      </c>
    </row>
    <row r="74" spans="2:7">
      <c r="B74" s="438" t="str">
        <f t="shared" si="8"/>
        <v>Public Services (excl. Public lighting)</v>
      </c>
      <c r="C74" s="439" t="str">
        <f>Legend!$A$39</f>
        <v>Space heating</v>
      </c>
      <c r="D74" s="439" t="s">
        <v>408</v>
      </c>
      <c r="E74" s="465"/>
      <c r="F74" s="467"/>
      <c r="G74" s="466">
        <f>SUM(G64:G73)</f>
        <v>10.815102696172316</v>
      </c>
    </row>
    <row r="75" spans="2:7">
      <c r="B75" s="442" t="str">
        <f t="shared" si="8"/>
        <v>Public Services (excl. Public lighting)</v>
      </c>
      <c r="C75" s="453" t="str">
        <f>Legend!$A$40</f>
        <v>Water heating</v>
      </c>
      <c r="D75" s="129" t="str">
        <f>Legend!$A$51</f>
        <v>Solids</v>
      </c>
      <c r="E75" s="454"/>
      <c r="F75" s="459">
        <f t="shared" ref="F75:F82" si="11">F36</f>
        <v>0</v>
      </c>
      <c r="G75" s="463">
        <f t="shared" ref="G75:G82" si="12">SUMIFS($D$18:$L$18,$D$11:$L$11,$D75)*F75</f>
        <v>0</v>
      </c>
    </row>
    <row r="76" spans="2:7">
      <c r="B76" s="442" t="str">
        <f t="shared" si="8"/>
        <v>Public Services (excl. Public lighting)</v>
      </c>
      <c r="C76" s="453" t="str">
        <f>Legend!$A$40</f>
        <v>Water heating</v>
      </c>
      <c r="D76" s="129" t="str">
        <f>Legend!$A$52</f>
        <v>LPG</v>
      </c>
      <c r="E76" s="454"/>
      <c r="F76" s="459">
        <f t="shared" si="11"/>
        <v>0</v>
      </c>
      <c r="G76" s="463">
        <f t="shared" si="12"/>
        <v>0</v>
      </c>
    </row>
    <row r="77" spans="2:7">
      <c r="B77" s="442" t="str">
        <f t="shared" si="8"/>
        <v>Public Services (excl. Public lighting)</v>
      </c>
      <c r="C77" s="453" t="str">
        <f>Legend!$A$40</f>
        <v>Water heating</v>
      </c>
      <c r="D77" s="129" t="str">
        <f>Legend!$A$53</f>
        <v>Oil</v>
      </c>
      <c r="E77" s="454"/>
      <c r="F77" s="459">
        <f t="shared" si="11"/>
        <v>0.2285100538606403</v>
      </c>
      <c r="G77" s="463">
        <f t="shared" si="12"/>
        <v>1.1871179163478991</v>
      </c>
    </row>
    <row r="78" spans="2:7">
      <c r="B78" s="442" t="str">
        <f t="shared" si="8"/>
        <v>Public Services (excl. Public lighting)</v>
      </c>
      <c r="C78" s="453" t="str">
        <f>Legend!$A$40</f>
        <v>Water heating</v>
      </c>
      <c r="D78" s="129" t="str">
        <f>Legend!$A$54</f>
        <v>Natural Gas</v>
      </c>
      <c r="E78" s="454"/>
      <c r="F78" s="459">
        <f t="shared" si="11"/>
        <v>0.17174852165350002</v>
      </c>
      <c r="G78" s="463">
        <f t="shared" si="12"/>
        <v>1.3811790459771298</v>
      </c>
    </row>
    <row r="79" spans="2:7">
      <c r="B79" s="442" t="str">
        <f t="shared" si="8"/>
        <v>Public Services (excl. Public lighting)</v>
      </c>
      <c r="C79" s="453" t="str">
        <f>Legend!$A$40</f>
        <v>Water heating</v>
      </c>
      <c r="D79" s="129" t="str">
        <f>Legend!$A$55</f>
        <v>Biomass</v>
      </c>
      <c r="E79" s="454"/>
      <c r="F79" s="459">
        <f t="shared" si="11"/>
        <v>0</v>
      </c>
      <c r="G79" s="463">
        <f t="shared" si="12"/>
        <v>0</v>
      </c>
    </row>
    <row r="80" spans="2:7">
      <c r="B80" s="442" t="str">
        <f t="shared" si="8"/>
        <v>Public Services (excl. Public lighting)</v>
      </c>
      <c r="C80" s="453" t="str">
        <f>Legend!$A$40</f>
        <v>Water heating</v>
      </c>
      <c r="D80" s="129" t="str">
        <f>Legend!$A$56</f>
        <v>Biogas</v>
      </c>
      <c r="E80" s="454"/>
      <c r="F80" s="464">
        <f t="shared" si="11"/>
        <v>0</v>
      </c>
      <c r="G80" s="463">
        <f t="shared" si="12"/>
        <v>0</v>
      </c>
    </row>
    <row r="81" spans="2:7">
      <c r="B81" s="442" t="str">
        <f t="shared" si="8"/>
        <v>Public Services (excl. Public lighting)</v>
      </c>
      <c r="C81" s="453" t="str">
        <f>Legend!$A$40</f>
        <v>Water heating</v>
      </c>
      <c r="D81" s="129" t="str">
        <f>Legend!$A$58</f>
        <v>Electricity</v>
      </c>
      <c r="E81" s="454"/>
      <c r="F81" s="459">
        <f t="shared" si="11"/>
        <v>5.144655820488965E-2</v>
      </c>
      <c r="G81" s="463">
        <f t="shared" si="12"/>
        <v>0.64686025774725409</v>
      </c>
    </row>
    <row r="82" spans="2:7">
      <c r="B82" s="442" t="str">
        <f t="shared" si="8"/>
        <v>Public Services (excl. Public lighting)</v>
      </c>
      <c r="C82" s="453" t="str">
        <f>Legend!$A$40</f>
        <v>Water heating</v>
      </c>
      <c r="D82" s="129" t="str">
        <f>Legend!$A$57</f>
        <v>Solar</v>
      </c>
      <c r="E82" s="454"/>
      <c r="F82" s="459">
        <f t="shared" si="11"/>
        <v>0.99999999999999989</v>
      </c>
      <c r="G82" s="463">
        <f t="shared" si="12"/>
        <v>0</v>
      </c>
    </row>
    <row r="83" spans="2:7">
      <c r="B83" s="438" t="str">
        <f t="shared" si="8"/>
        <v>Public Services (excl. Public lighting)</v>
      </c>
      <c r="C83" s="439" t="str">
        <f>Legend!$A$40</f>
        <v>Water heating</v>
      </c>
      <c r="D83" s="439" t="s">
        <v>408</v>
      </c>
      <c r="E83" s="465"/>
      <c r="F83" s="467"/>
      <c r="G83" s="466">
        <f>SUM(G75:G82)</f>
        <v>3.2151572200722827</v>
      </c>
    </row>
    <row r="84" spans="2:7">
      <c r="B84" s="442" t="str">
        <f t="shared" si="8"/>
        <v>Public Services (excl. Public lighting)</v>
      </c>
      <c r="C84" s="453" t="str">
        <f>Legend!$A$41</f>
        <v>Space cooling</v>
      </c>
      <c r="D84" s="458" t="str">
        <f>Legend!$A$54</f>
        <v>Natural Gas</v>
      </c>
      <c r="E84" s="454"/>
      <c r="F84" s="460">
        <f>F45</f>
        <v>5.5954037870663276E-4</v>
      </c>
      <c r="G84" s="463">
        <f t="shared" ref="G84:G85" si="13">SUMIFS($D$18:$L$18,$D$11:$L$11,$D84)*F84</f>
        <v>4.4997502104086361E-3</v>
      </c>
    </row>
    <row r="85" spans="2:7">
      <c r="B85" s="442" t="str">
        <f t="shared" si="8"/>
        <v>Public Services (excl. Public lighting)</v>
      </c>
      <c r="C85" s="453" t="str">
        <f>Legend!$A$41</f>
        <v>Space cooling</v>
      </c>
      <c r="D85" s="458" t="str">
        <f>Legend!$A$58</f>
        <v>Electricity</v>
      </c>
      <c r="E85" s="454"/>
      <c r="F85" s="460">
        <f>F46</f>
        <v>4.5127826308389997E-2</v>
      </c>
      <c r="G85" s="463">
        <f t="shared" si="13"/>
        <v>0.56741205584952081</v>
      </c>
    </row>
    <row r="86" spans="2:7">
      <c r="B86" s="438" t="str">
        <f t="shared" si="8"/>
        <v>Public Services (excl. Public lighting)</v>
      </c>
      <c r="C86" s="439" t="str">
        <f>Legend!$A$41</f>
        <v>Space cooling</v>
      </c>
      <c r="D86" s="439" t="s">
        <v>408</v>
      </c>
      <c r="E86" s="465"/>
      <c r="F86" s="467"/>
      <c r="G86" s="466">
        <f>SUM(G84:G85)</f>
        <v>0.57191180605992942</v>
      </c>
    </row>
    <row r="87" spans="2:7">
      <c r="B87" s="442" t="str">
        <f t="shared" si="8"/>
        <v>Public Services (excl. Public lighting)</v>
      </c>
      <c r="C87" s="453" t="str">
        <f>Legend!$A$43</f>
        <v>Cooking</v>
      </c>
      <c r="D87" s="458" t="str">
        <f>Legend!$A$52</f>
        <v>LPG</v>
      </c>
      <c r="E87" s="454"/>
      <c r="F87" s="459">
        <f>F48</f>
        <v>0.99999999999999989</v>
      </c>
      <c r="G87" s="463">
        <f t="shared" ref="G87:G90" si="14">SUMIFS($D$18:$L$18,$D$11:$L$11,$D87)*F87</f>
        <v>0.67328562632134759</v>
      </c>
    </row>
    <row r="88" spans="2:7">
      <c r="B88" s="442" t="str">
        <f t="shared" si="8"/>
        <v>Public Services (excl. Public lighting)</v>
      </c>
      <c r="C88" s="453" t="str">
        <f>Legend!$A$43</f>
        <v>Cooking</v>
      </c>
      <c r="D88" s="458" t="str">
        <f>Legend!$A$54</f>
        <v>Natural Gas</v>
      </c>
      <c r="E88" s="454"/>
      <c r="F88" s="459">
        <f>F49</f>
        <v>0.24844748726336943</v>
      </c>
      <c r="G88" s="463">
        <f t="shared" si="14"/>
        <v>1.9979820503266772</v>
      </c>
    </row>
    <row r="89" spans="2:7">
      <c r="B89" s="442" t="str">
        <f t="shared" si="8"/>
        <v>Public Services (excl. Public lighting)</v>
      </c>
      <c r="C89" s="453" t="str">
        <f>Legend!$A$43</f>
        <v>Cooking</v>
      </c>
      <c r="D89" s="458" t="str">
        <f>Legend!$A$55</f>
        <v>Biomass</v>
      </c>
      <c r="E89" s="454"/>
      <c r="F89" s="459">
        <f>F50</f>
        <v>0</v>
      </c>
      <c r="G89" s="463">
        <f t="shared" si="14"/>
        <v>0</v>
      </c>
    </row>
    <row r="90" spans="2:7">
      <c r="B90" s="442" t="str">
        <f t="shared" si="8"/>
        <v>Public Services (excl. Public lighting)</v>
      </c>
      <c r="C90" s="453" t="str">
        <f>Legend!$A$43</f>
        <v>Cooking</v>
      </c>
      <c r="D90" s="458" t="str">
        <f>Legend!$A$58</f>
        <v>Electricity</v>
      </c>
      <c r="E90" s="454"/>
      <c r="F90" s="459">
        <f>F51</f>
        <v>9.8223015432927246E-2</v>
      </c>
      <c r="G90" s="463">
        <f t="shared" si="14"/>
        <v>1.2350012769876044</v>
      </c>
    </row>
    <row r="91" spans="2:7">
      <c r="B91" s="438" t="str">
        <f t="shared" si="8"/>
        <v>Public Services (excl. Public lighting)</v>
      </c>
      <c r="C91" s="439" t="str">
        <f>Legend!$A$43</f>
        <v>Cooking</v>
      </c>
      <c r="D91" s="439" t="s">
        <v>408</v>
      </c>
      <c r="E91" s="465"/>
      <c r="F91" s="467"/>
      <c r="G91" s="466">
        <f>SUM(G87:G90)</f>
        <v>3.9062689536356294</v>
      </c>
    </row>
    <row r="92" spans="2:7">
      <c r="B92" s="442" t="str">
        <f t="shared" si="8"/>
        <v>Public Services (excl. Public lighting)</v>
      </c>
      <c r="C92" s="458" t="str">
        <f>Legend!$A$44</f>
        <v>Building lighting</v>
      </c>
      <c r="D92" s="458" t="str">
        <f>Legend!$A$58</f>
        <v>Electricity</v>
      </c>
      <c r="E92" s="454"/>
      <c r="F92" s="461">
        <f>F53</f>
        <v>0.25516550175799979</v>
      </c>
      <c r="G92" s="463">
        <f t="shared" ref="G92:G94" si="15">SUMIFS($D$18:$L$18,$D$11:$L$11,$D92)*F92</f>
        <v>3.2083083493756375</v>
      </c>
    </row>
    <row r="93" spans="2:7">
      <c r="B93" s="442" t="str">
        <f t="shared" si="8"/>
        <v>Public Services (excl. Public lighting)</v>
      </c>
      <c r="C93" s="458" t="str">
        <f>Legend!$A$45</f>
        <v>Refrigeration</v>
      </c>
      <c r="D93" s="458" t="str">
        <f>Legend!$A$58</f>
        <v>Electricity</v>
      </c>
      <c r="E93" s="454"/>
      <c r="F93" s="461">
        <f>F54</f>
        <v>9.892425266646325E-2</v>
      </c>
      <c r="G93" s="463">
        <f t="shared" si="15"/>
        <v>1.2438182418819432</v>
      </c>
    </row>
    <row r="94" spans="2:7">
      <c r="B94" s="442" t="str">
        <f t="shared" si="8"/>
        <v>Public Services (excl. Public lighting)</v>
      </c>
      <c r="C94" s="458" t="str">
        <f>Legend!$A$46</f>
        <v>Other appliances</v>
      </c>
      <c r="D94" s="458" t="str">
        <f>Legend!$A$58</f>
        <v>Electricity</v>
      </c>
      <c r="E94" s="454"/>
      <c r="F94" s="461">
        <f>F55</f>
        <v>0.3394504733881093</v>
      </c>
      <c r="G94" s="463">
        <f t="shared" si="15"/>
        <v>4.2680604567127389</v>
      </c>
    </row>
    <row r="95" spans="2:7">
      <c r="B95" s="438" t="str">
        <f t="shared" si="8"/>
        <v>Public Services (excl. Public lighting)</v>
      </c>
      <c r="C95" s="439" t="s">
        <v>414</v>
      </c>
      <c r="D95" s="439" t="str">
        <f>Legend!$A$58</f>
        <v>Electricity</v>
      </c>
      <c r="E95" s="465"/>
      <c r="F95" s="467"/>
      <c r="G95" s="466">
        <f>SUM(G92:G94)</f>
        <v>8.7201870479703203</v>
      </c>
    </row>
    <row r="96" spans="2:7">
      <c r="B96" s="468" t="str">
        <f t="shared" si="8"/>
        <v>Public Services (excl. Public lighting)</v>
      </c>
      <c r="C96" s="469" t="s">
        <v>416</v>
      </c>
      <c r="D96" s="473" t="s">
        <v>408</v>
      </c>
      <c r="E96" s="468"/>
      <c r="F96" s="470"/>
      <c r="G96" s="466">
        <f>SUM(G74,G83,G86,G91,G95)</f>
        <v>27.228627723910478</v>
      </c>
    </row>
    <row r="97" spans="4:7">
      <c r="D97" s="7"/>
      <c r="E97" s="454"/>
      <c r="F97" s="471" t="s">
        <v>396</v>
      </c>
      <c r="G97" s="472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79" zoomScale="80" zoomScaleNormal="80" workbookViewId="0">
      <selection activeCell="L96" sqref="L96"/>
    </sheetView>
  </sheetViews>
  <sheetFormatPr defaultColWidth="9.140625" defaultRowHeight="15"/>
  <cols>
    <col min="1" max="1" width="23.7109375" style="26" customWidth="1"/>
    <col min="2" max="2" width="20.7109375" style="26" bestFit="1" customWidth="1"/>
    <col min="3" max="3" width="25" style="26" customWidth="1"/>
    <col min="4" max="4" width="13.42578125" style="26" customWidth="1"/>
    <col min="5" max="5" width="17.28515625" style="26" bestFit="1" customWidth="1"/>
    <col min="6" max="14" width="13.28515625" style="26" customWidth="1"/>
    <col min="15" max="16384" width="9.140625" style="26"/>
  </cols>
  <sheetData>
    <row r="1" spans="1:12" ht="23.25">
      <c r="A1" s="95" t="s">
        <v>169</v>
      </c>
      <c r="B1" s="31"/>
      <c r="C1" s="31"/>
    </row>
    <row r="2" spans="1:12" customFormat="1"/>
    <row r="3" spans="1:12" ht="21">
      <c r="A3" s="96" t="s">
        <v>94</v>
      </c>
    </row>
    <row r="4" spans="1:12" ht="15.75" thickBot="1">
      <c r="A4" s="20"/>
      <c r="B4" s="20" t="s">
        <v>42</v>
      </c>
      <c r="C4" s="20" t="s">
        <v>0</v>
      </c>
      <c r="D4" s="20">
        <f>Legend!$B$5</f>
        <v>2018</v>
      </c>
    </row>
    <row r="5" spans="1:12" ht="17.25">
      <c r="A5" s="26" t="s">
        <v>162</v>
      </c>
      <c r="B5" s="26" t="s">
        <v>185</v>
      </c>
      <c r="C5" s="101" t="s">
        <v>170</v>
      </c>
      <c r="D5" s="481">
        <v>87.053206529921553</v>
      </c>
    </row>
    <row r="6" spans="1:12" ht="17.25">
      <c r="A6" s="24" t="s">
        <v>163</v>
      </c>
      <c r="B6" s="24" t="s">
        <v>499</v>
      </c>
      <c r="C6" s="24" t="s">
        <v>171</v>
      </c>
      <c r="D6" s="614">
        <f>'CSO data'!O36</f>
        <v>670</v>
      </c>
    </row>
    <row r="8" spans="1:12" ht="21">
      <c r="A8" s="96" t="s">
        <v>57</v>
      </c>
      <c r="B8" s="97"/>
      <c r="C8" s="97"/>
      <c r="D8" s="97"/>
      <c r="E8" s="97"/>
      <c r="F8" s="97"/>
      <c r="G8" s="97"/>
      <c r="H8" s="97"/>
      <c r="I8" s="97"/>
    </row>
    <row r="9" spans="1:12" customFormat="1">
      <c r="A9" s="26" t="s">
        <v>418</v>
      </c>
      <c r="H9" s="89"/>
      <c r="I9" s="624"/>
      <c r="J9" s="624"/>
      <c r="K9" s="585"/>
      <c r="L9" s="585"/>
    </row>
    <row r="10" spans="1:12" ht="15.75" thickBot="1">
      <c r="A10" s="20"/>
      <c r="B10" s="20"/>
      <c r="C10" s="20" t="s">
        <v>82</v>
      </c>
      <c r="D10" s="20" t="s">
        <v>116</v>
      </c>
      <c r="H10" s="89"/>
      <c r="I10" s="590"/>
      <c r="J10" s="590"/>
      <c r="K10" s="585"/>
      <c r="L10" s="585"/>
    </row>
    <row r="11" spans="1:12" ht="15.75" thickBot="1">
      <c r="A11" s="603" t="s">
        <v>157</v>
      </c>
      <c r="B11" s="511"/>
      <c r="C11" s="603" t="s">
        <v>127</v>
      </c>
      <c r="D11" s="511"/>
      <c r="H11" s="89"/>
      <c r="I11" s="590"/>
      <c r="J11" s="590"/>
      <c r="K11" s="585"/>
      <c r="L11" s="585"/>
    </row>
    <row r="12" spans="1:12" ht="17.25">
      <c r="A12" s="28"/>
      <c r="B12" s="28"/>
      <c r="C12" s="28" t="s">
        <v>137</v>
      </c>
      <c r="D12" s="113" t="s">
        <v>170</v>
      </c>
      <c r="F12" s="25"/>
      <c r="H12" s="89"/>
      <c r="I12" s="624"/>
      <c r="J12" s="624"/>
      <c r="K12" s="585"/>
      <c r="L12" s="585"/>
    </row>
    <row r="13" spans="1:12">
      <c r="A13" s="26" t="s">
        <v>59</v>
      </c>
      <c r="C13" s="478">
        <v>0.23</v>
      </c>
      <c r="D13" s="482">
        <f>C13*$D$5</f>
        <v>20.022237501881957</v>
      </c>
      <c r="H13" s="89"/>
      <c r="I13" s="624"/>
      <c r="J13" s="624"/>
      <c r="K13" s="585"/>
      <c r="L13" s="585"/>
    </row>
    <row r="14" spans="1:12">
      <c r="B14" s="90" t="s">
        <v>61</v>
      </c>
      <c r="C14" s="480">
        <v>0.4</v>
      </c>
      <c r="D14" s="102">
        <f>D13*C14</f>
        <v>8.0088950007527835</v>
      </c>
      <c r="H14" s="89"/>
      <c r="I14" s="624"/>
      <c r="J14" s="624"/>
      <c r="K14" s="585"/>
      <c r="L14" s="585"/>
    </row>
    <row r="15" spans="1:12">
      <c r="B15" s="90" t="s">
        <v>60</v>
      </c>
      <c r="C15" s="480">
        <f>1-C14</f>
        <v>0.6</v>
      </c>
      <c r="D15" s="102">
        <f>D13*C15</f>
        <v>12.013342501129173</v>
      </c>
      <c r="H15" s="89"/>
      <c r="I15" s="590"/>
      <c r="K15" s="585"/>
      <c r="L15" s="585"/>
    </row>
    <row r="16" spans="1:12">
      <c r="A16" s="26" t="s">
        <v>58</v>
      </c>
      <c r="C16" s="478">
        <v>0.28000000000000003</v>
      </c>
      <c r="D16" s="482">
        <f t="shared" ref="D16:D20" si="0">C16*$D$5</f>
        <v>24.374897828378039</v>
      </c>
      <c r="H16" s="89"/>
      <c r="I16" s="624"/>
      <c r="J16" s="624"/>
      <c r="K16" s="585"/>
      <c r="L16" s="585"/>
    </row>
    <row r="17" spans="1:12">
      <c r="A17" s="26" t="s">
        <v>62</v>
      </c>
      <c r="C17" s="478">
        <v>0.11</v>
      </c>
      <c r="D17" s="482">
        <f t="shared" si="0"/>
        <v>9.5758527182913706</v>
      </c>
      <c r="H17" s="89"/>
      <c r="I17" s="590"/>
      <c r="J17" s="590"/>
      <c r="K17" s="585"/>
      <c r="L17" s="585"/>
    </row>
    <row r="18" spans="1:12">
      <c r="A18" s="26" t="s">
        <v>63</v>
      </c>
      <c r="C18" s="478">
        <v>7.0000000000000007E-2</v>
      </c>
      <c r="D18" s="482">
        <f t="shared" si="0"/>
        <v>6.0937244570945097</v>
      </c>
      <c r="H18" s="89"/>
      <c r="I18" s="590"/>
      <c r="K18" s="585"/>
      <c r="L18" s="585"/>
    </row>
    <row r="19" spans="1:12">
      <c r="A19" s="26" t="s">
        <v>64</v>
      </c>
      <c r="C19" s="478">
        <v>0.17</v>
      </c>
      <c r="D19" s="482">
        <f t="shared" si="0"/>
        <v>14.799045110086665</v>
      </c>
      <c r="H19" s="89"/>
      <c r="I19" s="590"/>
      <c r="J19" s="590"/>
      <c r="K19" s="585"/>
      <c r="L19" s="585"/>
    </row>
    <row r="20" spans="1:12">
      <c r="A20" s="24" t="s">
        <v>65</v>
      </c>
      <c r="B20" s="24"/>
      <c r="C20" s="479">
        <f>1-SUM(C16:C19,C13)</f>
        <v>0.14000000000000001</v>
      </c>
      <c r="D20" s="483">
        <f t="shared" si="0"/>
        <v>12.187448914189019</v>
      </c>
      <c r="H20" s="89"/>
      <c r="I20" s="590"/>
      <c r="J20" s="590"/>
      <c r="K20" s="585"/>
      <c r="L20" s="585"/>
    </row>
    <row r="21" spans="1:12">
      <c r="A21" s="26" t="s">
        <v>398</v>
      </c>
      <c r="C21" s="636">
        <f>D21/SUM($D$21:$D$22)</f>
        <v>0.33199999999999996</v>
      </c>
      <c r="D21" s="482">
        <f>(D14+D18+D19)</f>
        <v>28.901664567933956</v>
      </c>
      <c r="H21" s="89"/>
      <c r="I21" s="624"/>
      <c r="J21" s="624"/>
      <c r="K21" s="585"/>
      <c r="L21" s="585"/>
    </row>
    <row r="22" spans="1:12">
      <c r="A22" s="24" t="s">
        <v>397</v>
      </c>
      <c r="B22" s="24"/>
      <c r="C22" s="637">
        <f>D22/SUM($D$21:$D$22)</f>
        <v>0.66799999999999993</v>
      </c>
      <c r="D22" s="483">
        <f>(D15+D16+D17+D20)</f>
        <v>58.151541961987604</v>
      </c>
      <c r="H22" s="89"/>
      <c r="I22" s="624"/>
      <c r="J22" s="624"/>
      <c r="K22" s="585"/>
      <c r="L22" s="585"/>
    </row>
    <row r="24" spans="1:12" ht="21">
      <c r="A24" s="98" t="s">
        <v>81</v>
      </c>
    </row>
    <row r="25" spans="1:12">
      <c r="A25" s="99" t="s">
        <v>181</v>
      </c>
    </row>
    <row r="26" spans="1:12" ht="45.75" thickBot="1">
      <c r="A26" s="20" t="s">
        <v>395</v>
      </c>
      <c r="B26" s="20" t="s">
        <v>165</v>
      </c>
      <c r="C26" s="20" t="s">
        <v>83</v>
      </c>
      <c r="D26" s="20" t="s">
        <v>177</v>
      </c>
      <c r="E26" s="20" t="s">
        <v>178</v>
      </c>
      <c r="F26" s="21" t="s">
        <v>419</v>
      </c>
      <c r="G26" s="20" t="s">
        <v>134</v>
      </c>
      <c r="H26" s="491" t="s">
        <v>420</v>
      </c>
      <c r="I26" s="491" t="s">
        <v>149</v>
      </c>
      <c r="J26" s="21" t="s">
        <v>179</v>
      </c>
      <c r="K26" s="20" t="s">
        <v>116</v>
      </c>
      <c r="L26" s="21" t="s">
        <v>559</v>
      </c>
    </row>
    <row r="27" spans="1:12" ht="30.75" thickBot="1">
      <c r="A27" s="603" t="s">
        <v>494</v>
      </c>
      <c r="B27" s="604"/>
      <c r="C27" s="604"/>
      <c r="D27" s="604"/>
      <c r="E27" s="604"/>
      <c r="F27" s="605"/>
      <c r="G27" s="603" t="s">
        <v>185</v>
      </c>
      <c r="H27" s="609" t="s">
        <v>421</v>
      </c>
      <c r="I27" s="606" t="s">
        <v>421</v>
      </c>
      <c r="J27" s="607"/>
      <c r="K27" s="604"/>
      <c r="L27" s="605"/>
    </row>
    <row r="28" spans="1:12">
      <c r="A28" s="100"/>
      <c r="B28" s="100"/>
      <c r="C28" s="100"/>
      <c r="D28" s="100"/>
      <c r="E28" s="100"/>
      <c r="F28" s="487" t="s">
        <v>46</v>
      </c>
      <c r="G28" s="28" t="s">
        <v>137</v>
      </c>
      <c r="H28" s="487" t="s">
        <v>100</v>
      </c>
      <c r="I28" s="487" t="s">
        <v>70</v>
      </c>
      <c r="J28" s="28" t="s">
        <v>46</v>
      </c>
      <c r="K28" s="28" t="s">
        <v>67</v>
      </c>
      <c r="L28" s="487" t="s">
        <v>46</v>
      </c>
    </row>
    <row r="29" spans="1:12" ht="15" customHeight="1">
      <c r="A29" s="484" t="str">
        <f>Legend!$A$36</f>
        <v>Commercial Services</v>
      </c>
      <c r="B29" s="484" t="str">
        <f>Legend!$A$39</f>
        <v>Space heating</v>
      </c>
      <c r="C29" s="23" t="str">
        <f>Legend!A51</f>
        <v>Solids</v>
      </c>
      <c r="D29" s="23" t="str">
        <f>Legend!B51</f>
        <v>COA</v>
      </c>
      <c r="E29" s="23" t="str">
        <f>Legend!C51</f>
        <v>SRVCOA</v>
      </c>
      <c r="F29" s="456">
        <f>EB_SRV!G25</f>
        <v>2.2605320192481206E-2</v>
      </c>
      <c r="G29" s="489">
        <v>0.33</v>
      </c>
      <c r="H29" s="494">
        <v>20</v>
      </c>
      <c r="I29" s="494">
        <v>1000</v>
      </c>
      <c r="J29" s="122">
        <f t="shared" ref="J29:J36" si="1">IF(F29=0,0,F29*G29)</f>
        <v>7.4597556635187983E-3</v>
      </c>
      <c r="K29" s="122">
        <f t="shared" ref="K29:K36" si="2">J29/(I29/8760*31.536)</f>
        <v>2.0721543509774438E-3</v>
      </c>
      <c r="L29" s="456"/>
    </row>
    <row r="30" spans="1:12" ht="15" customHeight="1">
      <c r="A30" s="485" t="str">
        <f>Legend!$A$36</f>
        <v>Commercial Services</v>
      </c>
      <c r="B30" s="485" t="str">
        <f>Legend!$A$39</f>
        <v>Space heating</v>
      </c>
      <c r="C30" s="22" t="str">
        <f>Legend!A52</f>
        <v>LPG</v>
      </c>
      <c r="D30" s="22" t="str">
        <f>Legend!B52</f>
        <v>LPG</v>
      </c>
      <c r="E30" s="22" t="str">
        <f>Legend!C52</f>
        <v>SRVLPG</v>
      </c>
      <c r="F30" s="456">
        <f>EB_SRV!G26</f>
        <v>0</v>
      </c>
      <c r="G30" s="489">
        <v>0.33</v>
      </c>
      <c r="H30" s="494">
        <v>20</v>
      </c>
      <c r="I30" s="494">
        <v>1000</v>
      </c>
      <c r="J30" s="122">
        <f t="shared" si="1"/>
        <v>0</v>
      </c>
      <c r="K30" s="122">
        <f t="shared" si="2"/>
        <v>0</v>
      </c>
      <c r="L30" s="456"/>
    </row>
    <row r="31" spans="1:12" ht="15" customHeight="1">
      <c r="A31" s="485" t="str">
        <f>Legend!$A$36</f>
        <v>Commercial Services</v>
      </c>
      <c r="B31" s="485" t="str">
        <f>Legend!$A$39</f>
        <v>Space heating</v>
      </c>
      <c r="C31" s="22" t="str">
        <f>Legend!A53</f>
        <v>Oil</v>
      </c>
      <c r="D31" s="22" t="str">
        <f>Legend!B53</f>
        <v>OIL</v>
      </c>
      <c r="E31" s="22" t="str">
        <f>Legend!$C$53</f>
        <v>SRVOIL</v>
      </c>
      <c r="F31" s="456">
        <f>EB_SRV!G27</f>
        <v>2.2530680907907339</v>
      </c>
      <c r="G31" s="489">
        <v>0.6583558448972523</v>
      </c>
      <c r="H31" s="494">
        <v>20</v>
      </c>
      <c r="I31" s="494">
        <v>1000</v>
      </c>
      <c r="J31" s="122">
        <f t="shared" si="1"/>
        <v>1.4833205465235728</v>
      </c>
      <c r="K31" s="122">
        <f t="shared" si="2"/>
        <v>0.41203348514543686</v>
      </c>
      <c r="L31" s="456"/>
    </row>
    <row r="32" spans="1:12" ht="15" customHeight="1">
      <c r="A32" s="485" t="str">
        <f>Legend!$A$36</f>
        <v>Commercial Services</v>
      </c>
      <c r="B32" s="485" t="str">
        <f>Legend!$A$39</f>
        <v>Space heating</v>
      </c>
      <c r="C32" s="22" t="str">
        <f>Legend!A54</f>
        <v>Natural Gas</v>
      </c>
      <c r="D32" s="22" t="str">
        <f>Legend!B54</f>
        <v>GAS</v>
      </c>
      <c r="E32" s="22" t="str">
        <f>Legend!$C$54&amp;", "&amp;Legend!$C$56</f>
        <v>SRVGAS, SRVBGS</v>
      </c>
      <c r="F32" s="456">
        <f>EB_SRV!G28+EB_SRV!G30</f>
        <v>5.1006618123916772</v>
      </c>
      <c r="G32" s="489">
        <v>0.77299617086321282</v>
      </c>
      <c r="H32" s="494">
        <v>20</v>
      </c>
      <c r="I32" s="494">
        <v>1000</v>
      </c>
      <c r="J32" s="122">
        <f t="shared" si="1"/>
        <v>3.9427920498469815</v>
      </c>
      <c r="K32" s="122">
        <f t="shared" si="2"/>
        <v>1.0952200138463837</v>
      </c>
      <c r="L32" s="456"/>
    </row>
    <row r="33" spans="1:12" ht="15" customHeight="1">
      <c r="A33" s="485" t="str">
        <f>Legend!$A$36</f>
        <v>Commercial Services</v>
      </c>
      <c r="B33" s="485" t="str">
        <f>Legend!$A$39</f>
        <v>Space heating</v>
      </c>
      <c r="C33" s="22" t="str">
        <f>Legend!A55</f>
        <v>Biomass</v>
      </c>
      <c r="D33" s="22" t="str">
        <f>Legend!B55</f>
        <v>BIO</v>
      </c>
      <c r="E33" s="22" t="str">
        <f>Legend!C55</f>
        <v>SRVBIO</v>
      </c>
      <c r="F33" s="456">
        <f>EB_SRV!G29</f>
        <v>0.21009154815850178</v>
      </c>
      <c r="G33" s="489">
        <v>0.63490443337371294</v>
      </c>
      <c r="H33" s="494">
        <v>20</v>
      </c>
      <c r="I33" s="494">
        <v>1000</v>
      </c>
      <c r="J33" s="122">
        <f t="shared" si="1"/>
        <v>0.1333880553401797</v>
      </c>
      <c r="K33" s="122">
        <f t="shared" si="2"/>
        <v>3.7052237594494358E-2</v>
      </c>
      <c r="L33" s="456"/>
    </row>
    <row r="34" spans="1:12" ht="15" customHeight="1">
      <c r="A34" s="485" t="str">
        <f>Legend!$A$36</f>
        <v>Commercial Services</v>
      </c>
      <c r="B34" s="485" t="str">
        <f>Legend!$A$39</f>
        <v>Space heating</v>
      </c>
      <c r="C34" s="22" t="str">
        <f>Legend!A57</f>
        <v>Solar</v>
      </c>
      <c r="D34" s="22" t="str">
        <f>Legend!B57</f>
        <v>SOL</v>
      </c>
      <c r="E34" s="22" t="str">
        <f>Legend!C57</f>
        <v>SRVSOL</v>
      </c>
      <c r="F34" s="456">
        <f>EB_SRV!G31</f>
        <v>0</v>
      </c>
      <c r="G34" s="489">
        <f>IF(F34=0,0.33,G44)</f>
        <v>0.33</v>
      </c>
      <c r="H34" s="494">
        <v>15</v>
      </c>
      <c r="I34" s="494">
        <v>1000</v>
      </c>
      <c r="J34" s="122">
        <f t="shared" si="1"/>
        <v>0</v>
      </c>
      <c r="K34" s="122">
        <f t="shared" si="2"/>
        <v>0</v>
      </c>
      <c r="L34" s="456"/>
    </row>
    <row r="35" spans="1:12" ht="15" customHeight="1">
      <c r="A35" s="485" t="str">
        <f>Legend!$A$36</f>
        <v>Commercial Services</v>
      </c>
      <c r="B35" s="485" t="str">
        <f>Legend!$A$39</f>
        <v>Space heating</v>
      </c>
      <c r="C35" s="13" t="s">
        <v>175</v>
      </c>
      <c r="D35" s="13" t="str">
        <f>Legend!B58&amp;"-HP"</f>
        <v>ELC-HP</v>
      </c>
      <c r="E35" s="22" t="str">
        <f>Legend!C58</f>
        <v>SRVELC</v>
      </c>
      <c r="F35" s="456">
        <f>EB_SRV!G32</f>
        <v>0.48315054836598581</v>
      </c>
      <c r="G35" s="489">
        <v>2.7470543738547222</v>
      </c>
      <c r="H35" s="494">
        <v>10</v>
      </c>
      <c r="I35" s="494">
        <v>1000</v>
      </c>
      <c r="J35" s="122">
        <f t="shared" si="1"/>
        <v>1.3272408271190888</v>
      </c>
      <c r="K35" s="122">
        <f t="shared" si="2"/>
        <v>0.36867800753308022</v>
      </c>
      <c r="L35" s="456">
        <f>EB_SRV!G34</f>
        <v>0.65641279696870891</v>
      </c>
    </row>
    <row r="36" spans="1:12" ht="15" customHeight="1">
      <c r="A36" s="486" t="str">
        <f>Legend!$A$36</f>
        <v>Commercial Services</v>
      </c>
      <c r="B36" s="486" t="str">
        <f>Legend!$A$39</f>
        <v>Space heating</v>
      </c>
      <c r="C36" s="15" t="s">
        <v>176</v>
      </c>
      <c r="D36" s="15" t="str">
        <f>Legend!B58</f>
        <v>ELC</v>
      </c>
      <c r="E36" s="15" t="str">
        <f>Legend!C58</f>
        <v>SRVELC</v>
      </c>
      <c r="F36" s="488">
        <f>EB_SRV!G33</f>
        <v>2.0884463323530076</v>
      </c>
      <c r="G36" s="490">
        <v>0.81595511259153475</v>
      </c>
      <c r="H36" s="495">
        <v>10</v>
      </c>
      <c r="I36" s="495">
        <v>1000</v>
      </c>
      <c r="J36" s="498">
        <f t="shared" si="1"/>
        <v>1.7040784622564762</v>
      </c>
      <c r="K36" s="498">
        <f t="shared" si="2"/>
        <v>0.47335512840457672</v>
      </c>
      <c r="L36" s="488"/>
    </row>
    <row r="37" spans="1:12" ht="15" customHeight="1">
      <c r="A37" s="641" t="str">
        <f>Legend!$A$36</f>
        <v>Commercial Services</v>
      </c>
      <c r="B37" s="640" t="str">
        <f>Legend!$A$39</f>
        <v>Space heating</v>
      </c>
      <c r="C37" s="439" t="s">
        <v>408</v>
      </c>
      <c r="D37" s="639"/>
      <c r="E37" s="639"/>
      <c r="F37" s="596">
        <f>SUM(F29:F36)</f>
        <v>10.158023652252389</v>
      </c>
      <c r="G37" s="664"/>
      <c r="H37" s="642"/>
      <c r="I37" s="642"/>
      <c r="J37" s="638">
        <f>SUM(J29:J36)</f>
        <v>8.5982796967498167</v>
      </c>
      <c r="K37" s="638">
        <f>SUM(K29:K36)</f>
        <v>2.3884110268749494</v>
      </c>
      <c r="L37" s="596"/>
    </row>
    <row r="38" spans="1:12" ht="15" customHeight="1">
      <c r="A38" s="485" t="str">
        <f>Legend!$A$36</f>
        <v>Commercial Services</v>
      </c>
      <c r="B38" s="485" t="str">
        <f>Legend!$A$40</f>
        <v>Water heating</v>
      </c>
      <c r="C38" s="23" t="str">
        <f>Legend!A51</f>
        <v>Solids</v>
      </c>
      <c r="D38" s="23" t="str">
        <f>Legend!B51</f>
        <v>COA</v>
      </c>
      <c r="E38" s="23" t="str">
        <f>Legend!C51</f>
        <v>SRVCOA</v>
      </c>
      <c r="F38" s="456">
        <f>EB_SRV!G36</f>
        <v>0</v>
      </c>
      <c r="G38" s="489">
        <v>0.33</v>
      </c>
      <c r="H38" s="496">
        <v>20</v>
      </c>
      <c r="I38" s="496">
        <v>200</v>
      </c>
      <c r="J38" s="122">
        <f t="shared" ref="J38:J44" si="3">IF(F38=0,0,F38*G38)</f>
        <v>0</v>
      </c>
      <c r="K38" s="122">
        <f t="shared" ref="K38:K44" si="4">J38/(I38/8760*31.536)</f>
        <v>0</v>
      </c>
      <c r="L38" s="456"/>
    </row>
    <row r="39" spans="1:12" ht="15" customHeight="1">
      <c r="A39" s="485" t="str">
        <f>Legend!$A$36</f>
        <v>Commercial Services</v>
      </c>
      <c r="B39" s="485" t="str">
        <f>Legend!$A$40</f>
        <v>Water heating</v>
      </c>
      <c r="C39" s="23" t="str">
        <f>Legend!A52</f>
        <v>LPG</v>
      </c>
      <c r="D39" s="23" t="str">
        <f>Legend!B52</f>
        <v>LPG</v>
      </c>
      <c r="E39" s="23" t="str">
        <f>Legend!C52</f>
        <v>SRVLPG</v>
      </c>
      <c r="F39" s="456">
        <f>EB_SRV!G37</f>
        <v>0</v>
      </c>
      <c r="G39" s="489">
        <v>0.33</v>
      </c>
      <c r="H39" s="496">
        <v>20</v>
      </c>
      <c r="I39" s="496">
        <v>200</v>
      </c>
      <c r="J39" s="122">
        <f t="shared" si="3"/>
        <v>0</v>
      </c>
      <c r="K39" s="122">
        <f t="shared" si="4"/>
        <v>0</v>
      </c>
      <c r="L39" s="456"/>
    </row>
    <row r="40" spans="1:12" ht="15" customHeight="1">
      <c r="A40" s="485" t="str">
        <f>Legend!$A$36</f>
        <v>Commercial Services</v>
      </c>
      <c r="B40" s="485" t="str">
        <f>Legend!$A$40</f>
        <v>Water heating</v>
      </c>
      <c r="C40" s="23" t="str">
        <f>Legend!A53</f>
        <v>Oil</v>
      </c>
      <c r="D40" s="23" t="str">
        <f>Legend!B53</f>
        <v>OIL</v>
      </c>
      <c r="E40" s="22" t="str">
        <f>Legend!$C$53</f>
        <v>SRVOIL</v>
      </c>
      <c r="F40" s="84">
        <f>EB_SRV!G38</f>
        <v>0.66734338322184672</v>
      </c>
      <c r="G40" s="489">
        <v>0.59834963673469854</v>
      </c>
      <c r="H40" s="496">
        <v>20</v>
      </c>
      <c r="I40" s="496">
        <v>200</v>
      </c>
      <c r="J40" s="122">
        <f t="shared" si="3"/>
        <v>0.39930467092809668</v>
      </c>
      <c r="K40" s="122">
        <f t="shared" si="4"/>
        <v>0.55458982073346763</v>
      </c>
      <c r="L40" s="84"/>
    </row>
    <row r="41" spans="1:12" ht="15" customHeight="1">
      <c r="A41" s="485" t="str">
        <f>Legend!$A$36</f>
        <v>Commercial Services</v>
      </c>
      <c r="B41" s="485" t="str">
        <f>Legend!$A$40</f>
        <v>Water heating</v>
      </c>
      <c r="C41" s="23" t="str">
        <f>Legend!A54</f>
        <v>Natural Gas</v>
      </c>
      <c r="D41" s="127" t="str">
        <f>Legend!B54</f>
        <v>GAS</v>
      </c>
      <c r="E41" s="22" t="str">
        <f>Legend!$C$54&amp;", "&amp;Legend!$C$56</f>
        <v>SRVGAS, SRVBGS</v>
      </c>
      <c r="F41" s="84">
        <f>EB_SRV!G39+EB_SRV!G41</f>
        <v>1.4785304102432952</v>
      </c>
      <c r="G41" s="489">
        <v>0.63024757853709534</v>
      </c>
      <c r="H41" s="496">
        <v>20</v>
      </c>
      <c r="I41" s="496">
        <v>200</v>
      </c>
      <c r="J41" s="122">
        <f t="shared" si="3"/>
        <v>0.93184021084929503</v>
      </c>
      <c r="K41" s="122">
        <f t="shared" si="4"/>
        <v>1.2942225150684654</v>
      </c>
      <c r="L41" s="84"/>
    </row>
    <row r="42" spans="1:12" ht="15" customHeight="1">
      <c r="A42" s="485" t="str">
        <f>Legend!$A$36</f>
        <v>Commercial Services</v>
      </c>
      <c r="B42" s="485" t="str">
        <f>Legend!$A$40</f>
        <v>Water heating</v>
      </c>
      <c r="C42" s="23" t="str">
        <f>Legend!A55</f>
        <v>Biomass</v>
      </c>
      <c r="D42" s="23" t="str">
        <f>Legend!B55</f>
        <v>BIO</v>
      </c>
      <c r="E42" s="23" t="str">
        <f>Legend!C55</f>
        <v>SRVBIO</v>
      </c>
      <c r="F42" s="456">
        <f>EB_SRV!G40</f>
        <v>0</v>
      </c>
      <c r="G42" s="489">
        <v>0.33</v>
      </c>
      <c r="H42" s="496">
        <v>20</v>
      </c>
      <c r="I42" s="496">
        <v>200</v>
      </c>
      <c r="J42" s="122">
        <f t="shared" si="3"/>
        <v>0</v>
      </c>
      <c r="K42" s="122">
        <f t="shared" si="4"/>
        <v>0</v>
      </c>
      <c r="L42" s="456"/>
    </row>
    <row r="43" spans="1:12" ht="15" customHeight="1">
      <c r="A43" s="485" t="str">
        <f>Legend!$A$36</f>
        <v>Commercial Services</v>
      </c>
      <c r="B43" s="485" t="str">
        <f>Legend!$A$40</f>
        <v>Water heating</v>
      </c>
      <c r="C43" s="23" t="str">
        <f>Legend!A58</f>
        <v>Electricity</v>
      </c>
      <c r="D43" s="23" t="str">
        <f>Legend!B58</f>
        <v>ELC</v>
      </c>
      <c r="E43" s="23" t="str">
        <f>Legend!C58</f>
        <v>SRVELC</v>
      </c>
      <c r="F43" s="456">
        <f>EB_SRV!G42</f>
        <v>1.1848199706667444</v>
      </c>
      <c r="G43" s="489">
        <v>0.7791533881609447</v>
      </c>
      <c r="H43" s="496">
        <v>10</v>
      </c>
      <c r="I43" s="496">
        <v>200</v>
      </c>
      <c r="J43" s="122">
        <f t="shared" si="3"/>
        <v>0.923156494505745</v>
      </c>
      <c r="K43" s="122">
        <f t="shared" si="4"/>
        <v>1.2821617979246458</v>
      </c>
      <c r="L43" s="456"/>
    </row>
    <row r="44" spans="1:12" ht="15" customHeight="1">
      <c r="A44" s="486" t="str">
        <f>Legend!$A$36</f>
        <v>Commercial Services</v>
      </c>
      <c r="B44" s="486" t="str">
        <f>Legend!$A$40</f>
        <v>Water heating</v>
      </c>
      <c r="C44" s="130" t="str">
        <f>Legend!A57</f>
        <v>Solar</v>
      </c>
      <c r="D44" s="130" t="str">
        <f>Legend!B57</f>
        <v>SOL</v>
      </c>
      <c r="E44" s="130" t="str">
        <f>Legend!C57</f>
        <v>SRVSOL</v>
      </c>
      <c r="F44" s="488">
        <f>EB_SRV!G43</f>
        <v>6.9707984942638888E-3</v>
      </c>
      <c r="G44" s="490">
        <v>0.99999999999999989</v>
      </c>
      <c r="H44" s="497">
        <v>15</v>
      </c>
      <c r="I44" s="497">
        <v>200</v>
      </c>
      <c r="J44" s="498">
        <f t="shared" si="3"/>
        <v>6.9707984942638879E-3</v>
      </c>
      <c r="K44" s="498">
        <f t="shared" si="4"/>
        <v>9.6816645753665109E-3</v>
      </c>
      <c r="L44" s="488"/>
    </row>
    <row r="45" spans="1:12" ht="15" customHeight="1">
      <c r="A45" s="641" t="str">
        <f>Legend!$A$36</f>
        <v>Commercial Services</v>
      </c>
      <c r="B45" s="640" t="str">
        <f>Legend!$A$40</f>
        <v>Water heating</v>
      </c>
      <c r="C45" s="439" t="s">
        <v>408</v>
      </c>
      <c r="D45" s="639"/>
      <c r="E45" s="639"/>
      <c r="F45" s="596">
        <f>SUM(F38:F44)</f>
        <v>3.3376645626261503</v>
      </c>
      <c r="G45" s="664"/>
      <c r="H45" s="642"/>
      <c r="I45" s="642"/>
      <c r="J45" s="596">
        <f t="shared" ref="J45:K45" si="5">SUM(J38:J44)</f>
        <v>2.2612721747774005</v>
      </c>
      <c r="K45" s="644">
        <f t="shared" si="5"/>
        <v>3.1406557983019452</v>
      </c>
      <c r="L45" s="596"/>
    </row>
    <row r="46" spans="1:12" ht="15" customHeight="1">
      <c r="A46" s="485" t="str">
        <f>Legend!$A$36</f>
        <v>Commercial Services</v>
      </c>
      <c r="B46" s="485" t="str">
        <f>Legend!$A$41</f>
        <v>Space cooling</v>
      </c>
      <c r="C46" s="23" t="str">
        <f>Legend!A54</f>
        <v>Natural Gas</v>
      </c>
      <c r="D46" s="23" t="str">
        <f>Legend!B54</f>
        <v>GAS</v>
      </c>
      <c r="E46" s="22" t="str">
        <f>Legend!$C$54</f>
        <v>SRVGAS</v>
      </c>
      <c r="F46" s="84">
        <f>EB_SRV!G45</f>
        <v>4.8169117131957985E-3</v>
      </c>
      <c r="G46" s="489">
        <v>2.7679848891515557</v>
      </c>
      <c r="H46" s="496">
        <v>15</v>
      </c>
      <c r="I46" s="496">
        <v>300</v>
      </c>
      <c r="J46" s="122">
        <f>IF(F46=0,0,F46*G46)</f>
        <v>1.3333138834503103E-2</v>
      </c>
      <c r="K46" s="122">
        <f>J46/(I46/8760*31.536)</f>
        <v>1.2345498920836206E-2</v>
      </c>
      <c r="L46" s="84"/>
    </row>
    <row r="47" spans="1:12" ht="15" customHeight="1">
      <c r="A47" s="486" t="str">
        <f>Legend!$A$36</f>
        <v>Commercial Services</v>
      </c>
      <c r="B47" s="486" t="str">
        <f>Legend!$A$41</f>
        <v>Space cooling</v>
      </c>
      <c r="C47" s="130" t="str">
        <f>Legend!A58</f>
        <v>Electricity</v>
      </c>
      <c r="D47" s="130" t="str">
        <f>Legend!B58</f>
        <v>ELC</v>
      </c>
      <c r="E47" s="130" t="str">
        <f>Legend!C58</f>
        <v>SRVELC</v>
      </c>
      <c r="F47" s="488">
        <f>EB_SRV!G46</f>
        <v>1.0392988706847792</v>
      </c>
      <c r="G47" s="490">
        <v>2.7466471585410193</v>
      </c>
      <c r="H47" s="497">
        <v>15</v>
      </c>
      <c r="I47" s="497">
        <v>300</v>
      </c>
      <c r="J47" s="498">
        <f>IF(F47=0,0,F47*G47)</f>
        <v>2.854587290041239</v>
      </c>
      <c r="K47" s="498">
        <f>J47/(I47/8760*31.536)</f>
        <v>2.6431363796678138</v>
      </c>
      <c r="L47" s="488"/>
    </row>
    <row r="48" spans="1:12" ht="15" customHeight="1">
      <c r="A48" s="641" t="str">
        <f>Legend!$A$36</f>
        <v>Commercial Services</v>
      </c>
      <c r="B48" s="640" t="str">
        <f>Legend!$A$41</f>
        <v>Space cooling</v>
      </c>
      <c r="C48" s="439" t="s">
        <v>408</v>
      </c>
      <c r="D48" s="639"/>
      <c r="E48" s="639"/>
      <c r="F48" s="596">
        <f>SUM(F46:F47)</f>
        <v>1.044115782397975</v>
      </c>
      <c r="G48" s="664"/>
      <c r="H48" s="642"/>
      <c r="I48" s="642"/>
      <c r="J48" s="596">
        <f t="shared" ref="J48:K48" si="6">SUM(J46:J47)</f>
        <v>2.8679204288757423</v>
      </c>
      <c r="K48" s="644">
        <f t="shared" si="6"/>
        <v>2.6554818785886498</v>
      </c>
      <c r="L48" s="596"/>
    </row>
    <row r="49" spans="1:12" ht="15" customHeight="1">
      <c r="A49" s="458" t="str">
        <f>Legend!$A$37</f>
        <v>Public Services</v>
      </c>
      <c r="B49" s="485" t="str">
        <f>Legend!$A$39</f>
        <v>Space heating</v>
      </c>
      <c r="C49" s="23" t="str">
        <f t="shared" ref="C49:C56" si="7">C29</f>
        <v>Solids</v>
      </c>
      <c r="D49" s="23" t="str">
        <f>Legend!B51</f>
        <v>COA</v>
      </c>
      <c r="E49" s="23" t="str">
        <f>Legend!C51</f>
        <v>SRVCOA</v>
      </c>
      <c r="F49" s="456">
        <f>EB_SRV!G64</f>
        <v>0</v>
      </c>
      <c r="G49" s="489">
        <f t="shared" ref="G49:I56" si="8">G29</f>
        <v>0.33</v>
      </c>
      <c r="H49" s="494">
        <f t="shared" si="8"/>
        <v>20</v>
      </c>
      <c r="I49" s="494">
        <f t="shared" si="8"/>
        <v>1000</v>
      </c>
      <c r="J49" s="122">
        <f t="shared" ref="J49:J56" si="9">IF(F49=0,0,F49*G49)</f>
        <v>0</v>
      </c>
      <c r="K49" s="122">
        <f t="shared" ref="K49:K56" si="10">J49/(I49/8760*31.536)</f>
        <v>0</v>
      </c>
      <c r="L49" s="456"/>
    </row>
    <row r="50" spans="1:12" ht="15" customHeight="1">
      <c r="A50" s="458" t="str">
        <f>Legend!$A$37</f>
        <v>Public Services</v>
      </c>
      <c r="B50" s="485" t="str">
        <f>Legend!$A$39</f>
        <v>Space heating</v>
      </c>
      <c r="C50" s="129" t="str">
        <f t="shared" si="7"/>
        <v>LPG</v>
      </c>
      <c r="D50" s="129" t="str">
        <f t="shared" ref="D50:E56" si="11">D30</f>
        <v>LPG</v>
      </c>
      <c r="E50" s="129" t="str">
        <f t="shared" si="11"/>
        <v>SRVLPG</v>
      </c>
      <c r="F50" s="456">
        <f>EB_SRV!G65</f>
        <v>0</v>
      </c>
      <c r="G50" s="489">
        <f t="shared" si="8"/>
        <v>0.33</v>
      </c>
      <c r="H50" s="494">
        <f t="shared" si="8"/>
        <v>20</v>
      </c>
      <c r="I50" s="494">
        <f t="shared" si="8"/>
        <v>1000</v>
      </c>
      <c r="J50" s="122">
        <f t="shared" si="9"/>
        <v>0</v>
      </c>
      <c r="K50" s="122">
        <f t="shared" si="10"/>
        <v>0</v>
      </c>
      <c r="L50" s="456"/>
    </row>
    <row r="51" spans="1:12" ht="15" customHeight="1">
      <c r="A51" s="458" t="str">
        <f>Legend!$A$37</f>
        <v>Public Services</v>
      </c>
      <c r="B51" s="485" t="str">
        <f>Legend!$A$39</f>
        <v>Space heating</v>
      </c>
      <c r="C51" s="129" t="str">
        <f t="shared" si="7"/>
        <v>Oil</v>
      </c>
      <c r="D51" s="129" t="str">
        <f t="shared" si="11"/>
        <v>OIL</v>
      </c>
      <c r="E51" s="129" t="str">
        <f t="shared" si="11"/>
        <v>SRVOIL</v>
      </c>
      <c r="F51" s="456">
        <f>EB_SRV!G66</f>
        <v>4.0079179093925204</v>
      </c>
      <c r="G51" s="489">
        <f t="shared" si="8"/>
        <v>0.6583558448972523</v>
      </c>
      <c r="H51" s="494">
        <f t="shared" si="8"/>
        <v>20</v>
      </c>
      <c r="I51" s="494">
        <f t="shared" si="8"/>
        <v>1000</v>
      </c>
      <c r="J51" s="122">
        <f t="shared" si="9"/>
        <v>2.6386361815169419</v>
      </c>
      <c r="K51" s="122">
        <f t="shared" si="10"/>
        <v>0.73295449486581721</v>
      </c>
      <c r="L51" s="456"/>
    </row>
    <row r="52" spans="1:12" ht="15" customHeight="1">
      <c r="A52" s="458" t="str">
        <f>Legend!$A$37</f>
        <v>Public Services</v>
      </c>
      <c r="B52" s="485" t="str">
        <f>Legend!$A$39</f>
        <v>Space heating</v>
      </c>
      <c r="C52" s="129" t="str">
        <f t="shared" si="7"/>
        <v>Natural Gas</v>
      </c>
      <c r="D52" s="129" t="str">
        <f t="shared" si="11"/>
        <v>GAS</v>
      </c>
      <c r="E52" s="129" t="str">
        <f t="shared" si="11"/>
        <v>SRVGAS, SRVBGS</v>
      </c>
      <c r="F52" s="456">
        <f>EB_SRV!G67+EB_SRV!G69</f>
        <v>4.8599600156249032</v>
      </c>
      <c r="G52" s="489">
        <f t="shared" si="8"/>
        <v>0.77299617086321282</v>
      </c>
      <c r="H52" s="494">
        <f t="shared" si="8"/>
        <v>20</v>
      </c>
      <c r="I52" s="494">
        <f t="shared" si="8"/>
        <v>1000</v>
      </c>
      <c r="J52" s="122">
        <f t="shared" si="9"/>
        <v>3.7567304826263701</v>
      </c>
      <c r="K52" s="122">
        <f t="shared" si="10"/>
        <v>1.0435362451739916</v>
      </c>
      <c r="L52" s="456"/>
    </row>
    <row r="53" spans="1:12">
      <c r="A53" s="458" t="str">
        <f>Legend!$A$37</f>
        <v>Public Services</v>
      </c>
      <c r="B53" s="485" t="str">
        <f>Legend!$A$39</f>
        <v>Space heating</v>
      </c>
      <c r="C53" s="129" t="str">
        <f t="shared" si="7"/>
        <v>Biomass</v>
      </c>
      <c r="D53" s="129" t="str">
        <f t="shared" si="11"/>
        <v>BIO</v>
      </c>
      <c r="E53" s="129" t="str">
        <f t="shared" si="11"/>
        <v>SRVBIO</v>
      </c>
      <c r="F53" s="456">
        <f>EB_SRV!G68</f>
        <v>0.54324453595694255</v>
      </c>
      <c r="G53" s="489">
        <f t="shared" si="8"/>
        <v>0.63490443337371294</v>
      </c>
      <c r="H53" s="494">
        <f t="shared" si="8"/>
        <v>20</v>
      </c>
      <c r="I53" s="494">
        <f t="shared" si="8"/>
        <v>1000</v>
      </c>
      <c r="J53" s="122">
        <f t="shared" si="9"/>
        <v>0.34490836428510824</v>
      </c>
      <c r="K53" s="122">
        <f t="shared" si="10"/>
        <v>9.5807878968085625E-2</v>
      </c>
      <c r="L53" s="456"/>
    </row>
    <row r="54" spans="1:12">
      <c r="A54" s="458" t="str">
        <f>Legend!$A$37</f>
        <v>Public Services</v>
      </c>
      <c r="B54" s="485" t="str">
        <f>Legend!$A$39</f>
        <v>Space heating</v>
      </c>
      <c r="C54" s="129" t="str">
        <f t="shared" si="7"/>
        <v>Solar</v>
      </c>
      <c r="D54" s="129" t="str">
        <f t="shared" si="11"/>
        <v>SOL</v>
      </c>
      <c r="E54" s="129" t="str">
        <f t="shared" si="11"/>
        <v>SRVSOL</v>
      </c>
      <c r="F54" s="456">
        <f>EB_SRV!G70</f>
        <v>0</v>
      </c>
      <c r="G54" s="489">
        <f t="shared" si="8"/>
        <v>0.33</v>
      </c>
      <c r="H54" s="494">
        <f t="shared" si="8"/>
        <v>15</v>
      </c>
      <c r="I54" s="494">
        <f t="shared" si="8"/>
        <v>1000</v>
      </c>
      <c r="J54" s="122">
        <f t="shared" si="9"/>
        <v>0</v>
      </c>
      <c r="K54" s="122">
        <f t="shared" si="10"/>
        <v>0</v>
      </c>
      <c r="L54" s="456"/>
    </row>
    <row r="55" spans="1:12">
      <c r="A55" s="458" t="str">
        <f>Legend!$A$37</f>
        <v>Public Services</v>
      </c>
      <c r="B55" s="485" t="str">
        <f>Legend!$A$39</f>
        <v>Space heating</v>
      </c>
      <c r="C55" s="129" t="str">
        <f t="shared" si="7"/>
        <v>Electricity (heat pumps)</v>
      </c>
      <c r="D55" s="129" t="str">
        <f t="shared" si="11"/>
        <v>ELC-HP</v>
      </c>
      <c r="E55" s="129" t="str">
        <f t="shared" si="11"/>
        <v>SRVELC</v>
      </c>
      <c r="F55" s="456">
        <f>EB_SRV!G71</f>
        <v>0.26377922045901658</v>
      </c>
      <c r="G55" s="489">
        <f t="shared" si="8"/>
        <v>2.7470543738547222</v>
      </c>
      <c r="H55" s="494">
        <f t="shared" si="8"/>
        <v>10</v>
      </c>
      <c r="I55" s="494">
        <f t="shared" si="8"/>
        <v>1000</v>
      </c>
      <c r="J55" s="122">
        <f t="shared" si="9"/>
        <v>0.72461586129393052</v>
      </c>
      <c r="K55" s="122">
        <f t="shared" si="10"/>
        <v>0.20128218369275847</v>
      </c>
      <c r="L55" s="456">
        <f>EB_SRV!G73</f>
        <v>0</v>
      </c>
    </row>
    <row r="56" spans="1:12">
      <c r="A56" s="111" t="str">
        <f>Legend!$A$37</f>
        <v>Public Services</v>
      </c>
      <c r="B56" s="486" t="str">
        <f>Legend!$A$39</f>
        <v>Space heating</v>
      </c>
      <c r="C56" s="130" t="str">
        <f t="shared" si="7"/>
        <v>Electricity (heaters)</v>
      </c>
      <c r="D56" s="130" t="str">
        <f t="shared" si="11"/>
        <v>ELC</v>
      </c>
      <c r="E56" s="130" t="str">
        <f t="shared" si="11"/>
        <v>SRVELC</v>
      </c>
      <c r="F56" s="488">
        <f>EB_SRV!G72</f>
        <v>1.1402010147389323</v>
      </c>
      <c r="G56" s="490">
        <f t="shared" si="8"/>
        <v>0.81595511259153475</v>
      </c>
      <c r="H56" s="495">
        <f t="shared" si="8"/>
        <v>10</v>
      </c>
      <c r="I56" s="495">
        <f t="shared" si="8"/>
        <v>1000</v>
      </c>
      <c r="J56" s="498">
        <f t="shared" si="9"/>
        <v>0.93035284735828772</v>
      </c>
      <c r="K56" s="498">
        <f t="shared" si="10"/>
        <v>0.25843134648841326</v>
      </c>
      <c r="L56" s="488"/>
    </row>
    <row r="57" spans="1:12">
      <c r="A57" s="641" t="str">
        <f>Legend!$A$37</f>
        <v>Public Services</v>
      </c>
      <c r="B57" s="640" t="str">
        <f>Legend!$A$39</f>
        <v>Space heating</v>
      </c>
      <c r="C57" s="439" t="s">
        <v>408</v>
      </c>
      <c r="D57" s="639"/>
      <c r="E57" s="639"/>
      <c r="F57" s="596">
        <f>SUM(F49:F56)</f>
        <v>10.815102696172316</v>
      </c>
      <c r="G57" s="664"/>
      <c r="H57" s="642"/>
      <c r="I57" s="642"/>
      <c r="J57" s="638">
        <f>SUM(J49:J56)</f>
        <v>8.395243737080639</v>
      </c>
      <c r="K57" s="638">
        <f>SUM(K49:K56)</f>
        <v>2.3320121491890662</v>
      </c>
      <c r="L57" s="596"/>
    </row>
    <row r="58" spans="1:12">
      <c r="A58" s="458" t="str">
        <f>Legend!$A$37</f>
        <v>Public Services</v>
      </c>
      <c r="B58" s="485" t="str">
        <f>Legend!$A$40</f>
        <v>Water heating</v>
      </c>
      <c r="C58" s="129" t="str">
        <f t="shared" ref="C58:E64" si="12">C38</f>
        <v>Solids</v>
      </c>
      <c r="D58" s="129" t="str">
        <f t="shared" si="12"/>
        <v>COA</v>
      </c>
      <c r="E58" s="129" t="str">
        <f t="shared" si="12"/>
        <v>SRVCOA</v>
      </c>
      <c r="F58" s="456">
        <f>EB_SRV!G75</f>
        <v>0</v>
      </c>
      <c r="G58" s="489">
        <f t="shared" ref="G58:I64" si="13">G38</f>
        <v>0.33</v>
      </c>
      <c r="H58" s="496">
        <f t="shared" si="13"/>
        <v>20</v>
      </c>
      <c r="I58" s="496">
        <f t="shared" si="13"/>
        <v>200</v>
      </c>
      <c r="J58" s="122">
        <f t="shared" ref="J58:J64" si="14">IF(F58=0,0,F58*G58)</f>
        <v>0</v>
      </c>
      <c r="K58" s="122">
        <f t="shared" ref="K58:K64" si="15">J58/(I58/8760*31.536)</f>
        <v>0</v>
      </c>
      <c r="L58" s="456"/>
    </row>
    <row r="59" spans="1:12" ht="15" customHeight="1">
      <c r="A59" s="458" t="str">
        <f>Legend!$A$37</f>
        <v>Public Services</v>
      </c>
      <c r="B59" s="485" t="str">
        <f>Legend!$A$40</f>
        <v>Water heating</v>
      </c>
      <c r="C59" s="129" t="str">
        <f t="shared" si="12"/>
        <v>LPG</v>
      </c>
      <c r="D59" s="129" t="str">
        <f t="shared" si="12"/>
        <v>LPG</v>
      </c>
      <c r="E59" s="129" t="str">
        <f t="shared" si="12"/>
        <v>SRVLPG</v>
      </c>
      <c r="F59" s="456">
        <f>EB_SRV!G76</f>
        <v>0</v>
      </c>
      <c r="G59" s="489">
        <f t="shared" si="13"/>
        <v>0.33</v>
      </c>
      <c r="H59" s="496">
        <f t="shared" si="13"/>
        <v>20</v>
      </c>
      <c r="I59" s="496">
        <f t="shared" si="13"/>
        <v>200</v>
      </c>
      <c r="J59" s="122">
        <f t="shared" si="14"/>
        <v>0</v>
      </c>
      <c r="K59" s="122">
        <f t="shared" si="15"/>
        <v>0</v>
      </c>
      <c r="L59" s="456"/>
    </row>
    <row r="60" spans="1:12">
      <c r="A60" s="458" t="str">
        <f>Legend!$A$37</f>
        <v>Public Services</v>
      </c>
      <c r="B60" s="485" t="str">
        <f>Legend!$A$40</f>
        <v>Water heating</v>
      </c>
      <c r="C60" s="129" t="str">
        <f t="shared" si="12"/>
        <v>Oil</v>
      </c>
      <c r="D60" s="129" t="str">
        <f t="shared" si="12"/>
        <v>OIL</v>
      </c>
      <c r="E60" s="129" t="str">
        <f t="shared" si="12"/>
        <v>SRVOIL</v>
      </c>
      <c r="F60" s="84">
        <f>EB_SRV!G77</f>
        <v>1.1871179163478991</v>
      </c>
      <c r="G60" s="489">
        <f t="shared" si="13"/>
        <v>0.59834963673469854</v>
      </c>
      <c r="H60" s="496">
        <f t="shared" si="13"/>
        <v>20</v>
      </c>
      <c r="I60" s="496">
        <f t="shared" si="13"/>
        <v>200</v>
      </c>
      <c r="J60" s="122">
        <f t="shared" si="14"/>
        <v>0.7103115740080177</v>
      </c>
      <c r="K60" s="122">
        <f t="shared" si="15"/>
        <v>0.98654385278891354</v>
      </c>
      <c r="L60" s="84"/>
    </row>
    <row r="61" spans="1:12">
      <c r="A61" s="458" t="str">
        <f>Legend!$A$37</f>
        <v>Public Services</v>
      </c>
      <c r="B61" s="485" t="str">
        <f>Legend!$A$40</f>
        <v>Water heating</v>
      </c>
      <c r="C61" s="129" t="str">
        <f t="shared" si="12"/>
        <v>Natural Gas</v>
      </c>
      <c r="D61" s="129" t="str">
        <f t="shared" si="12"/>
        <v>GAS</v>
      </c>
      <c r="E61" s="129" t="str">
        <f t="shared" si="12"/>
        <v>SRVGAS, SRVBGS</v>
      </c>
      <c r="F61" s="84">
        <f>EB_SRV!G78+EB_SRV!G80</f>
        <v>1.3811790459771298</v>
      </c>
      <c r="G61" s="489">
        <f t="shared" si="13"/>
        <v>0.63024757853709534</v>
      </c>
      <c r="H61" s="496">
        <f t="shared" si="13"/>
        <v>20</v>
      </c>
      <c r="I61" s="496">
        <f t="shared" si="13"/>
        <v>200</v>
      </c>
      <c r="J61" s="122">
        <f t="shared" si="14"/>
        <v>0.87048474925326158</v>
      </c>
      <c r="K61" s="122">
        <f t="shared" si="15"/>
        <v>1.2090065961850855</v>
      </c>
      <c r="L61" s="84"/>
    </row>
    <row r="62" spans="1:12">
      <c r="A62" s="458" t="str">
        <f>Legend!$A$37</f>
        <v>Public Services</v>
      </c>
      <c r="B62" s="485" t="str">
        <f>Legend!$A$40</f>
        <v>Water heating</v>
      </c>
      <c r="C62" s="129" t="str">
        <f t="shared" si="12"/>
        <v>Biomass</v>
      </c>
      <c r="D62" s="129" t="str">
        <f t="shared" si="12"/>
        <v>BIO</v>
      </c>
      <c r="E62" s="129" t="str">
        <f t="shared" si="12"/>
        <v>SRVBIO</v>
      </c>
      <c r="F62" s="456">
        <f>EB_SRV!G79</f>
        <v>0</v>
      </c>
      <c r="G62" s="489">
        <f t="shared" si="13"/>
        <v>0.33</v>
      </c>
      <c r="H62" s="496">
        <f t="shared" si="13"/>
        <v>20</v>
      </c>
      <c r="I62" s="496">
        <f t="shared" si="13"/>
        <v>200</v>
      </c>
      <c r="J62" s="122">
        <f t="shared" si="14"/>
        <v>0</v>
      </c>
      <c r="K62" s="122">
        <f t="shared" si="15"/>
        <v>0</v>
      </c>
      <c r="L62" s="456"/>
    </row>
    <row r="63" spans="1:12">
      <c r="A63" s="458" t="str">
        <f>Legend!$A$37</f>
        <v>Public Services</v>
      </c>
      <c r="B63" s="485" t="str">
        <f>Legend!$A$40</f>
        <v>Water heating</v>
      </c>
      <c r="C63" s="129" t="str">
        <f t="shared" si="12"/>
        <v>Electricity</v>
      </c>
      <c r="D63" s="129" t="str">
        <f t="shared" si="12"/>
        <v>ELC</v>
      </c>
      <c r="E63" s="129" t="str">
        <f t="shared" si="12"/>
        <v>SRVELC</v>
      </c>
      <c r="F63" s="456">
        <f>EB_SRV!G81</f>
        <v>0.64686025774725409</v>
      </c>
      <c r="G63" s="489">
        <f t="shared" si="13"/>
        <v>0.7791533881609447</v>
      </c>
      <c r="H63" s="496">
        <f t="shared" si="13"/>
        <v>10</v>
      </c>
      <c r="I63" s="496">
        <f t="shared" si="13"/>
        <v>200</v>
      </c>
      <c r="J63" s="122">
        <f t="shared" si="14"/>
        <v>0.50400336149043501</v>
      </c>
      <c r="K63" s="122">
        <f t="shared" si="15"/>
        <v>0.7000046687367153</v>
      </c>
      <c r="L63" s="456"/>
    </row>
    <row r="64" spans="1:12">
      <c r="A64" s="111" t="str">
        <f>Legend!$A$37</f>
        <v>Public Services</v>
      </c>
      <c r="B64" s="486" t="str">
        <f>Legend!$A$40</f>
        <v>Water heating</v>
      </c>
      <c r="C64" s="130" t="str">
        <f t="shared" si="12"/>
        <v>Solar</v>
      </c>
      <c r="D64" s="130" t="str">
        <f t="shared" si="12"/>
        <v>SOL</v>
      </c>
      <c r="E64" s="130" t="str">
        <f t="shared" si="12"/>
        <v>SRVSOL</v>
      </c>
      <c r="F64" s="488">
        <f>EB_SRV!G82</f>
        <v>0</v>
      </c>
      <c r="G64" s="490">
        <f t="shared" si="13"/>
        <v>0.99999999999999989</v>
      </c>
      <c r="H64" s="497">
        <f t="shared" si="13"/>
        <v>15</v>
      </c>
      <c r="I64" s="497">
        <f t="shared" si="13"/>
        <v>200</v>
      </c>
      <c r="J64" s="498">
        <f t="shared" si="14"/>
        <v>0</v>
      </c>
      <c r="K64" s="498">
        <f t="shared" si="15"/>
        <v>0</v>
      </c>
      <c r="L64" s="488"/>
    </row>
    <row r="65" spans="1:14">
      <c r="A65" s="641" t="str">
        <f>Legend!$A$37</f>
        <v>Public Services</v>
      </c>
      <c r="B65" s="640" t="str">
        <f>Legend!$A$40</f>
        <v>Water heating</v>
      </c>
      <c r="C65" s="439" t="s">
        <v>408</v>
      </c>
      <c r="D65" s="639"/>
      <c r="E65" s="639"/>
      <c r="F65" s="596">
        <f>SUM(F58:F64)</f>
        <v>3.2151572200722827</v>
      </c>
      <c r="G65" s="664"/>
      <c r="H65" s="642"/>
      <c r="I65" s="642"/>
      <c r="J65" s="596">
        <f t="shared" ref="J65" si="16">SUM(J58:J64)</f>
        <v>2.0847996847517143</v>
      </c>
      <c r="K65" s="644">
        <f t="shared" ref="K65" si="17">SUM(K58:K64)</f>
        <v>2.8955551177107144</v>
      </c>
      <c r="L65" s="596"/>
    </row>
    <row r="66" spans="1:14">
      <c r="A66" s="458" t="str">
        <f>Legend!$A$37</f>
        <v>Public Services</v>
      </c>
      <c r="B66" s="485" t="str">
        <f>Legend!$A$41</f>
        <v>Space cooling</v>
      </c>
      <c r="C66" s="129" t="str">
        <f>Legend!A54</f>
        <v>Natural Gas</v>
      </c>
      <c r="D66" s="23" t="str">
        <f>Legend!B54</f>
        <v>GAS</v>
      </c>
      <c r="E66" s="22" t="str">
        <f>Legend!$C$54</f>
        <v>SRVGAS</v>
      </c>
      <c r="F66" s="84">
        <f>EB_SRV!G84</f>
        <v>4.4997502104086361E-3</v>
      </c>
      <c r="G66" s="489">
        <f t="shared" ref="G66:I67" si="18">G46</f>
        <v>2.7679848891515557</v>
      </c>
      <c r="H66" s="496">
        <f t="shared" si="18"/>
        <v>15</v>
      </c>
      <c r="I66" s="496">
        <f t="shared" si="18"/>
        <v>300</v>
      </c>
      <c r="J66" s="122">
        <f>IF(F66=0,0,F66*G66)</f>
        <v>1.2455240587367638E-2</v>
      </c>
      <c r="K66" s="122">
        <f>J66/(I66/8760*31.536)</f>
        <v>1.1532630173488554E-2</v>
      </c>
      <c r="L66" s="84"/>
    </row>
    <row r="67" spans="1:14">
      <c r="A67" s="111" t="str">
        <f>Legend!$A$37</f>
        <v>Public Services</v>
      </c>
      <c r="B67" s="486" t="str">
        <f>Legend!$A$41</f>
        <v>Space cooling</v>
      </c>
      <c r="C67" s="130" t="str">
        <f>Legend!A58</f>
        <v>Electricity</v>
      </c>
      <c r="D67" s="130" t="str">
        <f>Legend!B58</f>
        <v>ELC</v>
      </c>
      <c r="E67" s="130" t="str">
        <f>Legend!C58</f>
        <v>SRVELC</v>
      </c>
      <c r="F67" s="488">
        <f>EB_SRV!G85</f>
        <v>0.56741205584952081</v>
      </c>
      <c r="G67" s="490">
        <f t="shared" si="18"/>
        <v>2.7466471585410193</v>
      </c>
      <c r="H67" s="497">
        <f t="shared" si="18"/>
        <v>15</v>
      </c>
      <c r="I67" s="643">
        <f t="shared" si="18"/>
        <v>300</v>
      </c>
      <c r="J67" s="498">
        <f>IF(F67=0,0,F67*G67)</f>
        <v>1.5584807109210044</v>
      </c>
      <c r="K67" s="498">
        <f>J67/(I67/8760*31.536)</f>
        <v>1.4430376952972261</v>
      </c>
      <c r="L67" s="488"/>
    </row>
    <row r="68" spans="1:14">
      <c r="A68" s="641" t="str">
        <f>Legend!$A$37</f>
        <v>Public Services</v>
      </c>
      <c r="B68" s="640" t="str">
        <f>Legend!$A$41</f>
        <v>Space cooling</v>
      </c>
      <c r="C68" s="439" t="s">
        <v>408</v>
      </c>
      <c r="D68" s="639"/>
      <c r="E68" s="639"/>
      <c r="F68" s="596">
        <f>SUM(F66:F67)</f>
        <v>0.57191180605992942</v>
      </c>
      <c r="G68" s="664"/>
      <c r="H68" s="642"/>
      <c r="I68" s="642"/>
      <c r="J68" s="596">
        <f t="shared" ref="J68" si="19">SUM(J66:J67)</f>
        <v>1.5709359515083721</v>
      </c>
      <c r="K68" s="644">
        <f t="shared" ref="K68" si="20">SUM(K66:K67)</f>
        <v>1.4545703254707147</v>
      </c>
      <c r="L68" s="596"/>
    </row>
    <row r="69" spans="1:14">
      <c r="C69" s="501"/>
      <c r="E69" s="501" t="s">
        <v>150</v>
      </c>
      <c r="F69" s="457">
        <f>SUM(F37,F45,F48,F57,F65,F68)</f>
        <v>29.141975719581044</v>
      </c>
      <c r="G69" s="128"/>
      <c r="H69" s="128"/>
      <c r="I69" s="128"/>
      <c r="J69" s="457">
        <f t="shared" ref="J69:K69" si="21">SUM(J37,J45,J48,J57,J65,J68)</f>
        <v>25.778451673743685</v>
      </c>
      <c r="K69" s="457">
        <f t="shared" si="21"/>
        <v>14.866686296136038</v>
      </c>
    </row>
    <row r="70" spans="1:14">
      <c r="M70" s="129"/>
      <c r="N70" s="129"/>
    </row>
    <row r="71" spans="1:14">
      <c r="A71" s="99" t="s">
        <v>423</v>
      </c>
      <c r="B71" s="31"/>
      <c r="C71" s="31"/>
      <c r="D71" s="31"/>
      <c r="E71" s="31"/>
      <c r="F71" s="31"/>
      <c r="I71" s="31"/>
      <c r="J71" s="31"/>
      <c r="K71" s="31"/>
      <c r="L71" s="31"/>
      <c r="M71" s="129"/>
      <c r="N71" s="129"/>
    </row>
    <row r="72" spans="1:14" ht="45.75" thickBot="1">
      <c r="A72" s="20" t="s">
        <v>395</v>
      </c>
      <c r="B72" s="20" t="s">
        <v>165</v>
      </c>
      <c r="C72" s="20" t="s">
        <v>83</v>
      </c>
      <c r="D72" s="20" t="s">
        <v>177</v>
      </c>
      <c r="E72" s="20" t="s">
        <v>178</v>
      </c>
      <c r="F72" s="21" t="s">
        <v>419</v>
      </c>
      <c r="G72" s="20" t="s">
        <v>134</v>
      </c>
      <c r="H72" s="491" t="s">
        <v>420</v>
      </c>
      <c r="I72" s="491" t="s">
        <v>149</v>
      </c>
      <c r="J72" s="491" t="s">
        <v>422</v>
      </c>
      <c r="K72" s="491" t="s">
        <v>179</v>
      </c>
      <c r="L72" s="20" t="s">
        <v>116</v>
      </c>
      <c r="M72" s="129"/>
      <c r="N72" s="129"/>
    </row>
    <row r="73" spans="1:14" ht="30.75" thickBot="1">
      <c r="A73" s="603" t="s">
        <v>494</v>
      </c>
      <c r="B73" s="604"/>
      <c r="C73" s="604"/>
      <c r="D73" s="604"/>
      <c r="E73" s="604"/>
      <c r="F73" s="607"/>
      <c r="G73" s="605" t="s">
        <v>185</v>
      </c>
      <c r="H73" s="606" t="s">
        <v>421</v>
      </c>
      <c r="I73" s="606" t="s">
        <v>421</v>
      </c>
      <c r="J73" s="606" t="s">
        <v>421</v>
      </c>
      <c r="K73" s="608"/>
      <c r="L73" s="604"/>
      <c r="M73" s="129"/>
      <c r="N73" s="129"/>
    </row>
    <row r="74" spans="1:14">
      <c r="A74" s="100"/>
      <c r="B74" s="100"/>
      <c r="C74" s="100"/>
      <c r="D74" s="100"/>
      <c r="E74" s="100"/>
      <c r="F74" s="487" t="s">
        <v>46</v>
      </c>
      <c r="G74" s="500" t="s">
        <v>137</v>
      </c>
      <c r="H74" s="487" t="s">
        <v>100</v>
      </c>
      <c r="I74" s="487" t="s">
        <v>70</v>
      </c>
      <c r="J74" s="487" t="s">
        <v>180</v>
      </c>
      <c r="K74" s="500" t="s">
        <v>46</v>
      </c>
      <c r="L74" s="500" t="s">
        <v>424</v>
      </c>
      <c r="M74" s="129"/>
      <c r="N74" s="129"/>
    </row>
    <row r="75" spans="1:14">
      <c r="A75" s="31" t="str">
        <f>Legend!$A$36</f>
        <v>Commercial Services</v>
      </c>
      <c r="B75" s="125" t="str">
        <f>Legend!$A$43</f>
        <v>Cooking</v>
      </c>
      <c r="C75" s="31" t="str">
        <f>Legend!$A$52</f>
        <v>LPG</v>
      </c>
      <c r="D75" s="31" t="str">
        <f>Legend!$B$52</f>
        <v>LPG</v>
      </c>
      <c r="E75" s="31" t="str">
        <f>Legend!$C$52</f>
        <v>SRVLPG</v>
      </c>
      <c r="F75" s="72">
        <f>EB_SRV!G48</f>
        <v>2.2457893736879595</v>
      </c>
      <c r="G75" s="489">
        <v>0.48571820894923945</v>
      </c>
      <c r="H75" s="492">
        <v>15</v>
      </c>
      <c r="I75" s="492">
        <v>800</v>
      </c>
      <c r="J75" s="492">
        <v>15</v>
      </c>
      <c r="K75" s="122">
        <f t="shared" ref="K75:K83" si="22">IF(F75=0,0,F75*G75)</f>
        <v>1.09082079226495</v>
      </c>
      <c r="L75" s="122">
        <f>K75/(I75/8760*31.536)/(J75/1000)</f>
        <v>25.250481302429399</v>
      </c>
      <c r="M75" s="129"/>
      <c r="N75" s="129"/>
    </row>
    <row r="76" spans="1:14">
      <c r="A76" s="31" t="str">
        <f>Legend!$A$36</f>
        <v>Commercial Services</v>
      </c>
      <c r="B76" s="125" t="str">
        <f>Legend!$A$43</f>
        <v>Cooking</v>
      </c>
      <c r="C76" s="31" t="str">
        <f>Legend!$A$54</f>
        <v>Natural Gas</v>
      </c>
      <c r="D76" s="31" t="str">
        <f>Legend!$B$54</f>
        <v>GAS</v>
      </c>
      <c r="E76" s="31" t="str">
        <f>Legend!$C$54</f>
        <v>SRVGAS</v>
      </c>
      <c r="F76" s="72">
        <f>EB_SRV!G49</f>
        <v>2.1388083095615955</v>
      </c>
      <c r="G76" s="489">
        <v>0.5299882794392895</v>
      </c>
      <c r="H76" s="492">
        <v>15</v>
      </c>
      <c r="I76" s="492">
        <v>800</v>
      </c>
      <c r="J76" s="492">
        <v>15</v>
      </c>
      <c r="K76" s="72">
        <f t="shared" si="22"/>
        <v>1.1335433360350053</v>
      </c>
      <c r="L76" s="72">
        <f t="shared" ref="L76:L83" si="23">K76/(I76/8760*31.536)/(J76/1000)</f>
        <v>26.239429074884384</v>
      </c>
      <c r="M76" s="129"/>
      <c r="N76" s="129"/>
    </row>
    <row r="77" spans="1:14">
      <c r="A77" s="31" t="str">
        <f>Legend!$A$36</f>
        <v>Commercial Services</v>
      </c>
      <c r="B77" s="125" t="str">
        <f>Legend!$A$43</f>
        <v>Cooking</v>
      </c>
      <c r="C77" s="31" t="str">
        <f>Legend!$A$55</f>
        <v>Biomass</v>
      </c>
      <c r="D77" s="31" t="str">
        <f>Legend!$B$55</f>
        <v>BIO</v>
      </c>
      <c r="E77" s="31" t="str">
        <f>Legend!$C$55</f>
        <v>SRVBIO</v>
      </c>
      <c r="F77" s="72">
        <f>EB_SRV!G50</f>
        <v>0</v>
      </c>
      <c r="G77" s="489">
        <v>0.33</v>
      </c>
      <c r="H77" s="492">
        <v>15</v>
      </c>
      <c r="I77" s="492">
        <v>800</v>
      </c>
      <c r="J77" s="492">
        <v>15</v>
      </c>
      <c r="K77" s="72">
        <f t="shared" si="22"/>
        <v>0</v>
      </c>
      <c r="L77" s="72">
        <f t="shared" si="23"/>
        <v>0</v>
      </c>
      <c r="M77" s="129"/>
      <c r="N77" s="129"/>
    </row>
    <row r="78" spans="1:14">
      <c r="A78" s="32" t="str">
        <f>Legend!$A$36</f>
        <v>Commercial Services</v>
      </c>
      <c r="B78" s="49" t="str">
        <f>Legend!$A$43</f>
        <v>Cooking</v>
      </c>
      <c r="C78" s="32" t="str">
        <f>Legend!$A$58</f>
        <v>Electricity</v>
      </c>
      <c r="D78" s="32" t="str">
        <f>Legend!$B$58</f>
        <v>ELC</v>
      </c>
      <c r="E78" s="32" t="str">
        <f>Legend!$C$58</f>
        <v>SRVELC</v>
      </c>
      <c r="F78" s="503">
        <f>EB_SRV!G51</f>
        <v>2.2620869952186466</v>
      </c>
      <c r="G78" s="490">
        <v>0.67758189334652785</v>
      </c>
      <c r="H78" s="504">
        <v>15</v>
      </c>
      <c r="I78" s="504">
        <v>800</v>
      </c>
      <c r="J78" s="504">
        <v>15</v>
      </c>
      <c r="K78" s="503">
        <f t="shared" si="22"/>
        <v>1.5327491891348086</v>
      </c>
      <c r="L78" s="503">
        <f t="shared" si="23"/>
        <v>35.480305304046496</v>
      </c>
      <c r="M78" s="129"/>
      <c r="N78" s="129"/>
    </row>
    <row r="79" spans="1:14">
      <c r="A79" s="601" t="str">
        <f>Legend!$A$36</f>
        <v>Commercial Services</v>
      </c>
      <c r="B79" s="668" t="str">
        <f>Legend!$A$43</f>
        <v>Cooking</v>
      </c>
      <c r="C79" s="439" t="s">
        <v>408</v>
      </c>
      <c r="D79" s="671"/>
      <c r="E79" s="671"/>
      <c r="F79" s="669">
        <f>SUM(F75:F78)</f>
        <v>6.6466846784682012</v>
      </c>
      <c r="G79" s="664"/>
      <c r="H79" s="672"/>
      <c r="I79" s="672"/>
      <c r="J79" s="672"/>
      <c r="K79" s="669">
        <f t="shared" ref="K79:L79" si="24">SUM(K75:K78)</f>
        <v>3.7571133174347637</v>
      </c>
      <c r="L79" s="669">
        <f t="shared" si="24"/>
        <v>86.970215681360287</v>
      </c>
      <c r="M79" s="129"/>
      <c r="N79" s="129"/>
    </row>
    <row r="80" spans="1:14">
      <c r="A80" s="31" t="str">
        <f>Legend!$A$37</f>
        <v>Public Services</v>
      </c>
      <c r="B80" s="125" t="str">
        <f>Legend!$A$43</f>
        <v>Cooking</v>
      </c>
      <c r="C80" s="458" t="str">
        <f>Legend!$A$52</f>
        <v>LPG</v>
      </c>
      <c r="D80" s="458" t="str">
        <f>Legend!$B$52</f>
        <v>LPG</v>
      </c>
      <c r="E80" s="458" t="str">
        <f>Legend!$C$52</f>
        <v>SRVLPG</v>
      </c>
      <c r="F80" s="72">
        <f>EB_SRV!G87</f>
        <v>0.67328562632134759</v>
      </c>
      <c r="G80" s="489">
        <f t="shared" ref="G80:H83" si="25">G75</f>
        <v>0.48571820894923945</v>
      </c>
      <c r="H80" s="492">
        <f t="shared" si="25"/>
        <v>15</v>
      </c>
      <c r="I80" s="492">
        <f t="shared" ref="I80" si="26">I75</f>
        <v>800</v>
      </c>
      <c r="J80" s="492">
        <f t="shared" ref="J80" si="27">J75</f>
        <v>15</v>
      </c>
      <c r="K80" s="651">
        <f t="shared" si="22"/>
        <v>0.32702708852807189</v>
      </c>
      <c r="L80" s="651">
        <f t="shared" si="23"/>
        <v>7.5700714937053677</v>
      </c>
      <c r="M80" s="129"/>
      <c r="N80" s="129"/>
    </row>
    <row r="81" spans="1:14">
      <c r="A81" s="31" t="str">
        <f>Legend!$A$37</f>
        <v>Public Services</v>
      </c>
      <c r="B81" s="125" t="str">
        <f>Legend!$A$43</f>
        <v>Cooking</v>
      </c>
      <c r="C81" s="458" t="str">
        <f>Legend!$A$54</f>
        <v>Natural Gas</v>
      </c>
      <c r="D81" s="458" t="str">
        <f>Legend!$B$54</f>
        <v>GAS</v>
      </c>
      <c r="E81" s="458" t="str">
        <f>Legend!$C$54</f>
        <v>SRVGAS</v>
      </c>
      <c r="F81" s="72">
        <f>EB_SRV!G88</f>
        <v>1.9979820503266772</v>
      </c>
      <c r="G81" s="489">
        <f t="shared" si="25"/>
        <v>0.5299882794392895</v>
      </c>
      <c r="H81" s="505">
        <f t="shared" si="25"/>
        <v>15</v>
      </c>
      <c r="I81" s="505">
        <f>I76</f>
        <v>800</v>
      </c>
      <c r="J81" s="505">
        <f t="shared" ref="J81" si="28">J76</f>
        <v>15</v>
      </c>
      <c r="K81" s="72">
        <f t="shared" si="22"/>
        <v>1.0589070692032196</v>
      </c>
      <c r="L81" s="72">
        <f t="shared" si="23"/>
        <v>24.511737713037494</v>
      </c>
      <c r="M81" s="129"/>
      <c r="N81" s="129"/>
    </row>
    <row r="82" spans="1:14">
      <c r="A82" s="31" t="str">
        <f>Legend!$A$37</f>
        <v>Public Services</v>
      </c>
      <c r="B82" s="125" t="str">
        <f>Legend!$A$43</f>
        <v>Cooking</v>
      </c>
      <c r="C82" s="458" t="str">
        <f>Legend!$A$55</f>
        <v>Biomass</v>
      </c>
      <c r="D82" s="458" t="str">
        <f>Legend!$B$55</f>
        <v>BIO</v>
      </c>
      <c r="E82" s="458" t="str">
        <f>Legend!$C$55</f>
        <v>SRVBIO</v>
      </c>
      <c r="F82" s="72">
        <f>EB_SRV!G89</f>
        <v>0</v>
      </c>
      <c r="G82" s="489">
        <f t="shared" si="25"/>
        <v>0.33</v>
      </c>
      <c r="H82" s="505">
        <f t="shared" si="25"/>
        <v>15</v>
      </c>
      <c r="I82" s="505">
        <f>I77</f>
        <v>800</v>
      </c>
      <c r="J82" s="505">
        <f t="shared" ref="J82" si="29">J77</f>
        <v>15</v>
      </c>
      <c r="K82" s="72">
        <f t="shared" si="22"/>
        <v>0</v>
      </c>
      <c r="L82" s="72">
        <f t="shared" si="23"/>
        <v>0</v>
      </c>
      <c r="M82" s="129"/>
      <c r="N82" s="129"/>
    </row>
    <row r="83" spans="1:14">
      <c r="A83" s="32" t="str">
        <f>Legend!$A$37</f>
        <v>Public Services</v>
      </c>
      <c r="B83" s="49" t="str">
        <f>Legend!$A$43</f>
        <v>Cooking</v>
      </c>
      <c r="C83" s="111" t="str">
        <f>Legend!$A$58</f>
        <v>Electricity</v>
      </c>
      <c r="D83" s="111" t="str">
        <f>Legend!$B$58</f>
        <v>ELC</v>
      </c>
      <c r="E83" s="111" t="str">
        <f>Legend!$C$58</f>
        <v>SRVELC</v>
      </c>
      <c r="F83" s="503">
        <f>EB_SRV!G90</f>
        <v>1.2350012769876044</v>
      </c>
      <c r="G83" s="490">
        <f t="shared" si="25"/>
        <v>0.67758189334652785</v>
      </c>
      <c r="H83" s="504">
        <f t="shared" si="25"/>
        <v>15</v>
      </c>
      <c r="I83" s="504">
        <f>I78</f>
        <v>800</v>
      </c>
      <c r="J83" s="504">
        <f t="shared" ref="J83" si="30">J78</f>
        <v>15</v>
      </c>
      <c r="K83" s="503">
        <f t="shared" si="22"/>
        <v>0.83681450354664066</v>
      </c>
      <c r="L83" s="503">
        <f t="shared" si="23"/>
        <v>19.370706100616683</v>
      </c>
      <c r="M83" s="129"/>
      <c r="N83" s="129"/>
    </row>
    <row r="84" spans="1:14">
      <c r="A84" s="674" t="str">
        <f>Legend!$A$37</f>
        <v>Public Services</v>
      </c>
      <c r="B84" s="675" t="str">
        <f>Legend!$A$43</f>
        <v>Cooking</v>
      </c>
      <c r="C84" s="673" t="s">
        <v>408</v>
      </c>
      <c r="D84" s="676"/>
      <c r="E84" s="676"/>
      <c r="F84" s="669">
        <f>SUM(F80:F83)</f>
        <v>3.9062689536356294</v>
      </c>
      <c r="G84" s="664"/>
      <c r="H84" s="672"/>
      <c r="I84" s="672"/>
      <c r="J84" s="672"/>
      <c r="K84" s="669">
        <f t="shared" ref="K84" si="31">SUM(K80:K83)</f>
        <v>2.2227486612779321</v>
      </c>
      <c r="L84" s="669">
        <f t="shared" ref="L84" si="32">SUM(L80:L83)</f>
        <v>51.452515307359548</v>
      </c>
      <c r="M84" s="129"/>
      <c r="N84" s="129"/>
    </row>
    <row r="85" spans="1:14">
      <c r="A85" s="31"/>
      <c r="B85" s="31"/>
      <c r="C85" s="31"/>
      <c r="D85" s="31"/>
      <c r="E85" s="501" t="s">
        <v>150</v>
      </c>
      <c r="F85" s="502">
        <f>F79+F84</f>
        <v>10.552953632103831</v>
      </c>
      <c r="G85" s="31"/>
      <c r="H85" s="31"/>
      <c r="I85" s="31"/>
      <c r="J85" s="31"/>
      <c r="K85" s="502">
        <f>K79+K84</f>
        <v>5.9798619787126963</v>
      </c>
      <c r="L85" s="502">
        <f>L79+L84</f>
        <v>138.42273098871982</v>
      </c>
      <c r="M85" s="129"/>
      <c r="N85" s="129"/>
    </row>
    <row r="86" spans="1:14">
      <c r="F86" s="129"/>
      <c r="G86" s="129"/>
      <c r="H86" s="129"/>
      <c r="I86" s="129"/>
      <c r="J86" s="129"/>
      <c r="M86" s="129"/>
      <c r="N86" s="129"/>
    </row>
    <row r="87" spans="1:14">
      <c r="A87" s="99" t="s">
        <v>425</v>
      </c>
    </row>
    <row r="88" spans="1:14" ht="30.75" thickBot="1">
      <c r="A88" s="20" t="s">
        <v>395</v>
      </c>
      <c r="B88" s="20" t="s">
        <v>165</v>
      </c>
      <c r="C88" s="20" t="s">
        <v>83</v>
      </c>
      <c r="D88" s="20" t="s">
        <v>177</v>
      </c>
      <c r="E88" s="20" t="s">
        <v>178</v>
      </c>
      <c r="F88" s="21" t="s">
        <v>419</v>
      </c>
      <c r="G88" s="513" t="s">
        <v>134</v>
      </c>
      <c r="H88" s="491" t="s">
        <v>420</v>
      </c>
      <c r="I88" s="20" t="s">
        <v>179</v>
      </c>
      <c r="J88" s="20" t="s">
        <v>116</v>
      </c>
    </row>
    <row r="89" spans="1:14" ht="30.75" thickBot="1">
      <c r="A89" s="603" t="s">
        <v>494</v>
      </c>
      <c r="B89" s="604"/>
      <c r="C89" s="604"/>
      <c r="D89" s="604"/>
      <c r="E89" s="604"/>
      <c r="F89" s="607"/>
      <c r="H89" s="609" t="s">
        <v>421</v>
      </c>
      <c r="I89" s="603"/>
      <c r="J89" s="603" t="s">
        <v>185</v>
      </c>
    </row>
    <row r="90" spans="1:14">
      <c r="A90" s="100"/>
      <c r="B90" s="100"/>
      <c r="C90" s="100"/>
      <c r="D90" s="100"/>
      <c r="E90" s="100"/>
      <c r="F90" s="487" t="s">
        <v>46</v>
      </c>
      <c r="G90" s="500" t="s">
        <v>525</v>
      </c>
      <c r="H90" s="487" t="s">
        <v>100</v>
      </c>
      <c r="I90" s="28" t="s">
        <v>526</v>
      </c>
      <c r="J90" s="28" t="s">
        <v>526</v>
      </c>
    </row>
    <row r="91" spans="1:14" ht="21.75" customHeight="1">
      <c r="A91" s="31" t="str">
        <f>Legend!$A$36</f>
        <v>Commercial Services</v>
      </c>
      <c r="B91" s="23" t="str">
        <f>Legend!$A$44</f>
        <v>Building lighting</v>
      </c>
      <c r="C91" s="23" t="str">
        <f>Legend!$A$58</f>
        <v>Electricity</v>
      </c>
      <c r="D91" s="23" t="str">
        <f>Legend!$B$58</f>
        <v>ELC</v>
      </c>
      <c r="E91" s="23" t="str">
        <f>Legend!$C$58</f>
        <v>SRVELC</v>
      </c>
      <c r="F91" s="121">
        <f>EB_SRV!G53</f>
        <v>5.8764899510681836</v>
      </c>
      <c r="G91" s="27">
        <f>I91/F91</f>
        <v>3.2268736739818373</v>
      </c>
      <c r="H91" s="492">
        <v>10</v>
      </c>
      <c r="I91" s="122">
        <f>J91</f>
        <v>18.962690718520737</v>
      </c>
      <c r="J91" s="493">
        <v>18.962690718520737</v>
      </c>
    </row>
    <row r="92" spans="1:14" ht="21.75" customHeight="1">
      <c r="A92" s="31" t="str">
        <f>Legend!$A$36</f>
        <v>Commercial Services</v>
      </c>
      <c r="B92" s="129" t="str">
        <f>Legend!$A$45</f>
        <v>Refrigeration</v>
      </c>
      <c r="C92" s="129" t="str">
        <f>Legend!$A$58</f>
        <v>Electricity</v>
      </c>
      <c r="D92" s="129" t="str">
        <f>Legend!$B$58</f>
        <v>ELC</v>
      </c>
      <c r="E92" s="129" t="str">
        <f>Legend!$C$58</f>
        <v>SRVELC</v>
      </c>
      <c r="F92" s="121">
        <f>EB_SRV!G54</f>
        <v>2.2782365668801692</v>
      </c>
      <c r="G92" s="27">
        <f>I92/F92</f>
        <v>43.274952141011113</v>
      </c>
      <c r="H92" s="492">
        <v>10</v>
      </c>
      <c r="I92" s="122">
        <f t="shared" ref="I92:I95" si="33">J92</f>
        <v>98.590578397640783</v>
      </c>
      <c r="J92" s="493">
        <v>98.590578397640783</v>
      </c>
    </row>
    <row r="93" spans="1:14" ht="21.75" customHeight="1">
      <c r="A93" s="32" t="str">
        <f>Legend!$A$36</f>
        <v>Commercial Services</v>
      </c>
      <c r="B93" s="130" t="str">
        <f>Legend!$A$46</f>
        <v>Other appliances</v>
      </c>
      <c r="C93" s="130" t="str">
        <f>Legend!$A$58</f>
        <v>Electricity</v>
      </c>
      <c r="D93" s="130" t="str">
        <f>Legend!$B$58</f>
        <v>ELC</v>
      </c>
      <c r="E93" s="130" t="str">
        <f>Legend!$C$58</f>
        <v>SRVELC</v>
      </c>
      <c r="F93" s="488">
        <f>EB_SRV!G55</f>
        <v>7.8175822437094915</v>
      </c>
      <c r="G93" s="29">
        <f t="shared" ref="G93:G96" si="34">I93/F93</f>
        <v>1</v>
      </c>
      <c r="H93" s="504">
        <v>10</v>
      </c>
      <c r="I93" s="498">
        <f>F93</f>
        <v>7.8175822437094915</v>
      </c>
      <c r="J93" s="498">
        <f>I93/31.536</f>
        <v>0.24789390676399958</v>
      </c>
    </row>
    <row r="94" spans="1:14">
      <c r="A94" s="31" t="str">
        <f>Legend!$A$37</f>
        <v>Public Services</v>
      </c>
      <c r="B94" s="129" t="str">
        <f>Legend!$A$44</f>
        <v>Building lighting</v>
      </c>
      <c r="C94" s="129" t="str">
        <f>Legend!$A$58</f>
        <v>Electricity</v>
      </c>
      <c r="D94" s="129" t="str">
        <f>Legend!$B$58</f>
        <v>ELC</v>
      </c>
      <c r="E94" s="129" t="str">
        <f>Legend!$C$58</f>
        <v>SRVELC</v>
      </c>
      <c r="F94" s="121">
        <f>EB_SRV!G92</f>
        <v>3.2083083493756375</v>
      </c>
      <c r="G94" s="27">
        <f t="shared" si="34"/>
        <v>2.9375514476297524</v>
      </c>
      <c r="H94" s="492">
        <f>H91</f>
        <v>10</v>
      </c>
      <c r="I94" s="122">
        <f t="shared" si="33"/>
        <v>9.424570836151025</v>
      </c>
      <c r="J94" s="493">
        <v>9.424570836151025</v>
      </c>
    </row>
    <row r="95" spans="1:14">
      <c r="A95" s="31" t="str">
        <f>Legend!$A$37</f>
        <v>Public Services</v>
      </c>
      <c r="B95" s="129" t="str">
        <f>Legend!$A$45</f>
        <v>Refrigeration</v>
      </c>
      <c r="C95" s="129" t="str">
        <f>Legend!$A$58</f>
        <v>Electricity</v>
      </c>
      <c r="D95" s="129" t="str">
        <f>Legend!$B$58</f>
        <v>ELC</v>
      </c>
      <c r="E95" s="129" t="str">
        <f>Legend!$C$58</f>
        <v>SRVELC</v>
      </c>
      <c r="F95" s="121">
        <f>EB_SRV!G93</f>
        <v>1.2438182418819432</v>
      </c>
      <c r="G95" s="27">
        <f t="shared" si="34"/>
        <v>39.394910105381136</v>
      </c>
      <c r="H95" s="492">
        <f>H92</f>
        <v>10</v>
      </c>
      <c r="I95" s="122">
        <f t="shared" si="33"/>
        <v>49.000107826372364</v>
      </c>
      <c r="J95" s="493">
        <v>49.000107826372364</v>
      </c>
    </row>
    <row r="96" spans="1:14">
      <c r="A96" s="32" t="str">
        <f>Legend!$A$37</f>
        <v>Public Services</v>
      </c>
      <c r="B96" s="130" t="str">
        <f>Legend!$A$46</f>
        <v>Other appliances</v>
      </c>
      <c r="C96" s="130" t="str">
        <f>Legend!$A$58</f>
        <v>Electricity</v>
      </c>
      <c r="D96" s="130" t="str">
        <f>Legend!$B$58</f>
        <v>ELC</v>
      </c>
      <c r="E96" s="130" t="str">
        <f>Legend!$C$58</f>
        <v>SRVELC</v>
      </c>
      <c r="F96" s="488">
        <f>EB_SRV!G94</f>
        <v>4.2680604567127389</v>
      </c>
      <c r="G96" s="29">
        <f t="shared" si="34"/>
        <v>1</v>
      </c>
      <c r="H96" s="504">
        <f>H93</f>
        <v>10</v>
      </c>
      <c r="I96" s="498">
        <f>F96</f>
        <v>4.2680604567127389</v>
      </c>
      <c r="J96" s="498">
        <f>I96/31.536</f>
        <v>0.13533930925649224</v>
      </c>
    </row>
    <row r="97" spans="1:14">
      <c r="A97" s="128"/>
      <c r="B97" s="129"/>
      <c r="C97" s="129"/>
      <c r="D97" s="129"/>
      <c r="E97" s="501" t="s">
        <v>150</v>
      </c>
      <c r="F97" s="502">
        <f>SUM(F91:F96)</f>
        <v>24.692495809628163</v>
      </c>
      <c r="G97" s="129"/>
      <c r="H97" s="129"/>
      <c r="I97" s="502">
        <f>SUM(I91:I96)</f>
        <v>188.06359047910712</v>
      </c>
      <c r="J97" s="502">
        <f>SUM(J91:J96)</f>
        <v>176.36118099470539</v>
      </c>
    </row>
    <row r="98" spans="1:14">
      <c r="A98" s="117"/>
      <c r="B98" s="107"/>
      <c r="C98" s="107"/>
      <c r="D98" s="107"/>
      <c r="E98" s="107"/>
      <c r="F98" s="103"/>
      <c r="G98" s="122"/>
      <c r="H98" s="122"/>
      <c r="I98" s="122"/>
      <c r="J98" s="54"/>
      <c r="K98" s="54"/>
      <c r="L98" s="54"/>
    </row>
    <row r="99" spans="1:14">
      <c r="A99" s="99" t="s">
        <v>522</v>
      </c>
      <c r="B99" s="107"/>
      <c r="C99" s="107"/>
      <c r="D99" s="107"/>
      <c r="E99" s="107"/>
      <c r="F99" s="103"/>
      <c r="K99" s="122"/>
    </row>
    <row r="100" spans="1:14" ht="45.75" thickBot="1">
      <c r="A100" s="20" t="s">
        <v>395</v>
      </c>
      <c r="B100" s="20" t="s">
        <v>165</v>
      </c>
      <c r="C100" s="20" t="s">
        <v>167</v>
      </c>
      <c r="D100" s="20" t="s">
        <v>177</v>
      </c>
      <c r="E100" s="20" t="s">
        <v>178</v>
      </c>
      <c r="F100" s="21" t="s">
        <v>419</v>
      </c>
      <c r="G100" s="513" t="s">
        <v>116</v>
      </c>
      <c r="H100" s="21" t="s">
        <v>174</v>
      </c>
      <c r="I100" s="21" t="s">
        <v>182</v>
      </c>
      <c r="J100" s="21" t="s">
        <v>149</v>
      </c>
      <c r="K100" s="491" t="s">
        <v>420</v>
      </c>
      <c r="L100" s="21" t="s">
        <v>183</v>
      </c>
      <c r="M100" s="21" t="s">
        <v>496</v>
      </c>
      <c r="N100" s="21" t="s">
        <v>497</v>
      </c>
    </row>
    <row r="101" spans="1:14" ht="30.75" thickBot="1">
      <c r="A101" s="603" t="s">
        <v>494</v>
      </c>
      <c r="B101" s="604"/>
      <c r="C101" s="604"/>
      <c r="D101" s="604"/>
      <c r="E101" s="604"/>
      <c r="F101" s="605" t="s">
        <v>492</v>
      </c>
      <c r="G101" s="605" t="s">
        <v>599</v>
      </c>
      <c r="H101" s="606" t="s">
        <v>421</v>
      </c>
      <c r="I101" s="606" t="s">
        <v>421</v>
      </c>
      <c r="J101" s="606" t="s">
        <v>421</v>
      </c>
      <c r="K101" s="606" t="s">
        <v>421</v>
      </c>
      <c r="L101" s="514"/>
      <c r="N101" s="515"/>
    </row>
    <row r="102" spans="1:14" s="54" customFormat="1">
      <c r="A102" s="100"/>
      <c r="B102" s="100"/>
      <c r="C102" s="100"/>
      <c r="D102" s="100"/>
      <c r="E102" s="100"/>
      <c r="F102" s="487" t="s">
        <v>46</v>
      </c>
      <c r="G102" s="28" t="s">
        <v>184</v>
      </c>
      <c r="H102" s="28" t="s">
        <v>137</v>
      </c>
      <c r="I102" s="28" t="s">
        <v>73</v>
      </c>
      <c r="J102" s="28" t="s">
        <v>70</v>
      </c>
      <c r="K102" s="487" t="s">
        <v>100</v>
      </c>
      <c r="L102" s="28" t="s">
        <v>154</v>
      </c>
      <c r="M102" s="28" t="s">
        <v>184</v>
      </c>
      <c r="N102" s="487" t="s">
        <v>46</v>
      </c>
    </row>
    <row r="103" spans="1:14">
      <c r="A103" s="599" t="s">
        <v>398</v>
      </c>
      <c r="B103" s="26" t="str">
        <f>Legend!$A$48</f>
        <v>Public lighting</v>
      </c>
      <c r="C103" s="26" t="s">
        <v>71</v>
      </c>
      <c r="D103" s="23" t="str">
        <f>Legend!$B$58</f>
        <v>ELC</v>
      </c>
      <c r="E103" s="23" t="str">
        <f>Legend!$C$58</f>
        <v>SRVELC</v>
      </c>
      <c r="F103" s="720">
        <f>'Public SEAI'!C29*Legend!$B$81</f>
        <v>1.4472</v>
      </c>
      <c r="G103" s="721">
        <f>480000/10^6</f>
        <v>0.48</v>
      </c>
      <c r="H103" s="509">
        <v>0.04</v>
      </c>
      <c r="I103" s="492">
        <v>130</v>
      </c>
      <c r="J103" s="492">
        <f>12*365</f>
        <v>4380</v>
      </c>
      <c r="K103" s="508">
        <v>20</v>
      </c>
      <c r="L103" s="507">
        <f>J103*I103*(3.6*10^-6)</f>
        <v>2.0498400000000001</v>
      </c>
      <c r="M103" s="81">
        <f>$G$103*$H103</f>
        <v>1.9199999999999998E-2</v>
      </c>
      <c r="N103" s="81">
        <f>M103*J103*I103*(3.6*10^-6)</f>
        <v>3.9356927999999992E-2</v>
      </c>
    </row>
    <row r="104" spans="1:14">
      <c r="A104" s="458" t="s">
        <v>398</v>
      </c>
      <c r="B104" s="26" t="str">
        <f>Legend!$A$48</f>
        <v>Public lighting</v>
      </c>
      <c r="C104" s="26" t="s">
        <v>72</v>
      </c>
      <c r="D104" s="129" t="str">
        <f>Legend!$B$58</f>
        <v>ELC</v>
      </c>
      <c r="E104" s="129" t="str">
        <f>Legend!$C$58</f>
        <v>SRVELC</v>
      </c>
      <c r="F104" s="720"/>
      <c r="G104" s="721"/>
      <c r="H104" s="509">
        <v>0.15</v>
      </c>
      <c r="I104" s="492">
        <v>170</v>
      </c>
      <c r="J104" s="492">
        <f t="shared" ref="J104:J106" si="35">12*365</f>
        <v>4380</v>
      </c>
      <c r="K104" s="505">
        <v>20</v>
      </c>
      <c r="L104" s="507">
        <f>J104*I104*(3.6*10^-6)</f>
        <v>2.6805599999999998</v>
      </c>
      <c r="M104" s="81">
        <f>$G$103*$H104</f>
        <v>7.1999999999999995E-2</v>
      </c>
      <c r="N104" s="81">
        <f t="shared" ref="N104:N105" si="36">M104*J104*I104*(3.6*10^-6)</f>
        <v>0.19300031999999995</v>
      </c>
    </row>
    <row r="105" spans="1:14">
      <c r="A105" s="458" t="s">
        <v>398</v>
      </c>
      <c r="B105" s="26" t="str">
        <f>Legend!$A$48</f>
        <v>Public lighting</v>
      </c>
      <c r="C105" s="26" t="s">
        <v>31</v>
      </c>
      <c r="D105" s="129" t="str">
        <f>Legend!$B$58</f>
        <v>ELC</v>
      </c>
      <c r="E105" s="129" t="str">
        <f>Legend!$C$58</f>
        <v>SRVELC</v>
      </c>
      <c r="F105" s="720"/>
      <c r="G105" s="721"/>
      <c r="H105" s="509">
        <v>0.8</v>
      </c>
      <c r="I105" s="492">
        <v>200</v>
      </c>
      <c r="J105" s="492">
        <f t="shared" si="35"/>
        <v>4380</v>
      </c>
      <c r="K105" s="505">
        <v>20</v>
      </c>
      <c r="L105" s="507">
        <f>J105*I105*(3.6*10^-6)</f>
        <v>3.1536</v>
      </c>
      <c r="M105" s="81">
        <f>$G$103*$H105</f>
        <v>0.38400000000000001</v>
      </c>
      <c r="N105" s="81">
        <f t="shared" si="36"/>
        <v>1.2109824</v>
      </c>
    </row>
    <row r="106" spans="1:14">
      <c r="A106" s="111" t="s">
        <v>398</v>
      </c>
      <c r="B106" s="130" t="str">
        <f>Legend!$A$48</f>
        <v>Public lighting</v>
      </c>
      <c r="C106" s="24" t="s">
        <v>32</v>
      </c>
      <c r="D106" s="130" t="str">
        <f>Legend!$B$58</f>
        <v>ELC</v>
      </c>
      <c r="E106" s="130" t="str">
        <f>Legend!$C$58</f>
        <v>SRVELC</v>
      </c>
      <c r="F106" s="720"/>
      <c r="G106" s="721"/>
      <c r="H106" s="510">
        <v>0.01</v>
      </c>
      <c r="I106" s="504">
        <v>50</v>
      </c>
      <c r="J106" s="504">
        <f t="shared" si="35"/>
        <v>4380</v>
      </c>
      <c r="K106" s="504">
        <v>20</v>
      </c>
      <c r="L106" s="498">
        <f>J106*I106*(3.6*10^-6)</f>
        <v>0.78839999999999999</v>
      </c>
      <c r="M106" s="499">
        <f>$G$103*$H106</f>
        <v>4.7999999999999996E-3</v>
      </c>
      <c r="N106" s="81">
        <f>M106*J106*I106*(3.6*10^-6)</f>
        <v>3.784319999999999E-3</v>
      </c>
    </row>
    <row r="107" spans="1:14">
      <c r="A107" s="111" t="s">
        <v>398</v>
      </c>
      <c r="B107" s="130" t="str">
        <f>Legend!$A$48</f>
        <v>Public lighting</v>
      </c>
      <c r="C107" s="601" t="s">
        <v>495</v>
      </c>
      <c r="D107" s="130"/>
      <c r="E107" s="130"/>
      <c r="F107" s="130"/>
      <c r="G107" s="130"/>
      <c r="H107" s="602">
        <f>SUM(H103:H106)</f>
        <v>1</v>
      </c>
      <c r="I107" s="130"/>
      <c r="J107" s="130"/>
      <c r="K107" s="130"/>
      <c r="L107" s="130"/>
      <c r="M107" s="469">
        <f>SUM(M103:M106)</f>
        <v>0.48000000000000004</v>
      </c>
      <c r="N107" s="469">
        <f>SUM(N103:N106)</f>
        <v>1.4471239680000001</v>
      </c>
    </row>
    <row r="108" spans="1:14">
      <c r="A108" s="105"/>
      <c r="B108" s="105"/>
      <c r="D108" s="105"/>
      <c r="E108" s="105"/>
      <c r="F108" s="129"/>
      <c r="G108" s="105"/>
      <c r="H108" s="129"/>
      <c r="I108" s="129"/>
      <c r="J108" s="129"/>
      <c r="K108" s="129"/>
      <c r="L108" s="586" t="s">
        <v>498</v>
      </c>
      <c r="M108" s="600">
        <f>M107-G103</f>
        <v>0</v>
      </c>
      <c r="N108" s="600">
        <f>N107-F103</f>
        <v>-7.6031999999948141E-5</v>
      </c>
    </row>
    <row r="109" spans="1:14">
      <c r="A109" s="587"/>
      <c r="B109" s="587"/>
      <c r="C109" s="588"/>
      <c r="D109" s="587"/>
      <c r="E109" s="587"/>
      <c r="F109" s="108"/>
      <c r="G109" s="587"/>
      <c r="H109" s="107"/>
      <c r="I109" s="107"/>
      <c r="J109" s="107"/>
      <c r="K109" s="589"/>
      <c r="L109" s="88"/>
      <c r="M109" s="88"/>
      <c r="N109" s="587"/>
    </row>
    <row r="110" spans="1:14">
      <c r="A110" s="99" t="s">
        <v>523</v>
      </c>
      <c r="B110" s="587"/>
      <c r="C110" s="588"/>
      <c r="D110" s="587"/>
      <c r="E110" s="587"/>
      <c r="F110" s="108"/>
      <c r="G110" s="587"/>
      <c r="H110" s="107"/>
      <c r="I110" s="107"/>
      <c r="J110" s="107"/>
      <c r="K110" s="589"/>
      <c r="L110" s="88"/>
      <c r="M110" s="88"/>
      <c r="N110" s="587"/>
    </row>
    <row r="111" spans="1:14" ht="45.75" thickBot="1">
      <c r="A111" s="513" t="s">
        <v>395</v>
      </c>
      <c r="B111" s="513" t="s">
        <v>165</v>
      </c>
      <c r="C111" s="513" t="s">
        <v>83</v>
      </c>
      <c r="D111" s="513" t="s">
        <v>177</v>
      </c>
      <c r="E111" s="513" t="s">
        <v>178</v>
      </c>
      <c r="F111" s="513" t="s">
        <v>116</v>
      </c>
      <c r="G111" s="21" t="s">
        <v>491</v>
      </c>
      <c r="H111" s="491" t="s">
        <v>420</v>
      </c>
      <c r="I111" s="21" t="s">
        <v>419</v>
      </c>
      <c r="J111" s="1"/>
      <c r="K111" s="1"/>
      <c r="L111" s="1"/>
      <c r="M111" s="88"/>
      <c r="N111" s="587"/>
    </row>
    <row r="112" spans="1:14" ht="30.75" thickBot="1">
      <c r="A112" s="603" t="s">
        <v>494</v>
      </c>
      <c r="B112" s="604"/>
      <c r="C112" s="610"/>
      <c r="D112" s="610"/>
      <c r="E112" s="610"/>
      <c r="F112" s="611" t="s">
        <v>492</v>
      </c>
      <c r="G112" s="612" t="s">
        <v>493</v>
      </c>
      <c r="H112" s="606" t="s">
        <v>421</v>
      </c>
      <c r="I112" s="613"/>
      <c r="J112" s="1"/>
      <c r="K112" s="1"/>
      <c r="L112" s="1"/>
      <c r="M112" s="88"/>
      <c r="N112" s="587"/>
    </row>
    <row r="113" spans="1:14">
      <c r="A113" s="591"/>
      <c r="B113" s="591"/>
      <c r="F113" s="26" t="s">
        <v>67</v>
      </c>
      <c r="G113" s="26" t="s">
        <v>137</v>
      </c>
      <c r="H113" s="487" t="s">
        <v>100</v>
      </c>
      <c r="I113" s="26" t="s">
        <v>46</v>
      </c>
      <c r="J113" s="1"/>
      <c r="K113" s="585"/>
      <c r="L113" s="1"/>
      <c r="M113" s="88"/>
      <c r="N113" s="587"/>
    </row>
    <row r="114" spans="1:14">
      <c r="A114" s="592" t="str">
        <f>Legend!$A$36</f>
        <v>Commercial Services</v>
      </c>
      <c r="B114" s="593" t="str">
        <f>Legend!$A$47</f>
        <v>Data centers</v>
      </c>
      <c r="C114" s="593" t="str">
        <f>Legend!$A$58</f>
        <v>Electricity</v>
      </c>
      <c r="D114" s="593" t="str">
        <f>Legend!$B$58</f>
        <v>ELC</v>
      </c>
      <c r="E114" s="593" t="str">
        <f>Legend!$C$58</f>
        <v>SRVELC</v>
      </c>
      <c r="F114" s="594">
        <f>510/1000</f>
        <v>0.51</v>
      </c>
      <c r="G114" s="595">
        <v>0.35</v>
      </c>
      <c r="H114" s="670">
        <v>20</v>
      </c>
      <c r="I114" s="596">
        <f>F114*G114*31.536</f>
        <v>5.6291760000000002</v>
      </c>
      <c r="J114" s="1"/>
      <c r="K114" s="1"/>
      <c r="L114" s="1"/>
      <c r="M114" s="88"/>
      <c r="N114" s="587"/>
    </row>
    <row r="115" spans="1:14">
      <c r="A115" s="587"/>
      <c r="B115" s="587"/>
      <c r="C115" s="588"/>
      <c r="D115" s="587"/>
      <c r="E115" s="587"/>
      <c r="F115" s="108"/>
      <c r="G115" s="587"/>
      <c r="H115" s="107"/>
      <c r="I115" s="107"/>
      <c r="J115" s="107"/>
      <c r="K115" s="589"/>
      <c r="L115" s="88"/>
      <c r="M115" s="88"/>
      <c r="N115" s="587"/>
    </row>
    <row r="116" spans="1:14">
      <c r="A116" s="99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98"/>
  <sheetViews>
    <sheetView topLeftCell="A10" zoomScale="80" zoomScaleNormal="80" workbookViewId="0">
      <selection activeCell="A44" sqref="A44:XFD44"/>
    </sheetView>
  </sheetViews>
  <sheetFormatPr defaultRowHeight="15"/>
  <cols>
    <col min="1" max="1" width="2" bestFit="1" customWidth="1"/>
    <col min="2" max="2" width="10.28515625" style="31" bestFit="1" customWidth="1"/>
    <col min="3" max="3" width="12.140625" style="31" bestFit="1" customWidth="1"/>
    <col min="4" max="4" width="24.28515625" style="31" customWidth="1"/>
    <col min="5" max="5" width="45" style="31" bestFit="1" customWidth="1"/>
    <col min="6" max="6" width="17.42578125" style="31" bestFit="1" customWidth="1"/>
    <col min="7" max="7" width="11.28515625" style="31" bestFit="1" customWidth="1"/>
    <col min="8" max="8" width="10.140625" style="31" bestFit="1" customWidth="1"/>
    <col min="9" max="9" width="10.7109375" style="31" bestFit="1" customWidth="1"/>
    <col min="10" max="10" width="8.28515625" style="31" bestFit="1" customWidth="1"/>
    <col min="11" max="11" width="9.28515625" style="31" customWidth="1"/>
    <col min="12" max="21" width="9.28515625" customWidth="1"/>
  </cols>
  <sheetData>
    <row r="1" spans="2:18" ht="23.25">
      <c r="B1" s="34" t="s">
        <v>86</v>
      </c>
      <c r="C1" s="34"/>
      <c r="L1" s="1"/>
      <c r="M1" s="1"/>
      <c r="N1" s="1"/>
      <c r="O1" s="1"/>
    </row>
    <row r="2" spans="2:18">
      <c r="B2" s="50" t="s">
        <v>5</v>
      </c>
      <c r="C2" s="50"/>
      <c r="D2" s="51"/>
      <c r="E2" s="51"/>
      <c r="F2" s="51"/>
      <c r="G2" s="51"/>
      <c r="H2" s="51"/>
      <c r="I2" s="51"/>
      <c r="J2" s="51"/>
      <c r="K2" s="26"/>
      <c r="L2" s="1"/>
      <c r="M2" s="1"/>
      <c r="N2" s="1"/>
      <c r="O2" s="1"/>
      <c r="P2" s="1"/>
      <c r="Q2" s="1"/>
      <c r="R2" s="1"/>
    </row>
    <row r="3" spans="2:18" ht="15.75" thickBot="1">
      <c r="B3" s="35" t="s">
        <v>6</v>
      </c>
      <c r="C3" s="35" t="s">
        <v>537</v>
      </c>
      <c r="D3" s="35" t="s">
        <v>7</v>
      </c>
      <c r="E3" s="35" t="s">
        <v>8</v>
      </c>
      <c r="F3" s="35" t="s">
        <v>0</v>
      </c>
      <c r="G3" s="35" t="s">
        <v>9</v>
      </c>
      <c r="H3" s="35" t="s">
        <v>10</v>
      </c>
      <c r="I3" s="35" t="s">
        <v>11</v>
      </c>
      <c r="J3" s="35" t="s">
        <v>12</v>
      </c>
      <c r="K3" s="54"/>
      <c r="L3" s="1"/>
      <c r="M3" s="1"/>
      <c r="N3" s="1"/>
      <c r="O3" s="1"/>
      <c r="P3" s="1"/>
      <c r="Q3" s="1"/>
      <c r="R3" s="1"/>
    </row>
    <row r="4" spans="2:18" s="1" customFormat="1" ht="25.5">
      <c r="B4" s="52" t="s">
        <v>119</v>
      </c>
      <c r="C4" s="52" t="s">
        <v>551</v>
      </c>
      <c r="D4" s="53" t="s">
        <v>534</v>
      </c>
      <c r="E4" s="53" t="s">
        <v>93</v>
      </c>
      <c r="F4" s="53"/>
      <c r="G4" s="53"/>
      <c r="H4" s="53"/>
      <c r="I4" s="53"/>
      <c r="J4" s="53"/>
      <c r="K4" s="54"/>
    </row>
    <row r="5" spans="2:18">
      <c r="B5" s="31" t="s">
        <v>27</v>
      </c>
      <c r="C5" s="31" t="str">
        <f>_xlfn.TEXTJOIN(",",TRUE,IF(LEFT(Regions!$C$3,1)&lt;&gt;"*",Regions!$C$3,""),IF(LEFT(Regions!$D$3,1)&lt;&gt;"*",Regions!$D$3,""))</f>
        <v>IE,National</v>
      </c>
      <c r="D5" s="31" t="str">
        <f>CONCATENATE(Legend!$C$4,"-",Legend!C36)</f>
        <v>SRV-CS</v>
      </c>
      <c r="E5" s="31" t="str">
        <f>CONCATENATE(Legend!$B$4," - ",Legend!A36)</f>
        <v>Services - Commercial Services</v>
      </c>
      <c r="F5" s="31" t="s">
        <v>66</v>
      </c>
      <c r="Q5" s="1"/>
      <c r="R5" s="1"/>
    </row>
    <row r="6" spans="2:18">
      <c r="B6" s="32" t="s">
        <v>27</v>
      </c>
      <c r="C6" s="32" t="str">
        <f>_xlfn.TEXTJOIN(",",TRUE,IF(LEFT(Regions!$C$3,1)&lt;&gt;"*",Regions!$C$3,""),IF(LEFT(Regions!$D$3,1)&lt;&gt;"*",Regions!$D$3,""))</f>
        <v>IE,National</v>
      </c>
      <c r="D6" s="32" t="str">
        <f>CONCATENATE(Legend!$C$4,"-",Legend!C37)</f>
        <v>SRV-PU</v>
      </c>
      <c r="E6" s="32" t="str">
        <f>CONCATENATE(Legend!$B$4," - ",Legend!A37)</f>
        <v>Services - Public Services</v>
      </c>
      <c r="F6" s="32" t="s">
        <v>66</v>
      </c>
      <c r="G6" s="32"/>
      <c r="H6" s="32"/>
      <c r="I6" s="32"/>
      <c r="J6" s="32"/>
    </row>
    <row r="7" spans="2:18">
      <c r="B7" s="31" t="s">
        <v>21</v>
      </c>
      <c r="C7" s="31" t="str">
        <f>_xlfn.TEXTJOIN(",",TRUE,IF(LEFT(Regions!$C$3,1)&lt;&gt;"*",Regions!$C$3,""),IF(LEFT(Regions!$D$3,1)&lt;&gt;"*",Regions!$D$3,""))</f>
        <v>IE,National</v>
      </c>
      <c r="D7" s="31" t="str">
        <f>CONCATENATE(Legend!$C$4,Legend!$C39,"-",Legend!$C$36)</f>
        <v>SRVSH-CS</v>
      </c>
      <c r="E7" s="31" t="str">
        <f>CONCATENATE(Legend!$C$4,"-",Legend!$A$36,": ",Legend!A39)</f>
        <v>SRV-Commercial Services: Space heating</v>
      </c>
      <c r="F7" s="31" t="s">
        <v>46</v>
      </c>
      <c r="H7" s="31" t="s">
        <v>30</v>
      </c>
    </row>
    <row r="8" spans="2:18">
      <c r="B8" s="31" t="s">
        <v>21</v>
      </c>
      <c r="C8" s="31" t="str">
        <f>_xlfn.TEXTJOIN(",",TRUE,IF(LEFT(Regions!$C$3,1)&lt;&gt;"*",Regions!$C$3,""),IF(LEFT(Regions!$D$3,1)&lt;&gt;"*",Regions!$D$3,""))</f>
        <v>IE,National</v>
      </c>
      <c r="D8" s="31" t="str">
        <f>CONCATENATE(Legend!$C$4,Legend!$C40,"-",Legend!$C$36)</f>
        <v>SRVWH-CS</v>
      </c>
      <c r="E8" s="31" t="str">
        <f>CONCATENATE(Legend!$C$4,"-",Legend!$A$36,": ",Legend!A40)</f>
        <v>SRV-Commercial Services: Water heating</v>
      </c>
      <c r="F8" s="31" t="s">
        <v>46</v>
      </c>
      <c r="H8" s="31" t="s">
        <v>30</v>
      </c>
    </row>
    <row r="9" spans="2:18">
      <c r="B9" s="31" t="s">
        <v>21</v>
      </c>
      <c r="C9" s="31" t="str">
        <f>_xlfn.TEXTJOIN(",",TRUE,IF(LEFT(Regions!$C$3,1)&lt;&gt;"*",Regions!$C$3,""),IF(LEFT(Regions!$D$3,1)&lt;&gt;"*",Regions!$D$3,""))</f>
        <v>IE,National</v>
      </c>
      <c r="D9" s="31" t="str">
        <f>CONCATENATE(Legend!$C$4,Legend!$C41,"-",Legend!$C$36)</f>
        <v>SRVSC-CS</v>
      </c>
      <c r="E9" s="31" t="str">
        <f>CONCATENATE(Legend!$C$4,"-",Legend!$A$36,": ",Legend!A41)</f>
        <v>SRV-Commercial Services: Space cooling</v>
      </c>
      <c r="F9" s="31" t="s">
        <v>46</v>
      </c>
      <c r="H9" s="31" t="s">
        <v>30</v>
      </c>
    </row>
    <row r="10" spans="2:18">
      <c r="B10" s="31" t="s">
        <v>21</v>
      </c>
      <c r="C10" s="31" t="str">
        <f>_xlfn.TEXTJOIN(",",TRUE,IF(LEFT(Regions!$C$3,1)&lt;&gt;"*",Regions!$C$3,""),IF(LEFT(Regions!$D$3,1)&lt;&gt;"*",Regions!$D$3,""))</f>
        <v>IE,National</v>
      </c>
      <c r="D10" s="31" t="str">
        <f>CONCATENATE(Legend!$C$4,Legend!$C43,"-",Legend!$C$36)</f>
        <v>SRVCK-CS</v>
      </c>
      <c r="E10" s="31" t="str">
        <f>CONCATENATE(Legend!$C$4,"-",Legend!$A$36,": ",Legend!A43)</f>
        <v>SRV-Commercial Services: Cooking</v>
      </c>
      <c r="F10" s="31" t="s">
        <v>46</v>
      </c>
      <c r="H10" s="31" t="s">
        <v>30</v>
      </c>
    </row>
    <row r="11" spans="2:18">
      <c r="B11" s="31" t="s">
        <v>21</v>
      </c>
      <c r="C11" s="31" t="str">
        <f>_xlfn.TEXTJOIN(",",TRUE,IF(LEFT(Regions!$C$3,1)&lt;&gt;"*",Regions!$C$3,""),IF(LEFT(Regions!$D$3,1)&lt;&gt;"*",Regions!$D$3,""))</f>
        <v>IE,National</v>
      </c>
      <c r="D11" s="31" t="str">
        <f>CONCATENATE(Legend!$C$4,Legend!$C44,"-",Legend!$C$36)</f>
        <v>SRVLIG-CS</v>
      </c>
      <c r="E11" s="31" t="str">
        <f>CONCATENATE(Legend!$C$4,"-",Legend!$A$36,": ",Legend!A44)</f>
        <v>SRV-Commercial Services: Building lighting</v>
      </c>
      <c r="F11" s="31" t="s">
        <v>601</v>
      </c>
      <c r="H11" s="31" t="s">
        <v>30</v>
      </c>
    </row>
    <row r="12" spans="2:18">
      <c r="B12" s="31" t="s">
        <v>21</v>
      </c>
      <c r="C12" s="31" t="str">
        <f>_xlfn.TEXTJOIN(",",TRUE,IF(LEFT(Regions!$C$3,1)&lt;&gt;"*",Regions!$C$3,""),IF(LEFT(Regions!$D$3,1)&lt;&gt;"*",Regions!$D$3,""))</f>
        <v>IE,National</v>
      </c>
      <c r="D12" s="31" t="str">
        <f>CONCATENATE(Legend!$C$4,Legend!$C45,"-",Legend!$C$36)</f>
        <v>SRVREF-CS</v>
      </c>
      <c r="E12" s="31" t="str">
        <f>CONCATENATE(Legend!$C$4,"-",Legend!$A$36,": ",Legend!A45)</f>
        <v>SRV-Commercial Services: Refrigeration</v>
      </c>
      <c r="F12" s="31" t="s">
        <v>424</v>
      </c>
      <c r="H12" s="31" t="s">
        <v>30</v>
      </c>
    </row>
    <row r="13" spans="2:18" s="1" customFormat="1">
      <c r="B13" s="31" t="s">
        <v>21</v>
      </c>
      <c r="C13" s="31" t="str">
        <f>_xlfn.TEXTJOIN(",",TRUE,IF(LEFT(Regions!$C$3,1)&lt;&gt;"*",Regions!$C$3,""),IF(LEFT(Regions!$D$3,1)&lt;&gt;"*",Regions!$D$3,""))</f>
        <v>IE,National</v>
      </c>
      <c r="D13" s="31" t="str">
        <f>CONCATENATE(Legend!$C$4,Legend!$C46,"-",Legend!$C$36)</f>
        <v>SRVOEL-CS</v>
      </c>
      <c r="E13" s="31" t="str">
        <f>CONCATENATE(Legend!$C$4,"-",Legend!$A$36,": ",Legend!A46)</f>
        <v>SRV-Commercial Services: Other appliances</v>
      </c>
      <c r="F13" s="31" t="s">
        <v>46</v>
      </c>
      <c r="G13" s="31"/>
      <c r="H13" s="31" t="s">
        <v>30</v>
      </c>
      <c r="I13" s="31"/>
      <c r="J13" s="31"/>
      <c r="K13" s="31"/>
    </row>
    <row r="14" spans="2:18" s="1" customFormat="1">
      <c r="B14" s="31" t="s">
        <v>21</v>
      </c>
      <c r="C14" s="31" t="str">
        <f>_xlfn.TEXTJOIN(",",TRUE,IF(LEFT(Regions!$C$3,1)&lt;&gt;"*",Regions!$C$3,""),IF(LEFT(Regions!$D$3,1)&lt;&gt;"*",Regions!$D$3,""))</f>
        <v>IE,National</v>
      </c>
      <c r="D14" s="31" t="str">
        <f>CONCATENATE(Legend!$C$4,Legend!$C39,"-",Legend!$C$37)</f>
        <v>SRVSH-PU</v>
      </c>
      <c r="E14" s="31" t="str">
        <f>CONCATENATE(Legend!$C$4,"-",Legend!$A$37,": ",Legend!A39)</f>
        <v>SRV-Public Services: Space heating</v>
      </c>
      <c r="F14" s="31" t="s">
        <v>46</v>
      </c>
      <c r="G14" s="31"/>
      <c r="H14" s="31" t="s">
        <v>30</v>
      </c>
      <c r="I14" s="31"/>
      <c r="J14" s="31"/>
      <c r="K14" s="31"/>
    </row>
    <row r="15" spans="2:18" s="1" customFormat="1">
      <c r="B15" s="31" t="s">
        <v>21</v>
      </c>
      <c r="C15" s="31" t="str">
        <f>_xlfn.TEXTJOIN(",",TRUE,IF(LEFT(Regions!$C$3,1)&lt;&gt;"*",Regions!$C$3,""),IF(LEFT(Regions!$D$3,1)&lt;&gt;"*",Regions!$D$3,""))</f>
        <v>IE,National</v>
      </c>
      <c r="D15" s="31" t="str">
        <f>CONCATENATE(Legend!$C$4,Legend!$C40,"-",Legend!$C$37)</f>
        <v>SRVWH-PU</v>
      </c>
      <c r="E15" s="31" t="str">
        <f>CONCATENATE(Legend!$C$4,"-",Legend!$A$37,": ",Legend!A40)</f>
        <v>SRV-Public Services: Water heating</v>
      </c>
      <c r="F15" s="31" t="s">
        <v>46</v>
      </c>
      <c r="G15" s="31"/>
      <c r="H15" s="31" t="s">
        <v>30</v>
      </c>
      <c r="I15" s="31"/>
      <c r="J15" s="31"/>
      <c r="K15" s="31"/>
    </row>
    <row r="16" spans="2:18" s="1" customFormat="1">
      <c r="B16" s="31" t="s">
        <v>21</v>
      </c>
      <c r="C16" s="31" t="str">
        <f>_xlfn.TEXTJOIN(",",TRUE,IF(LEFT(Regions!$C$3,1)&lt;&gt;"*",Regions!$C$3,""),IF(LEFT(Regions!$D$3,1)&lt;&gt;"*",Regions!$D$3,""))</f>
        <v>IE,National</v>
      </c>
      <c r="D16" s="31" t="str">
        <f>CONCATENATE(Legend!$C$4,Legend!$C41,"-",Legend!$C$37)</f>
        <v>SRVSC-PU</v>
      </c>
      <c r="E16" s="31" t="str">
        <f>CONCATENATE(Legend!$C$4,"-",Legend!$A$37,": ",Legend!A41)</f>
        <v>SRV-Public Services: Space cooling</v>
      </c>
      <c r="F16" s="31" t="s">
        <v>46</v>
      </c>
      <c r="G16" s="31"/>
      <c r="H16" s="31" t="s">
        <v>30</v>
      </c>
      <c r="I16" s="22"/>
      <c r="J16" s="22"/>
      <c r="K16" s="31"/>
    </row>
    <row r="17" spans="2:11">
      <c r="B17" s="31" t="s">
        <v>21</v>
      </c>
      <c r="C17" s="31" t="str">
        <f>_xlfn.TEXTJOIN(",",TRUE,IF(LEFT(Regions!$C$3,1)&lt;&gt;"*",Regions!$C$3,""),IF(LEFT(Regions!$D$3,1)&lt;&gt;"*",Regions!$D$3,""))</f>
        <v>IE,National</v>
      </c>
      <c r="D17" s="31" t="str">
        <f>CONCATENATE(Legend!$C$4,Legend!$C43,"-",Legend!$C$37)</f>
        <v>SRVCK-PU</v>
      </c>
      <c r="E17" s="31" t="str">
        <f>CONCATENATE(Legend!$C$4,"-",Legend!$A$37,": ",Legend!A43)</f>
        <v>SRV-Public Services: Cooking</v>
      </c>
      <c r="F17" s="31" t="s">
        <v>46</v>
      </c>
      <c r="H17" s="31" t="s">
        <v>30</v>
      </c>
      <c r="I17" s="22"/>
      <c r="J17" s="22"/>
    </row>
    <row r="18" spans="2:11" s="1" customFormat="1">
      <c r="B18" s="31" t="s">
        <v>21</v>
      </c>
      <c r="C18" s="31" t="str">
        <f>_xlfn.TEXTJOIN(",",TRUE,IF(LEFT(Regions!$C$3,1)&lt;&gt;"*",Regions!$C$3,""),IF(LEFT(Regions!$D$3,1)&lt;&gt;"*",Regions!$D$3,""))</f>
        <v>IE,National</v>
      </c>
      <c r="D18" s="31" t="str">
        <f>CONCATENATE(Legend!$C$4,Legend!$C44,"-",Legend!$C$37)</f>
        <v>SRVLIG-PU</v>
      </c>
      <c r="E18" s="31" t="str">
        <f>CONCATENATE(Legend!$C$4,"-",Legend!$A$37,": ",Legend!A44)</f>
        <v>SRV-Public Services: Building lighting</v>
      </c>
      <c r="F18" s="31" t="s">
        <v>601</v>
      </c>
      <c r="G18" s="31"/>
      <c r="H18" s="31" t="s">
        <v>30</v>
      </c>
      <c r="I18" s="22"/>
      <c r="J18" s="22"/>
      <c r="K18" s="31"/>
    </row>
    <row r="19" spans="2:11" s="1" customFormat="1">
      <c r="B19" s="31" t="s">
        <v>21</v>
      </c>
      <c r="C19" s="31" t="str">
        <f>_xlfn.TEXTJOIN(",",TRUE,IF(LEFT(Regions!$C$3,1)&lt;&gt;"*",Regions!$C$3,""),IF(LEFT(Regions!$D$3,1)&lt;&gt;"*",Regions!$D$3,""))</f>
        <v>IE,National</v>
      </c>
      <c r="D19" s="31" t="str">
        <f>CONCATENATE(Legend!$C$4,Legend!$C45,"-",Legend!$C$37)</f>
        <v>SRVREF-PU</v>
      </c>
      <c r="E19" s="31" t="str">
        <f>CONCATENATE(Legend!$C$4,"-",Legend!$A$37,": ",Legend!A45)</f>
        <v>SRV-Public Services: Refrigeration</v>
      </c>
      <c r="F19" s="31" t="s">
        <v>424</v>
      </c>
      <c r="G19" s="31"/>
      <c r="H19" s="31" t="s">
        <v>30</v>
      </c>
      <c r="I19" s="22"/>
      <c r="J19" s="22"/>
      <c r="K19" s="31"/>
    </row>
    <row r="20" spans="2:11" s="1" customFormat="1">
      <c r="B20" s="22" t="s">
        <v>21</v>
      </c>
      <c r="C20" s="22" t="str">
        <f>_xlfn.TEXTJOIN(",",TRUE,IF(LEFT(Regions!$C$3,1)&lt;&gt;"*",Regions!$C$3,""),IF(LEFT(Regions!$D$3,1)&lt;&gt;"*",Regions!$D$3,""))</f>
        <v>IE,National</v>
      </c>
      <c r="D20" s="22" t="str">
        <f>CONCATENATE(Legend!$C$4,Legend!$C46,"-",Legend!$C$37)</f>
        <v>SRVOEL-PU</v>
      </c>
      <c r="E20" s="22" t="str">
        <f>CONCATENATE(Legend!$C$4,"-",Legend!$A$37,": ",Legend!A46)</f>
        <v>SRV-Public Services: Other appliances</v>
      </c>
      <c r="F20" s="22" t="s">
        <v>46</v>
      </c>
      <c r="G20" s="22"/>
      <c r="H20" s="22" t="s">
        <v>30</v>
      </c>
      <c r="I20" s="22"/>
      <c r="J20" s="22"/>
      <c r="K20" s="31"/>
    </row>
    <row r="21" spans="2:11" s="1" customFormat="1">
      <c r="B21" s="667" t="s">
        <v>27</v>
      </c>
      <c r="C21" s="667" t="str">
        <f>_xlfn.TEXTJOIN(",",TRUE,IF(LEFT(Regions!$C$3,1)&lt;&gt;"*",Regions!$C$3,""),IF(LEFT(Regions!$D$3,1)&lt;&gt;"*",Regions!$D$3,""))</f>
        <v>IE,National</v>
      </c>
      <c r="D21" s="667" t="str">
        <f>CONCATENATE(Legend!$C$4,Legend!$C47,"-",Legend!$C$36)</f>
        <v>SRVDCE-CS</v>
      </c>
      <c r="E21" s="667" t="str">
        <f>CONCATENATE(Legend!$C$4,"-",Legend!$A$36,": ",Legend!A47)</f>
        <v>SRV-Commercial Services: Data centers</v>
      </c>
      <c r="F21" s="667" t="s">
        <v>46</v>
      </c>
      <c r="G21" s="667"/>
      <c r="H21" s="667" t="s">
        <v>30</v>
      </c>
      <c r="I21" s="667"/>
      <c r="J21" s="667"/>
      <c r="K21" s="31"/>
    </row>
    <row r="22" spans="2:11" s="1" customFormat="1">
      <c r="B22" s="32" t="s">
        <v>27</v>
      </c>
      <c r="C22" s="32" t="str">
        <f>_xlfn.TEXTJOIN(",",TRUE,IF(LEFT(Regions!$C$3,1)&lt;&gt;"*",Regions!$C$3,""),IF(LEFT(Regions!$D$3,1)&lt;&gt;"*",Regions!$D$3,""))</f>
        <v>IE,National</v>
      </c>
      <c r="D22" s="32" t="str">
        <f>CONCATENATE(Legend!$C$4,Legend!$C48,"-",Legend!$C$37)</f>
        <v>SRVPLIG-PU</v>
      </c>
      <c r="E22" s="32" t="str">
        <f>CONCATENATE(Legend!$C$4,"-",Legend!$A$37,": ",Legend!A48)</f>
        <v>SRV-Public Services: Public lighting</v>
      </c>
      <c r="F22" s="32" t="str">
        <f>PLIG_Techs!P7</f>
        <v>Mlamps</v>
      </c>
      <c r="G22" s="32"/>
      <c r="H22" s="32" t="s">
        <v>30</v>
      </c>
      <c r="I22" s="32"/>
      <c r="J22" s="32"/>
      <c r="K22" s="31"/>
    </row>
    <row r="23" spans="2:11" s="1" customFormat="1">
      <c r="B23" s="31" t="s">
        <v>21</v>
      </c>
      <c r="C23" s="31" t="str">
        <f>_xlfn.TEXTJOIN(",",TRUE,IF(LEFT(Regions!$C$3,1)&lt;&gt;"*",Regions!$C$3,""),IF(LEFT(Regions!$D$3,1)&lt;&gt;"*",Regions!$D$3,""))</f>
        <v>IE,National</v>
      </c>
      <c r="D23" s="31" t="str">
        <f>Legend!C51</f>
        <v>SRVCOA</v>
      </c>
      <c r="E23" s="31" t="str">
        <f>Legend!A51&amp;" (SRV)"</f>
        <v>Solids (SRV)</v>
      </c>
      <c r="F23" s="31" t="s">
        <v>46</v>
      </c>
      <c r="G23" s="31"/>
      <c r="H23" s="31"/>
      <c r="I23" s="31"/>
      <c r="J23" s="31"/>
      <c r="K23" s="31"/>
    </row>
    <row r="24" spans="2:11" s="1" customFormat="1">
      <c r="B24" s="31" t="s">
        <v>21</v>
      </c>
      <c r="C24" s="31" t="str">
        <f>_xlfn.TEXTJOIN(",",TRUE,IF(LEFT(Regions!$C$3,1)&lt;&gt;"*",Regions!$C$3,""),IF(LEFT(Regions!$D$3,1)&lt;&gt;"*",Regions!$D$3,""))</f>
        <v>IE,National</v>
      </c>
      <c r="D24" s="31" t="str">
        <f>Legend!C52</f>
        <v>SRVLPG</v>
      </c>
      <c r="E24" s="31" t="str">
        <f>Legend!A52&amp;" (SRV)"</f>
        <v>LPG (SRV)</v>
      </c>
      <c r="F24" s="31" t="s">
        <v>46</v>
      </c>
      <c r="G24" s="31"/>
      <c r="H24" s="31"/>
      <c r="I24" s="31"/>
      <c r="J24" s="31"/>
      <c r="K24" s="31"/>
    </row>
    <row r="25" spans="2:11" s="1" customFormat="1">
      <c r="B25" s="31" t="s">
        <v>21</v>
      </c>
      <c r="C25" s="31" t="str">
        <f>_xlfn.TEXTJOIN(",",TRUE,IF(LEFT(Regions!$C$3,1)&lt;&gt;"*",Regions!$C$3,""),IF(LEFT(Regions!$D$3,1)&lt;&gt;"*",Regions!$D$3,""))</f>
        <v>IE,National</v>
      </c>
      <c r="D25" s="31" t="str">
        <f>Legend!C53</f>
        <v>SRVOIL</v>
      </c>
      <c r="E25" s="31" t="str">
        <f>Legend!A53&amp;" (SRV)"</f>
        <v>Oil (SRV)</v>
      </c>
      <c r="F25" s="31" t="s">
        <v>46</v>
      </c>
      <c r="G25" s="31"/>
      <c r="H25" s="31"/>
      <c r="I25" s="31"/>
      <c r="K25" s="31"/>
    </row>
    <row r="26" spans="2:11" s="1" customFormat="1">
      <c r="B26" s="31" t="s">
        <v>21</v>
      </c>
      <c r="C26" s="31" t="str">
        <f>_xlfn.TEXTJOIN(",",TRUE,IF(LEFT(Regions!$C$3,1)&lt;&gt;"*",Regions!$C$3,""),IF(LEFT(Regions!$D$3,1)&lt;&gt;"*",Regions!$D$3,""))</f>
        <v>IE,National</v>
      </c>
      <c r="D26" s="31" t="str">
        <f>Legend!C54</f>
        <v>SRVGAS</v>
      </c>
      <c r="E26" s="31" t="str">
        <f>Legend!A54&amp;" (SRV)"</f>
        <v>Natural Gas (SRV)</v>
      </c>
      <c r="F26" s="31" t="s">
        <v>46</v>
      </c>
      <c r="G26" s="31"/>
      <c r="H26" s="31"/>
      <c r="I26" s="31"/>
      <c r="J26" s="31"/>
      <c r="K26" s="31"/>
    </row>
    <row r="27" spans="2:11" s="1" customFormat="1">
      <c r="B27" s="31" t="s">
        <v>21</v>
      </c>
      <c r="C27" s="31" t="str">
        <f>_xlfn.TEXTJOIN(",",TRUE,IF(LEFT(Regions!$C$3,1)&lt;&gt;"*",Regions!$C$3,""),IF(LEFT(Regions!$D$3,1)&lt;&gt;"*",Regions!$D$3,""))</f>
        <v>IE,National</v>
      </c>
      <c r="D27" s="31" t="str">
        <f>Legend!C55</f>
        <v>SRVBIO</v>
      </c>
      <c r="E27" s="31" t="str">
        <f>Legend!A55&amp;" (SRV)"</f>
        <v>Biomass (SRV)</v>
      </c>
      <c r="F27" s="31" t="s">
        <v>46</v>
      </c>
      <c r="K27" s="31"/>
    </row>
    <row r="28" spans="2:11" s="1" customFormat="1">
      <c r="B28" s="31" t="s">
        <v>21</v>
      </c>
      <c r="C28" s="31" t="str">
        <f>_xlfn.TEXTJOIN(",",TRUE,IF(LEFT(Regions!$C$3,1)&lt;&gt;"*",Regions!$C$3,""),IF(LEFT(Regions!$D$3,1)&lt;&gt;"*",Regions!$D$3,""))</f>
        <v>IE,National</v>
      </c>
      <c r="D28" s="31" t="str">
        <f>Legend!C56</f>
        <v>SRVBGS</v>
      </c>
      <c r="E28" s="31" t="str">
        <f>Legend!A56&amp;" (SRV)"</f>
        <v>Biogas (SRV)</v>
      </c>
      <c r="F28" s="31" t="s">
        <v>46</v>
      </c>
      <c r="K28" s="31"/>
    </row>
    <row r="29" spans="2:11" s="1" customFormat="1">
      <c r="B29" s="26" t="s">
        <v>21</v>
      </c>
      <c r="C29" s="26" t="str">
        <f>_xlfn.TEXTJOIN(",",TRUE,IF(LEFT(Regions!$C$3,1)&lt;&gt;"*",Regions!$C$3,""),IF(LEFT(Regions!$D$3,1)&lt;&gt;"*",Regions!$D$3,""))</f>
        <v>IE,National</v>
      </c>
      <c r="D29" s="31" t="str">
        <f>Legend!C57</f>
        <v>SRVSOL</v>
      </c>
      <c r="E29" s="31" t="str">
        <f>Legend!A57&amp;" (SRV)"</f>
        <v>Solar (SRV)</v>
      </c>
      <c r="F29" s="31" t="s">
        <v>46</v>
      </c>
      <c r="G29" s="31"/>
      <c r="H29" s="31"/>
      <c r="K29" s="31"/>
    </row>
    <row r="30" spans="2:11" s="1" customFormat="1">
      <c r="B30" s="31" t="s">
        <v>21</v>
      </c>
      <c r="C30" s="31" t="str">
        <f>_xlfn.TEXTJOIN(",",TRUE,IF(LEFT(Regions!$C$3,1)&lt;&gt;"*",Regions!$C$3,""),IF(LEFT(Regions!$D$3,1)&lt;&gt;"*",Regions!$D$3,""))</f>
        <v>IE,National</v>
      </c>
      <c r="D30" s="31" t="str">
        <f>Legend!C58</f>
        <v>SRVELC</v>
      </c>
      <c r="E30" s="31" t="str">
        <f>Legend!A58&amp;" (SRV)"</f>
        <v>Electricity (SRV)</v>
      </c>
      <c r="F30" s="31" t="s">
        <v>46</v>
      </c>
      <c r="G30" s="31"/>
      <c r="H30" s="31" t="s">
        <v>90</v>
      </c>
      <c r="I30" s="31"/>
      <c r="J30" s="31" t="s">
        <v>47</v>
      </c>
      <c r="K30" s="31"/>
    </row>
    <row r="31" spans="2:11" s="1" customFormat="1">
      <c r="B31" s="31" t="s">
        <v>21</v>
      </c>
      <c r="C31" s="31" t="str">
        <f>_xlfn.TEXTJOIN(",",TRUE,IF(LEFT(Regions!$C$3,1)&lt;&gt;"*",Regions!$C$3,""),IF(LEFT(Regions!$D$3,1)&lt;&gt;"*",Regions!$D$3,""))</f>
        <v>IE,National</v>
      </c>
      <c r="D31" s="31" t="str">
        <f>Legend!C59</f>
        <v>SRVAHT</v>
      </c>
      <c r="E31" s="31" t="str">
        <f>Legend!A59&amp;" (SRV)"</f>
        <v>Ambient Heat (SRV)</v>
      </c>
      <c r="F31" s="31" t="s">
        <v>46</v>
      </c>
      <c r="I31" s="31"/>
      <c r="J31" s="31"/>
      <c r="K31" s="31"/>
    </row>
    <row r="32" spans="2:11" s="1" customFormat="1">
      <c r="B32" s="31" t="s">
        <v>21</v>
      </c>
      <c r="C32" s="31" t="str">
        <f>_xlfn.TEXTJOIN(",",TRUE,IF(LEFT(Regions!$C$3,1)&lt;&gt;"*",Regions!$C$3,""),IF(LEFT(Regions!$D$3,1)&lt;&gt;"*",Regions!$D$3,""))</f>
        <v>IE,National</v>
      </c>
      <c r="D32" s="31" t="str">
        <f>Legend!C60</f>
        <v>SRVAHT2</v>
      </c>
      <c r="E32" s="31" t="str">
        <f>Legend!A60&amp;" (SRV)"</f>
        <v>Ambient Heat 2 (SRV)</v>
      </c>
      <c r="F32" s="31" t="s">
        <v>46</v>
      </c>
      <c r="I32" s="31"/>
      <c r="J32" s="31"/>
      <c r="K32" s="31"/>
    </row>
    <row r="33" spans="1:15" s="1" customFormat="1">
      <c r="B33" s="26" t="s">
        <v>21</v>
      </c>
      <c r="C33" s="26" t="str">
        <f>_xlfn.TEXTJOIN(",",TRUE,IF(LEFT(Regions!$C$3,1)&lt;&gt;"*",Regions!$C$3,""),IF(LEFT(Regions!$D$3,1)&lt;&gt;"*",Regions!$D$3,""))</f>
        <v>IE,National</v>
      </c>
      <c r="D33" s="31" t="str">
        <f>Legend!C61</f>
        <v>SRVHET</v>
      </c>
      <c r="E33" s="31" t="str">
        <f>Legend!A61&amp;" (SRV)"</f>
        <v>District heating (SRV)</v>
      </c>
      <c r="F33" s="31" t="s">
        <v>46</v>
      </c>
      <c r="G33" s="31" t="s">
        <v>160</v>
      </c>
      <c r="H33" s="31" t="s">
        <v>90</v>
      </c>
      <c r="I33" s="31"/>
      <c r="J33" s="31"/>
      <c r="K33" s="31"/>
    </row>
    <row r="34" spans="1:15" s="1" customFormat="1">
      <c r="B34" s="22" t="s">
        <v>21</v>
      </c>
      <c r="C34" s="22" t="str">
        <f>_xlfn.TEXTJOIN(",",TRUE,IF(LEFT(Regions!$C$3,1)&lt;&gt;"*",Regions!$C$3,""),IF(LEFT(Regions!$D$3,1)&lt;&gt;"*",Regions!$D$3,""))</f>
        <v>IE,National</v>
      </c>
      <c r="D34" s="22" t="str">
        <f>Legend!C62</f>
        <v>SRVWIN</v>
      </c>
      <c r="E34" s="22" t="str">
        <f>Legend!A62&amp;" (SRV)"</f>
        <v>Wind (SRV)</v>
      </c>
      <c r="F34" s="22" t="s">
        <v>46</v>
      </c>
      <c r="G34" s="105"/>
      <c r="H34" s="105"/>
      <c r="I34" s="105"/>
      <c r="J34" s="105"/>
      <c r="K34" s="31"/>
    </row>
    <row r="35" spans="1:15" s="1" customFormat="1">
      <c r="B35" s="22" t="s">
        <v>21</v>
      </c>
      <c r="C35" s="22" t="str">
        <f>_xlfn.TEXTJOIN(",",TRUE,IF(LEFT(Regions!$C$3,1)&lt;&gt;"*",Regions!$C$3,""),IF(LEFT(Regions!$D$3,1)&lt;&gt;"*",Regions!$D$3,""))</f>
        <v>IE,National</v>
      </c>
      <c r="D35" s="22" t="str">
        <f>Legend!C63</f>
        <v>SRVH2G</v>
      </c>
      <c r="E35" s="22" t="str">
        <f>Legend!A63&amp;" (SRV)"</f>
        <v>Hydrogen (gaseous) (SRV)</v>
      </c>
      <c r="F35" s="22" t="s">
        <v>46</v>
      </c>
      <c r="G35" s="22"/>
      <c r="H35" s="22"/>
      <c r="I35" s="22"/>
      <c r="J35" s="22"/>
      <c r="K35" s="31"/>
    </row>
    <row r="36" spans="1:15" s="1" customFormat="1">
      <c r="B36" s="22" t="s">
        <v>21</v>
      </c>
      <c r="C36" s="22" t="str">
        <f>_xlfn.TEXTJOIN(",",TRUE,IF(LEFT(Regions!$C$3,1)&lt;&gt;"*",Regions!$C$3,""),IF(LEFT(Regions!$D$3,1)&lt;&gt;"*",Regions!$D$3,""))</f>
        <v>IE,National</v>
      </c>
      <c r="D36" s="22" t="str">
        <f>Legend!C64</f>
        <v>SRVH2L</v>
      </c>
      <c r="E36" s="22" t="str">
        <f>Legend!A64&amp;" (SRV)"</f>
        <v>Hydrogen (liquid) (SRV)</v>
      </c>
      <c r="F36" s="22" t="s">
        <v>46</v>
      </c>
      <c r="G36" s="105"/>
      <c r="H36" s="105"/>
      <c r="I36" s="105"/>
      <c r="J36" s="105"/>
      <c r="K36" s="31"/>
    </row>
    <row r="37" spans="1:15" s="1" customFormat="1">
      <c r="B37" s="32" t="s">
        <v>21</v>
      </c>
      <c r="C37" s="32" t="str">
        <f>_xlfn.TEXTJOIN(",",TRUE,IF(LEFT(Regions!$C$3,1)&lt;&gt;"*",Regions!$C$3,""),IF(LEFT(Regions!$D$3,1)&lt;&gt;"*",Regions!$D$3,""))</f>
        <v>IE,National</v>
      </c>
      <c r="D37" s="32" t="str">
        <f>Legend!C65</f>
        <v>SRVBDL</v>
      </c>
      <c r="E37" s="32" t="str">
        <f>Legend!A65&amp;" (SRV)"</f>
        <v>Biodiesel (SRV)</v>
      </c>
      <c r="F37" s="32" t="s">
        <v>46</v>
      </c>
      <c r="G37" s="106"/>
      <c r="H37" s="106"/>
      <c r="I37" s="106"/>
      <c r="J37" s="106"/>
      <c r="K37" s="31"/>
    </row>
    <row r="38" spans="1:15" s="1" customFormat="1">
      <c r="B38" s="667" t="s">
        <v>26</v>
      </c>
      <c r="C38" s="22" t="str">
        <f>_xlfn.TEXTJOIN(",",TRUE,IF(LEFT(Regions!$C$3,1)&lt;&gt;"*",Regions!$C$3,""),IF(LEFT(Regions!$D$3,1)&lt;&gt;"*",Regions!$D$3,""))</f>
        <v>IE,National</v>
      </c>
      <c r="D38" s="18" t="s">
        <v>538</v>
      </c>
      <c r="E38" s="1" t="s">
        <v>549</v>
      </c>
      <c r="F38" s="667" t="s">
        <v>550</v>
      </c>
      <c r="G38" s="667"/>
      <c r="H38" s="667"/>
      <c r="I38" s="667"/>
      <c r="J38" s="667"/>
      <c r="K38" s="31"/>
    </row>
    <row r="39" spans="1:15" s="1" customFormat="1">
      <c r="B39" s="22" t="s">
        <v>26</v>
      </c>
      <c r="C39" s="22" t="str">
        <f>_xlfn.TEXTJOIN(",",TRUE,IF(LEFT(Regions!$C$3,1)&lt;&gt;"*",Regions!$C$3,""),IF(LEFT(Regions!$D$3,1)&lt;&gt;"*",Regions!$D$3,""))</f>
        <v>IE,National</v>
      </c>
      <c r="D39" s="458" t="s">
        <v>539</v>
      </c>
      <c r="E39" s="105" t="s">
        <v>544</v>
      </c>
      <c r="F39" s="105" t="s">
        <v>550</v>
      </c>
      <c r="G39" s="105"/>
      <c r="H39" s="105"/>
      <c r="I39" s="105"/>
      <c r="J39" s="105"/>
      <c r="K39" s="31"/>
    </row>
    <row r="40" spans="1:15" s="1" customFormat="1">
      <c r="B40" s="22" t="s">
        <v>26</v>
      </c>
      <c r="C40" s="22" t="str">
        <f>_xlfn.TEXTJOIN(",",TRUE,IF(LEFT(Regions!$C$3,1)&lt;&gt;"*",Regions!$C$3,""),IF(LEFT(Regions!$D$3,1)&lt;&gt;"*",Regions!$D$3,""))</f>
        <v>IE,National</v>
      </c>
      <c r="D40" s="13" t="s">
        <v>540</v>
      </c>
      <c r="E40" s="105" t="s">
        <v>545</v>
      </c>
      <c r="F40" s="105" t="s">
        <v>550</v>
      </c>
      <c r="G40" s="22"/>
      <c r="H40" s="22"/>
      <c r="I40" s="22"/>
      <c r="J40" s="22"/>
      <c r="K40" s="31"/>
    </row>
    <row r="41" spans="1:15" s="1" customFormat="1">
      <c r="B41" s="22" t="s">
        <v>26</v>
      </c>
      <c r="C41" s="22" t="str">
        <f>_xlfn.TEXTJOIN(",",TRUE,IF(LEFT(Regions!$C$3,1)&lt;&gt;"*",Regions!$C$3,""),IF(LEFT(Regions!$D$3,1)&lt;&gt;"*",Regions!$D$3,""))</f>
        <v>IE,National</v>
      </c>
      <c r="D41" s="13" t="s">
        <v>541</v>
      </c>
      <c r="E41" s="105" t="s">
        <v>546</v>
      </c>
      <c r="F41" s="105" t="s">
        <v>550</v>
      </c>
      <c r="G41" s="22"/>
      <c r="H41" s="22"/>
      <c r="I41" s="22"/>
      <c r="J41" s="22"/>
      <c r="K41" s="31"/>
    </row>
    <row r="42" spans="1:15" s="1" customFormat="1">
      <c r="B42" s="22" t="s">
        <v>26</v>
      </c>
      <c r="C42" s="22" t="str">
        <f>_xlfn.TEXTJOIN(",",TRUE,IF(LEFT(Regions!$C$3,1)&lt;&gt;"*",Regions!$C$3,""),IF(LEFT(Regions!$D$3,1)&lt;&gt;"*",Regions!$D$3,""))</f>
        <v>IE,National</v>
      </c>
      <c r="D42" s="13" t="s">
        <v>542</v>
      </c>
      <c r="E42" s="105" t="s">
        <v>547</v>
      </c>
      <c r="F42" s="105" t="s">
        <v>550</v>
      </c>
      <c r="G42" s="22"/>
      <c r="H42" s="22"/>
      <c r="I42" s="22"/>
      <c r="J42" s="22"/>
      <c r="K42" s="31"/>
    </row>
    <row r="43" spans="1:15" s="1" customFormat="1">
      <c r="B43" s="32" t="s">
        <v>26</v>
      </c>
      <c r="C43" s="32" t="str">
        <f>_xlfn.TEXTJOIN(",",TRUE,IF(LEFT(Regions!$C$3,1)&lt;&gt;"*",Regions!$C$3,""),IF(LEFT(Regions!$D$3,1)&lt;&gt;"*",Regions!$D$3,""))</f>
        <v>IE,National</v>
      </c>
      <c r="D43" s="15" t="s">
        <v>543</v>
      </c>
      <c r="E43" s="106" t="s">
        <v>548</v>
      </c>
      <c r="F43" s="106" t="s">
        <v>550</v>
      </c>
      <c r="G43" s="32"/>
      <c r="H43" s="32"/>
      <c r="I43" s="32"/>
      <c r="J43" s="32"/>
      <c r="K43" s="31"/>
    </row>
    <row r="44" spans="1:15" s="1" customFormat="1">
      <c r="B44" s="31"/>
      <c r="C44" s="31"/>
      <c r="D44" s="7"/>
      <c r="G44" s="31"/>
      <c r="H44" s="31"/>
      <c r="I44" s="31"/>
      <c r="J44" s="31"/>
      <c r="K44" s="31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2"/>
  <sheetViews>
    <sheetView zoomScaleNormal="100" workbookViewId="0">
      <selection activeCell="L28" sqref="L28"/>
    </sheetView>
  </sheetViews>
  <sheetFormatPr defaultColWidth="9.140625" defaultRowHeight="15"/>
  <cols>
    <col min="1" max="1" width="2" style="31" bestFit="1" customWidth="1"/>
    <col min="2" max="2" width="13.28515625" style="31" customWidth="1"/>
    <col min="3" max="3" width="26.42578125" style="31" bestFit="1" customWidth="1"/>
    <col min="4" max="4" width="12.42578125" style="31" customWidth="1"/>
    <col min="5" max="5" width="9.140625" style="31"/>
    <col min="6" max="6" width="10.42578125" style="31" bestFit="1" customWidth="1"/>
    <col min="7" max="9" width="9.140625" style="31"/>
    <col min="10" max="10" width="12.140625" style="31" bestFit="1" customWidth="1"/>
    <col min="11" max="11" width="15.140625" style="31" customWidth="1"/>
    <col min="12" max="12" width="45.7109375" style="31" bestFit="1" customWidth="1"/>
    <col min="13" max="17" width="9.140625" style="31"/>
    <col min="18" max="16384" width="9.140625" style="7"/>
  </cols>
  <sheetData>
    <row r="1" spans="2:17" ht="23.25">
      <c r="B1" s="34" t="s">
        <v>87</v>
      </c>
    </row>
    <row r="2" spans="2:17">
      <c r="B2" s="56" t="s">
        <v>88</v>
      </c>
      <c r="I2" s="50" t="s">
        <v>13</v>
      </c>
      <c r="J2" s="50"/>
      <c r="K2" s="56"/>
      <c r="L2" s="64"/>
      <c r="M2" s="64"/>
      <c r="N2" s="64"/>
      <c r="O2" s="64"/>
      <c r="P2" s="64"/>
    </row>
    <row r="3" spans="2:17" ht="15.75" thickBot="1">
      <c r="B3" s="35" t="str">
        <f t="shared" ref="B3:B7" si="0">K3</f>
        <v>TechName</v>
      </c>
      <c r="C3" s="35" t="s">
        <v>22</v>
      </c>
      <c r="D3" s="35" t="s">
        <v>23</v>
      </c>
      <c r="E3" s="35" t="s">
        <v>89</v>
      </c>
      <c r="F3" s="35" t="s">
        <v>593</v>
      </c>
      <c r="G3" s="35" t="s">
        <v>594</v>
      </c>
      <c r="I3" s="35" t="s">
        <v>14</v>
      </c>
      <c r="J3" s="35" t="s">
        <v>537</v>
      </c>
      <c r="K3" s="35" t="s">
        <v>4</v>
      </c>
      <c r="L3" s="35" t="s">
        <v>15</v>
      </c>
      <c r="M3" s="35" t="s">
        <v>16</v>
      </c>
      <c r="N3" s="35" t="s">
        <v>17</v>
      </c>
      <c r="O3" s="35" t="s">
        <v>18</v>
      </c>
      <c r="P3" s="35" t="s">
        <v>19</v>
      </c>
      <c r="Q3" s="67" t="s">
        <v>20</v>
      </c>
    </row>
    <row r="4" spans="2:17" ht="51">
      <c r="B4" s="55" t="s">
        <v>130</v>
      </c>
      <c r="C4" s="55" t="s">
        <v>131</v>
      </c>
      <c r="D4" s="55" t="s">
        <v>132</v>
      </c>
      <c r="E4" s="52" t="s">
        <v>134</v>
      </c>
      <c r="F4" s="52" t="s">
        <v>596</v>
      </c>
      <c r="G4" s="52" t="s">
        <v>595</v>
      </c>
      <c r="I4" s="52" t="s">
        <v>120</v>
      </c>
      <c r="J4" s="52" t="s">
        <v>551</v>
      </c>
      <c r="K4" s="52" t="s">
        <v>121</v>
      </c>
      <c r="L4" s="52" t="s">
        <v>93</v>
      </c>
      <c r="M4" s="52" t="s">
        <v>122</v>
      </c>
      <c r="N4" s="52" t="s">
        <v>123</v>
      </c>
      <c r="O4" s="52" t="s">
        <v>124</v>
      </c>
      <c r="P4" s="55" t="s">
        <v>125</v>
      </c>
      <c r="Q4" s="55" t="s">
        <v>126</v>
      </c>
    </row>
    <row r="5" spans="2:17">
      <c r="B5" s="31" t="str">
        <f t="shared" si="0"/>
        <v>FT-SRVCOA</v>
      </c>
      <c r="C5" s="31" t="s">
        <v>564</v>
      </c>
      <c r="D5" s="31" t="str">
        <f>Legend!C51</f>
        <v>SRVCOA</v>
      </c>
      <c r="E5" s="31">
        <v>1</v>
      </c>
      <c r="I5" s="64" t="s">
        <v>24</v>
      </c>
      <c r="J5" s="64" t="str">
        <f>_xlfn.TEXTJOIN(",",TRUE,IF(LEFT(Regions!$C$3,1)&lt;&gt;"*",Regions!$C$3,""),IF(LEFT(Regions!$D$3,1)&lt;&gt;"*",Regions!$D$3,""))</f>
        <v>IE,National</v>
      </c>
      <c r="K5" s="64" t="str">
        <f>"FT-"&amp;D5</f>
        <v>FT-SRVCOA</v>
      </c>
      <c r="L5" s="64" t="str">
        <f>"Fuel Tech - "&amp;Legend!A51</f>
        <v>Fuel Tech - Solids</v>
      </c>
      <c r="M5" s="64" t="s">
        <v>46</v>
      </c>
      <c r="N5" s="64" t="s">
        <v>600</v>
      </c>
      <c r="O5" s="64"/>
      <c r="P5" s="64"/>
    </row>
    <row r="6" spans="2:17">
      <c r="B6" s="31" t="str">
        <f t="shared" si="0"/>
        <v>FT-SRVLPG</v>
      </c>
      <c r="C6" s="31" t="s">
        <v>98</v>
      </c>
      <c r="D6" s="31" t="str">
        <f>Legend!C52</f>
        <v>SRVLPG</v>
      </c>
      <c r="E6" s="31">
        <v>1</v>
      </c>
      <c r="I6" s="64" t="s">
        <v>24</v>
      </c>
      <c r="J6" s="64" t="str">
        <f>_xlfn.TEXTJOIN(",",TRUE,IF(LEFT(Regions!$C$3,1)&lt;&gt;"*",Regions!$C$3,""),IF(LEFT(Regions!$D$3,1)&lt;&gt;"*",Regions!$D$3,""))</f>
        <v>IE,National</v>
      </c>
      <c r="K6" s="64" t="str">
        <f t="shared" ref="K6:K7" si="1">"FT-"&amp;D6</f>
        <v>FT-SRVLPG</v>
      </c>
      <c r="L6" s="64" t="str">
        <f>"Fuel Tech - "&amp;Legend!A52</f>
        <v>Fuel Tech - LPG</v>
      </c>
      <c r="M6" s="64" t="s">
        <v>46</v>
      </c>
      <c r="N6" s="64" t="s">
        <v>600</v>
      </c>
      <c r="O6" s="64"/>
      <c r="P6" s="64"/>
    </row>
    <row r="7" spans="2:17">
      <c r="B7" s="31" t="str">
        <f t="shared" si="0"/>
        <v>FT-SRVOIL</v>
      </c>
      <c r="C7" s="31" t="s">
        <v>565</v>
      </c>
      <c r="D7" s="31" t="str">
        <f>Legend!C53</f>
        <v>SRVOIL</v>
      </c>
      <c r="E7" s="31">
        <v>1</v>
      </c>
      <c r="F7" s="89">
        <f>EB_SRV!R5*Legend!$B$80/EB_SRV!$F$12</f>
        <v>0.3801393369171337</v>
      </c>
      <c r="G7" s="31">
        <v>5</v>
      </c>
      <c r="I7" s="64" t="s">
        <v>24</v>
      </c>
      <c r="J7" s="64" t="str">
        <f>_xlfn.TEXTJOIN(",",TRUE,IF(LEFT(Regions!$C$3,1)&lt;&gt;"*",Regions!$C$3,""),IF(LEFT(Regions!$D$3,1)&lt;&gt;"*",Regions!$D$3,""))</f>
        <v>IE,National</v>
      </c>
      <c r="K7" s="64" t="str">
        <f t="shared" si="1"/>
        <v>FT-SRVOIL</v>
      </c>
      <c r="L7" s="64" t="str">
        <f>"Fuel Tech - "&amp;Legend!A53</f>
        <v>Fuel Tech - Oil</v>
      </c>
      <c r="M7" s="64" t="s">
        <v>46</v>
      </c>
      <c r="N7" s="64" t="s">
        <v>600</v>
      </c>
      <c r="O7" s="64"/>
      <c r="P7" s="64"/>
    </row>
    <row r="8" spans="2:17">
      <c r="C8" s="31" t="s">
        <v>597</v>
      </c>
      <c r="F8" s="89">
        <f>EB_SRV!V5*Legend!$B$80/EB_SRV!$F$12</f>
        <v>0.61654418072251393</v>
      </c>
      <c r="G8" s="31">
        <v>5</v>
      </c>
      <c r="I8" s="64" t="s">
        <v>24</v>
      </c>
      <c r="J8" s="64" t="str">
        <f>_xlfn.TEXTJOIN(",",TRUE,IF(LEFT(Regions!$C$3,1)&lt;&gt;"*",Regions!$C$3,""),IF(LEFT(Regions!$D$3,1)&lt;&gt;"*",Regions!$D$3,""))</f>
        <v>IE,National</v>
      </c>
      <c r="K8" s="64" t="str">
        <f t="shared" ref="K8:K13" si="2">"FT-"&amp;D10</f>
        <v>FT-SRVGAS</v>
      </c>
      <c r="L8" s="64" t="str">
        <f>"Fuel Tech - "&amp;Legend!A54</f>
        <v>Fuel Tech - Natural Gas</v>
      </c>
      <c r="M8" s="64" t="s">
        <v>46</v>
      </c>
      <c r="N8" s="64" t="s">
        <v>600</v>
      </c>
      <c r="O8" s="64"/>
      <c r="P8" s="64"/>
    </row>
    <row r="9" spans="2:17">
      <c r="C9" s="31" t="s">
        <v>598</v>
      </c>
      <c r="F9" s="89">
        <f>EB_SRV!T5*Legend!$B$80/EB_SRV!$F$12</f>
        <v>3.3164823603523581E-3</v>
      </c>
      <c r="G9" s="31">
        <v>5</v>
      </c>
      <c r="I9" s="64" t="s">
        <v>24</v>
      </c>
      <c r="J9" s="64" t="str">
        <f>_xlfn.TEXTJOIN(",",TRUE,IF(LEFT(Regions!$C$3,1)&lt;&gt;"*",Regions!$C$3,""),IF(LEFT(Regions!$D$3,1)&lt;&gt;"*",Regions!$D$3,""))</f>
        <v>IE,National</v>
      </c>
      <c r="K9" s="64" t="str">
        <f t="shared" si="2"/>
        <v>FT-SRVBIO</v>
      </c>
      <c r="L9" s="64" t="str">
        <f>"Fuel Tech - "&amp;Legend!A55</f>
        <v>Fuel Tech - Biomass</v>
      </c>
      <c r="M9" s="64" t="s">
        <v>46</v>
      </c>
      <c r="N9" s="64" t="s">
        <v>600</v>
      </c>
      <c r="O9" s="64"/>
      <c r="P9" s="64"/>
    </row>
    <row r="10" spans="2:17">
      <c r="B10" s="31" t="str">
        <f t="shared" ref="B10:B15" si="3">K8</f>
        <v>FT-SRVGAS</v>
      </c>
      <c r="C10" s="31" t="s">
        <v>97</v>
      </c>
      <c r="D10" s="31" t="str">
        <f>Legend!C54</f>
        <v>SRVGAS</v>
      </c>
      <c r="E10" s="31">
        <v>1</v>
      </c>
      <c r="I10" s="64" t="s">
        <v>24</v>
      </c>
      <c r="J10" s="64" t="str">
        <f>_xlfn.TEXTJOIN(",",TRUE,IF(LEFT(Regions!$C$3,1)&lt;&gt;"*",Regions!$C$3,""),IF(LEFT(Regions!$D$3,1)&lt;&gt;"*",Regions!$D$3,""))</f>
        <v>IE,National</v>
      </c>
      <c r="K10" s="64" t="str">
        <f t="shared" si="2"/>
        <v>FT-SRVBGS</v>
      </c>
      <c r="L10" s="64" t="str">
        <f>"Fuel Tech - "&amp;Legend!A56</f>
        <v>Fuel Tech - Biogas</v>
      </c>
      <c r="M10" s="64" t="s">
        <v>46</v>
      </c>
      <c r="N10" s="64" t="s">
        <v>600</v>
      </c>
      <c r="O10" s="64"/>
      <c r="P10" s="64"/>
    </row>
    <row r="11" spans="2:17">
      <c r="B11" s="31" t="str">
        <f t="shared" si="3"/>
        <v>FT-SRVBIO</v>
      </c>
      <c r="C11" s="31" t="s">
        <v>566</v>
      </c>
      <c r="D11" s="31" t="str">
        <f>Legend!C55</f>
        <v>SRVBIO</v>
      </c>
      <c r="E11" s="31">
        <v>1</v>
      </c>
      <c r="I11" s="64" t="s">
        <v>24</v>
      </c>
      <c r="J11" s="64" t="str">
        <f>_xlfn.TEXTJOIN(",",TRUE,IF(LEFT(Regions!$C$3,1)&lt;&gt;"*",Regions!$C$3,""),IF(LEFT(Regions!$D$3,1)&lt;&gt;"*",Regions!$D$3,""))</f>
        <v>IE,National</v>
      </c>
      <c r="K11" s="64" t="str">
        <f t="shared" si="2"/>
        <v>FT-SRVSOL</v>
      </c>
      <c r="L11" s="64" t="str">
        <f>"Fuel Tech - "&amp;Legend!A57</f>
        <v>Fuel Tech - Solar</v>
      </c>
      <c r="M11" s="64" t="s">
        <v>46</v>
      </c>
      <c r="N11" s="64" t="s">
        <v>600</v>
      </c>
      <c r="O11" s="64"/>
      <c r="P11" s="64"/>
    </row>
    <row r="12" spans="2:17">
      <c r="B12" s="31" t="str">
        <f t="shared" si="3"/>
        <v>FT-SRVBGS</v>
      </c>
      <c r="C12" s="31" t="s">
        <v>570</v>
      </c>
      <c r="D12" s="31" t="str">
        <f>Legend!C56</f>
        <v>SRVBGS</v>
      </c>
      <c r="E12" s="31">
        <v>1</v>
      </c>
      <c r="I12" s="64" t="s">
        <v>24</v>
      </c>
      <c r="J12" s="64" t="str">
        <f>_xlfn.TEXTJOIN(",",TRUE,IF(LEFT(Regions!$C$3,1)&lt;&gt;"*",Regions!$C$3,""),IF(LEFT(Regions!$D$3,1)&lt;&gt;"*",Regions!$D$3,""))</f>
        <v>IE,National</v>
      </c>
      <c r="K12" s="64" t="str">
        <f t="shared" si="2"/>
        <v>FT-SRVELC</v>
      </c>
      <c r="L12" s="64" t="str">
        <f>"Fuel Tech - "&amp;Legend!A58</f>
        <v>Fuel Tech - Electricity</v>
      </c>
      <c r="M12" s="64" t="s">
        <v>46</v>
      </c>
      <c r="N12" s="64" t="s">
        <v>600</v>
      </c>
      <c r="O12" s="64" t="s">
        <v>90</v>
      </c>
      <c r="P12" s="64"/>
    </row>
    <row r="13" spans="2:17">
      <c r="B13" s="31" t="str">
        <f t="shared" si="3"/>
        <v>FT-SRVSOL</v>
      </c>
      <c r="C13" s="31" t="s">
        <v>561</v>
      </c>
      <c r="D13" s="31" t="str">
        <f>Legend!C57</f>
        <v>SRVSOL</v>
      </c>
      <c r="E13" s="31">
        <v>1</v>
      </c>
      <c r="I13" s="66" t="s">
        <v>24</v>
      </c>
      <c r="J13" s="66" t="str">
        <f>_xlfn.TEXTJOIN(",",TRUE,IF(LEFT(Regions!$C$3,1)&lt;&gt;"*",Regions!$C$3,""),IF(LEFT(Regions!$D$3,1)&lt;&gt;"*",Regions!$D$3,""))</f>
        <v>IE,National</v>
      </c>
      <c r="K13" s="66" t="str">
        <f t="shared" si="2"/>
        <v>FT-SRVAHT</v>
      </c>
      <c r="L13" s="66" t="str">
        <f>"Fuel Tech - "&amp;Legend!A59</f>
        <v>Fuel Tech - Ambient Heat</v>
      </c>
      <c r="M13" s="66" t="s">
        <v>46</v>
      </c>
      <c r="N13" s="66" t="s">
        <v>600</v>
      </c>
      <c r="O13" s="66"/>
      <c r="P13" s="66"/>
      <c r="Q13" s="32"/>
    </row>
    <row r="14" spans="2:17">
      <c r="B14" s="31" t="str">
        <f t="shared" si="3"/>
        <v>FT-SRVELC</v>
      </c>
      <c r="C14" s="31" t="s">
        <v>569</v>
      </c>
      <c r="D14" s="31" t="str">
        <f>Legend!C58</f>
        <v>SRVELC</v>
      </c>
      <c r="E14" s="31">
        <v>1</v>
      </c>
      <c r="I14" s="64" t="s">
        <v>24</v>
      </c>
      <c r="J14" s="64" t="str">
        <f>_xlfn.TEXTJOIN(",",TRUE,IF(LEFT(Regions!$C$3,1)&lt;&gt;"*",Regions!$C$3,""),IF(LEFT(Regions!$D$3,1)&lt;&gt;"*",Regions!$D$3,""))</f>
        <v>IE,National</v>
      </c>
      <c r="K14" s="64" t="str">
        <f t="shared" ref="K14:K19" si="4">"FT-"&amp;D17</f>
        <v>FT-SRVHET</v>
      </c>
      <c r="L14" s="64" t="str">
        <f>"Fuel Tech - "&amp;Legend!A61</f>
        <v>Fuel Tech - District heating</v>
      </c>
      <c r="M14" s="64" t="s">
        <v>46</v>
      </c>
      <c r="N14" s="64" t="s">
        <v>600</v>
      </c>
      <c r="O14" s="64" t="s">
        <v>90</v>
      </c>
      <c r="P14" s="64"/>
    </row>
    <row r="15" spans="2:17">
      <c r="B15" s="22" t="str">
        <f t="shared" si="3"/>
        <v>FT-SRVAHT</v>
      </c>
      <c r="C15" s="22" t="s">
        <v>562</v>
      </c>
      <c r="D15" s="22" t="str">
        <f>Legend!C59</f>
        <v>SRVAHT</v>
      </c>
      <c r="E15" s="22">
        <v>1</v>
      </c>
      <c r="F15" s="22"/>
      <c r="G15" s="22"/>
      <c r="I15" s="64" t="s">
        <v>24</v>
      </c>
      <c r="J15" s="64" t="str">
        <f>_xlfn.TEXTJOIN(",",TRUE,IF(LEFT(Regions!$C$3,1)&lt;&gt;"*",Regions!$C$3,""),IF(LEFT(Regions!$D$3,1)&lt;&gt;"*",Regions!$D$3,""))</f>
        <v>IE,National</v>
      </c>
      <c r="K15" s="64" t="str">
        <f t="shared" si="4"/>
        <v>FT-SRVWIN</v>
      </c>
      <c r="L15" s="64" t="str">
        <f>"Fuel Tech - "&amp;Legend!A62</f>
        <v>Fuel Tech - Wind</v>
      </c>
      <c r="M15" s="64" t="s">
        <v>46</v>
      </c>
      <c r="N15" s="64" t="s">
        <v>600</v>
      </c>
      <c r="O15" s="64"/>
      <c r="P15" s="64"/>
    </row>
    <row r="16" spans="2:17">
      <c r="B16" s="22"/>
      <c r="C16" s="22"/>
      <c r="D16" s="22" t="str">
        <f>Legend!C60</f>
        <v>SRVAHT2</v>
      </c>
      <c r="E16" s="22"/>
      <c r="F16" s="22"/>
      <c r="G16" s="22"/>
      <c r="I16" s="64" t="s">
        <v>24</v>
      </c>
      <c r="J16" s="64" t="str">
        <f>_xlfn.TEXTJOIN(",",TRUE,IF(LEFT(Regions!$C$3,1)&lt;&gt;"*",Regions!$C$3,""),IF(LEFT(Regions!$D$3,1)&lt;&gt;"*",Regions!$D$3,""))</f>
        <v>IE,National</v>
      </c>
      <c r="K16" s="64" t="str">
        <f t="shared" si="4"/>
        <v>FT-SRVH2G</v>
      </c>
      <c r="L16" s="64" t="str">
        <f>"Fuel Tech - "&amp;Legend!A63</f>
        <v>Fuel Tech - Hydrogen (gaseous)</v>
      </c>
      <c r="M16" s="64" t="s">
        <v>46</v>
      </c>
      <c r="N16" s="64" t="s">
        <v>600</v>
      </c>
      <c r="O16" s="64"/>
      <c r="P16" s="64"/>
    </row>
    <row r="17" spans="2:17">
      <c r="B17" s="667" t="str">
        <f t="shared" ref="B17:B22" si="5">K14</f>
        <v>FT-SRVHET</v>
      </c>
      <c r="C17" s="667" t="s">
        <v>159</v>
      </c>
      <c r="D17" s="667" t="str">
        <f>Legend!C61</f>
        <v>SRVHET</v>
      </c>
      <c r="E17" s="667">
        <v>1</v>
      </c>
      <c r="F17" s="667"/>
      <c r="G17" s="667"/>
      <c r="I17" s="64" t="s">
        <v>24</v>
      </c>
      <c r="J17" s="64" t="str">
        <f>_xlfn.TEXTJOIN(",",TRUE,IF(LEFT(Regions!$C$3,1)&lt;&gt;"*",Regions!$C$3,""),IF(LEFT(Regions!$D$3,1)&lt;&gt;"*",Regions!$D$3,""))</f>
        <v>IE,National</v>
      </c>
      <c r="K17" s="64" t="str">
        <f t="shared" si="4"/>
        <v>FT-SRVH2L</v>
      </c>
      <c r="L17" s="64" t="str">
        <f>"Fuel Tech - "&amp;Legend!A64</f>
        <v>Fuel Tech - Hydrogen (liquid)</v>
      </c>
      <c r="M17" s="64" t="s">
        <v>46</v>
      </c>
      <c r="N17" s="64" t="s">
        <v>600</v>
      </c>
      <c r="O17" s="64"/>
      <c r="P17" s="64"/>
    </row>
    <row r="18" spans="2:17">
      <c r="B18" s="31" t="str">
        <f t="shared" si="5"/>
        <v>FT-SRVWIN</v>
      </c>
      <c r="C18" s="31" t="s">
        <v>571</v>
      </c>
      <c r="D18" s="31" t="str">
        <f>Legend!C62</f>
        <v>SRVWIN</v>
      </c>
      <c r="E18" s="31">
        <v>1</v>
      </c>
      <c r="I18" s="64" t="s">
        <v>24</v>
      </c>
      <c r="J18" s="64" t="str">
        <f>_xlfn.TEXTJOIN(",",TRUE,IF(LEFT(Regions!$C$3,1)&lt;&gt;"*",Regions!$C$3,""),IF(LEFT(Regions!$D$3,1)&lt;&gt;"*",Regions!$D$3,""))</f>
        <v>IE,National</v>
      </c>
      <c r="K18" s="64" t="str">
        <f t="shared" si="4"/>
        <v>FT-SRVBDL</v>
      </c>
      <c r="L18" s="64" t="str">
        <f>"Fuel Tech - "&amp;Legend!A65</f>
        <v>Fuel Tech - Biodiesel</v>
      </c>
      <c r="M18" s="64" t="s">
        <v>46</v>
      </c>
      <c r="N18" s="64" t="s">
        <v>600</v>
      </c>
      <c r="O18" s="64"/>
      <c r="P18" s="64"/>
    </row>
    <row r="19" spans="2:17">
      <c r="B19" s="31" t="str">
        <f t="shared" si="5"/>
        <v>FT-SRVH2G</v>
      </c>
      <c r="C19" s="31" t="s">
        <v>572</v>
      </c>
      <c r="D19" s="31" t="str">
        <f>Legend!C63</f>
        <v>SRVH2G</v>
      </c>
      <c r="E19" s="31">
        <v>1</v>
      </c>
      <c r="I19" s="66" t="s">
        <v>24</v>
      </c>
      <c r="J19" s="66" t="str">
        <f>_xlfn.TEXTJOIN(",",TRUE,IF(LEFT(Regions!$C$3,1)&lt;&gt;"*",Regions!$C$3,""),IF(LEFT(Regions!$D$3,1)&lt;&gt;"*",Regions!$D$3,""))</f>
        <v>IE,National</v>
      </c>
      <c r="K19" s="66" t="str">
        <f t="shared" si="4"/>
        <v>FT-SRVETH</v>
      </c>
      <c r="L19" s="66" t="str">
        <f>"Fuel Tech - "&amp;Legend!A66</f>
        <v>Fuel Tech - Ethanol</v>
      </c>
      <c r="M19" s="66" t="s">
        <v>46</v>
      </c>
      <c r="N19" s="66" t="s">
        <v>600</v>
      </c>
      <c r="O19" s="66"/>
      <c r="P19" s="66"/>
      <c r="Q19" s="32"/>
    </row>
    <row r="20" spans="2:17">
      <c r="B20" s="31" t="str">
        <f t="shared" si="5"/>
        <v>FT-SRVH2L</v>
      </c>
      <c r="C20" s="31" t="s">
        <v>577</v>
      </c>
      <c r="D20" s="31" t="str">
        <f>Legend!C64</f>
        <v>SRVH2L</v>
      </c>
      <c r="E20" s="31">
        <v>1</v>
      </c>
    </row>
    <row r="21" spans="2:17">
      <c r="B21" s="31" t="str">
        <f t="shared" si="5"/>
        <v>FT-SRVBDL</v>
      </c>
      <c r="C21" s="31" t="s">
        <v>568</v>
      </c>
      <c r="D21" s="31" t="str">
        <f>Legend!C65</f>
        <v>SRVBDL</v>
      </c>
      <c r="E21" s="31">
        <v>1</v>
      </c>
    </row>
    <row r="22" spans="2:17">
      <c r="B22" s="32" t="str">
        <f t="shared" si="5"/>
        <v>FT-SRVETH</v>
      </c>
      <c r="C22" s="32" t="s">
        <v>567</v>
      </c>
      <c r="D22" s="32" t="str">
        <f>Legend!C66</f>
        <v>SRVETH</v>
      </c>
      <c r="E22" s="32">
        <v>1</v>
      </c>
      <c r="F22" s="32"/>
      <c r="G22" s="3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9" customWidth="1"/>
    <col min="2" max="2" width="19" style="59" customWidth="1"/>
    <col min="3" max="3" width="41.7109375" style="59" bestFit="1" customWidth="1"/>
    <col min="4" max="4" width="15.7109375" style="59" bestFit="1" customWidth="1"/>
    <col min="5" max="5" width="12.42578125" style="59" customWidth="1"/>
    <col min="6" max="6" width="15.42578125" style="59" bestFit="1" customWidth="1"/>
    <col min="7" max="7" width="15.42578125" style="59" customWidth="1"/>
    <col min="8" max="10" width="14.85546875" style="59" customWidth="1"/>
    <col min="11" max="11" width="13.5703125" style="59"/>
    <col min="12" max="13" width="13.42578125" style="59" customWidth="1"/>
    <col min="14" max="14" width="14.42578125" style="59" bestFit="1" customWidth="1"/>
    <col min="15" max="15" width="41.7109375" style="59" bestFit="1" customWidth="1"/>
    <col min="16" max="16" width="13.5703125" style="59"/>
    <col min="17" max="16384" width="13.5703125" style="2"/>
  </cols>
  <sheetData>
    <row r="1" spans="1:20" ht="23.25">
      <c r="B1" s="68" t="s">
        <v>535</v>
      </c>
      <c r="C1" s="68"/>
      <c r="D1" s="68"/>
    </row>
    <row r="2" spans="1:20">
      <c r="B2" s="56" t="s">
        <v>88</v>
      </c>
      <c r="L2" s="50" t="s">
        <v>13</v>
      </c>
      <c r="M2" s="50"/>
      <c r="N2" s="51"/>
      <c r="O2" s="51"/>
      <c r="P2" s="51"/>
      <c r="Q2" s="51"/>
      <c r="R2" s="51"/>
      <c r="S2" s="51"/>
      <c r="T2" s="51"/>
    </row>
    <row r="3" spans="1:20" ht="15.75" thickBot="1">
      <c r="A3" s="30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161</v>
      </c>
      <c r="G3" s="35" t="s">
        <v>146</v>
      </c>
      <c r="H3" s="35" t="s">
        <v>603</v>
      </c>
      <c r="I3" s="35" t="s">
        <v>604</v>
      </c>
      <c r="J3" s="35" t="s">
        <v>29</v>
      </c>
      <c r="K3" s="30"/>
      <c r="L3" s="35" t="s">
        <v>14</v>
      </c>
      <c r="M3" s="35" t="s">
        <v>537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</row>
    <row r="4" spans="1:20" s="3" customFormat="1" ht="38.25">
      <c r="A4" s="30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138</v>
      </c>
      <c r="G4" s="55" t="s">
        <v>602</v>
      </c>
      <c r="H4" s="55" t="s">
        <v>139</v>
      </c>
      <c r="I4" s="55" t="s">
        <v>140</v>
      </c>
      <c r="J4" s="55" t="s">
        <v>141</v>
      </c>
      <c r="K4" s="30"/>
      <c r="L4" s="52" t="s">
        <v>120</v>
      </c>
      <c r="M4" s="52" t="s">
        <v>551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</row>
    <row r="5" spans="1:20" s="3" customFormat="1">
      <c r="A5" s="30"/>
      <c r="B5" s="58" t="s">
        <v>136</v>
      </c>
      <c r="C5" s="58"/>
      <c r="D5" s="71"/>
      <c r="E5" s="58"/>
      <c r="F5" s="69" t="s">
        <v>142</v>
      </c>
      <c r="G5" s="71" t="s">
        <v>526</v>
      </c>
      <c r="H5" s="58"/>
      <c r="I5" s="58"/>
      <c r="J5" s="58" t="s">
        <v>143</v>
      </c>
      <c r="K5" s="30"/>
      <c r="L5" s="58" t="s">
        <v>513</v>
      </c>
      <c r="M5" s="58"/>
      <c r="N5" s="58"/>
      <c r="O5" s="58"/>
      <c r="P5" s="58"/>
      <c r="Q5" s="58"/>
      <c r="R5" s="58"/>
      <c r="S5" s="58"/>
      <c r="T5" s="58"/>
    </row>
    <row r="6" spans="1:20" s="3" customFormat="1">
      <c r="A6" s="30"/>
      <c r="B6" s="30" t="str">
        <f>'Building stock'!N6</f>
        <v>S-BLD_CS</v>
      </c>
      <c r="C6" s="30" t="str">
        <f>'Building stock'!O6</f>
        <v>Services Buildings - Commercial Services</v>
      </c>
      <c r="D6" s="31" t="str">
        <f>Commodities!D7</f>
        <v>SRVSH-CS</v>
      </c>
      <c r="E6" s="30" t="str">
        <f>Commodities!D5</f>
        <v>SRV-CS</v>
      </c>
      <c r="F6" s="679">
        <f>'Key Inputs'!D21</f>
        <v>28.901664567933956</v>
      </c>
      <c r="G6" s="695">
        <f>SUM(TH_Techs!$AI$7:$AI$14)/'Building stock'!$F$6</f>
        <v>0.29750119328038643</v>
      </c>
      <c r="H6" s="30">
        <v>1</v>
      </c>
      <c r="I6" s="30">
        <v>3</v>
      </c>
      <c r="J6" s="30">
        <v>100</v>
      </c>
      <c r="K6" s="59"/>
      <c r="L6" s="31" t="s">
        <v>28</v>
      </c>
      <c r="M6" s="64" t="str">
        <f>_xlfn.TEXTJOIN(",",TRUE,IF(LEFT(Regions!$C$3,1)&lt;&gt;"*",Regions!$C$3,""),IF(LEFT(Regions!$D$3,1)&lt;&gt;"*",Regions!$D$3,""))</f>
        <v>IE,National</v>
      </c>
      <c r="N6" s="31" t="str">
        <f>CONCATENATE(LEFT(Legend!$C$4),"-BLD_",Legend!C36)</f>
        <v>S-BLD_CS</v>
      </c>
      <c r="O6" s="31" t="str">
        <f>CONCATENATE(Legend!$B$4," Buildings - ",Legend!A36)</f>
        <v>Services Buildings - Commercial Services</v>
      </c>
      <c r="P6" s="31" t="s">
        <v>66</v>
      </c>
      <c r="Q6" s="31" t="s">
        <v>66</v>
      </c>
      <c r="R6" s="31" t="s">
        <v>30</v>
      </c>
      <c r="S6" s="31"/>
      <c r="T6" s="31"/>
    </row>
    <row r="7" spans="1:20">
      <c r="A7" s="30"/>
      <c r="B7" s="517"/>
      <c r="C7" s="517"/>
      <c r="D7" s="31" t="str">
        <f>Commodities!D8</f>
        <v>SRVWH-CS</v>
      </c>
      <c r="E7" s="517"/>
      <c r="G7" s="693">
        <f>SUM(TH_Techs!$AI$16:$AI$22)/'Building stock'!$F$6</f>
        <v>7.8240205489280165E-2</v>
      </c>
      <c r="L7" s="32" t="s">
        <v>28</v>
      </c>
      <c r="M7" s="66" t="str">
        <f>_xlfn.TEXTJOIN(",",TRUE,IF(LEFT(Regions!$C$3,1)&lt;&gt;"*",Regions!$C$3,""),IF(LEFT(Regions!$D$3,1)&lt;&gt;"*",Regions!$D$3,""))</f>
        <v>IE,National</v>
      </c>
      <c r="N7" s="32" t="str">
        <f>CONCATENATE(LEFT(Legend!$C$4),"-BLD_",Legend!C37)</f>
        <v>S-BLD_PU</v>
      </c>
      <c r="O7" s="32" t="str">
        <f>CONCATENATE(Legend!$B$4," Buildings - ",Legend!A37)</f>
        <v>Services Buildings - Public Services</v>
      </c>
      <c r="P7" s="32" t="s">
        <v>66</v>
      </c>
      <c r="Q7" s="32" t="s">
        <v>66</v>
      </c>
      <c r="R7" s="32" t="s">
        <v>30</v>
      </c>
      <c r="S7" s="32"/>
      <c r="T7" s="32"/>
    </row>
    <row r="8" spans="1:20">
      <c r="A8" s="30"/>
      <c r="B8" s="517"/>
      <c r="C8" s="517"/>
      <c r="D8" s="31" t="str">
        <f>Commodities!D9</f>
        <v>SRVSC-CS</v>
      </c>
      <c r="E8" s="517"/>
      <c r="F8" s="517"/>
      <c r="G8" s="693">
        <f>SUM(TH_Techs!$AI$24:$AI$25)/'Building stock'!$F$6</f>
        <v>9.9230285582155173E-2</v>
      </c>
      <c r="H8" s="684"/>
      <c r="I8" s="517"/>
      <c r="J8" s="517"/>
      <c r="O8" s="2"/>
      <c r="P8" s="2"/>
      <c r="R8" s="3"/>
      <c r="S8" s="3"/>
    </row>
    <row r="9" spans="1:20">
      <c r="A9" s="73"/>
      <c r="B9" s="691"/>
      <c r="C9" s="691"/>
      <c r="D9" s="31" t="str">
        <f>Commodities!D10</f>
        <v>SRVCK-CS</v>
      </c>
      <c r="E9" s="11"/>
      <c r="F9" s="517"/>
      <c r="G9" s="693">
        <f>SUM(CK_Techs!$AD$7:$AD$10)/'Building stock'!$F$6</f>
        <v>0.1299964335480952</v>
      </c>
      <c r="H9" s="517"/>
      <c r="I9" s="517"/>
      <c r="J9" s="517"/>
      <c r="O9" s="2"/>
      <c r="P9" s="2"/>
    </row>
    <row r="10" spans="1:20">
      <c r="A10" s="73"/>
      <c r="D10" s="31" t="str">
        <f>Commodities!D11</f>
        <v>SRVLIG-CS</v>
      </c>
      <c r="G10" s="63">
        <f>EAP_Techs!AD6/'Building stock'!$F$6</f>
        <v>0.65611067742996398</v>
      </c>
      <c r="P10" s="2"/>
    </row>
    <row r="11" spans="1:20">
      <c r="A11" s="73"/>
      <c r="D11" s="31" t="str">
        <f>Commodities!D12</f>
        <v>SRVREF-CS</v>
      </c>
      <c r="G11" s="63">
        <f>EAP_Techs!AD7/'Building stock'!$F$6</f>
        <v>3.4112422198348336</v>
      </c>
      <c r="P11" s="2"/>
    </row>
    <row r="12" spans="1:20">
      <c r="A12" s="691"/>
      <c r="B12" s="61"/>
      <c r="C12" s="61"/>
      <c r="D12" s="32" t="str">
        <f>Commodities!D13</f>
        <v>SRVOEL-CS</v>
      </c>
      <c r="E12" s="61"/>
      <c r="F12" s="61"/>
      <c r="G12" s="715">
        <f>EAP_Techs!AD8/'Building stock'!$F$6</f>
        <v>0.27048899641521007</v>
      </c>
      <c r="H12" s="61"/>
      <c r="I12" s="61"/>
      <c r="J12" s="61"/>
    </row>
    <row r="13" spans="1:20">
      <c r="A13" s="691"/>
      <c r="B13" s="517" t="str">
        <f>'Building stock'!N7</f>
        <v>S-BLD_PU</v>
      </c>
      <c r="C13" s="517" t="str">
        <f>'Building stock'!O7</f>
        <v>Services Buildings - Public Services</v>
      </c>
      <c r="D13" s="31" t="str">
        <f>Commodities!D14</f>
        <v>SRVSH-PU</v>
      </c>
      <c r="E13" s="517" t="str">
        <f>Commodities!D6</f>
        <v>SRV-PU</v>
      </c>
      <c r="F13" s="680">
        <f>'Key Inputs'!D22</f>
        <v>58.151541961987604</v>
      </c>
      <c r="G13" s="695">
        <f>SUM(TH_Techs!$AI$27:$AI$34)/'Building stock'!$F$13</f>
        <v>0.14436837706846065</v>
      </c>
      <c r="H13" s="517">
        <v>1</v>
      </c>
      <c r="I13" s="517">
        <v>3</v>
      </c>
      <c r="J13" s="517">
        <v>100</v>
      </c>
    </row>
    <row r="14" spans="1:20" ht="23.25">
      <c r="A14" s="691"/>
      <c r="B14" s="517"/>
      <c r="C14" s="11"/>
      <c r="D14" s="31" t="str">
        <f>Commodities!D15</f>
        <v>SRVWH-PU</v>
      </c>
      <c r="E14" s="11"/>
      <c r="F14" s="11"/>
      <c r="G14" s="695">
        <f>SUM(TH_Techs!$AI$36:$AI$42)/'Building stock'!$F$13</f>
        <v>3.5851150535518087E-2</v>
      </c>
      <c r="H14" s="11"/>
      <c r="I14" s="517"/>
      <c r="J14" s="517"/>
      <c r="N14" s="34"/>
    </row>
    <row r="15" spans="1:20">
      <c r="A15" s="691"/>
      <c r="B15" s="11"/>
      <c r="C15" s="56"/>
      <c r="D15" s="31" t="str">
        <f>Commodities!D16</f>
        <v>SRVSC-PU</v>
      </c>
      <c r="E15" s="11"/>
      <c r="F15" s="11"/>
      <c r="G15" s="695">
        <f>SUM(TH_Techs!$AI$44:$AI$45)/'Building stock'!$F$13</f>
        <v>2.7014519280249845E-2</v>
      </c>
      <c r="H15" s="11"/>
      <c r="I15" s="517"/>
      <c r="J15" s="517"/>
    </row>
    <row r="16" spans="1:20">
      <c r="A16" s="691"/>
      <c r="B16" s="692"/>
      <c r="C16" s="517"/>
      <c r="D16" s="31" t="str">
        <f>Commodities!D17</f>
        <v>SRVCK-PU</v>
      </c>
      <c r="E16" s="517"/>
      <c r="F16" s="11"/>
      <c r="G16" s="693">
        <f>SUM(CK_Techs!$AD$12:$AD$15)/'Building stock'!$F$13</f>
        <v>3.8223383014175182E-2</v>
      </c>
      <c r="H16" s="517"/>
      <c r="I16" s="517"/>
      <c r="J16" s="517"/>
    </row>
    <row r="17" spans="1:15">
      <c r="A17" s="691"/>
      <c r="B17" s="11"/>
      <c r="C17" s="517"/>
      <c r="D17" s="31" t="str">
        <f>Commodities!D18</f>
        <v>SRVLIG-PU</v>
      </c>
      <c r="E17" s="517"/>
      <c r="F17" s="14"/>
      <c r="G17" s="693">
        <f>EAP_Techs!AD9/'Building stock'!$F$13</f>
        <v>0.16206914757843674</v>
      </c>
      <c r="H17" s="517"/>
      <c r="I17" s="517"/>
      <c r="J17" s="517"/>
    </row>
    <row r="18" spans="1:15">
      <c r="A18" s="691"/>
      <c r="D18" s="31" t="str">
        <f>Commodities!D19</f>
        <v>SRVREF-PU</v>
      </c>
      <c r="G18" s="693">
        <f>EAP_Techs!AD10/'Building stock'!$F$13</f>
        <v>0.84262783364201532</v>
      </c>
    </row>
    <row r="19" spans="1:15">
      <c r="A19" s="691"/>
      <c r="B19" s="61"/>
      <c r="C19" s="61"/>
      <c r="D19" s="32" t="str">
        <f>Commodities!D20</f>
        <v>SRVOEL-PU</v>
      </c>
      <c r="E19" s="61"/>
      <c r="F19" s="61"/>
      <c r="G19" s="696">
        <f>EAP_Techs!AD11/'Building stock'!$F$13</f>
        <v>7.3395482092335179E-2</v>
      </c>
      <c r="H19" s="61"/>
      <c r="I19" s="61"/>
      <c r="J19" s="61"/>
    </row>
    <row r="20" spans="1:15">
      <c r="A20" s="691"/>
      <c r="D20" s="31"/>
    </row>
    <row r="21" spans="1:15">
      <c r="A21" s="691"/>
    </row>
    <row r="22" spans="1:15">
      <c r="A22" s="691"/>
      <c r="B22" s="11"/>
      <c r="C22" s="517"/>
      <c r="D22" s="11"/>
      <c r="E22" s="517"/>
      <c r="F22" s="14"/>
      <c r="G22" s="14"/>
      <c r="H22" s="517"/>
      <c r="I22" s="517"/>
      <c r="J22" s="517"/>
    </row>
    <row r="23" spans="1:15" ht="23.25">
      <c r="A23" s="691"/>
      <c r="B23" s="68" t="s">
        <v>536</v>
      </c>
      <c r="D23" s="2"/>
      <c r="E23" s="2"/>
      <c r="F23" s="2"/>
      <c r="G23" s="14"/>
      <c r="H23" s="517"/>
      <c r="I23" s="517"/>
      <c r="J23" s="517"/>
    </row>
    <row r="24" spans="1:15">
      <c r="A24" s="691"/>
      <c r="B24" s="50" t="s">
        <v>88</v>
      </c>
      <c r="E24" s="50"/>
      <c r="F24" s="2"/>
      <c r="G24" s="11"/>
      <c r="H24" s="517"/>
      <c r="I24" s="517"/>
      <c r="J24" s="517"/>
    </row>
    <row r="25" spans="1:15" ht="15.75" thickBot="1">
      <c r="A25" s="73"/>
      <c r="B25" s="35" t="s">
        <v>4</v>
      </c>
      <c r="C25" s="35" t="s">
        <v>144</v>
      </c>
      <c r="G25" s="517"/>
      <c r="H25" s="517"/>
      <c r="I25" s="517"/>
      <c r="J25" s="517"/>
      <c r="O25" s="74"/>
    </row>
    <row r="26" spans="1:15">
      <c r="A26" s="73"/>
      <c r="B26" s="55" t="s">
        <v>130</v>
      </c>
      <c r="C26" s="55" t="s">
        <v>145</v>
      </c>
      <c r="G26" s="517"/>
      <c r="H26" s="517"/>
      <c r="I26" s="517"/>
      <c r="J26" s="517"/>
      <c r="O26" s="74"/>
    </row>
    <row r="27" spans="1:15">
      <c r="A27" s="73"/>
      <c r="B27" s="58" t="s">
        <v>136</v>
      </c>
      <c r="C27" s="69" t="s">
        <v>142</v>
      </c>
      <c r="G27" s="30"/>
      <c r="H27" s="30"/>
      <c r="O27" s="74"/>
    </row>
    <row r="28" spans="1:15">
      <c r="A28" s="73"/>
      <c r="B28" s="3" t="str">
        <f>'Building stock'!N6</f>
        <v>S-BLD_CS</v>
      </c>
      <c r="C28" s="679">
        <f>F6</f>
        <v>28.901664567933956</v>
      </c>
      <c r="G28" s="30"/>
      <c r="H28" s="30"/>
    </row>
    <row r="29" spans="1:15">
      <c r="A29" s="73"/>
      <c r="B29" s="61" t="str">
        <f>'Building stock'!N7</f>
        <v>S-BLD_PU</v>
      </c>
      <c r="C29" s="685">
        <f>F13</f>
        <v>58.151541961987604</v>
      </c>
      <c r="G29" s="30"/>
      <c r="H29" s="30"/>
    </row>
    <row r="30" spans="1:15">
      <c r="A30" s="30"/>
      <c r="B30" s="30"/>
      <c r="C30" s="30"/>
      <c r="D30" s="30"/>
      <c r="E30" s="30"/>
      <c r="F30" s="30"/>
      <c r="G30" s="30"/>
      <c r="H30" s="30"/>
    </row>
    <row r="31" spans="1:15">
      <c r="F31" s="30"/>
      <c r="G31" s="30"/>
      <c r="H31" s="30"/>
    </row>
    <row r="32" spans="1:15">
      <c r="A32" s="30"/>
      <c r="B32" s="30"/>
      <c r="C32" s="30"/>
      <c r="D32" s="30"/>
      <c r="E32" s="30"/>
      <c r="F32" s="30"/>
      <c r="G32" s="30"/>
      <c r="H32" s="30"/>
    </row>
    <row r="33" spans="1:8">
      <c r="A33" s="30"/>
      <c r="B33" s="30"/>
      <c r="C33" s="30"/>
      <c r="D33" s="30"/>
      <c r="E33" s="30"/>
      <c r="F33" s="30"/>
      <c r="G33" s="30"/>
      <c r="H33" s="30"/>
    </row>
    <row r="34" spans="1:8">
      <c r="A34" s="30"/>
      <c r="B34" s="30"/>
      <c r="C34" s="30"/>
      <c r="D34" s="30"/>
      <c r="E34" s="30"/>
      <c r="F34" s="30"/>
      <c r="G34" s="30"/>
      <c r="H34" s="30"/>
    </row>
    <row r="35" spans="1:8">
      <c r="A35" s="30"/>
      <c r="B35" s="30"/>
      <c r="C35" s="30"/>
      <c r="D35" s="30"/>
      <c r="E35" s="30"/>
      <c r="F35" s="30"/>
      <c r="G35" s="30"/>
      <c r="H35" s="30"/>
    </row>
    <row r="36" spans="1:8">
      <c r="A36" s="30"/>
      <c r="B36" s="30"/>
      <c r="C36" s="30"/>
      <c r="D36" s="30"/>
      <c r="E36" s="30"/>
      <c r="F36" s="30"/>
      <c r="G36" s="30"/>
      <c r="H36" s="30"/>
    </row>
    <row r="37" spans="1:8">
      <c r="A37" s="30"/>
      <c r="B37" s="30"/>
      <c r="C37" s="30"/>
      <c r="D37" s="30"/>
      <c r="E37" s="30"/>
      <c r="F37" s="30"/>
      <c r="G37" s="30"/>
      <c r="H37" s="30"/>
    </row>
    <row r="38" spans="1:8">
      <c r="A38" s="30"/>
      <c r="B38" s="30"/>
      <c r="C38" s="30"/>
      <c r="D38" s="30"/>
      <c r="E38" s="30"/>
      <c r="F38" s="30"/>
      <c r="G38" s="30"/>
      <c r="H38" s="3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4" bestFit="1" customWidth="1"/>
    <col min="2" max="2" width="24.42578125" style="54" customWidth="1"/>
    <col min="3" max="3" width="60.5703125" style="54" bestFit="1" customWidth="1"/>
    <col min="4" max="6" width="15" style="26" customWidth="1"/>
    <col min="7" max="7" width="10.85546875" style="54" customWidth="1"/>
    <col min="8" max="16" width="10.85546875" style="1" customWidth="1"/>
    <col min="17" max="18" width="17.85546875" style="26" customWidth="1"/>
    <col min="19" max="19" width="19.5703125" style="26" bestFit="1" customWidth="1"/>
    <col min="20" max="20" width="65" style="26" bestFit="1" customWidth="1"/>
    <col min="21" max="23" width="10.85546875" style="26" customWidth="1"/>
    <col min="24" max="25" width="10.85546875" style="18" customWidth="1"/>
    <col min="26" max="26" width="10.85546875" customWidth="1"/>
    <col min="27" max="27" width="21.42578125" style="18" bestFit="1" customWidth="1"/>
    <col min="28" max="28" width="15.28515625" style="18" bestFit="1" customWidth="1"/>
    <col min="29" max="29" width="24.5703125" style="18" bestFit="1" customWidth="1"/>
    <col min="30" max="33" width="10" style="18" customWidth="1"/>
    <col min="34" max="16384" width="8.85546875" style="18"/>
  </cols>
  <sheetData>
    <row r="1" spans="1:36" ht="23.25">
      <c r="B1" s="34" t="s">
        <v>520</v>
      </c>
      <c r="C1" s="34"/>
      <c r="X1" s="33"/>
    </row>
    <row r="2" spans="1:36">
      <c r="B2" s="56" t="s">
        <v>88</v>
      </c>
      <c r="Q2" s="50" t="s">
        <v>13</v>
      </c>
      <c r="R2" s="50"/>
      <c r="S2" s="51"/>
      <c r="T2" s="51"/>
      <c r="U2" s="51"/>
      <c r="V2" s="51"/>
      <c r="W2" s="51"/>
      <c r="X2" s="51"/>
      <c r="Y2" s="51"/>
    </row>
    <row r="3" spans="1:36" s="33" customFormat="1" ht="45.75" thickBot="1">
      <c r="A3" s="54"/>
      <c r="B3" s="35" t="s">
        <v>4</v>
      </c>
      <c r="C3" s="57" t="s">
        <v>128</v>
      </c>
      <c r="D3" s="35" t="s">
        <v>22</v>
      </c>
      <c r="E3" s="35" t="s">
        <v>557</v>
      </c>
      <c r="F3" s="35" t="s">
        <v>23</v>
      </c>
      <c r="G3" s="35" t="s">
        <v>116</v>
      </c>
      <c r="H3" s="35" t="s">
        <v>89</v>
      </c>
      <c r="I3" s="35" t="s">
        <v>147</v>
      </c>
      <c r="J3" s="35" t="s">
        <v>29</v>
      </c>
      <c r="K3" s="35" t="s">
        <v>129</v>
      </c>
      <c r="L3" s="57" t="str">
        <f>"Input~"&amp;Legend!$C$59</f>
        <v>Input~SRVAHT</v>
      </c>
      <c r="M3" s="57" t="str">
        <f>"Share-I~UP~"&amp;Legend!$C$56</f>
        <v>Share-I~UP~SRVBGS</v>
      </c>
      <c r="N3" s="57" t="str">
        <f>"Share-I~LO~"&amp;Legend!$C$56</f>
        <v>Share-I~LO~SRVBGS</v>
      </c>
      <c r="O3" s="57" t="str">
        <f>"Share-I~LO~0~"&amp;Legend!$C$56</f>
        <v>Share-I~LO~0~SRVBGS</v>
      </c>
      <c r="P3" s="1"/>
      <c r="Q3" s="35" t="s">
        <v>14</v>
      </c>
      <c r="R3" s="35" t="s">
        <v>537</v>
      </c>
      <c r="S3" s="35" t="s">
        <v>4</v>
      </c>
      <c r="T3" s="35" t="s">
        <v>15</v>
      </c>
      <c r="U3" s="35" t="s">
        <v>16</v>
      </c>
      <c r="V3" s="35" t="s">
        <v>17</v>
      </c>
      <c r="W3" s="35" t="s">
        <v>18</v>
      </c>
      <c r="X3" s="35" t="s">
        <v>19</v>
      </c>
      <c r="Y3" s="35" t="s">
        <v>20</v>
      </c>
      <c r="Z3"/>
      <c r="AA3" s="722" t="s">
        <v>395</v>
      </c>
      <c r="AB3" s="722" t="s">
        <v>165</v>
      </c>
      <c r="AC3" s="722" t="s">
        <v>83</v>
      </c>
      <c r="AD3" s="722" t="s">
        <v>515</v>
      </c>
      <c r="AE3" s="722" t="s">
        <v>516</v>
      </c>
      <c r="AF3" s="722" t="s">
        <v>517</v>
      </c>
      <c r="AG3" s="722" t="s">
        <v>518</v>
      </c>
      <c r="AH3" s="75" t="s">
        <v>79</v>
      </c>
      <c r="AI3" s="76"/>
    </row>
    <row r="4" spans="1:36" s="33" customFormat="1" ht="60.75" thickBot="1">
      <c r="A4" s="54"/>
      <c r="B4" s="55" t="s">
        <v>130</v>
      </c>
      <c r="C4" s="55" t="s">
        <v>93</v>
      </c>
      <c r="D4" s="55" t="s">
        <v>131</v>
      </c>
      <c r="E4" s="55" t="s">
        <v>558</v>
      </c>
      <c r="F4" s="55" t="s">
        <v>132</v>
      </c>
      <c r="G4" s="55" t="s">
        <v>148</v>
      </c>
      <c r="H4" s="55" t="s">
        <v>134</v>
      </c>
      <c r="I4" s="55" t="s">
        <v>133</v>
      </c>
      <c r="J4" s="55" t="s">
        <v>141</v>
      </c>
      <c r="K4" s="55" t="s">
        <v>135</v>
      </c>
      <c r="L4" s="55"/>
      <c r="M4" s="55" t="s">
        <v>189</v>
      </c>
      <c r="N4" s="55" t="s">
        <v>191</v>
      </c>
      <c r="O4" s="55" t="s">
        <v>190</v>
      </c>
      <c r="P4" s="1"/>
      <c r="Q4" s="52" t="s">
        <v>120</v>
      </c>
      <c r="R4" s="52" t="s">
        <v>551</v>
      </c>
      <c r="S4" s="52" t="s">
        <v>121</v>
      </c>
      <c r="T4" s="52" t="s">
        <v>93</v>
      </c>
      <c r="U4" s="52" t="s">
        <v>122</v>
      </c>
      <c r="V4" s="52" t="s">
        <v>123</v>
      </c>
      <c r="W4" s="52" t="s">
        <v>124</v>
      </c>
      <c r="X4" s="55" t="s">
        <v>125</v>
      </c>
      <c r="Y4" s="55" t="s">
        <v>126</v>
      </c>
      <c r="Z4"/>
      <c r="AA4" s="723"/>
      <c r="AB4" s="723"/>
      <c r="AC4" s="723"/>
      <c r="AD4" s="723"/>
      <c r="AE4" s="723"/>
      <c r="AF4" s="723"/>
      <c r="AG4" s="723"/>
      <c r="AH4" s="78" t="s">
        <v>151</v>
      </c>
      <c r="AI4" s="77" t="s">
        <v>519</v>
      </c>
    </row>
    <row r="5" spans="1:36" s="33" customFormat="1">
      <c r="A5" s="54"/>
      <c r="B5" s="58" t="s">
        <v>136</v>
      </c>
      <c r="C5" s="58"/>
      <c r="D5" s="58"/>
      <c r="E5" s="665"/>
      <c r="F5" s="58"/>
      <c r="G5" s="58" t="s">
        <v>67</v>
      </c>
      <c r="H5" s="58" t="s">
        <v>137</v>
      </c>
      <c r="I5" s="58" t="s">
        <v>137</v>
      </c>
      <c r="J5" s="58" t="s">
        <v>143</v>
      </c>
      <c r="K5" s="58" t="s">
        <v>99</v>
      </c>
      <c r="L5" s="665" t="s">
        <v>560</v>
      </c>
      <c r="M5" s="58" t="s">
        <v>137</v>
      </c>
      <c r="N5" s="58" t="s">
        <v>137</v>
      </c>
      <c r="O5" s="58"/>
      <c r="P5" s="1"/>
      <c r="Q5" s="58" t="s">
        <v>513</v>
      </c>
      <c r="R5" s="58"/>
      <c r="S5" s="58"/>
      <c r="T5" s="58"/>
      <c r="U5" s="58"/>
      <c r="V5" s="58"/>
      <c r="W5" s="58"/>
      <c r="X5" s="58"/>
      <c r="Y5" s="58"/>
      <c r="Z5"/>
      <c r="AA5" s="663"/>
      <c r="AB5" s="663"/>
      <c r="AC5" s="663"/>
      <c r="AD5" s="663"/>
      <c r="AE5" s="663"/>
      <c r="AF5" s="663"/>
      <c r="AG5" s="663"/>
      <c r="AH5" s="79" t="s">
        <v>46</v>
      </c>
      <c r="AI5" s="79" t="s">
        <v>46</v>
      </c>
    </row>
    <row r="6" spans="1:36" s="659" customFormat="1" ht="45">
      <c r="A6" s="80"/>
      <c r="B6" s="661" t="str">
        <f t="shared" ref="B6:B45" si="0">IF($AD6="",Q6,S6)</f>
        <v>*Commercial Services Space heating</v>
      </c>
      <c r="C6" s="80" t="str">
        <f t="shared" ref="C6:C45" si="1">IF($AD6="","",T6)</f>
        <v/>
      </c>
      <c r="D6" s="655" t="str">
        <f t="shared" ref="D6" si="2">IF($AD6="","",AE6)</f>
        <v/>
      </c>
      <c r="E6" s="655"/>
      <c r="F6" s="25" t="str">
        <f>IF($AD6="","",CONCATENATE(Legend!$C$4,AG6,"-",AF6))</f>
        <v/>
      </c>
      <c r="G6" s="655" t="str">
        <f>IF($AD6="","",SUMIFS('Key Inputs'!$K$29:$K$114,'Key Inputs'!$A$29:$A$114,$AA6,'Key Inputs'!$B$29:$B$114,$AB6,'Key Inputs'!$C$29:$C$114,$AC6))</f>
        <v/>
      </c>
      <c r="H6" s="655" t="str">
        <f>IF($AD6="","",SUMIFS('Key Inputs'!$G$29:$G$114,'Key Inputs'!$A$29:$A$114,$AA6,'Key Inputs'!$B$29:$B$114,$AB6,'Key Inputs'!$C$29:$C$114,$AC6))</f>
        <v/>
      </c>
      <c r="I6" s="656" t="str">
        <f>IF($AD6="","",SUMIFS('Key Inputs'!$I$29:$I$114,'Key Inputs'!$A$29:$A$114,$AA6,'Key Inputs'!$B$29:$B$114,$AB6,'Key Inputs'!$C$29:$C$114,$AC6)/8760)</f>
        <v/>
      </c>
      <c r="J6" s="657" t="str">
        <f>IF($AD6="","",SUMIFS('Key Inputs'!$H$29:$H$114,'Key Inputs'!$A$29:$A$114,$AA6,'Key Inputs'!$B$29:$B$114,$AB6,'Key Inputs'!$C$29:$C$114,$AC6))</f>
        <v/>
      </c>
      <c r="K6" s="112" t="str">
        <f t="shared" ref="K6:K45" si="3">IF($AD6="","",31.536)</f>
        <v/>
      </c>
      <c r="L6" s="112"/>
      <c r="M6" s="112"/>
      <c r="N6" s="112"/>
      <c r="O6" s="112"/>
      <c r="P6" s="658"/>
      <c r="Q6" s="514" t="str">
        <f>IF($AD6="","*"&amp;AA7&amp;" "&amp;AB7,"PRE")</f>
        <v>*Commercial Services Space heating</v>
      </c>
      <c r="R6" s="64" t="str">
        <f>IF($AD6="","",_xlfn.TEXTJOIN(",",TRUE,IF(LEFT(Regions!$C$3,1)&lt;&gt;"*",Regions!$C$3,""),IF(LEFT(Regions!$D$3,1)&lt;&gt;"*",Regions!$D$3,"")))</f>
        <v/>
      </c>
      <c r="S6" s="25" t="str">
        <f>IF($AD6="","",CONCATENATE(LEFT(Legend!$C$4),"-",$AG6,"-",$AF6,"_",$AD6,"_X0"))</f>
        <v/>
      </c>
      <c r="T6" s="25" t="str">
        <f t="shared" ref="T6:T45" si="4">IF($AD6="","",CONCATENATE(AA6," - ",AB6,": ",AC6))</f>
        <v/>
      </c>
      <c r="Z6" s="658"/>
      <c r="AF6" s="8"/>
      <c r="AG6" s="8"/>
      <c r="AH6" s="27"/>
      <c r="AI6" s="687"/>
    </row>
    <row r="7" spans="1:36" customFormat="1">
      <c r="B7" s="662" t="str">
        <f t="shared" si="0"/>
        <v>S-SH-CS_COA_X0</v>
      </c>
      <c r="C7" s="54" t="str">
        <f t="shared" si="1"/>
        <v>Commercial Services - Space heating: Solids</v>
      </c>
      <c r="D7" s="60" t="str">
        <f>IF($AD7="","",AE7)</f>
        <v>SRVCOA</v>
      </c>
      <c r="E7" s="60"/>
      <c r="F7" s="26" t="str">
        <f>IF($AD7="","",CONCATENATE(Legend!$C$4,AG7,"-",AF7))</f>
        <v>SRVSH-CS</v>
      </c>
      <c r="G7" s="60">
        <f>IF($AD7="","",SUMIFS('Key Inputs'!$K$29:$K$114,'Key Inputs'!$A$29:$A$114,$AA7,'Key Inputs'!$B$29:$B$114,$AB7,'Key Inputs'!$C$29:$C$114,$AC7))</f>
        <v>2.0721543509774438E-3</v>
      </c>
      <c r="H7" s="645">
        <f>IF($AD7="","",SUMIFS('Key Inputs'!$G$29:$G$114,'Key Inputs'!$A$29:$A$114,$AA7,'Key Inputs'!$B$29:$B$114,$AB7,'Key Inputs'!$C$29:$C$114,$AC7))</f>
        <v>0.33</v>
      </c>
      <c r="I7" s="645">
        <f>IF($AD7="","",SUMIFS('Key Inputs'!$I$29:$I$114,'Key Inputs'!$A$29:$A$114,$AA7,'Key Inputs'!$B$29:$B$114,$AB7,'Key Inputs'!$C$29:$C$114,$AC7)/8760)</f>
        <v>0.11415525114155251</v>
      </c>
      <c r="J7" s="647">
        <f>IF($AD7="","",SUMIFS('Key Inputs'!$H$29:$H$114,'Key Inputs'!$A$29:$A$114,$AA7,'Key Inputs'!$B$29:$B$114,$AB7,'Key Inputs'!$C$29:$C$114,$AC7))</f>
        <v>20</v>
      </c>
      <c r="K7" s="81">
        <f t="shared" si="3"/>
        <v>31.536000000000001</v>
      </c>
      <c r="L7" s="81"/>
      <c r="M7" s="81"/>
      <c r="N7" s="81"/>
      <c r="O7" s="81"/>
      <c r="Q7" s="42" t="str">
        <f>IF($AD7="","*"&amp;AA8&amp;" "&amp;AB8,"PRE")</f>
        <v>PRE</v>
      </c>
      <c r="R7" s="64" t="str">
        <f>IF($AD7="","",_xlfn.TEXTJOIN(",",TRUE,IF(LEFT(Regions!$C$3,1)&lt;&gt;"*",Regions!$C$3,""),IF(LEFT(Regions!$D$3,1)&lt;&gt;"*",Regions!$D$3,"")))</f>
        <v>IE,National</v>
      </c>
      <c r="S7" s="31" t="str">
        <f>IF($AD7="","",CONCATENATE(LEFT(Legend!$C$4),"-",$AG7,"-",$AF7,"_",$AD7,"_X0"))</f>
        <v>S-SH-CS_COA_X0</v>
      </c>
      <c r="T7" s="31" t="str">
        <f t="shared" si="4"/>
        <v>Commercial Services - Space heating: Solids</v>
      </c>
      <c r="U7" s="31" t="str">
        <f t="shared" ref="U7:U45" si="5">IF($AD7="","","PJ")</f>
        <v>PJ</v>
      </c>
      <c r="V7" s="31" t="str">
        <f t="shared" ref="V7:V45" si="6">IF($AD7="","","GW")</f>
        <v>GW</v>
      </c>
      <c r="W7" s="31" t="str">
        <f t="shared" ref="W7:W45" si="7">IF($AD7="","","ANNUAL")</f>
        <v>ANNUAL</v>
      </c>
      <c r="X7" s="31"/>
      <c r="Y7" s="31"/>
      <c r="AA7" s="33" t="str">
        <f>IF('Key Inputs'!A29="","",'Key Inputs'!A29)</f>
        <v>Commercial Services</v>
      </c>
      <c r="AB7" s="33" t="str">
        <f>IF('Key Inputs'!B29="","",'Key Inputs'!B29)</f>
        <v>Space heating</v>
      </c>
      <c r="AC7" s="33" t="str">
        <f>IF('Key Inputs'!C29="","",'Key Inputs'!C29)</f>
        <v>Solids</v>
      </c>
      <c r="AD7" s="33" t="str">
        <f>IF('Key Inputs'!D29="","",'Key Inputs'!D29)</f>
        <v>COA</v>
      </c>
      <c r="AE7" s="33" t="str">
        <f>IF('Key Inputs'!E29="","",'Key Inputs'!E29)</f>
        <v>SRVCOA</v>
      </c>
      <c r="AF7" s="7" t="str">
        <f>_xlfn.XLOOKUP(AA7,Legend!$A$36:$A$37,Legend!$C$36:$C$37)</f>
        <v>CS</v>
      </c>
      <c r="AG7" s="7" t="str">
        <f>_xlfn.XLOOKUP(AB7,Legend!$A$39:$A$49,Legend!$C$39:$C$49)</f>
        <v>SH</v>
      </c>
      <c r="AH7" s="27">
        <f>IF($AD7="","",AI7/H7)</f>
        <v>2.2605320192481203E-2</v>
      </c>
      <c r="AI7" s="110">
        <f>IF($AD7="","",G7*I7*K7)</f>
        <v>7.4597556635187974E-3</v>
      </c>
      <c r="AJ7" s="7"/>
    </row>
    <row r="8" spans="1:36">
      <c r="B8" s="662" t="str">
        <f t="shared" si="0"/>
        <v>S-SH-CS_LPG_X0</v>
      </c>
      <c r="C8" s="54" t="str">
        <f t="shared" si="1"/>
        <v>Commercial Services - Space heating: LPG</v>
      </c>
      <c r="D8" s="60" t="str">
        <f t="shared" ref="D8:D45" si="8">IF($AD8="","",AE8)</f>
        <v>SRVLPG</v>
      </c>
      <c r="E8" s="60"/>
      <c r="F8" s="26" t="str">
        <f>IF($AD8="","",CONCATENATE(Legend!$C$4,AG8,"-",AF8))</f>
        <v>SRVSH-CS</v>
      </c>
      <c r="G8" s="60">
        <f>IF($AD8="","",SUMIFS('Key Inputs'!$K$29:$K$114,'Key Inputs'!$A$29:$A$114,$AA8,'Key Inputs'!$B$29:$B$114,$AB8,'Key Inputs'!$C$29:$C$114,$AC8))</f>
        <v>0</v>
      </c>
      <c r="H8" s="645">
        <f>IF($AD8="","",SUMIFS('Key Inputs'!$G$29:$G$114,'Key Inputs'!$A$29:$A$114,$AA8,'Key Inputs'!$B$29:$B$114,$AB8,'Key Inputs'!$C$29:$C$114,$AC8))</f>
        <v>0.33</v>
      </c>
      <c r="I8" s="645">
        <f>IF($AD8="","",SUMIFS('Key Inputs'!$I$29:$I$114,'Key Inputs'!$A$29:$A$114,$AA8,'Key Inputs'!$B$29:$B$114,$AB8,'Key Inputs'!$C$29:$C$114,$AC8)/8760)</f>
        <v>0.11415525114155251</v>
      </c>
      <c r="J8" s="647">
        <f>IF($AD8="","",SUMIFS('Key Inputs'!$H$29:$H$114,'Key Inputs'!$A$29:$A$114,$AA8,'Key Inputs'!$B$29:$B$114,$AB8,'Key Inputs'!$C$29:$C$114,$AC8))</f>
        <v>20</v>
      </c>
      <c r="K8" s="81">
        <f>IF($AD8="","",31.536)</f>
        <v>31.536000000000001</v>
      </c>
      <c r="L8" s="81"/>
      <c r="M8" s="81"/>
      <c r="N8" s="81"/>
      <c r="O8" s="81"/>
      <c r="Q8" s="42" t="str">
        <f>IF($AD8="","*"&amp;AA9&amp;" "&amp;AB9,"PRE")</f>
        <v>PRE</v>
      </c>
      <c r="R8" s="64" t="str">
        <f>IF($AD8="","",_xlfn.TEXTJOIN(",",TRUE,IF(LEFT(Regions!$C$3,1)&lt;&gt;"*",Regions!$C$3,""),IF(LEFT(Regions!$D$3,1)&lt;&gt;"*",Regions!$D$3,"")))</f>
        <v>IE,National</v>
      </c>
      <c r="S8" s="31" t="str">
        <f>IF($AD8="","",CONCATENATE(LEFT(Legend!$C$4),"-",$AG8,"-",$AF8,"_",$AD8,"_X0"))</f>
        <v>S-SH-CS_LPG_X0</v>
      </c>
      <c r="T8" s="31" t="str">
        <f t="shared" si="4"/>
        <v>Commercial Services - Space heating: LPG</v>
      </c>
      <c r="U8" s="31" t="str">
        <f t="shared" si="5"/>
        <v>PJ</v>
      </c>
      <c r="V8" s="31" t="str">
        <f t="shared" si="6"/>
        <v>GW</v>
      </c>
      <c r="W8" s="31" t="str">
        <f t="shared" si="7"/>
        <v>ANNUAL</v>
      </c>
      <c r="X8" s="31"/>
      <c r="Y8" s="31"/>
      <c r="AA8" s="33" t="str">
        <f>IF('Key Inputs'!A30="","",'Key Inputs'!A30)</f>
        <v>Commercial Services</v>
      </c>
      <c r="AB8" s="33" t="str">
        <f>IF('Key Inputs'!B30="","",'Key Inputs'!B30)</f>
        <v>Space heating</v>
      </c>
      <c r="AC8" s="33" t="str">
        <f>IF('Key Inputs'!C30="","",'Key Inputs'!C30)</f>
        <v>LPG</v>
      </c>
      <c r="AD8" s="33" t="str">
        <f>IF('Key Inputs'!D30="","",'Key Inputs'!D30)</f>
        <v>LPG</v>
      </c>
      <c r="AE8" s="33" t="str">
        <f>IF('Key Inputs'!E30="","",'Key Inputs'!E30)</f>
        <v>SRVLPG</v>
      </c>
      <c r="AF8" s="7" t="str">
        <f>_xlfn.XLOOKUP(AA8,Legend!$A$36:$A$37,Legend!$C$36:$C$37)</f>
        <v>CS</v>
      </c>
      <c r="AG8" s="7" t="str">
        <f>_xlfn.XLOOKUP(AB8,Legend!$A$39:$A$49,Legend!$C$39:$C$49)</f>
        <v>SH</v>
      </c>
      <c r="AH8" s="27">
        <f t="shared" ref="AH8:AH45" si="9">IF($AD8="","",AI8/H8)</f>
        <v>0</v>
      </c>
      <c r="AI8" s="110">
        <f t="shared" ref="AI8:AI45" si="10">IF($AD8="","",G8*I8*K8)</f>
        <v>0</v>
      </c>
    </row>
    <row r="9" spans="1:36">
      <c r="B9" s="662" t="str">
        <f t="shared" si="0"/>
        <v>S-SH-CS_OIL_X0</v>
      </c>
      <c r="C9" s="54" t="str">
        <f t="shared" si="1"/>
        <v>Commercial Services - Space heating: Oil</v>
      </c>
      <c r="D9" s="60" t="str">
        <f t="shared" si="8"/>
        <v>SRVOIL</v>
      </c>
      <c r="E9" s="60"/>
      <c r="F9" s="26" t="str">
        <f>IF($AD9="","",CONCATENATE(Legend!$C$4,AG9,"-",AF9))</f>
        <v>SRVSH-CS</v>
      </c>
      <c r="G9" s="60">
        <f>IF($AD9="","",SUMIFS('Key Inputs'!$K$29:$K$114,'Key Inputs'!$A$29:$A$114,$AA9,'Key Inputs'!$B$29:$B$114,$AB9,'Key Inputs'!$C$29:$C$114,$AC9))</f>
        <v>0.41203348514543686</v>
      </c>
      <c r="H9" s="645">
        <f>IF($AD9="","",SUMIFS('Key Inputs'!$G$29:$G$114,'Key Inputs'!$A$29:$A$114,$AA9,'Key Inputs'!$B$29:$B$114,$AB9,'Key Inputs'!$C$29:$C$114,$AC9))</f>
        <v>0.6583558448972523</v>
      </c>
      <c r="I9" s="645">
        <f>IF($AD9="","",SUMIFS('Key Inputs'!$I$29:$I$114,'Key Inputs'!$A$29:$A$114,$AA9,'Key Inputs'!$B$29:$B$114,$AB9,'Key Inputs'!$C$29:$C$114,$AC9)/8760)</f>
        <v>0.11415525114155251</v>
      </c>
      <c r="J9" s="647">
        <f>IF($AD9="","",SUMIFS('Key Inputs'!$H$29:$H$114,'Key Inputs'!$A$29:$A$114,$AA9,'Key Inputs'!$B$29:$B$114,$AB9,'Key Inputs'!$C$29:$C$114,$AC9))</f>
        <v>20</v>
      </c>
      <c r="K9" s="81">
        <f t="shared" si="3"/>
        <v>31.536000000000001</v>
      </c>
      <c r="L9" s="81"/>
      <c r="M9" s="72"/>
      <c r="N9" s="72"/>
      <c r="O9" s="81"/>
      <c r="Q9" s="42" t="str">
        <f>IF($AD9="","*"&amp;#REF!&amp;" "&amp;#REF!,"PRE")</f>
        <v>PRE</v>
      </c>
      <c r="R9" s="64" t="str">
        <f>IF($AD9="","",_xlfn.TEXTJOIN(",",TRUE,IF(LEFT(Regions!$C$3,1)&lt;&gt;"*",Regions!$C$3,""),IF(LEFT(Regions!$D$3,1)&lt;&gt;"*",Regions!$D$3,"")))</f>
        <v>IE,National</v>
      </c>
      <c r="S9" s="31" t="str">
        <f>IF($AD9="","",CONCATENATE(LEFT(Legend!$C$4),"-",$AG9,"-",$AF9,"_",$AD9,"_X0"))</f>
        <v>S-SH-CS_OIL_X0</v>
      </c>
      <c r="T9" s="31" t="str">
        <f t="shared" si="4"/>
        <v>Commercial Services - Space heating: Oil</v>
      </c>
      <c r="U9" s="31" t="str">
        <f t="shared" si="5"/>
        <v>PJ</v>
      </c>
      <c r="V9" s="31" t="str">
        <f t="shared" si="6"/>
        <v>GW</v>
      </c>
      <c r="W9" s="31" t="str">
        <f t="shared" si="7"/>
        <v>ANNUAL</v>
      </c>
      <c r="X9" s="31"/>
      <c r="Y9" s="31"/>
      <c r="AA9" s="33" t="str">
        <f>IF('Key Inputs'!A31="","",'Key Inputs'!A31)</f>
        <v>Commercial Services</v>
      </c>
      <c r="AB9" s="33" t="str">
        <f>IF('Key Inputs'!B31="","",'Key Inputs'!B31)</f>
        <v>Space heating</v>
      </c>
      <c r="AC9" s="33" t="str">
        <f>IF('Key Inputs'!C31="","",'Key Inputs'!C31)</f>
        <v>Oil</v>
      </c>
      <c r="AD9" s="33" t="str">
        <f>IF('Key Inputs'!D31="","",'Key Inputs'!D31)</f>
        <v>OIL</v>
      </c>
      <c r="AE9" s="33" t="str">
        <f>IF('Key Inputs'!E31="","",'Key Inputs'!E31)</f>
        <v>SRVOIL</v>
      </c>
      <c r="AF9" s="7" t="str">
        <f>_xlfn.XLOOKUP(AA9,Legend!$A$36:$A$37,Legend!$C$36:$C$37)</f>
        <v>CS</v>
      </c>
      <c r="AG9" s="7" t="str">
        <f>_xlfn.XLOOKUP(AB9,Legend!$A$39:$A$49,Legend!$C$39:$C$49)</f>
        <v>SH</v>
      </c>
      <c r="AH9" s="27">
        <f t="shared" si="9"/>
        <v>2.2530680907907339</v>
      </c>
      <c r="AI9" s="110">
        <f t="shared" si="10"/>
        <v>1.4833205465235728</v>
      </c>
    </row>
    <row r="10" spans="1:36">
      <c r="B10" s="662" t="str">
        <f t="shared" si="0"/>
        <v>S-SH-CS_GAS_X0</v>
      </c>
      <c r="C10" s="54" t="str">
        <f t="shared" si="1"/>
        <v>Commercial Services - Space heating: Natural Gas</v>
      </c>
      <c r="D10" s="60" t="str">
        <f t="shared" si="8"/>
        <v>SRVGAS, SRVBGS</v>
      </c>
      <c r="E10" s="60"/>
      <c r="F10" s="26" t="str">
        <f>IF($AD10="","",CONCATENATE(Legend!$C$4,AG10,"-",AF10))</f>
        <v>SRVSH-CS</v>
      </c>
      <c r="G10" s="60">
        <f>IF($AD10="","",SUMIFS('Key Inputs'!$K$29:$K$114,'Key Inputs'!$A$29:$A$114,$AA10,'Key Inputs'!$B$29:$B$114,$AB10,'Key Inputs'!$C$29:$C$114,$AC10))</f>
        <v>1.0952200138463837</v>
      </c>
      <c r="H10" s="645">
        <f>IF($AD10="","",SUMIFS('Key Inputs'!$G$29:$G$114,'Key Inputs'!$A$29:$A$114,$AA10,'Key Inputs'!$B$29:$B$114,$AB10,'Key Inputs'!$C$29:$C$114,$AC10))</f>
        <v>0.77299617086321282</v>
      </c>
      <c r="I10" s="645">
        <f>IF($AD10="","",SUMIFS('Key Inputs'!$I$29:$I$114,'Key Inputs'!$A$29:$A$114,$AA10,'Key Inputs'!$B$29:$B$114,$AB10,'Key Inputs'!$C$29:$C$114,$AC10)/8760)</f>
        <v>0.11415525114155251</v>
      </c>
      <c r="J10" s="647">
        <f>IF($AD10="","",SUMIFS('Key Inputs'!$H$29:$H$114,'Key Inputs'!$A$29:$A$114,$AA10,'Key Inputs'!$B$29:$B$114,$AB10,'Key Inputs'!$C$29:$C$114,$AC10))</f>
        <v>20</v>
      </c>
      <c r="K10" s="81">
        <f t="shared" si="3"/>
        <v>31.536000000000001</v>
      </c>
      <c r="L10" s="81"/>
      <c r="M10" s="646">
        <f>EB_SRV!$G$30/'Key Inputs'!$F$32</f>
        <v>2.2361517512771975E-2</v>
      </c>
      <c r="N10" s="646">
        <f>M10</f>
        <v>2.2361517512771975E-2</v>
      </c>
      <c r="O10" s="83">
        <v>5</v>
      </c>
      <c r="Q10" s="42" t="str">
        <f t="shared" ref="Q10:Q28" si="11">IF($AD10="","*"&amp;AA11&amp;" "&amp;AB11,"PRE")</f>
        <v>PRE</v>
      </c>
      <c r="R10" s="64" t="str">
        <f>IF($AD10="","",_xlfn.TEXTJOIN(",",TRUE,IF(LEFT(Regions!$C$3,1)&lt;&gt;"*",Regions!$C$3,""),IF(LEFT(Regions!$D$3,1)&lt;&gt;"*",Regions!$D$3,"")))</f>
        <v>IE,National</v>
      </c>
      <c r="S10" s="31" t="str">
        <f>IF($AD10="","",CONCATENATE(LEFT(Legend!$C$4),"-",$AG10,"-",$AF10,"_",$AD10,"_X0"))</f>
        <v>S-SH-CS_GAS_X0</v>
      </c>
      <c r="T10" s="31" t="str">
        <f t="shared" si="4"/>
        <v>Commercial Services - Space heating: Natural Gas</v>
      </c>
      <c r="U10" s="31" t="str">
        <f t="shared" si="5"/>
        <v>PJ</v>
      </c>
      <c r="V10" s="31" t="str">
        <f t="shared" si="6"/>
        <v>GW</v>
      </c>
      <c r="W10" s="31" t="str">
        <f t="shared" si="7"/>
        <v>ANNUAL</v>
      </c>
      <c r="X10" s="22"/>
      <c r="Y10" s="22"/>
      <c r="AA10" s="33" t="str">
        <f>IF('Key Inputs'!A32="","",'Key Inputs'!A32)</f>
        <v>Commercial Services</v>
      </c>
      <c r="AB10" s="33" t="str">
        <f>IF('Key Inputs'!B32="","",'Key Inputs'!B32)</f>
        <v>Space heating</v>
      </c>
      <c r="AC10" s="33" t="str">
        <f>IF('Key Inputs'!C32="","",'Key Inputs'!C32)</f>
        <v>Natural Gas</v>
      </c>
      <c r="AD10" s="33" t="str">
        <f>IF('Key Inputs'!D32="","",'Key Inputs'!D32)</f>
        <v>GAS</v>
      </c>
      <c r="AE10" s="33" t="str">
        <f>IF('Key Inputs'!E32="","",'Key Inputs'!E32)</f>
        <v>SRVGAS, SRVBGS</v>
      </c>
      <c r="AF10" s="7" t="str">
        <f>_xlfn.XLOOKUP(AA10,Legend!$A$36:$A$37,Legend!$C$36:$C$37)</f>
        <v>CS</v>
      </c>
      <c r="AG10" s="7" t="str">
        <f>_xlfn.XLOOKUP(AB10,Legend!$A$39:$A$49,Legend!$C$39:$C$49)</f>
        <v>SH</v>
      </c>
      <c r="AH10" s="27">
        <f t="shared" si="9"/>
        <v>5.1006618123916763</v>
      </c>
      <c r="AI10" s="110">
        <f t="shared" si="10"/>
        <v>3.9427920498469811</v>
      </c>
    </row>
    <row r="11" spans="1:36">
      <c r="B11" s="662" t="str">
        <f t="shared" si="0"/>
        <v>S-SH-CS_BIO_X0</v>
      </c>
      <c r="C11" s="54" t="str">
        <f t="shared" si="1"/>
        <v>Commercial Services - Space heating: Biomass</v>
      </c>
      <c r="D11" s="60" t="str">
        <f t="shared" si="8"/>
        <v>SRVBIO</v>
      </c>
      <c r="E11" s="60"/>
      <c r="F11" s="26" t="str">
        <f>IF($AD11="","",CONCATENATE(Legend!$C$4,AG11,"-",AF11))</f>
        <v>SRVSH-CS</v>
      </c>
      <c r="G11" s="60">
        <f>IF($AD11="","",SUMIFS('Key Inputs'!$K$29:$K$114,'Key Inputs'!$A$29:$A$114,$AA11,'Key Inputs'!$B$29:$B$114,$AB11,'Key Inputs'!$C$29:$C$114,$AC11))</f>
        <v>3.7052237594494358E-2</v>
      </c>
      <c r="H11" s="645">
        <f>IF($AD11="","",SUMIFS('Key Inputs'!$G$29:$G$114,'Key Inputs'!$A$29:$A$114,$AA11,'Key Inputs'!$B$29:$B$114,$AB11,'Key Inputs'!$C$29:$C$114,$AC11))</f>
        <v>0.63490443337371294</v>
      </c>
      <c r="I11" s="645">
        <f>IF($AD11="","",SUMIFS('Key Inputs'!$I$29:$I$114,'Key Inputs'!$A$29:$A$114,$AA11,'Key Inputs'!$B$29:$B$114,$AB11,'Key Inputs'!$C$29:$C$114,$AC11)/8760)</f>
        <v>0.11415525114155251</v>
      </c>
      <c r="J11" s="647">
        <f>IF($AD11="","",SUMIFS('Key Inputs'!$H$29:$H$114,'Key Inputs'!$A$29:$A$114,$AA11,'Key Inputs'!$B$29:$B$114,$AB11,'Key Inputs'!$C$29:$C$114,$AC11))</f>
        <v>20</v>
      </c>
      <c r="K11" s="81">
        <f t="shared" si="3"/>
        <v>31.536000000000001</v>
      </c>
      <c r="L11" s="81"/>
      <c r="M11" s="81"/>
      <c r="N11" s="81"/>
      <c r="O11" s="81"/>
      <c r="Q11" s="42" t="str">
        <f t="shared" si="11"/>
        <v>PRE</v>
      </c>
      <c r="R11" s="64" t="str">
        <f>IF($AD11="","",_xlfn.TEXTJOIN(",",TRUE,IF(LEFT(Regions!$C$3,1)&lt;&gt;"*",Regions!$C$3,""),IF(LEFT(Regions!$D$3,1)&lt;&gt;"*",Regions!$D$3,"")))</f>
        <v>IE,National</v>
      </c>
      <c r="S11" s="31" t="str">
        <f>IF($AD11="","",CONCATENATE(LEFT(Legend!$C$4),"-",$AG11,"-",$AF11,"_",$AD11,"_X0"))</f>
        <v>S-SH-CS_BIO_X0</v>
      </c>
      <c r="T11" s="31" t="str">
        <f t="shared" si="4"/>
        <v>Commercial Services - Space heating: Biomass</v>
      </c>
      <c r="U11" s="31" t="str">
        <f t="shared" si="5"/>
        <v>PJ</v>
      </c>
      <c r="V11" s="31" t="str">
        <f t="shared" si="6"/>
        <v>GW</v>
      </c>
      <c r="W11" s="31" t="str">
        <f t="shared" si="7"/>
        <v>ANNUAL</v>
      </c>
      <c r="X11" s="22"/>
      <c r="Y11" s="22"/>
      <c r="AA11" s="33" t="str">
        <f>IF('Key Inputs'!A33="","",'Key Inputs'!A33)</f>
        <v>Commercial Services</v>
      </c>
      <c r="AB11" s="33" t="str">
        <f>IF('Key Inputs'!B33="","",'Key Inputs'!B33)</f>
        <v>Space heating</v>
      </c>
      <c r="AC11" s="33" t="str">
        <f>IF('Key Inputs'!C33="","",'Key Inputs'!C33)</f>
        <v>Biomass</v>
      </c>
      <c r="AD11" s="33" t="str">
        <f>IF('Key Inputs'!D33="","",'Key Inputs'!D33)</f>
        <v>BIO</v>
      </c>
      <c r="AE11" s="33" t="str">
        <f>IF('Key Inputs'!E33="","",'Key Inputs'!E33)</f>
        <v>SRVBIO</v>
      </c>
      <c r="AF11" s="7" t="str">
        <f>_xlfn.XLOOKUP(AA11,Legend!$A$36:$A$37,Legend!$C$36:$C$37)</f>
        <v>CS</v>
      </c>
      <c r="AG11" s="7" t="str">
        <f>_xlfn.XLOOKUP(AB11,Legend!$A$39:$A$49,Legend!$C$39:$C$49)</f>
        <v>SH</v>
      </c>
      <c r="AH11" s="27">
        <f t="shared" si="9"/>
        <v>0.21009154815850178</v>
      </c>
      <c r="AI11" s="110">
        <f t="shared" si="10"/>
        <v>0.1333880553401797</v>
      </c>
    </row>
    <row r="12" spans="1:36">
      <c r="B12" s="662" t="str">
        <f t="shared" si="0"/>
        <v>S-SH-CS_SOL_X0</v>
      </c>
      <c r="C12" s="54" t="str">
        <f t="shared" si="1"/>
        <v>Commercial Services - Space heating: Solar</v>
      </c>
      <c r="D12" s="60" t="str">
        <f t="shared" si="8"/>
        <v>SRVSOL</v>
      </c>
      <c r="E12" s="60"/>
      <c r="F12" s="26" t="str">
        <f>IF($AD12="","",CONCATENATE(Legend!$C$4,AG12,"-",AF12))</f>
        <v>SRVSH-CS</v>
      </c>
      <c r="G12" s="60">
        <f>IF($AD12="","",SUMIFS('Key Inputs'!$K$29:$K$114,'Key Inputs'!$A$29:$A$114,$AA12,'Key Inputs'!$B$29:$B$114,$AB12,'Key Inputs'!$C$29:$C$114,$AC12))</f>
        <v>0</v>
      </c>
      <c r="H12" s="645">
        <f>IF($AD12="","",SUMIFS('Key Inputs'!$G$29:$G$114,'Key Inputs'!$A$29:$A$114,$AA12,'Key Inputs'!$B$29:$B$114,$AB12,'Key Inputs'!$C$29:$C$114,$AC12))</f>
        <v>0.33</v>
      </c>
      <c r="I12" s="645">
        <f>IF($AD12="","",SUMIFS('Key Inputs'!$I$29:$I$114,'Key Inputs'!$A$29:$A$114,$AA12,'Key Inputs'!$B$29:$B$114,$AB12,'Key Inputs'!$C$29:$C$114,$AC12)/8760)</f>
        <v>0.11415525114155251</v>
      </c>
      <c r="J12" s="647">
        <f>IF($AD12="","",SUMIFS('Key Inputs'!$H$29:$H$114,'Key Inputs'!$A$29:$A$114,$AA12,'Key Inputs'!$B$29:$B$114,$AB12,'Key Inputs'!$C$29:$C$114,$AC12))</f>
        <v>15</v>
      </c>
      <c r="K12" s="81">
        <f t="shared" si="3"/>
        <v>31.536000000000001</v>
      </c>
      <c r="L12" s="81"/>
      <c r="M12" s="108"/>
      <c r="N12" s="108"/>
      <c r="O12" s="108"/>
      <c r="Q12" s="42" t="str">
        <f t="shared" si="11"/>
        <v>PRE</v>
      </c>
      <c r="R12" s="64" t="str">
        <f>IF($AD12="","",_xlfn.TEXTJOIN(",",TRUE,IF(LEFT(Regions!$C$3,1)&lt;&gt;"*",Regions!$C$3,""),IF(LEFT(Regions!$D$3,1)&lt;&gt;"*",Regions!$D$3,"")))</f>
        <v>IE,National</v>
      </c>
      <c r="S12" s="31" t="str">
        <f>IF($AD12="","",CONCATENATE(LEFT(Legend!$C$4),"-",$AG12,"-",$AF12,"_",$AD12,"_X0"))</f>
        <v>S-SH-CS_SOL_X0</v>
      </c>
      <c r="T12" s="31" t="str">
        <f t="shared" si="4"/>
        <v>Commercial Services - Space heating: Solar</v>
      </c>
      <c r="U12" s="31" t="str">
        <f t="shared" si="5"/>
        <v>PJ</v>
      </c>
      <c r="V12" s="31" t="str">
        <f t="shared" si="6"/>
        <v>GW</v>
      </c>
      <c r="W12" s="31" t="str">
        <f t="shared" si="7"/>
        <v>ANNUAL</v>
      </c>
      <c r="X12" s="22"/>
      <c r="Y12" s="22"/>
      <c r="AA12" s="33" t="str">
        <f>IF('Key Inputs'!A34="","",'Key Inputs'!A34)</f>
        <v>Commercial Services</v>
      </c>
      <c r="AB12" s="33" t="str">
        <f>IF('Key Inputs'!B34="","",'Key Inputs'!B34)</f>
        <v>Space heating</v>
      </c>
      <c r="AC12" s="33" t="str">
        <f>IF('Key Inputs'!C34="","",'Key Inputs'!C34)</f>
        <v>Solar</v>
      </c>
      <c r="AD12" s="33" t="str">
        <f>IF('Key Inputs'!D34="","",'Key Inputs'!D34)</f>
        <v>SOL</v>
      </c>
      <c r="AE12" s="33" t="str">
        <f>IF('Key Inputs'!E34="","",'Key Inputs'!E34)</f>
        <v>SRVSOL</v>
      </c>
      <c r="AF12" s="7" t="str">
        <f>_xlfn.XLOOKUP(AA12,Legend!$A$36:$A$37,Legend!$C$36:$C$37)</f>
        <v>CS</v>
      </c>
      <c r="AG12" s="7" t="str">
        <f>_xlfn.XLOOKUP(AB12,Legend!$A$39:$A$49,Legend!$C$39:$C$49)</f>
        <v>SH</v>
      </c>
      <c r="AH12" s="27">
        <f t="shared" si="9"/>
        <v>0</v>
      </c>
      <c r="AI12" s="110">
        <f t="shared" si="10"/>
        <v>0</v>
      </c>
    </row>
    <row r="13" spans="1:36" s="1" customFormat="1">
      <c r="B13" s="662" t="str">
        <f t="shared" si="0"/>
        <v>S-SH-CS_ELC-HP_X0</v>
      </c>
      <c r="C13" s="54" t="str">
        <f t="shared" si="1"/>
        <v>Commercial Services - Space heating: Electricity (heat pumps)</v>
      </c>
      <c r="D13" s="60" t="str">
        <f t="shared" si="8"/>
        <v>SRVELC</v>
      </c>
      <c r="E13" s="60" t="str">
        <f>Legend!$C$59</f>
        <v>SRVAHT</v>
      </c>
      <c r="F13" s="26" t="str">
        <f>IF($AD13="","",CONCATENATE(Legend!$C$4,AG13,"-",AF13))</f>
        <v>SRVSH-CS</v>
      </c>
      <c r="G13" s="60">
        <f>IF($AD13="","",SUMIFS('Key Inputs'!$K$29:$K$114,'Key Inputs'!$A$29:$A$114,$AA13,'Key Inputs'!$B$29:$B$114,$AB13,'Key Inputs'!$C$29:$C$114,$AC13))</f>
        <v>0.36867800753308022</v>
      </c>
      <c r="H13" s="645">
        <f>IF($AD13="","",SUMIFS('Key Inputs'!$G$29:$G$114,'Key Inputs'!$A$29:$A$114,$AA13,'Key Inputs'!$B$29:$B$114,$AB13,'Key Inputs'!$C$29:$C$114,$AC13))</f>
        <v>2.7470543738547222</v>
      </c>
      <c r="I13" s="645">
        <f>IF($AD13="","",SUMIFS('Key Inputs'!$I$29:$I$114,'Key Inputs'!$A$29:$A$114,$AA13,'Key Inputs'!$B$29:$B$114,$AB13,'Key Inputs'!$C$29:$C$114,$AC13)/8760)</f>
        <v>0.11415525114155251</v>
      </c>
      <c r="J13" s="647">
        <f>IF($AD13="","",SUMIFS('Key Inputs'!$H$29:$H$114,'Key Inputs'!$A$29:$A$114,$AA13,'Key Inputs'!$B$29:$B$114,$AB13,'Key Inputs'!$C$29:$C$114,$AC13))</f>
        <v>10</v>
      </c>
      <c r="K13" s="81">
        <f t="shared" si="3"/>
        <v>31.536000000000001</v>
      </c>
      <c r="L13" s="81">
        <f>'Key Inputs'!L35/'Key Inputs'!J35</f>
        <v>0.49456947341916813</v>
      </c>
      <c r="M13" s="108"/>
      <c r="N13" s="108"/>
      <c r="O13" s="108"/>
      <c r="Q13" s="42" t="str">
        <f t="shared" si="11"/>
        <v>PRE</v>
      </c>
      <c r="R13" s="64" t="str">
        <f>IF($AD13="","",_xlfn.TEXTJOIN(",",TRUE,IF(LEFT(Regions!$C$3,1)&lt;&gt;"*",Regions!$C$3,""),IF(LEFT(Regions!$D$3,1)&lt;&gt;"*",Regions!$D$3,"")))</f>
        <v>IE,National</v>
      </c>
      <c r="S13" s="31" t="str">
        <f>IF($AD13="","",CONCATENATE(LEFT(Legend!$C$4),"-",$AG13,"-",$AF13,"_",$AD13,"_X0"))</f>
        <v>S-SH-CS_ELC-HP_X0</v>
      </c>
      <c r="T13" s="31" t="str">
        <f t="shared" si="4"/>
        <v>Commercial Services - Space heating: Electricity (heat pumps)</v>
      </c>
      <c r="U13" s="31" t="str">
        <f t="shared" si="5"/>
        <v>PJ</v>
      </c>
      <c r="V13" s="31" t="str">
        <f t="shared" si="6"/>
        <v>GW</v>
      </c>
      <c r="W13" s="31" t="str">
        <f t="shared" si="7"/>
        <v>ANNUAL</v>
      </c>
      <c r="X13" s="22"/>
      <c r="Y13" s="22"/>
      <c r="Z13"/>
      <c r="AA13" s="33" t="str">
        <f>IF('Key Inputs'!A35="","",'Key Inputs'!A35)</f>
        <v>Commercial Services</v>
      </c>
      <c r="AB13" s="33" t="str">
        <f>IF('Key Inputs'!B35="","",'Key Inputs'!B35)</f>
        <v>Space heating</v>
      </c>
      <c r="AC13" s="33" t="str">
        <f>IF('Key Inputs'!C35="","",'Key Inputs'!C35)</f>
        <v>Electricity (heat pumps)</v>
      </c>
      <c r="AD13" s="33" t="str">
        <f>IF('Key Inputs'!D35="","",'Key Inputs'!D35)</f>
        <v>ELC-HP</v>
      </c>
      <c r="AE13" s="33" t="str">
        <f>IF('Key Inputs'!E35="","",'Key Inputs'!E35)</f>
        <v>SRVELC</v>
      </c>
      <c r="AF13" s="7" t="str">
        <f>_xlfn.XLOOKUP(AA13,Legend!$A$36:$A$37,Legend!$C$36:$C$37)</f>
        <v>CS</v>
      </c>
      <c r="AG13" s="7" t="str">
        <f>_xlfn.XLOOKUP(AB13,Legend!$A$39:$A$49,Legend!$C$39:$C$49)</f>
        <v>SH</v>
      </c>
      <c r="AH13" s="27">
        <f t="shared" si="9"/>
        <v>0.48315054836598581</v>
      </c>
      <c r="AI13" s="110">
        <f t="shared" si="10"/>
        <v>1.3272408271190888</v>
      </c>
      <c r="AJ13" s="7"/>
    </row>
    <row r="14" spans="1:36">
      <c r="B14" s="662" t="str">
        <f t="shared" si="0"/>
        <v>S-SH-CS_ELC_X0</v>
      </c>
      <c r="C14" s="54" t="str">
        <f t="shared" si="1"/>
        <v>Commercial Services - Space heating: Electricity (heaters)</v>
      </c>
      <c r="D14" s="60" t="str">
        <f t="shared" si="8"/>
        <v>SRVELC</v>
      </c>
      <c r="E14" s="60"/>
      <c r="F14" s="26" t="str">
        <f>IF($AD14="","",CONCATENATE(Legend!$C$4,AG14,"-",AF14))</f>
        <v>SRVSH-CS</v>
      </c>
      <c r="G14" s="60">
        <f>IF($AD14="","",SUMIFS('Key Inputs'!$K$29:$K$114,'Key Inputs'!$A$29:$A$114,$AA14,'Key Inputs'!$B$29:$B$114,$AB14,'Key Inputs'!$C$29:$C$114,$AC14))</f>
        <v>0.47335512840457672</v>
      </c>
      <c r="H14" s="645">
        <f>IF($AD14="","",SUMIFS('Key Inputs'!$G$29:$G$114,'Key Inputs'!$A$29:$A$114,$AA14,'Key Inputs'!$B$29:$B$114,$AB14,'Key Inputs'!$C$29:$C$114,$AC14))</f>
        <v>0.81595511259153475</v>
      </c>
      <c r="I14" s="645">
        <f>IF($AD14="","",SUMIFS('Key Inputs'!$I$29:$I$114,'Key Inputs'!$A$29:$A$114,$AA14,'Key Inputs'!$B$29:$B$114,$AB14,'Key Inputs'!$C$29:$C$114,$AC14)/8760)</f>
        <v>0.11415525114155251</v>
      </c>
      <c r="J14" s="647">
        <f>IF($AD14="","",SUMIFS('Key Inputs'!$H$29:$H$114,'Key Inputs'!$A$29:$A$114,$AA14,'Key Inputs'!$B$29:$B$114,$AB14,'Key Inputs'!$C$29:$C$114,$AC14))</f>
        <v>10</v>
      </c>
      <c r="K14" s="81">
        <f t="shared" si="3"/>
        <v>31.536000000000001</v>
      </c>
      <c r="L14" s="81"/>
      <c r="M14" s="650"/>
      <c r="N14" s="650"/>
      <c r="O14" s="650"/>
      <c r="Q14" s="42" t="str">
        <f t="shared" si="11"/>
        <v>PRE</v>
      </c>
      <c r="R14" s="64" t="str">
        <f>IF($AD14="","",_xlfn.TEXTJOIN(",",TRUE,IF(LEFT(Regions!$C$3,1)&lt;&gt;"*",Regions!$C$3,""),IF(LEFT(Regions!$D$3,1)&lt;&gt;"*",Regions!$D$3,"")))</f>
        <v>IE,National</v>
      </c>
      <c r="S14" s="31" t="str">
        <f>IF($AD14="","",CONCATENATE(LEFT(Legend!$C$4),"-",$AG14,"-",$AF14,"_",$AD14,"_X0"))</f>
        <v>S-SH-CS_ELC_X0</v>
      </c>
      <c r="T14" s="31" t="str">
        <f t="shared" si="4"/>
        <v>Commercial Services - Space heating: Electricity (heaters)</v>
      </c>
      <c r="U14" s="31" t="str">
        <f t="shared" si="5"/>
        <v>PJ</v>
      </c>
      <c r="V14" s="31" t="str">
        <f t="shared" si="6"/>
        <v>GW</v>
      </c>
      <c r="W14" s="31" t="str">
        <f t="shared" si="7"/>
        <v>ANNUAL</v>
      </c>
      <c r="X14" s="22"/>
      <c r="Y14" s="22"/>
      <c r="AA14" s="33" t="str">
        <f>IF('Key Inputs'!A36="","",'Key Inputs'!A36)</f>
        <v>Commercial Services</v>
      </c>
      <c r="AB14" s="33" t="str">
        <f>IF('Key Inputs'!B36="","",'Key Inputs'!B36)</f>
        <v>Space heating</v>
      </c>
      <c r="AC14" s="33" t="str">
        <f>IF('Key Inputs'!C36="","",'Key Inputs'!C36)</f>
        <v>Electricity (heaters)</v>
      </c>
      <c r="AD14" s="33" t="str">
        <f>IF('Key Inputs'!D36="","",'Key Inputs'!D36)</f>
        <v>ELC</v>
      </c>
      <c r="AE14" s="33" t="str">
        <f>IF('Key Inputs'!E36="","",'Key Inputs'!E36)</f>
        <v>SRVELC</v>
      </c>
      <c r="AF14" s="7" t="str">
        <f>_xlfn.XLOOKUP(AA14,Legend!$A$36:$A$37,Legend!$C$36:$C$37)</f>
        <v>CS</v>
      </c>
      <c r="AG14" s="7" t="str">
        <f>_xlfn.XLOOKUP(AB14,Legend!$A$39:$A$49,Legend!$C$39:$C$49)</f>
        <v>SH</v>
      </c>
      <c r="AH14" s="27">
        <f t="shared" si="9"/>
        <v>2.0884463323530076</v>
      </c>
      <c r="AI14" s="110">
        <f t="shared" si="10"/>
        <v>1.7040784622564762</v>
      </c>
    </row>
    <row r="15" spans="1:36" s="658" customFormat="1" ht="45">
      <c r="B15" s="661" t="str">
        <f t="shared" si="0"/>
        <v>*Commercial Services Water heating</v>
      </c>
      <c r="C15" s="80" t="str">
        <f t="shared" si="1"/>
        <v/>
      </c>
      <c r="D15" s="655" t="str">
        <f t="shared" si="8"/>
        <v/>
      </c>
      <c r="E15" s="655"/>
      <c r="F15" s="25" t="str">
        <f>IF($AD15="","",CONCATENATE(Legend!$C$4,AG15,"-",AF15))</f>
        <v/>
      </c>
      <c r="G15" s="655" t="str">
        <f>IF($AD15="","",SUMIFS('Key Inputs'!$K$29:$K$114,'Key Inputs'!$A$29:$A$114,$AA15,'Key Inputs'!$B$29:$B$114,$AB15,'Key Inputs'!$C$29:$C$114,$AC15))</f>
        <v/>
      </c>
      <c r="H15" s="656" t="str">
        <f>IF($AD15="","",SUMIFS('Key Inputs'!$G$29:$G$114,'Key Inputs'!$A$29:$A$114,$AA15,'Key Inputs'!$B$29:$B$114,$AB15,'Key Inputs'!$C$29:$C$114,$AC15))</f>
        <v/>
      </c>
      <c r="I15" s="656" t="str">
        <f>IF($AD15="","",SUMIFS('Key Inputs'!$I$29:$I$114,'Key Inputs'!$A$29:$A$114,$AA15,'Key Inputs'!$B$29:$B$114,$AB15,'Key Inputs'!$C$29:$C$114,$AC15)/8760)</f>
        <v/>
      </c>
      <c r="J15" s="657" t="str">
        <f>IF($AD15="","",SUMIFS('Key Inputs'!$H$29:$H$114,'Key Inputs'!$A$29:$A$114,$AA15,'Key Inputs'!$B$29:$B$114,$AB15,'Key Inputs'!$C$29:$C$114,$AC15))</f>
        <v/>
      </c>
      <c r="K15" s="112" t="str">
        <f t="shared" si="3"/>
        <v/>
      </c>
      <c r="L15" s="112"/>
      <c r="M15" s="120"/>
      <c r="N15" s="120"/>
      <c r="O15" s="120"/>
      <c r="Q15" s="514" t="str">
        <f t="shared" si="11"/>
        <v>*Commercial Services Water heating</v>
      </c>
      <c r="R15" s="64" t="str">
        <f>IF($AD15="","",_xlfn.TEXTJOIN(",",TRUE,IF(LEFT(Regions!$C$3,1)&lt;&gt;"*",Regions!$C$3,""),IF(LEFT(Regions!$D$3,1)&lt;&gt;"*",Regions!$D$3,"")))</f>
        <v/>
      </c>
      <c r="S15" s="31" t="str">
        <f>IF($AD15="","",CONCATENATE(LEFT(Legend!$C$4),"-",$AG15,"-",$AF15,"_",$AD15,"_X0"))</f>
        <v/>
      </c>
      <c r="T15" s="25" t="str">
        <f t="shared" si="4"/>
        <v/>
      </c>
      <c r="U15" s="25" t="str">
        <f t="shared" si="5"/>
        <v/>
      </c>
      <c r="V15" s="25" t="str">
        <f t="shared" si="6"/>
        <v/>
      </c>
      <c r="W15" s="25" t="str">
        <f t="shared" si="7"/>
        <v/>
      </c>
      <c r="X15" s="660"/>
      <c r="Y15" s="660"/>
      <c r="AA15" s="659"/>
      <c r="AB15" s="659"/>
      <c r="AC15" s="659"/>
      <c r="AD15" s="659"/>
      <c r="AE15" s="659"/>
      <c r="AF15" s="8"/>
      <c r="AG15" s="8"/>
      <c r="AH15" s="27"/>
      <c r="AI15" s="687"/>
      <c r="AJ15" s="8"/>
    </row>
    <row r="16" spans="1:36">
      <c r="B16" s="662" t="str">
        <f t="shared" si="0"/>
        <v>S-WH-CS_COA_X0</v>
      </c>
      <c r="C16" s="54" t="str">
        <f t="shared" si="1"/>
        <v>Commercial Services - Water heating: Solids</v>
      </c>
      <c r="D16" s="60" t="str">
        <f t="shared" si="8"/>
        <v>SRVCOA</v>
      </c>
      <c r="E16" s="60"/>
      <c r="F16" s="26" t="str">
        <f>IF($AD16="","",CONCATENATE(Legend!$C$4,AG16,"-",AF16))</f>
        <v>SRVWH-CS</v>
      </c>
      <c r="G16" s="60">
        <f>IF($AD16="","",SUMIFS('Key Inputs'!$K$29:$K$114,'Key Inputs'!$A$29:$A$114,$AA16,'Key Inputs'!$B$29:$B$114,$AB16,'Key Inputs'!$C$29:$C$114,$AC16))</f>
        <v>0</v>
      </c>
      <c r="H16" s="645">
        <f>IF($AD16="","",SUMIFS('Key Inputs'!$G$29:$G$114,'Key Inputs'!$A$29:$A$114,$AA16,'Key Inputs'!$B$29:$B$114,$AB16,'Key Inputs'!$C$29:$C$114,$AC16))</f>
        <v>0.33</v>
      </c>
      <c r="I16" s="645">
        <f>IF($AD16="","",SUMIFS('Key Inputs'!$I$29:$I$114,'Key Inputs'!$A$29:$A$114,$AA16,'Key Inputs'!$B$29:$B$114,$AB16,'Key Inputs'!$C$29:$C$114,$AC16)/8760)</f>
        <v>2.2831050228310501E-2</v>
      </c>
      <c r="J16" s="647">
        <f>IF($AD16="","",SUMIFS('Key Inputs'!$H$29:$H$114,'Key Inputs'!$A$29:$A$114,$AA16,'Key Inputs'!$B$29:$B$114,$AB16,'Key Inputs'!$C$29:$C$114,$AC16))</f>
        <v>20</v>
      </c>
      <c r="K16" s="81">
        <f t="shared" si="3"/>
        <v>31.536000000000001</v>
      </c>
      <c r="L16" s="81"/>
      <c r="M16" s="108"/>
      <c r="N16" s="108"/>
      <c r="O16" s="108"/>
      <c r="Q16" s="42" t="str">
        <f t="shared" si="11"/>
        <v>PRE</v>
      </c>
      <c r="R16" s="64" t="str">
        <f>IF($AD16="","",_xlfn.TEXTJOIN(",",TRUE,IF(LEFT(Regions!$C$3,1)&lt;&gt;"*",Regions!$C$3,""),IF(LEFT(Regions!$D$3,1)&lt;&gt;"*",Regions!$D$3,"")))</f>
        <v>IE,National</v>
      </c>
      <c r="S16" s="31" t="str">
        <f>IF($AD16="","",CONCATENATE(LEFT(Legend!$C$4),"-",$AG16,"-",$AF16,"_",$AD16,"_X0"))</f>
        <v>S-WH-CS_COA_X0</v>
      </c>
      <c r="T16" s="31" t="str">
        <f t="shared" si="4"/>
        <v>Commercial Services - Water heating: Solids</v>
      </c>
      <c r="U16" s="31" t="str">
        <f t="shared" si="5"/>
        <v>PJ</v>
      </c>
      <c r="V16" s="31" t="str">
        <f t="shared" si="6"/>
        <v>GW</v>
      </c>
      <c r="W16" s="31" t="str">
        <f t="shared" si="7"/>
        <v>ANNUAL</v>
      </c>
      <c r="X16" s="105"/>
      <c r="Y16" s="105"/>
      <c r="AA16" s="33" t="str">
        <f>IF('Key Inputs'!A38="","",'Key Inputs'!A38)</f>
        <v>Commercial Services</v>
      </c>
      <c r="AB16" s="33" t="str">
        <f>IF('Key Inputs'!B38="","",'Key Inputs'!B38)</f>
        <v>Water heating</v>
      </c>
      <c r="AC16" s="33" t="str">
        <f>IF('Key Inputs'!C38="","",'Key Inputs'!C38)</f>
        <v>Solids</v>
      </c>
      <c r="AD16" s="33" t="str">
        <f>IF('Key Inputs'!D38="","",'Key Inputs'!D38)</f>
        <v>COA</v>
      </c>
      <c r="AE16" s="33" t="str">
        <f>IF('Key Inputs'!E38="","",'Key Inputs'!E38)</f>
        <v>SRVCOA</v>
      </c>
      <c r="AF16" s="7" t="str">
        <f>_xlfn.XLOOKUP(AA16,Legend!$A$36:$A$37,Legend!$C$36:$C$37)</f>
        <v>CS</v>
      </c>
      <c r="AG16" s="7" t="str">
        <f>_xlfn.XLOOKUP(AB16,Legend!$A$39:$A$49,Legend!$C$39:$C$49)</f>
        <v>WH</v>
      </c>
      <c r="AH16" s="27">
        <f t="shared" si="9"/>
        <v>0</v>
      </c>
      <c r="AI16" s="110">
        <f t="shared" si="10"/>
        <v>0</v>
      </c>
    </row>
    <row r="17" spans="1:35">
      <c r="B17" s="662" t="str">
        <f t="shared" si="0"/>
        <v>S-WH-CS_LPG_X0</v>
      </c>
      <c r="C17" s="54" t="str">
        <f t="shared" si="1"/>
        <v>Commercial Services - Water heating: LPG</v>
      </c>
      <c r="D17" s="60" t="str">
        <f t="shared" si="8"/>
        <v>SRVLPG</v>
      </c>
      <c r="E17" s="60"/>
      <c r="F17" s="26" t="str">
        <f>IF($AD17="","",CONCATENATE(Legend!$C$4,AG17,"-",AF17))</f>
        <v>SRVWH-CS</v>
      </c>
      <c r="G17" s="60">
        <f>IF($AD17="","",SUMIFS('Key Inputs'!$K$29:$K$114,'Key Inputs'!$A$29:$A$114,$AA17,'Key Inputs'!$B$29:$B$114,$AB17,'Key Inputs'!$C$29:$C$114,$AC17))</f>
        <v>0</v>
      </c>
      <c r="H17" s="645">
        <f>IF($AD17="","",SUMIFS('Key Inputs'!$G$29:$G$114,'Key Inputs'!$A$29:$A$114,$AA17,'Key Inputs'!$B$29:$B$114,$AB17,'Key Inputs'!$C$29:$C$114,$AC17))</f>
        <v>0.33</v>
      </c>
      <c r="I17" s="645">
        <f>IF($AD17="","",SUMIFS('Key Inputs'!$I$29:$I$114,'Key Inputs'!$A$29:$A$114,$AA17,'Key Inputs'!$B$29:$B$114,$AB17,'Key Inputs'!$C$29:$C$114,$AC17)/8760)</f>
        <v>2.2831050228310501E-2</v>
      </c>
      <c r="J17" s="647">
        <f>IF($AD17="","",SUMIFS('Key Inputs'!$H$29:$H$114,'Key Inputs'!$A$29:$A$114,$AA17,'Key Inputs'!$B$29:$B$114,$AB17,'Key Inputs'!$C$29:$C$114,$AC17))</f>
        <v>20</v>
      </c>
      <c r="K17" s="81">
        <f t="shared" si="3"/>
        <v>31.536000000000001</v>
      </c>
      <c r="L17" s="81"/>
      <c r="M17" s="651"/>
      <c r="N17" s="651"/>
      <c r="O17" s="108"/>
      <c r="Q17" s="42" t="str">
        <f t="shared" si="11"/>
        <v>PRE</v>
      </c>
      <c r="R17" s="64" t="str">
        <f>IF($AD17="","",_xlfn.TEXTJOIN(",",TRUE,IF(LEFT(Regions!$C$3,1)&lt;&gt;"*",Regions!$C$3,""),IF(LEFT(Regions!$D$3,1)&lt;&gt;"*",Regions!$D$3,"")))</f>
        <v>IE,National</v>
      </c>
      <c r="S17" s="31" t="str">
        <f>IF($AD17="","",CONCATENATE(LEFT(Legend!$C$4),"-",$AG17,"-",$AF17,"_",$AD17,"_X0"))</f>
        <v>S-WH-CS_LPG_X0</v>
      </c>
      <c r="T17" s="31" t="str">
        <f t="shared" si="4"/>
        <v>Commercial Services - Water heating: LPG</v>
      </c>
      <c r="U17" s="31" t="str">
        <f t="shared" si="5"/>
        <v>PJ</v>
      </c>
      <c r="V17" s="31" t="str">
        <f t="shared" si="6"/>
        <v>GW</v>
      </c>
      <c r="W17" s="31" t="str">
        <f t="shared" si="7"/>
        <v>ANNUAL</v>
      </c>
      <c r="X17" s="105"/>
      <c r="Y17" s="105"/>
      <c r="AA17" s="33" t="str">
        <f>IF('Key Inputs'!A39="","",'Key Inputs'!A39)</f>
        <v>Commercial Services</v>
      </c>
      <c r="AB17" s="33" t="str">
        <f>IF('Key Inputs'!B39="","",'Key Inputs'!B39)</f>
        <v>Water heating</v>
      </c>
      <c r="AC17" s="33" t="str">
        <f>IF('Key Inputs'!C39="","",'Key Inputs'!C39)</f>
        <v>LPG</v>
      </c>
      <c r="AD17" s="33" t="str">
        <f>IF('Key Inputs'!D39="","",'Key Inputs'!D39)</f>
        <v>LPG</v>
      </c>
      <c r="AE17" s="33" t="str">
        <f>IF('Key Inputs'!E39="","",'Key Inputs'!E39)</f>
        <v>SRVLPG</v>
      </c>
      <c r="AF17" s="7" t="str">
        <f>_xlfn.XLOOKUP(AA17,Legend!$A$36:$A$37,Legend!$C$36:$C$37)</f>
        <v>CS</v>
      </c>
      <c r="AG17" s="7" t="str">
        <f>_xlfn.XLOOKUP(AB17,Legend!$A$39:$A$49,Legend!$C$39:$C$49)</f>
        <v>WH</v>
      </c>
      <c r="AH17" s="27">
        <f t="shared" si="9"/>
        <v>0</v>
      </c>
      <c r="AI17" s="110">
        <f t="shared" si="10"/>
        <v>0</v>
      </c>
    </row>
    <row r="18" spans="1:35">
      <c r="B18" s="662" t="str">
        <f t="shared" si="0"/>
        <v>S-WH-CS_OIL_X0</v>
      </c>
      <c r="C18" s="54" t="str">
        <f t="shared" si="1"/>
        <v>Commercial Services - Water heating: Oil</v>
      </c>
      <c r="D18" s="60" t="str">
        <f t="shared" si="8"/>
        <v>SRVOIL</v>
      </c>
      <c r="E18" s="60"/>
      <c r="F18" s="26" t="str">
        <f>IF($AD18="","",CONCATENATE(Legend!$C$4,AG18,"-",AF18))</f>
        <v>SRVWH-CS</v>
      </c>
      <c r="G18" s="60">
        <f>IF($AD18="","",SUMIFS('Key Inputs'!$K$29:$K$114,'Key Inputs'!$A$29:$A$114,$AA18,'Key Inputs'!$B$29:$B$114,$AB18,'Key Inputs'!$C$29:$C$114,$AC18))</f>
        <v>0.55458982073346763</v>
      </c>
      <c r="H18" s="645">
        <f>IF($AD18="","",SUMIFS('Key Inputs'!$G$29:$G$114,'Key Inputs'!$A$29:$A$114,$AA18,'Key Inputs'!$B$29:$B$114,$AB18,'Key Inputs'!$C$29:$C$114,$AC18))</f>
        <v>0.59834963673469854</v>
      </c>
      <c r="I18" s="645">
        <f>IF($AD18="","",SUMIFS('Key Inputs'!$I$29:$I$114,'Key Inputs'!$A$29:$A$114,$AA18,'Key Inputs'!$B$29:$B$114,$AB18,'Key Inputs'!$C$29:$C$114,$AC18)/8760)</f>
        <v>2.2831050228310501E-2</v>
      </c>
      <c r="J18" s="647">
        <f>IF($AD18="","",SUMIFS('Key Inputs'!$H$29:$H$114,'Key Inputs'!$A$29:$A$114,$AA18,'Key Inputs'!$B$29:$B$114,$AB18,'Key Inputs'!$C$29:$C$114,$AC18))</f>
        <v>20</v>
      </c>
      <c r="K18" s="81">
        <f t="shared" si="3"/>
        <v>31.536000000000001</v>
      </c>
      <c r="L18" s="81"/>
      <c r="M18" s="458"/>
      <c r="N18" s="458"/>
      <c r="O18" s="458"/>
      <c r="Q18" s="42" t="str">
        <f t="shared" si="11"/>
        <v>PRE</v>
      </c>
      <c r="R18" s="64" t="str">
        <f>IF($AD18="","",_xlfn.TEXTJOIN(",",TRUE,IF(LEFT(Regions!$C$3,1)&lt;&gt;"*",Regions!$C$3,""),IF(LEFT(Regions!$D$3,1)&lt;&gt;"*",Regions!$D$3,"")))</f>
        <v>IE,National</v>
      </c>
      <c r="S18" s="31" t="str">
        <f>IF($AD18="","",CONCATENATE(LEFT(Legend!$C$4),"-",$AG18,"-",$AF18,"_",$AD18,"_X0"))</f>
        <v>S-WH-CS_OIL_X0</v>
      </c>
      <c r="T18" s="31" t="str">
        <f t="shared" si="4"/>
        <v>Commercial Services - Water heating: Oil</v>
      </c>
      <c r="U18" s="31" t="str">
        <f t="shared" si="5"/>
        <v>PJ</v>
      </c>
      <c r="V18" s="31" t="str">
        <f t="shared" si="6"/>
        <v>GW</v>
      </c>
      <c r="W18" s="31" t="str">
        <f t="shared" si="7"/>
        <v>ANNUAL</v>
      </c>
      <c r="X18" s="105"/>
      <c r="Y18" s="105"/>
      <c r="AA18" s="33" t="str">
        <f>IF('Key Inputs'!A40="","",'Key Inputs'!A40)</f>
        <v>Commercial Services</v>
      </c>
      <c r="AB18" s="33" t="str">
        <f>IF('Key Inputs'!B40="","",'Key Inputs'!B40)</f>
        <v>Water heating</v>
      </c>
      <c r="AC18" s="33" t="str">
        <f>IF('Key Inputs'!C40="","",'Key Inputs'!C40)</f>
        <v>Oil</v>
      </c>
      <c r="AD18" s="33" t="str">
        <f>IF('Key Inputs'!D40="","",'Key Inputs'!D40)</f>
        <v>OIL</v>
      </c>
      <c r="AE18" s="33" t="str">
        <f>IF('Key Inputs'!E40="","",'Key Inputs'!E40)</f>
        <v>SRVOIL</v>
      </c>
      <c r="AF18" s="7" t="str">
        <f>_xlfn.XLOOKUP(AA18,Legend!$A$36:$A$37,Legend!$C$36:$C$37)</f>
        <v>CS</v>
      </c>
      <c r="AG18" s="7" t="str">
        <f>_xlfn.XLOOKUP(AB18,Legend!$A$39:$A$49,Legend!$C$39:$C$49)</f>
        <v>WH</v>
      </c>
      <c r="AH18" s="27">
        <f t="shared" si="9"/>
        <v>0.66734338322184672</v>
      </c>
      <c r="AI18" s="110">
        <f t="shared" si="10"/>
        <v>0.39930467092809668</v>
      </c>
    </row>
    <row r="19" spans="1:35">
      <c r="B19" s="662" t="str">
        <f t="shared" si="0"/>
        <v>S-WH-CS_GAS_X0</v>
      </c>
      <c r="C19" s="54" t="str">
        <f t="shared" si="1"/>
        <v>Commercial Services - Water heating: Natural Gas</v>
      </c>
      <c r="D19" s="60" t="str">
        <f t="shared" si="8"/>
        <v>SRVGAS, SRVBGS</v>
      </c>
      <c r="E19" s="60"/>
      <c r="F19" s="26" t="str">
        <f>IF($AD19="","",CONCATENATE(Legend!$C$4,AG19,"-",AF19))</f>
        <v>SRVWH-CS</v>
      </c>
      <c r="G19" s="60">
        <f>IF($AD19="","",SUMIFS('Key Inputs'!$K$29:$K$114,'Key Inputs'!$A$29:$A$114,$AA19,'Key Inputs'!$B$29:$B$114,$AB19,'Key Inputs'!$C$29:$C$114,$AC19))</f>
        <v>1.2942225150684654</v>
      </c>
      <c r="H19" s="645">
        <f>IF($AD19="","",SUMIFS('Key Inputs'!$G$29:$G$114,'Key Inputs'!$A$29:$A$114,$AA19,'Key Inputs'!$B$29:$B$114,$AB19,'Key Inputs'!$C$29:$C$114,$AC19))</f>
        <v>0.63024757853709534</v>
      </c>
      <c r="I19" s="645">
        <f>IF($AD19="","",SUMIFS('Key Inputs'!$I$29:$I$114,'Key Inputs'!$A$29:$A$114,$AA19,'Key Inputs'!$B$29:$B$114,$AB19,'Key Inputs'!$C$29:$C$114,$AC19)/8760)</f>
        <v>2.2831050228310501E-2</v>
      </c>
      <c r="J19" s="647">
        <f>IF($AD19="","",SUMIFS('Key Inputs'!$H$29:$H$114,'Key Inputs'!$A$29:$A$114,$AA19,'Key Inputs'!$B$29:$B$114,$AB19,'Key Inputs'!$C$29:$C$114,$AC19))</f>
        <v>20</v>
      </c>
      <c r="K19" s="81">
        <f t="shared" si="3"/>
        <v>31.536000000000001</v>
      </c>
      <c r="L19" s="81"/>
      <c r="M19" s="103">
        <f>EB_SRV!G41/'Key Inputs'!F41</f>
        <v>0</v>
      </c>
      <c r="N19" s="103">
        <f>M19</f>
        <v>0</v>
      </c>
      <c r="O19" s="114">
        <v>5</v>
      </c>
      <c r="Q19" s="42" t="str">
        <f t="shared" si="11"/>
        <v>PRE</v>
      </c>
      <c r="R19" s="64" t="str">
        <f>IF($AD19="","",_xlfn.TEXTJOIN(",",TRUE,IF(LEFT(Regions!$C$3,1)&lt;&gt;"*",Regions!$C$3,""),IF(LEFT(Regions!$D$3,1)&lt;&gt;"*",Regions!$D$3,"")))</f>
        <v>IE,National</v>
      </c>
      <c r="S19" s="31" t="str">
        <f>IF($AD19="","",CONCATENATE(LEFT(Legend!$C$4),"-",$AG19,"-",$AF19,"_",$AD19,"_X0"))</f>
        <v>S-WH-CS_GAS_X0</v>
      </c>
      <c r="T19" s="31" t="str">
        <f t="shared" si="4"/>
        <v>Commercial Services - Water heating: Natural Gas</v>
      </c>
      <c r="U19" s="31" t="str">
        <f t="shared" si="5"/>
        <v>PJ</v>
      </c>
      <c r="V19" s="31" t="str">
        <f t="shared" si="6"/>
        <v>GW</v>
      </c>
      <c r="W19" s="31" t="str">
        <f t="shared" si="7"/>
        <v>ANNUAL</v>
      </c>
      <c r="X19" s="105"/>
      <c r="Y19" s="105"/>
      <c r="AA19" s="33" t="str">
        <f>IF('Key Inputs'!A41="","",'Key Inputs'!A41)</f>
        <v>Commercial Services</v>
      </c>
      <c r="AB19" s="33" t="str">
        <f>IF('Key Inputs'!B41="","",'Key Inputs'!B41)</f>
        <v>Water heating</v>
      </c>
      <c r="AC19" s="33" t="str">
        <f>IF('Key Inputs'!C41="","",'Key Inputs'!C41)</f>
        <v>Natural Gas</v>
      </c>
      <c r="AD19" s="33" t="str">
        <f>IF('Key Inputs'!D41="","",'Key Inputs'!D41)</f>
        <v>GAS</v>
      </c>
      <c r="AE19" s="33" t="str">
        <f>IF('Key Inputs'!E41="","",'Key Inputs'!E41)</f>
        <v>SRVGAS, SRVBGS</v>
      </c>
      <c r="AF19" s="7" t="str">
        <f>_xlfn.XLOOKUP(AA19,Legend!$A$36:$A$37,Legend!$C$36:$C$37)</f>
        <v>CS</v>
      </c>
      <c r="AG19" s="7" t="str">
        <f>_xlfn.XLOOKUP(AB19,Legend!$A$39:$A$49,Legend!$C$39:$C$49)</f>
        <v>WH</v>
      </c>
      <c r="AH19" s="27">
        <f t="shared" si="9"/>
        <v>1.4785304102432952</v>
      </c>
      <c r="AI19" s="110">
        <f t="shared" si="10"/>
        <v>0.93184021084929503</v>
      </c>
    </row>
    <row r="20" spans="1:35">
      <c r="B20" s="662" t="str">
        <f t="shared" si="0"/>
        <v>S-WH-CS_BIO_X0</v>
      </c>
      <c r="C20" s="54" t="str">
        <f t="shared" si="1"/>
        <v>Commercial Services - Water heating: Biomass</v>
      </c>
      <c r="D20" s="60" t="str">
        <f t="shared" si="8"/>
        <v>SRVBIO</v>
      </c>
      <c r="E20" s="60"/>
      <c r="F20" s="26" t="str">
        <f>IF($AD20="","",CONCATENATE(Legend!$C$4,AG20,"-",AF20))</f>
        <v>SRVWH-CS</v>
      </c>
      <c r="G20" s="60">
        <f>IF($AD20="","",SUMIFS('Key Inputs'!$K$29:$K$114,'Key Inputs'!$A$29:$A$114,$AA20,'Key Inputs'!$B$29:$B$114,$AB20,'Key Inputs'!$C$29:$C$114,$AC20))</f>
        <v>0</v>
      </c>
      <c r="H20" s="645">
        <f>IF($AD20="","",SUMIFS('Key Inputs'!$G$29:$G$114,'Key Inputs'!$A$29:$A$114,$AA20,'Key Inputs'!$B$29:$B$114,$AB20,'Key Inputs'!$C$29:$C$114,$AC20))</f>
        <v>0.33</v>
      </c>
      <c r="I20" s="645">
        <f>IF($AD20="","",SUMIFS('Key Inputs'!$I$29:$I$114,'Key Inputs'!$A$29:$A$114,$AA20,'Key Inputs'!$B$29:$B$114,$AB20,'Key Inputs'!$C$29:$C$114,$AC20)/8760)</f>
        <v>2.2831050228310501E-2</v>
      </c>
      <c r="J20" s="647">
        <f>IF($AD20="","",SUMIFS('Key Inputs'!$H$29:$H$114,'Key Inputs'!$A$29:$A$114,$AA20,'Key Inputs'!$B$29:$B$114,$AB20,'Key Inputs'!$C$29:$C$114,$AC20))</f>
        <v>20</v>
      </c>
      <c r="K20" s="81">
        <f t="shared" si="3"/>
        <v>31.536000000000001</v>
      </c>
      <c r="L20" s="81"/>
      <c r="M20" s="108"/>
      <c r="N20" s="108"/>
      <c r="O20" s="108"/>
      <c r="Q20" s="42" t="str">
        <f t="shared" si="11"/>
        <v>PRE</v>
      </c>
      <c r="R20" s="64" t="str">
        <f>IF($AD20="","",_xlfn.TEXTJOIN(",",TRUE,IF(LEFT(Regions!$C$3,1)&lt;&gt;"*",Regions!$C$3,""),IF(LEFT(Regions!$D$3,1)&lt;&gt;"*",Regions!$D$3,"")))</f>
        <v>IE,National</v>
      </c>
      <c r="S20" s="31" t="str">
        <f>IF($AD20="","",CONCATENATE(LEFT(Legend!$C$4),"-",$AG20,"-",$AF20,"_",$AD20,"_X0"))</f>
        <v>S-WH-CS_BIO_X0</v>
      </c>
      <c r="T20" s="31" t="str">
        <f t="shared" si="4"/>
        <v>Commercial Services - Water heating: Biomass</v>
      </c>
      <c r="U20" s="31" t="str">
        <f t="shared" si="5"/>
        <v>PJ</v>
      </c>
      <c r="V20" s="31" t="str">
        <f t="shared" si="6"/>
        <v>GW</v>
      </c>
      <c r="W20" s="31" t="str">
        <f t="shared" si="7"/>
        <v>ANNUAL</v>
      </c>
      <c r="X20" s="105"/>
      <c r="Y20" s="105"/>
      <c r="AA20" s="33" t="str">
        <f>IF('Key Inputs'!A42="","",'Key Inputs'!A42)</f>
        <v>Commercial Services</v>
      </c>
      <c r="AB20" s="33" t="str">
        <f>IF('Key Inputs'!B42="","",'Key Inputs'!B42)</f>
        <v>Water heating</v>
      </c>
      <c r="AC20" s="33" t="str">
        <f>IF('Key Inputs'!C42="","",'Key Inputs'!C42)</f>
        <v>Biomass</v>
      </c>
      <c r="AD20" s="33" t="str">
        <f>IF('Key Inputs'!D42="","",'Key Inputs'!D42)</f>
        <v>BIO</v>
      </c>
      <c r="AE20" s="33" t="str">
        <f>IF('Key Inputs'!E42="","",'Key Inputs'!E42)</f>
        <v>SRVBIO</v>
      </c>
      <c r="AF20" s="7" t="str">
        <f>_xlfn.XLOOKUP(AA20,Legend!$A$36:$A$37,Legend!$C$36:$C$37)</f>
        <v>CS</v>
      </c>
      <c r="AG20" s="7" t="str">
        <f>_xlfn.XLOOKUP(AB20,Legend!$A$39:$A$49,Legend!$C$39:$C$49)</f>
        <v>WH</v>
      </c>
      <c r="AH20" s="27">
        <f t="shared" si="9"/>
        <v>0</v>
      </c>
      <c r="AI20" s="110">
        <f t="shared" si="10"/>
        <v>0</v>
      </c>
    </row>
    <row r="21" spans="1:35">
      <c r="B21" s="662" t="str">
        <f t="shared" si="0"/>
        <v>S-WH-CS_ELC_X0</v>
      </c>
      <c r="C21" s="54" t="str">
        <f t="shared" si="1"/>
        <v>Commercial Services - Water heating: Electricity</v>
      </c>
      <c r="D21" s="60" t="str">
        <f t="shared" si="8"/>
        <v>SRVELC</v>
      </c>
      <c r="E21" s="60"/>
      <c r="F21" s="26" t="str">
        <f>IF($AD21="","",CONCATENATE(Legend!$C$4,AG21,"-",AF21))</f>
        <v>SRVWH-CS</v>
      </c>
      <c r="G21" s="60">
        <f>IF($AD21="","",SUMIFS('Key Inputs'!$K$29:$K$114,'Key Inputs'!$A$29:$A$114,$AA21,'Key Inputs'!$B$29:$B$114,$AB21,'Key Inputs'!$C$29:$C$114,$AC21))</f>
        <v>1.2821617979246458</v>
      </c>
      <c r="H21" s="645">
        <f>IF($AD21="","",SUMIFS('Key Inputs'!$G$29:$G$114,'Key Inputs'!$A$29:$A$114,$AA21,'Key Inputs'!$B$29:$B$114,$AB21,'Key Inputs'!$C$29:$C$114,$AC21))</f>
        <v>0.7791533881609447</v>
      </c>
      <c r="I21" s="645">
        <f>IF($AD21="","",SUMIFS('Key Inputs'!$I$29:$I$114,'Key Inputs'!$A$29:$A$114,$AA21,'Key Inputs'!$B$29:$B$114,$AB21,'Key Inputs'!$C$29:$C$114,$AC21)/8760)</f>
        <v>2.2831050228310501E-2</v>
      </c>
      <c r="J21" s="647">
        <f>IF($AD21="","",SUMIFS('Key Inputs'!$H$29:$H$114,'Key Inputs'!$A$29:$A$114,$AA21,'Key Inputs'!$B$29:$B$114,$AB21,'Key Inputs'!$C$29:$C$114,$AC21))</f>
        <v>10</v>
      </c>
      <c r="K21" s="81">
        <f t="shared" si="3"/>
        <v>31.536000000000001</v>
      </c>
      <c r="L21" s="81"/>
      <c r="M21" s="108"/>
      <c r="N21" s="108"/>
      <c r="O21" s="108"/>
      <c r="Q21" s="42" t="str">
        <f t="shared" si="11"/>
        <v>PRE</v>
      </c>
      <c r="R21" s="64" t="str">
        <f>IF($AD21="","",_xlfn.TEXTJOIN(",",TRUE,IF(LEFT(Regions!$C$3,1)&lt;&gt;"*",Regions!$C$3,""),IF(LEFT(Regions!$D$3,1)&lt;&gt;"*",Regions!$D$3,"")))</f>
        <v>IE,National</v>
      </c>
      <c r="S21" s="31" t="str">
        <f>IF($AD21="","",CONCATENATE(LEFT(Legend!$C$4),"-",$AG21,"-",$AF21,"_",$AD21,"_X0"))</f>
        <v>S-WH-CS_ELC_X0</v>
      </c>
      <c r="T21" s="31" t="str">
        <f t="shared" si="4"/>
        <v>Commercial Services - Water heating: Electricity</v>
      </c>
      <c r="U21" s="31" t="str">
        <f t="shared" si="5"/>
        <v>PJ</v>
      </c>
      <c r="V21" s="31" t="str">
        <f t="shared" si="6"/>
        <v>GW</v>
      </c>
      <c r="W21" s="31" t="str">
        <f t="shared" si="7"/>
        <v>ANNUAL</v>
      </c>
      <c r="X21" s="105"/>
      <c r="Y21" s="105"/>
      <c r="AA21" s="33" t="str">
        <f>IF('Key Inputs'!A43="","",'Key Inputs'!A43)</f>
        <v>Commercial Services</v>
      </c>
      <c r="AB21" s="33" t="str">
        <f>IF('Key Inputs'!B43="","",'Key Inputs'!B43)</f>
        <v>Water heating</v>
      </c>
      <c r="AC21" s="33" t="str">
        <f>IF('Key Inputs'!C43="","",'Key Inputs'!C43)</f>
        <v>Electricity</v>
      </c>
      <c r="AD21" s="33" t="str">
        <f>IF('Key Inputs'!D43="","",'Key Inputs'!D43)</f>
        <v>ELC</v>
      </c>
      <c r="AE21" s="33" t="str">
        <f>IF('Key Inputs'!E43="","",'Key Inputs'!E43)</f>
        <v>SRVELC</v>
      </c>
      <c r="AF21" s="7" t="str">
        <f>_xlfn.XLOOKUP(AA21,Legend!$A$36:$A$37,Legend!$C$36:$C$37)</f>
        <v>CS</v>
      </c>
      <c r="AG21" s="7" t="str">
        <f>_xlfn.XLOOKUP(AB21,Legend!$A$39:$A$49,Legend!$C$39:$C$49)</f>
        <v>WH</v>
      </c>
      <c r="AH21" s="27">
        <f t="shared" si="9"/>
        <v>1.1848199706667444</v>
      </c>
      <c r="AI21" s="110">
        <f t="shared" si="10"/>
        <v>0.923156494505745</v>
      </c>
    </row>
    <row r="22" spans="1:35">
      <c r="B22" s="662" t="str">
        <f t="shared" si="0"/>
        <v>S-WH-CS_SOL_X0</v>
      </c>
      <c r="C22" s="54" t="str">
        <f t="shared" si="1"/>
        <v>Commercial Services - Water heating: Solar</v>
      </c>
      <c r="D22" s="60" t="str">
        <f t="shared" si="8"/>
        <v>SRVSOL</v>
      </c>
      <c r="E22" s="60"/>
      <c r="F22" s="26" t="str">
        <f>IF($AD22="","",CONCATENATE(Legend!$C$4,AG22,"-",AF22))</f>
        <v>SRVWH-CS</v>
      </c>
      <c r="G22" s="60">
        <f>IF($AD22="","",SUMIFS('Key Inputs'!$K$29:$K$114,'Key Inputs'!$A$29:$A$114,$AA22,'Key Inputs'!$B$29:$B$114,$AB22,'Key Inputs'!$C$29:$C$114,$AC22))</f>
        <v>9.6816645753665109E-3</v>
      </c>
      <c r="H22" s="645">
        <f>IF($AD22="","",SUMIFS('Key Inputs'!$G$29:$G$114,'Key Inputs'!$A$29:$A$114,$AA22,'Key Inputs'!$B$29:$B$114,$AB22,'Key Inputs'!$C$29:$C$114,$AC22))</f>
        <v>0.99999999999999989</v>
      </c>
      <c r="I22" s="645">
        <f>IF($AD22="","",SUMIFS('Key Inputs'!$I$29:$I$114,'Key Inputs'!$A$29:$A$114,$AA22,'Key Inputs'!$B$29:$B$114,$AB22,'Key Inputs'!$C$29:$C$114,$AC22)/8760)</f>
        <v>2.2831050228310501E-2</v>
      </c>
      <c r="J22" s="647">
        <f>IF($AD22="","",SUMIFS('Key Inputs'!$H$29:$H$114,'Key Inputs'!$A$29:$A$114,$AA22,'Key Inputs'!$B$29:$B$114,$AB22,'Key Inputs'!$C$29:$C$114,$AC22))</f>
        <v>15</v>
      </c>
      <c r="K22" s="81">
        <f t="shared" si="3"/>
        <v>31.536000000000001</v>
      </c>
      <c r="L22" s="81"/>
      <c r="M22" s="108"/>
      <c r="N22" s="108"/>
      <c r="O22" s="108"/>
      <c r="Q22" s="42" t="str">
        <f t="shared" si="11"/>
        <v>PRE</v>
      </c>
      <c r="R22" s="64" t="str">
        <f>IF($AD22="","",_xlfn.TEXTJOIN(",",TRUE,IF(LEFT(Regions!$C$3,1)&lt;&gt;"*",Regions!$C$3,""),IF(LEFT(Regions!$D$3,1)&lt;&gt;"*",Regions!$D$3,"")))</f>
        <v>IE,National</v>
      </c>
      <c r="S22" s="31" t="str">
        <f>IF($AD22="","",CONCATENATE(LEFT(Legend!$C$4),"-",$AG22,"-",$AF22,"_",$AD22,"_X0"))</f>
        <v>S-WH-CS_SOL_X0</v>
      </c>
      <c r="T22" s="31" t="str">
        <f t="shared" si="4"/>
        <v>Commercial Services - Water heating: Solar</v>
      </c>
      <c r="U22" s="31" t="str">
        <f t="shared" si="5"/>
        <v>PJ</v>
      </c>
      <c r="V22" s="31" t="str">
        <f t="shared" si="6"/>
        <v>GW</v>
      </c>
      <c r="W22" s="31" t="str">
        <f t="shared" si="7"/>
        <v>ANNUAL</v>
      </c>
      <c r="X22" s="105"/>
      <c r="Y22" s="105"/>
      <c r="AA22" s="33" t="str">
        <f>IF('Key Inputs'!A44="","",'Key Inputs'!A44)</f>
        <v>Commercial Services</v>
      </c>
      <c r="AB22" s="33" t="str">
        <f>IF('Key Inputs'!B44="","",'Key Inputs'!B44)</f>
        <v>Water heating</v>
      </c>
      <c r="AC22" s="33" t="str">
        <f>IF('Key Inputs'!C44="","",'Key Inputs'!C44)</f>
        <v>Solar</v>
      </c>
      <c r="AD22" s="33" t="str">
        <f>IF('Key Inputs'!D44="","",'Key Inputs'!D44)</f>
        <v>SOL</v>
      </c>
      <c r="AE22" s="33" t="str">
        <f>IF('Key Inputs'!E44="","",'Key Inputs'!E44)</f>
        <v>SRVSOL</v>
      </c>
      <c r="AF22" s="7" t="str">
        <f>_xlfn.XLOOKUP(AA22,Legend!$A$36:$A$37,Legend!$C$36:$C$37)</f>
        <v>CS</v>
      </c>
      <c r="AG22" s="7" t="str">
        <f>_xlfn.XLOOKUP(AB22,Legend!$A$39:$A$49,Legend!$C$39:$C$49)</f>
        <v>WH</v>
      </c>
      <c r="AH22" s="27">
        <f t="shared" si="9"/>
        <v>6.9707984942638888E-3</v>
      </c>
      <c r="AI22" s="110">
        <f t="shared" si="10"/>
        <v>6.9707984942638879E-3</v>
      </c>
    </row>
    <row r="23" spans="1:35" s="8" customFormat="1" ht="45">
      <c r="A23" s="80"/>
      <c r="B23" s="661" t="str">
        <f t="shared" si="0"/>
        <v>*Commercial Services Space cooling</v>
      </c>
      <c r="C23" s="80" t="str">
        <f t="shared" si="1"/>
        <v/>
      </c>
      <c r="D23" s="655" t="str">
        <f t="shared" si="8"/>
        <v/>
      </c>
      <c r="E23" s="655"/>
      <c r="F23" s="25" t="str">
        <f>IF($AD23="","",CONCATENATE(Legend!$C$4,AG23,"-",AF23))</f>
        <v/>
      </c>
      <c r="G23" s="655" t="str">
        <f>IF($AD23="","",SUMIFS('Key Inputs'!$K$29:$K$114,'Key Inputs'!$A$29:$A$114,$AA23,'Key Inputs'!$B$29:$B$114,$AB23,'Key Inputs'!$C$29:$C$114,$AC23))</f>
        <v/>
      </c>
      <c r="H23" s="656" t="str">
        <f>IF($AD23="","",SUMIFS('Key Inputs'!$G$29:$G$114,'Key Inputs'!$A$29:$A$114,$AA23,'Key Inputs'!$B$29:$B$114,$AB23,'Key Inputs'!$C$29:$C$114,$AC23))</f>
        <v/>
      </c>
      <c r="I23" s="656" t="str">
        <f>IF($AD23="","",SUMIFS('Key Inputs'!$I$29:$I$114,'Key Inputs'!$A$29:$A$114,$AA23,'Key Inputs'!$B$29:$B$114,$AB23,'Key Inputs'!$C$29:$C$114,$AC23)/8760)</f>
        <v/>
      </c>
      <c r="J23" s="657" t="str">
        <f>IF($AD23="","",SUMIFS('Key Inputs'!$H$29:$H$114,'Key Inputs'!$A$29:$A$114,$AA23,'Key Inputs'!$B$29:$B$114,$AB23,'Key Inputs'!$C$29:$C$114,$AC23))</f>
        <v/>
      </c>
      <c r="K23" s="112" t="str">
        <f t="shared" si="3"/>
        <v/>
      </c>
      <c r="L23" s="112"/>
      <c r="M23" s="516"/>
      <c r="N23" s="516"/>
      <c r="O23" s="516"/>
      <c r="P23" s="658"/>
      <c r="Q23" s="514" t="str">
        <f t="shared" si="11"/>
        <v>*Commercial Services Space cooling</v>
      </c>
      <c r="R23" s="64" t="str">
        <f>IF($AD23="","",_xlfn.TEXTJOIN(",",TRUE,IF(LEFT(Regions!$C$3,1)&lt;&gt;"*",Regions!$C$3,""),IF(LEFT(Regions!$D$3,1)&lt;&gt;"*",Regions!$D$3,"")))</f>
        <v/>
      </c>
      <c r="S23" s="25" t="str">
        <f>IF($AD23="","",CONCATENATE(LEFT(Legend!$C$4),"-",$AG23,"-",$AF23,"_",$AD23,"_X0"))</f>
        <v/>
      </c>
      <c r="T23" s="25" t="str">
        <f t="shared" si="4"/>
        <v/>
      </c>
      <c r="U23" s="25" t="str">
        <f t="shared" si="5"/>
        <v/>
      </c>
      <c r="V23" s="25" t="str">
        <f t="shared" si="6"/>
        <v/>
      </c>
      <c r="W23" s="25" t="str">
        <f t="shared" si="7"/>
        <v/>
      </c>
      <c r="X23" s="660"/>
      <c r="Y23" s="660"/>
      <c r="Z23" s="658"/>
      <c r="AA23" s="659"/>
      <c r="AB23" s="659"/>
      <c r="AC23" s="659"/>
      <c r="AD23" s="659"/>
      <c r="AE23" s="659"/>
      <c r="AH23" s="27"/>
      <c r="AI23" s="687"/>
    </row>
    <row r="24" spans="1:35">
      <c r="B24" s="662" t="str">
        <f t="shared" si="0"/>
        <v>S-SC-CS_GAS_X0</v>
      </c>
      <c r="C24" s="54" t="str">
        <f t="shared" si="1"/>
        <v>Commercial Services - Space cooling: Natural Gas</v>
      </c>
      <c r="D24" s="60" t="str">
        <f t="shared" si="8"/>
        <v>SRVGAS</v>
      </c>
      <c r="E24" s="60"/>
      <c r="F24" s="26" t="str">
        <f>IF($AD24="","",CONCATENATE(Legend!$C$4,AG24,"-",AF24))</f>
        <v>SRVSC-CS</v>
      </c>
      <c r="G24" s="60">
        <f>IF($AD24="","",SUMIFS('Key Inputs'!$K$29:$K$114,'Key Inputs'!$A$29:$A$114,$AA24,'Key Inputs'!$B$29:$B$114,$AB24,'Key Inputs'!$C$29:$C$114,$AC24))</f>
        <v>1.2345498920836206E-2</v>
      </c>
      <c r="H24" s="645">
        <f>IF($AD24="","",SUMIFS('Key Inputs'!$G$29:$G$114,'Key Inputs'!$A$29:$A$114,$AA24,'Key Inputs'!$B$29:$B$114,$AB24,'Key Inputs'!$C$29:$C$114,$AC24))</f>
        <v>2.7679848891515557</v>
      </c>
      <c r="I24" s="645">
        <f>IF($AD24="","",SUMIFS('Key Inputs'!$I$29:$I$114,'Key Inputs'!$A$29:$A$114,$AA24,'Key Inputs'!$B$29:$B$114,$AB24,'Key Inputs'!$C$29:$C$114,$AC24)/8760)</f>
        <v>3.4246575342465752E-2</v>
      </c>
      <c r="J24" s="647">
        <f>IF($AD24="","",SUMIFS('Key Inputs'!$H$29:$H$114,'Key Inputs'!$A$29:$A$114,$AA24,'Key Inputs'!$B$29:$B$114,$AB24,'Key Inputs'!$C$29:$C$114,$AC24))</f>
        <v>15</v>
      </c>
      <c r="K24" s="81">
        <f t="shared" si="3"/>
        <v>31.536000000000001</v>
      </c>
      <c r="L24" s="81"/>
      <c r="M24" s="105"/>
      <c r="N24" s="105"/>
      <c r="O24" s="105"/>
      <c r="Q24" s="42" t="str">
        <f t="shared" si="11"/>
        <v>PRE</v>
      </c>
      <c r="R24" s="64" t="str">
        <f>IF($AD24="","",_xlfn.TEXTJOIN(",",TRUE,IF(LEFT(Regions!$C$3,1)&lt;&gt;"*",Regions!$C$3,""),IF(LEFT(Regions!$D$3,1)&lt;&gt;"*",Regions!$D$3,"")))</f>
        <v>IE,National</v>
      </c>
      <c r="S24" s="31" t="str">
        <f>IF($AD24="","",CONCATENATE(LEFT(Legend!$C$4),"-",$AG24,"-",$AF24,"_",$AD24,"_X0"))</f>
        <v>S-SC-CS_GAS_X0</v>
      </c>
      <c r="T24" s="31" t="str">
        <f t="shared" si="4"/>
        <v>Commercial Services - Space cooling: Natural Gas</v>
      </c>
      <c r="U24" s="31" t="str">
        <f t="shared" si="5"/>
        <v>PJ</v>
      </c>
      <c r="V24" s="31" t="str">
        <f t="shared" si="6"/>
        <v>GW</v>
      </c>
      <c r="W24" s="31" t="str">
        <f t="shared" si="7"/>
        <v>ANNUAL</v>
      </c>
      <c r="X24" s="105"/>
      <c r="Y24" s="105"/>
      <c r="AA24" s="33" t="str">
        <f>IF('Key Inputs'!A46="","",'Key Inputs'!A46)</f>
        <v>Commercial Services</v>
      </c>
      <c r="AB24" s="33" t="str">
        <f>IF('Key Inputs'!B46="","",'Key Inputs'!B46)</f>
        <v>Space cooling</v>
      </c>
      <c r="AC24" s="33" t="str">
        <f>IF('Key Inputs'!C46="","",'Key Inputs'!C46)</f>
        <v>Natural Gas</v>
      </c>
      <c r="AD24" s="33" t="str">
        <f>IF('Key Inputs'!D46="","",'Key Inputs'!D46)</f>
        <v>GAS</v>
      </c>
      <c r="AE24" s="33" t="str">
        <f>IF('Key Inputs'!E46="","",'Key Inputs'!E46)</f>
        <v>SRVGAS</v>
      </c>
      <c r="AF24" s="7" t="str">
        <f>_xlfn.XLOOKUP(AA24,Legend!$A$36:$A$37,Legend!$C$36:$C$37)</f>
        <v>CS</v>
      </c>
      <c r="AG24" s="7" t="str">
        <f>_xlfn.XLOOKUP(AB24,Legend!$A$39:$A$49,Legend!$C$39:$C$49)</f>
        <v>SC</v>
      </c>
      <c r="AH24" s="27">
        <f t="shared" si="9"/>
        <v>4.8169117131957985E-3</v>
      </c>
      <c r="AI24" s="110">
        <f t="shared" si="10"/>
        <v>1.3333138834503102E-2</v>
      </c>
    </row>
    <row r="25" spans="1:35">
      <c r="B25" s="116" t="str">
        <f t="shared" si="0"/>
        <v>S-SC-CS_ELC_X0</v>
      </c>
      <c r="C25" s="82" t="str">
        <f t="shared" si="1"/>
        <v>Commercial Services - Space cooling: Electricity</v>
      </c>
      <c r="D25" s="123" t="str">
        <f t="shared" si="8"/>
        <v>SRVELC</v>
      </c>
      <c r="E25" s="123"/>
      <c r="F25" s="130" t="str">
        <f>IF($AD25="","",CONCATENATE(Legend!$C$4,AG25,"-",AF25))</f>
        <v>SRVSC-CS</v>
      </c>
      <c r="G25" s="123">
        <f>IF($AD25="","",SUMIFS('Key Inputs'!$K$29:$K$114,'Key Inputs'!$A$29:$A$114,$AA25,'Key Inputs'!$B$29:$B$114,$AB25,'Key Inputs'!$C$29:$C$114,$AC25))</f>
        <v>2.6431363796678138</v>
      </c>
      <c r="H25" s="653">
        <f>IF($AD25="","",SUMIFS('Key Inputs'!$G$29:$G$114,'Key Inputs'!$A$29:$A$114,$AA25,'Key Inputs'!$B$29:$B$114,$AB25,'Key Inputs'!$C$29:$C$114,$AC25))</f>
        <v>2.7466471585410193</v>
      </c>
      <c r="I25" s="653">
        <f>IF($AD25="","",SUMIFS('Key Inputs'!$I$29:$I$114,'Key Inputs'!$A$29:$A$114,$AA25,'Key Inputs'!$B$29:$B$114,$AB25,'Key Inputs'!$C$29:$C$114,$AC25)/8760)</f>
        <v>3.4246575342465752E-2</v>
      </c>
      <c r="J25" s="654">
        <f>IF($AD25="","",SUMIFS('Key Inputs'!$H$29:$H$114,'Key Inputs'!$A$29:$A$114,$AA25,'Key Inputs'!$B$29:$B$114,$AB25,'Key Inputs'!$C$29:$C$114,$AC25))</f>
        <v>15</v>
      </c>
      <c r="K25" s="499">
        <f t="shared" si="3"/>
        <v>31.536000000000001</v>
      </c>
      <c r="L25" s="499"/>
      <c r="M25" s="106"/>
      <c r="N25" s="106"/>
      <c r="O25" s="106"/>
      <c r="Q25" s="49" t="str">
        <f t="shared" si="11"/>
        <v>PRE</v>
      </c>
      <c r="R25" s="66" t="str">
        <f>IF($AD25="","",_xlfn.TEXTJOIN(",",TRUE,IF(LEFT(Regions!$C$3,1)&lt;&gt;"*",Regions!$C$3,""),IF(LEFT(Regions!$D$3,1)&lt;&gt;"*",Regions!$D$3,"")))</f>
        <v>IE,National</v>
      </c>
      <c r="S25" s="32" t="str">
        <f>IF($AD25="","",CONCATENATE(LEFT(Legend!$C$4),"-",$AG25,"-",$AF25,"_",$AD25,"_X0"))</f>
        <v>S-SC-CS_ELC_X0</v>
      </c>
      <c r="T25" s="32" t="str">
        <f t="shared" si="4"/>
        <v>Commercial Services - Space cooling: Electricity</v>
      </c>
      <c r="U25" s="32" t="str">
        <f t="shared" si="5"/>
        <v>PJ</v>
      </c>
      <c r="V25" s="32" t="str">
        <f t="shared" si="6"/>
        <v>GW</v>
      </c>
      <c r="W25" s="32" t="str">
        <f t="shared" si="7"/>
        <v>ANNUAL</v>
      </c>
      <c r="X25" s="106"/>
      <c r="Y25" s="106"/>
      <c r="AA25" s="33" t="str">
        <f>IF('Key Inputs'!A47="","",'Key Inputs'!A47)</f>
        <v>Commercial Services</v>
      </c>
      <c r="AB25" s="33" t="str">
        <f>IF('Key Inputs'!B47="","",'Key Inputs'!B47)</f>
        <v>Space cooling</v>
      </c>
      <c r="AC25" s="33" t="str">
        <f>IF('Key Inputs'!C47="","",'Key Inputs'!C47)</f>
        <v>Electricity</v>
      </c>
      <c r="AD25" s="33" t="str">
        <f>IF('Key Inputs'!D47="","",'Key Inputs'!D47)</f>
        <v>ELC</v>
      </c>
      <c r="AE25" s="33" t="str">
        <f>IF('Key Inputs'!E47="","",'Key Inputs'!E47)</f>
        <v>SRVELC</v>
      </c>
      <c r="AF25" s="7" t="str">
        <f>_xlfn.XLOOKUP(AA25,Legend!$A$36:$A$37,Legend!$C$36:$C$37)</f>
        <v>CS</v>
      </c>
      <c r="AG25" s="7" t="str">
        <f>_xlfn.XLOOKUP(AB25,Legend!$A$39:$A$49,Legend!$C$39:$C$49)</f>
        <v>SC</v>
      </c>
      <c r="AH25" s="27">
        <f t="shared" si="9"/>
        <v>1.039298870684779</v>
      </c>
      <c r="AI25" s="110">
        <f t="shared" si="10"/>
        <v>2.8545872900412386</v>
      </c>
    </row>
    <row r="26" spans="1:35" s="8" customFormat="1" ht="30">
      <c r="A26" s="80"/>
      <c r="B26" s="661" t="str">
        <f t="shared" si="0"/>
        <v>*Public Services Space heating</v>
      </c>
      <c r="C26" s="80" t="str">
        <f t="shared" si="1"/>
        <v/>
      </c>
      <c r="D26" s="655" t="str">
        <f t="shared" si="8"/>
        <v/>
      </c>
      <c r="E26" s="655"/>
      <c r="F26" s="25" t="str">
        <f>IF($AD26="","",CONCATENATE(Legend!$C$4,AG26,"-",AF26))</f>
        <v/>
      </c>
      <c r="G26" s="655" t="str">
        <f>IF($AD26="","",SUMIFS('Key Inputs'!$K$29:$K$114,'Key Inputs'!$A$29:$A$114,$AA26,'Key Inputs'!$B$29:$B$114,$AB26,'Key Inputs'!$C$29:$C$114,$AC26))</f>
        <v/>
      </c>
      <c r="H26" s="656" t="str">
        <f>IF($AD26="","",SUMIFS('Key Inputs'!$G$29:$G$114,'Key Inputs'!$A$29:$A$114,$AA26,'Key Inputs'!$B$29:$B$114,$AB26,'Key Inputs'!$C$29:$C$114,$AC26))</f>
        <v/>
      </c>
      <c r="I26" s="656" t="str">
        <f>IF($AD26="","",SUMIFS('Key Inputs'!$I$29:$I$114,'Key Inputs'!$A$29:$A$114,$AA26,'Key Inputs'!$B$29:$B$114,$AB26,'Key Inputs'!$C$29:$C$114,$AC26)/8760)</f>
        <v/>
      </c>
      <c r="J26" s="657" t="str">
        <f>IF($AD26="","",SUMIFS('Key Inputs'!$H$29:$H$114,'Key Inputs'!$A$29:$A$114,$AA26,'Key Inputs'!$B$29:$B$114,$AB26,'Key Inputs'!$C$29:$C$114,$AC26))</f>
        <v/>
      </c>
      <c r="K26" s="112" t="str">
        <f t="shared" si="3"/>
        <v/>
      </c>
      <c r="L26" s="112"/>
      <c r="M26" s="660"/>
      <c r="N26" s="660"/>
      <c r="O26" s="660"/>
      <c r="P26" s="658"/>
      <c r="Q26" s="514" t="str">
        <f t="shared" si="11"/>
        <v>*Public Services Space heating</v>
      </c>
      <c r="R26" s="64" t="str">
        <f>IF($AD26="","",_xlfn.TEXTJOIN(",",TRUE,IF(LEFT(Regions!$C$3,1)&lt;&gt;"*",Regions!$C$3,""),IF(LEFT(Regions!$D$3,1)&lt;&gt;"*",Regions!$D$3,"")))</f>
        <v/>
      </c>
      <c r="S26" s="25" t="str">
        <f>IF($AD26="","",CONCATENATE(LEFT(Legend!$C$4),"-",$AG26,"-",$AF26,"_",$AD26,"_X0"))</f>
        <v/>
      </c>
      <c r="T26" s="25" t="str">
        <f t="shared" si="4"/>
        <v/>
      </c>
      <c r="U26" s="25" t="str">
        <f t="shared" si="5"/>
        <v/>
      </c>
      <c r="V26" s="25" t="str">
        <f t="shared" si="6"/>
        <v/>
      </c>
      <c r="W26" s="25" t="str">
        <f t="shared" si="7"/>
        <v/>
      </c>
      <c r="X26" s="511"/>
      <c r="Y26" s="511"/>
      <c r="Z26" s="658"/>
      <c r="AA26" s="659"/>
      <c r="AB26" s="659"/>
      <c r="AC26" s="659"/>
      <c r="AD26" s="659"/>
      <c r="AE26" s="659"/>
      <c r="AH26" s="27"/>
      <c r="AI26" s="110"/>
    </row>
    <row r="27" spans="1:35" s="33" customFormat="1">
      <c r="A27" s="54"/>
      <c r="B27" s="662" t="str">
        <f t="shared" si="0"/>
        <v>S-SH-PU_COA_X0</v>
      </c>
      <c r="C27" s="54" t="str">
        <f t="shared" si="1"/>
        <v>Public Services - Space heating: Solids</v>
      </c>
      <c r="D27" s="60" t="str">
        <f t="shared" si="8"/>
        <v>SRVCOA</v>
      </c>
      <c r="E27" s="60"/>
      <c r="F27" s="26" t="str">
        <f>IF($AD27="","",CONCATENATE(Legend!$C$4,AG27,"-",AF27))</f>
        <v>SRVSH-PU</v>
      </c>
      <c r="G27" s="60">
        <f>IF($AD27="","",SUMIFS('Key Inputs'!$K$29:$K$114,'Key Inputs'!$A$29:$A$114,$AA27,'Key Inputs'!$B$29:$B$114,$AB27,'Key Inputs'!$C$29:$C$114,$AC27))</f>
        <v>0</v>
      </c>
      <c r="H27" s="645">
        <f>IF($AD27="","",SUMIFS('Key Inputs'!$G$29:$G$114,'Key Inputs'!$A$29:$A$114,$AA27,'Key Inputs'!$B$29:$B$114,$AB27,'Key Inputs'!$C$29:$C$114,$AC27))</f>
        <v>0.33</v>
      </c>
      <c r="I27" s="645">
        <f>IF($AD27="","",SUMIFS('Key Inputs'!$I$29:$I$114,'Key Inputs'!$A$29:$A$114,$AA27,'Key Inputs'!$B$29:$B$114,$AB27,'Key Inputs'!$C$29:$C$114,$AC27)/8760)</f>
        <v>0.11415525114155251</v>
      </c>
      <c r="J27" s="647">
        <f>IF($AD27="","",SUMIFS('Key Inputs'!$H$29:$H$114,'Key Inputs'!$A$29:$A$114,$AA27,'Key Inputs'!$B$29:$B$114,$AB27,'Key Inputs'!$C$29:$C$114,$AC27))</f>
        <v>20</v>
      </c>
      <c r="K27" s="81">
        <f t="shared" si="3"/>
        <v>31.536000000000001</v>
      </c>
      <c r="L27" s="81"/>
      <c r="M27" s="105"/>
      <c r="N27" s="105"/>
      <c r="O27" s="105"/>
      <c r="P27" s="1"/>
      <c r="Q27" s="42" t="str">
        <f t="shared" si="11"/>
        <v>PRE</v>
      </c>
      <c r="R27" s="64" t="str">
        <f>IF($AD27="","",_xlfn.TEXTJOIN(",",TRUE,IF(LEFT(Regions!$C$3,1)&lt;&gt;"*",Regions!$C$3,""),IF(LEFT(Regions!$D$3,1)&lt;&gt;"*",Regions!$D$3,"")))</f>
        <v>IE,National</v>
      </c>
      <c r="S27" s="31" t="str">
        <f>IF($AD27="","",CONCATENATE(LEFT(Legend!$C$4),"-",$AG27,"-",$AF27,"_",$AD27,"_X0"))</f>
        <v>S-SH-PU_COA_X0</v>
      </c>
      <c r="T27" s="31" t="str">
        <f t="shared" si="4"/>
        <v>Public Services - Space heating: Solids</v>
      </c>
      <c r="U27" s="31" t="str">
        <f t="shared" si="5"/>
        <v>PJ</v>
      </c>
      <c r="V27" s="31" t="str">
        <f t="shared" si="6"/>
        <v>GW</v>
      </c>
      <c r="W27" s="31" t="str">
        <f t="shared" si="7"/>
        <v>ANNUAL</v>
      </c>
      <c r="X27" s="22"/>
      <c r="Y27" s="22"/>
      <c r="Z27"/>
      <c r="AA27" s="33" t="str">
        <f>IF('Key Inputs'!A49="","",'Key Inputs'!A49)</f>
        <v>Public Services</v>
      </c>
      <c r="AB27" s="33" t="str">
        <f>IF('Key Inputs'!B49="","",'Key Inputs'!B49)</f>
        <v>Space heating</v>
      </c>
      <c r="AC27" s="33" t="str">
        <f>IF('Key Inputs'!C49="","",'Key Inputs'!C49)</f>
        <v>Solids</v>
      </c>
      <c r="AD27" s="33" t="str">
        <f>IF('Key Inputs'!D49="","",'Key Inputs'!D49)</f>
        <v>COA</v>
      </c>
      <c r="AE27" s="33" t="str">
        <f>IF('Key Inputs'!E49="","",'Key Inputs'!E49)</f>
        <v>SRVCOA</v>
      </c>
      <c r="AF27" s="7" t="str">
        <f>_xlfn.XLOOKUP(AA27,Legend!$A$36:$A$37,Legend!$C$36:$C$37)</f>
        <v>PU</v>
      </c>
      <c r="AG27" s="7" t="str">
        <f>_xlfn.XLOOKUP(AB27,Legend!$A$39:$A$49,Legend!$C$39:$C$49)</f>
        <v>SH</v>
      </c>
      <c r="AH27" s="27">
        <f t="shared" si="9"/>
        <v>0</v>
      </c>
      <c r="AI27" s="110">
        <f t="shared" si="10"/>
        <v>0</v>
      </c>
    </row>
    <row r="28" spans="1:35">
      <c r="B28" s="662" t="str">
        <f t="shared" si="0"/>
        <v>S-SH-PU_LPG_X0</v>
      </c>
      <c r="C28" s="54" t="str">
        <f t="shared" si="1"/>
        <v>Public Services - Space heating: LPG</v>
      </c>
      <c r="D28" s="60" t="str">
        <f t="shared" si="8"/>
        <v>SRVLPG</v>
      </c>
      <c r="E28" s="60"/>
      <c r="F28" s="26" t="str">
        <f>IF($AD28="","",CONCATENATE(Legend!$C$4,AG28,"-",AF28))</f>
        <v>SRVSH-PU</v>
      </c>
      <c r="G28" s="60">
        <f>IF($AD28="","",SUMIFS('Key Inputs'!$K$29:$K$114,'Key Inputs'!$A$29:$A$114,$AA28,'Key Inputs'!$B$29:$B$114,$AB28,'Key Inputs'!$C$29:$C$114,$AC28))</f>
        <v>0</v>
      </c>
      <c r="H28" s="645">
        <f>IF($AD28="","",SUMIFS('Key Inputs'!$G$29:$G$114,'Key Inputs'!$A$29:$A$114,$AA28,'Key Inputs'!$B$29:$B$114,$AB28,'Key Inputs'!$C$29:$C$114,$AC28))</f>
        <v>0.33</v>
      </c>
      <c r="I28" s="645">
        <f>IF($AD28="","",SUMIFS('Key Inputs'!$I$29:$I$114,'Key Inputs'!$A$29:$A$114,$AA28,'Key Inputs'!$B$29:$B$114,$AB28,'Key Inputs'!$C$29:$C$114,$AC28)/8760)</f>
        <v>0.11415525114155251</v>
      </c>
      <c r="J28" s="647">
        <f>IF($AD28="","",SUMIFS('Key Inputs'!$H$29:$H$114,'Key Inputs'!$A$29:$A$114,$AA28,'Key Inputs'!$B$29:$B$114,$AB28,'Key Inputs'!$C$29:$C$114,$AC28))</f>
        <v>20</v>
      </c>
      <c r="K28" s="81">
        <f t="shared" si="3"/>
        <v>31.536000000000001</v>
      </c>
      <c r="L28" s="81"/>
      <c r="M28" s="105"/>
      <c r="N28" s="105"/>
      <c r="O28" s="105"/>
      <c r="Q28" s="42" t="str">
        <f t="shared" si="11"/>
        <v>PRE</v>
      </c>
      <c r="R28" s="64" t="str">
        <f>IF($AD28="","",_xlfn.TEXTJOIN(",",TRUE,IF(LEFT(Regions!$C$3,1)&lt;&gt;"*",Regions!$C$3,""),IF(LEFT(Regions!$D$3,1)&lt;&gt;"*",Regions!$D$3,"")))</f>
        <v>IE,National</v>
      </c>
      <c r="S28" s="31" t="str">
        <f>IF($AD28="","",CONCATENATE(LEFT(Legend!$C$4),"-",$AG28,"-",$AF28,"_",$AD28,"_X0"))</f>
        <v>S-SH-PU_LPG_X0</v>
      </c>
      <c r="T28" s="31" t="str">
        <f t="shared" si="4"/>
        <v>Public Services - Space heating: LPG</v>
      </c>
      <c r="U28" s="31" t="str">
        <f t="shared" si="5"/>
        <v>PJ</v>
      </c>
      <c r="V28" s="31" t="str">
        <f t="shared" si="6"/>
        <v>GW</v>
      </c>
      <c r="W28" s="31" t="str">
        <f t="shared" si="7"/>
        <v>ANNUAL</v>
      </c>
      <c r="X28" s="22"/>
      <c r="Y28" s="22"/>
      <c r="AA28" s="33" t="str">
        <f>IF('Key Inputs'!A50="","",'Key Inputs'!A50)</f>
        <v>Public Services</v>
      </c>
      <c r="AB28" s="33" t="str">
        <f>IF('Key Inputs'!B50="","",'Key Inputs'!B50)</f>
        <v>Space heating</v>
      </c>
      <c r="AC28" s="33" t="str">
        <f>IF('Key Inputs'!C50="","",'Key Inputs'!C50)</f>
        <v>LPG</v>
      </c>
      <c r="AD28" s="33" t="str">
        <f>IF('Key Inputs'!D50="","",'Key Inputs'!D50)</f>
        <v>LPG</v>
      </c>
      <c r="AE28" s="33" t="str">
        <f>IF('Key Inputs'!E50="","",'Key Inputs'!E50)</f>
        <v>SRVLPG</v>
      </c>
      <c r="AF28" s="7" t="str">
        <f>_xlfn.XLOOKUP(AA28,Legend!$A$36:$A$37,Legend!$C$36:$C$37)</f>
        <v>PU</v>
      </c>
      <c r="AG28" s="7" t="str">
        <f>_xlfn.XLOOKUP(AB28,Legend!$A$39:$A$49,Legend!$C$39:$C$49)</f>
        <v>SH</v>
      </c>
      <c r="AH28" s="27">
        <f t="shared" si="9"/>
        <v>0</v>
      </c>
      <c r="AI28" s="110">
        <f t="shared" si="10"/>
        <v>0</v>
      </c>
    </row>
    <row r="29" spans="1:35">
      <c r="B29" s="662" t="str">
        <f t="shared" si="0"/>
        <v>S-SH-PU_OIL_X0</v>
      </c>
      <c r="C29" s="54" t="str">
        <f t="shared" si="1"/>
        <v>Public Services - Space heating: Oil</v>
      </c>
      <c r="D29" s="60" t="str">
        <f t="shared" si="8"/>
        <v>SRVOIL</v>
      </c>
      <c r="E29" s="60"/>
      <c r="F29" s="26" t="str">
        <f>IF($AD29="","",CONCATENATE(Legend!$C$4,AG29,"-",AF29))</f>
        <v>SRVSH-PU</v>
      </c>
      <c r="G29" s="60">
        <f>IF($AD29="","",SUMIFS('Key Inputs'!$K$29:$K$114,'Key Inputs'!$A$29:$A$114,$AA29,'Key Inputs'!$B$29:$B$114,$AB29,'Key Inputs'!$C$29:$C$114,$AC29))</f>
        <v>0.73295449486581721</v>
      </c>
      <c r="H29" s="645">
        <f>IF($AD29="","",SUMIFS('Key Inputs'!$G$29:$G$114,'Key Inputs'!$A$29:$A$114,$AA29,'Key Inputs'!$B$29:$B$114,$AB29,'Key Inputs'!$C$29:$C$114,$AC29))</f>
        <v>0.6583558448972523</v>
      </c>
      <c r="I29" s="645">
        <f>IF($AD29="","",SUMIFS('Key Inputs'!$I$29:$I$114,'Key Inputs'!$A$29:$A$114,$AA29,'Key Inputs'!$B$29:$B$114,$AB29,'Key Inputs'!$C$29:$C$114,$AC29)/8760)</f>
        <v>0.11415525114155251</v>
      </c>
      <c r="J29" s="647">
        <f>IF($AD29="","",SUMIFS('Key Inputs'!$H$29:$H$114,'Key Inputs'!$A$29:$A$114,$AA29,'Key Inputs'!$B$29:$B$114,$AB29,'Key Inputs'!$C$29:$C$114,$AC29))</f>
        <v>20</v>
      </c>
      <c r="K29" s="81">
        <f t="shared" si="3"/>
        <v>31.536000000000001</v>
      </c>
      <c r="L29" s="81"/>
      <c r="M29" s="105"/>
      <c r="N29" s="105"/>
      <c r="O29" s="105"/>
      <c r="Q29" s="42" t="str">
        <f>IF($AD29="","*"&amp;#REF!&amp;" "&amp;#REF!,"PRE")</f>
        <v>PRE</v>
      </c>
      <c r="R29" s="64" t="str">
        <f>IF($AD29="","",_xlfn.TEXTJOIN(",",TRUE,IF(LEFT(Regions!$C$3,1)&lt;&gt;"*",Regions!$C$3,""),IF(LEFT(Regions!$D$3,1)&lt;&gt;"*",Regions!$D$3,"")))</f>
        <v>IE,National</v>
      </c>
      <c r="S29" s="31" t="str">
        <f>IF($AD29="","",CONCATENATE(LEFT(Legend!$C$4),"-",$AG29,"-",$AF29,"_",$AD29,"_X0"))</f>
        <v>S-SH-PU_OIL_X0</v>
      </c>
      <c r="T29" s="31" t="str">
        <f t="shared" si="4"/>
        <v>Public Services - Space heating: Oil</v>
      </c>
      <c r="U29" s="31" t="str">
        <f t="shared" si="5"/>
        <v>PJ</v>
      </c>
      <c r="V29" s="31" t="str">
        <f t="shared" si="6"/>
        <v>GW</v>
      </c>
      <c r="W29" s="31" t="str">
        <f t="shared" si="7"/>
        <v>ANNUAL</v>
      </c>
      <c r="X29" s="22"/>
      <c r="Y29" s="22"/>
      <c r="AA29" s="33" t="str">
        <f>IF('Key Inputs'!A51="","",'Key Inputs'!A51)</f>
        <v>Public Services</v>
      </c>
      <c r="AB29" s="33" t="str">
        <f>IF('Key Inputs'!B51="","",'Key Inputs'!B51)</f>
        <v>Space heating</v>
      </c>
      <c r="AC29" s="33" t="str">
        <f>IF('Key Inputs'!C51="","",'Key Inputs'!C51)</f>
        <v>Oil</v>
      </c>
      <c r="AD29" s="33" t="str">
        <f>IF('Key Inputs'!D51="","",'Key Inputs'!D51)</f>
        <v>OIL</v>
      </c>
      <c r="AE29" s="33" t="str">
        <f>IF('Key Inputs'!E51="","",'Key Inputs'!E51)</f>
        <v>SRVOIL</v>
      </c>
      <c r="AF29" s="7" t="str">
        <f>_xlfn.XLOOKUP(AA29,Legend!$A$36:$A$37,Legend!$C$36:$C$37)</f>
        <v>PU</v>
      </c>
      <c r="AG29" s="7" t="str">
        <f>_xlfn.XLOOKUP(AB29,Legend!$A$39:$A$49,Legend!$C$39:$C$49)</f>
        <v>SH</v>
      </c>
      <c r="AH29" s="27">
        <f t="shared" si="9"/>
        <v>4.0079179093925204</v>
      </c>
      <c r="AI29" s="110">
        <f t="shared" si="10"/>
        <v>2.6386361815169419</v>
      </c>
    </row>
    <row r="30" spans="1:35">
      <c r="B30" s="662" t="str">
        <f t="shared" si="0"/>
        <v>S-SH-PU_GAS_X0</v>
      </c>
      <c r="C30" s="54" t="str">
        <f t="shared" si="1"/>
        <v>Public Services - Space heating: Natural Gas</v>
      </c>
      <c r="D30" s="60" t="str">
        <f t="shared" si="8"/>
        <v>SRVGAS, SRVBGS</v>
      </c>
      <c r="E30" s="60"/>
      <c r="F30" s="26" t="str">
        <f>IF($AD30="","",CONCATENATE(Legend!$C$4,AG30,"-",AF30))</f>
        <v>SRVSH-PU</v>
      </c>
      <c r="G30" s="60">
        <f>IF($AD30="","",SUMIFS('Key Inputs'!$K$29:$K$114,'Key Inputs'!$A$29:$A$114,$AA30,'Key Inputs'!$B$29:$B$114,$AB30,'Key Inputs'!$C$29:$C$114,$AC30))</f>
        <v>1.0435362451739916</v>
      </c>
      <c r="H30" s="645">
        <f>IF($AD30="","",SUMIFS('Key Inputs'!$G$29:$G$114,'Key Inputs'!$A$29:$A$114,$AA30,'Key Inputs'!$B$29:$B$114,$AB30,'Key Inputs'!$C$29:$C$114,$AC30))</f>
        <v>0.77299617086321282</v>
      </c>
      <c r="I30" s="645">
        <f>IF($AD30="","",SUMIFS('Key Inputs'!$I$29:$I$114,'Key Inputs'!$A$29:$A$114,$AA30,'Key Inputs'!$B$29:$B$114,$AB30,'Key Inputs'!$C$29:$C$114,$AC30)/8760)</f>
        <v>0.11415525114155251</v>
      </c>
      <c r="J30" s="647">
        <f>IF($AD30="","",SUMIFS('Key Inputs'!$H$29:$H$114,'Key Inputs'!$A$29:$A$114,$AA30,'Key Inputs'!$B$29:$B$114,$AB30,'Key Inputs'!$C$29:$C$114,$AC30))</f>
        <v>20</v>
      </c>
      <c r="K30" s="81">
        <f t="shared" si="3"/>
        <v>31.536000000000001</v>
      </c>
      <c r="L30" s="81"/>
      <c r="M30" s="646">
        <f>EB_SRV!G69/'Key Inputs'!F52</f>
        <v>4.1500609281302586E-2</v>
      </c>
      <c r="N30" s="646">
        <f>M30</f>
        <v>4.1500609281302586E-2</v>
      </c>
      <c r="O30" s="83">
        <v>5</v>
      </c>
      <c r="Q30" s="42" t="str">
        <f t="shared" ref="Q30:Q44" si="12">IF($AD30="","*"&amp;AA31&amp;" "&amp;AB31,"PRE")</f>
        <v>PRE</v>
      </c>
      <c r="R30" s="64" t="str">
        <f>IF($AD30="","",_xlfn.TEXTJOIN(",",TRUE,IF(LEFT(Regions!$C$3,1)&lt;&gt;"*",Regions!$C$3,""),IF(LEFT(Regions!$D$3,1)&lt;&gt;"*",Regions!$D$3,"")))</f>
        <v>IE,National</v>
      </c>
      <c r="S30" s="31" t="str">
        <f>IF($AD30="","",CONCATENATE(LEFT(Legend!$C$4),"-",$AG30,"-",$AF30,"_",$AD30,"_X0"))</f>
        <v>S-SH-PU_GAS_X0</v>
      </c>
      <c r="T30" s="31" t="str">
        <f t="shared" si="4"/>
        <v>Public Services - Space heating: Natural Gas</v>
      </c>
      <c r="U30" s="31" t="str">
        <f t="shared" si="5"/>
        <v>PJ</v>
      </c>
      <c r="V30" s="31" t="str">
        <f t="shared" si="6"/>
        <v>GW</v>
      </c>
      <c r="W30" s="31" t="str">
        <f t="shared" si="7"/>
        <v>ANNUAL</v>
      </c>
      <c r="X30" s="22"/>
      <c r="Y30" s="22"/>
      <c r="AA30" s="33" t="str">
        <f>IF('Key Inputs'!A52="","",'Key Inputs'!A52)</f>
        <v>Public Services</v>
      </c>
      <c r="AB30" s="33" t="str">
        <f>IF('Key Inputs'!B52="","",'Key Inputs'!B52)</f>
        <v>Space heating</v>
      </c>
      <c r="AC30" s="33" t="str">
        <f>IF('Key Inputs'!C52="","",'Key Inputs'!C52)</f>
        <v>Natural Gas</v>
      </c>
      <c r="AD30" s="33" t="str">
        <f>IF('Key Inputs'!D52="","",'Key Inputs'!D52)</f>
        <v>GAS</v>
      </c>
      <c r="AE30" s="33" t="str">
        <f>IF('Key Inputs'!E52="","",'Key Inputs'!E52)</f>
        <v>SRVGAS, SRVBGS</v>
      </c>
      <c r="AF30" s="7" t="str">
        <f>_xlfn.XLOOKUP(AA30,Legend!$A$36:$A$37,Legend!$C$36:$C$37)</f>
        <v>PU</v>
      </c>
      <c r="AG30" s="7" t="str">
        <f>_xlfn.XLOOKUP(AB30,Legend!$A$39:$A$49,Legend!$C$39:$C$49)</f>
        <v>SH</v>
      </c>
      <c r="AH30" s="27">
        <f t="shared" si="9"/>
        <v>4.8599600156249023</v>
      </c>
      <c r="AI30" s="110">
        <f t="shared" si="10"/>
        <v>3.7567304826263697</v>
      </c>
    </row>
    <row r="31" spans="1:35">
      <c r="B31" s="662" t="str">
        <f t="shared" si="0"/>
        <v>S-SH-PU_BIO_X0</v>
      </c>
      <c r="C31" s="54" t="str">
        <f t="shared" si="1"/>
        <v>Public Services - Space heating: Biomass</v>
      </c>
      <c r="D31" s="60" t="str">
        <f t="shared" si="8"/>
        <v>SRVBIO</v>
      </c>
      <c r="E31" s="60"/>
      <c r="F31" s="26" t="str">
        <f>IF($AD31="","",CONCATENATE(Legend!$C$4,AG31,"-",AF31))</f>
        <v>SRVSH-PU</v>
      </c>
      <c r="G31" s="60">
        <f>IF($AD31="","",SUMIFS('Key Inputs'!$K$29:$K$114,'Key Inputs'!$A$29:$A$114,$AA31,'Key Inputs'!$B$29:$B$114,$AB31,'Key Inputs'!$C$29:$C$114,$AC31))</f>
        <v>9.5807878968085625E-2</v>
      </c>
      <c r="H31" s="645">
        <f>IF($AD31="","",SUMIFS('Key Inputs'!$G$29:$G$114,'Key Inputs'!$A$29:$A$114,$AA31,'Key Inputs'!$B$29:$B$114,$AB31,'Key Inputs'!$C$29:$C$114,$AC31))</f>
        <v>0.63490443337371294</v>
      </c>
      <c r="I31" s="645">
        <f>IF($AD31="","",SUMIFS('Key Inputs'!$I$29:$I$114,'Key Inputs'!$A$29:$A$114,$AA31,'Key Inputs'!$B$29:$B$114,$AB31,'Key Inputs'!$C$29:$C$114,$AC31)/8760)</f>
        <v>0.11415525114155251</v>
      </c>
      <c r="J31" s="647">
        <f>IF($AD31="","",SUMIFS('Key Inputs'!$H$29:$H$114,'Key Inputs'!$A$29:$A$114,$AA31,'Key Inputs'!$B$29:$B$114,$AB31,'Key Inputs'!$C$29:$C$114,$AC31))</f>
        <v>20</v>
      </c>
      <c r="K31" s="81">
        <f t="shared" si="3"/>
        <v>31.536000000000001</v>
      </c>
      <c r="L31" s="81"/>
      <c r="M31" s="105"/>
      <c r="N31" s="105"/>
      <c r="O31" s="105"/>
      <c r="Q31" s="42" t="str">
        <f t="shared" si="12"/>
        <v>PRE</v>
      </c>
      <c r="R31" s="64" t="str">
        <f>IF($AD31="","",_xlfn.TEXTJOIN(",",TRUE,IF(LEFT(Regions!$C$3,1)&lt;&gt;"*",Regions!$C$3,""),IF(LEFT(Regions!$D$3,1)&lt;&gt;"*",Regions!$D$3,"")))</f>
        <v>IE,National</v>
      </c>
      <c r="S31" s="31" t="str">
        <f>IF($AD31="","",CONCATENATE(LEFT(Legend!$C$4),"-",$AG31,"-",$AF31,"_",$AD31,"_X0"))</f>
        <v>S-SH-PU_BIO_X0</v>
      </c>
      <c r="T31" s="31" t="str">
        <f t="shared" si="4"/>
        <v>Public Services - Space heating: Biomass</v>
      </c>
      <c r="U31" s="31" t="str">
        <f t="shared" si="5"/>
        <v>PJ</v>
      </c>
      <c r="V31" s="31" t="str">
        <f t="shared" si="6"/>
        <v>GW</v>
      </c>
      <c r="W31" s="31" t="str">
        <f t="shared" si="7"/>
        <v>ANNUAL</v>
      </c>
      <c r="X31" s="22"/>
      <c r="Y31" s="22"/>
      <c r="AA31" s="33" t="str">
        <f>IF('Key Inputs'!A53="","",'Key Inputs'!A53)</f>
        <v>Public Services</v>
      </c>
      <c r="AB31" s="33" t="str">
        <f>IF('Key Inputs'!B53="","",'Key Inputs'!B53)</f>
        <v>Space heating</v>
      </c>
      <c r="AC31" s="33" t="str">
        <f>IF('Key Inputs'!C53="","",'Key Inputs'!C53)</f>
        <v>Biomass</v>
      </c>
      <c r="AD31" s="33" t="str">
        <f>IF('Key Inputs'!D53="","",'Key Inputs'!D53)</f>
        <v>BIO</v>
      </c>
      <c r="AE31" s="33" t="str">
        <f>IF('Key Inputs'!E53="","",'Key Inputs'!E53)</f>
        <v>SRVBIO</v>
      </c>
      <c r="AF31" s="7" t="str">
        <f>_xlfn.XLOOKUP(AA31,Legend!$A$36:$A$37,Legend!$C$36:$C$37)</f>
        <v>PU</v>
      </c>
      <c r="AG31" s="7" t="str">
        <f>_xlfn.XLOOKUP(AB31,Legend!$A$39:$A$49,Legend!$C$39:$C$49)</f>
        <v>SH</v>
      </c>
      <c r="AH31" s="27">
        <f t="shared" si="9"/>
        <v>0.54324453595694255</v>
      </c>
      <c r="AI31" s="110">
        <f t="shared" si="10"/>
        <v>0.34490836428510824</v>
      </c>
    </row>
    <row r="32" spans="1:35">
      <c r="B32" s="662" t="str">
        <f t="shared" si="0"/>
        <v>S-SH-PU_SOL_X0</v>
      </c>
      <c r="C32" s="54" t="str">
        <f t="shared" si="1"/>
        <v>Public Services - Space heating: Solar</v>
      </c>
      <c r="D32" s="60" t="str">
        <f t="shared" si="8"/>
        <v>SRVSOL</v>
      </c>
      <c r="E32" s="60"/>
      <c r="F32" s="26" t="str">
        <f>IF($AD32="","",CONCATENATE(Legend!$C$4,AG32,"-",AF32))</f>
        <v>SRVSH-PU</v>
      </c>
      <c r="G32" s="60">
        <f>IF($AD32="","",SUMIFS('Key Inputs'!$K$29:$K$114,'Key Inputs'!$A$29:$A$114,$AA32,'Key Inputs'!$B$29:$B$114,$AB32,'Key Inputs'!$C$29:$C$114,$AC32))</f>
        <v>0</v>
      </c>
      <c r="H32" s="645">
        <f>IF($AD32="","",SUMIFS('Key Inputs'!$G$29:$G$114,'Key Inputs'!$A$29:$A$114,$AA32,'Key Inputs'!$B$29:$B$114,$AB32,'Key Inputs'!$C$29:$C$114,$AC32))</f>
        <v>0.33</v>
      </c>
      <c r="I32" s="645">
        <f>IF($AD32="","",SUMIFS('Key Inputs'!$I$29:$I$114,'Key Inputs'!$A$29:$A$114,$AA32,'Key Inputs'!$B$29:$B$114,$AB32,'Key Inputs'!$C$29:$C$114,$AC32)/8760)</f>
        <v>0.11415525114155251</v>
      </c>
      <c r="J32" s="647">
        <f>IF($AD32="","",SUMIFS('Key Inputs'!$H$29:$H$114,'Key Inputs'!$A$29:$A$114,$AA32,'Key Inputs'!$B$29:$B$114,$AB32,'Key Inputs'!$C$29:$C$114,$AC32))</f>
        <v>15</v>
      </c>
      <c r="K32" s="81">
        <f t="shared" si="3"/>
        <v>31.536000000000001</v>
      </c>
      <c r="L32" s="81"/>
      <c r="M32" s="105"/>
      <c r="N32" s="105"/>
      <c r="O32" s="105"/>
      <c r="Q32" s="42" t="str">
        <f t="shared" si="12"/>
        <v>PRE</v>
      </c>
      <c r="R32" s="64" t="str">
        <f>IF($AD32="","",_xlfn.TEXTJOIN(",",TRUE,IF(LEFT(Regions!$C$3,1)&lt;&gt;"*",Regions!$C$3,""),IF(LEFT(Regions!$D$3,1)&lt;&gt;"*",Regions!$D$3,"")))</f>
        <v>IE,National</v>
      </c>
      <c r="S32" s="31" t="str">
        <f>IF($AD32="","",CONCATENATE(LEFT(Legend!$C$4),"-",$AG32,"-",$AF32,"_",$AD32,"_X0"))</f>
        <v>S-SH-PU_SOL_X0</v>
      </c>
      <c r="T32" s="31" t="str">
        <f t="shared" si="4"/>
        <v>Public Services - Space heating: Solar</v>
      </c>
      <c r="U32" s="31" t="str">
        <f t="shared" si="5"/>
        <v>PJ</v>
      </c>
      <c r="V32" s="31" t="str">
        <f t="shared" si="6"/>
        <v>GW</v>
      </c>
      <c r="W32" s="31" t="str">
        <f t="shared" si="7"/>
        <v>ANNUAL</v>
      </c>
      <c r="X32" s="22"/>
      <c r="Y32" s="22"/>
      <c r="AA32" s="33" t="str">
        <f>IF('Key Inputs'!A54="","",'Key Inputs'!A54)</f>
        <v>Public Services</v>
      </c>
      <c r="AB32" s="33" t="str">
        <f>IF('Key Inputs'!B54="","",'Key Inputs'!B54)</f>
        <v>Space heating</v>
      </c>
      <c r="AC32" s="33" t="str">
        <f>IF('Key Inputs'!C54="","",'Key Inputs'!C54)</f>
        <v>Solar</v>
      </c>
      <c r="AD32" s="33" t="str">
        <f>IF('Key Inputs'!D54="","",'Key Inputs'!D54)</f>
        <v>SOL</v>
      </c>
      <c r="AE32" s="33" t="str">
        <f>IF('Key Inputs'!E54="","",'Key Inputs'!E54)</f>
        <v>SRVSOL</v>
      </c>
      <c r="AF32" s="7" t="str">
        <f>_xlfn.XLOOKUP(AA32,Legend!$A$36:$A$37,Legend!$C$36:$C$37)</f>
        <v>PU</v>
      </c>
      <c r="AG32" s="7" t="str">
        <f>_xlfn.XLOOKUP(AB32,Legend!$A$39:$A$49,Legend!$C$39:$C$49)</f>
        <v>SH</v>
      </c>
      <c r="AH32" s="27">
        <f t="shared" si="9"/>
        <v>0</v>
      </c>
      <c r="AI32" s="110">
        <f t="shared" si="10"/>
        <v>0</v>
      </c>
    </row>
    <row r="33" spans="1:35">
      <c r="B33" s="662" t="str">
        <f t="shared" si="0"/>
        <v>S-SH-PU_ELC-HP_X0</v>
      </c>
      <c r="C33" s="54" t="str">
        <f t="shared" si="1"/>
        <v>Public Services - Space heating: Electricity (heat pumps)</v>
      </c>
      <c r="D33" s="60" t="str">
        <f t="shared" si="8"/>
        <v>SRVELC</v>
      </c>
      <c r="E33" s="60" t="str">
        <f>Legend!$C$59</f>
        <v>SRVAHT</v>
      </c>
      <c r="F33" s="26" t="str">
        <f>IF($AD33="","",CONCATENATE(Legend!$C$4,AG33,"-",AF33))</f>
        <v>SRVSH-PU</v>
      </c>
      <c r="G33" s="60">
        <f>IF($AD33="","",SUMIFS('Key Inputs'!$K$29:$K$114,'Key Inputs'!$A$29:$A$114,$AA33,'Key Inputs'!$B$29:$B$114,$AB33,'Key Inputs'!$C$29:$C$114,$AC33))</f>
        <v>0.20128218369275847</v>
      </c>
      <c r="H33" s="645">
        <f>IF($AD33="","",SUMIFS('Key Inputs'!$G$29:$G$114,'Key Inputs'!$A$29:$A$114,$AA33,'Key Inputs'!$B$29:$B$114,$AB33,'Key Inputs'!$C$29:$C$114,$AC33))</f>
        <v>2.7470543738547222</v>
      </c>
      <c r="I33" s="645">
        <f>IF($AD33="","",SUMIFS('Key Inputs'!$I$29:$I$114,'Key Inputs'!$A$29:$A$114,$AA33,'Key Inputs'!$B$29:$B$114,$AB33,'Key Inputs'!$C$29:$C$114,$AC33)/8760)</f>
        <v>0.11415525114155251</v>
      </c>
      <c r="J33" s="647">
        <f>IF($AD33="","",SUMIFS('Key Inputs'!$H$29:$H$114,'Key Inputs'!$A$29:$A$114,$AA33,'Key Inputs'!$B$29:$B$114,$AB33,'Key Inputs'!$C$29:$C$114,$AC33))</f>
        <v>10</v>
      </c>
      <c r="K33" s="81">
        <f t="shared" si="3"/>
        <v>31.536000000000001</v>
      </c>
      <c r="L33" s="81">
        <f>'Key Inputs'!L55/'Key Inputs'!F55</f>
        <v>0</v>
      </c>
      <c r="Q33" s="42" t="str">
        <f t="shared" si="12"/>
        <v>PRE</v>
      </c>
      <c r="R33" s="64" t="str">
        <f>IF($AD33="","",_xlfn.TEXTJOIN(",",TRUE,IF(LEFT(Regions!$C$3,1)&lt;&gt;"*",Regions!$C$3,""),IF(LEFT(Regions!$D$3,1)&lt;&gt;"*",Regions!$D$3,"")))</f>
        <v>IE,National</v>
      </c>
      <c r="S33" s="31" t="str">
        <f>IF($AD33="","",CONCATENATE(LEFT(Legend!$C$4),"-",$AG33,"-",$AF33,"_",$AD33,"_X0"))</f>
        <v>S-SH-PU_ELC-HP_X0</v>
      </c>
      <c r="T33" s="31" t="str">
        <f t="shared" si="4"/>
        <v>Public Services - Space heating: Electricity (heat pumps)</v>
      </c>
      <c r="U33" s="31" t="str">
        <f t="shared" si="5"/>
        <v>PJ</v>
      </c>
      <c r="V33" s="31" t="str">
        <f t="shared" si="6"/>
        <v>GW</v>
      </c>
      <c r="W33" s="31" t="str">
        <f t="shared" si="7"/>
        <v>ANNUAL</v>
      </c>
      <c r="X33" s="22"/>
      <c r="Y33" s="22"/>
      <c r="AA33" s="33" t="str">
        <f>IF('Key Inputs'!A55="","",'Key Inputs'!A55)</f>
        <v>Public Services</v>
      </c>
      <c r="AB33" s="33" t="str">
        <f>IF('Key Inputs'!B55="","",'Key Inputs'!B55)</f>
        <v>Space heating</v>
      </c>
      <c r="AC33" s="33" t="str">
        <f>IF('Key Inputs'!C55="","",'Key Inputs'!C55)</f>
        <v>Electricity (heat pumps)</v>
      </c>
      <c r="AD33" s="33" t="str">
        <f>IF('Key Inputs'!D55="","",'Key Inputs'!D55)</f>
        <v>ELC-HP</v>
      </c>
      <c r="AE33" s="33" t="str">
        <f>IF('Key Inputs'!E55="","",'Key Inputs'!E55)</f>
        <v>SRVELC</v>
      </c>
      <c r="AF33" s="7" t="str">
        <f>_xlfn.XLOOKUP(AA33,Legend!$A$36:$A$37,Legend!$C$36:$C$37)</f>
        <v>PU</v>
      </c>
      <c r="AG33" s="7" t="str">
        <f>_xlfn.XLOOKUP(AB33,Legend!$A$39:$A$49,Legend!$C$39:$C$49)</f>
        <v>SH</v>
      </c>
      <c r="AH33" s="27">
        <f t="shared" si="9"/>
        <v>0.26377922045901658</v>
      </c>
      <c r="AI33" s="110">
        <f t="shared" si="10"/>
        <v>0.72461586129393052</v>
      </c>
    </row>
    <row r="34" spans="1:35">
      <c r="B34" s="662" t="str">
        <f t="shared" si="0"/>
        <v>S-SH-PU_ELC_X0</v>
      </c>
      <c r="C34" s="54" t="str">
        <f t="shared" si="1"/>
        <v>Public Services - Space heating: Electricity (heaters)</v>
      </c>
      <c r="D34" s="60" t="str">
        <f t="shared" si="8"/>
        <v>SRVELC</v>
      </c>
      <c r="E34" s="60"/>
      <c r="F34" s="26" t="str">
        <f>IF($AD34="","",CONCATENATE(Legend!$C$4,AG34,"-",AF34))</f>
        <v>SRVSH-PU</v>
      </c>
      <c r="G34" s="60">
        <f>IF($AD34="","",SUMIFS('Key Inputs'!$K$29:$K$114,'Key Inputs'!$A$29:$A$114,$AA34,'Key Inputs'!$B$29:$B$114,$AB34,'Key Inputs'!$C$29:$C$114,$AC34))</f>
        <v>0.25843134648841326</v>
      </c>
      <c r="H34" s="645">
        <f>IF($AD34="","",SUMIFS('Key Inputs'!$G$29:$G$114,'Key Inputs'!$A$29:$A$114,$AA34,'Key Inputs'!$B$29:$B$114,$AB34,'Key Inputs'!$C$29:$C$114,$AC34))</f>
        <v>0.81595511259153475</v>
      </c>
      <c r="I34" s="645">
        <f>IF($AD34="","",SUMIFS('Key Inputs'!$I$29:$I$114,'Key Inputs'!$A$29:$A$114,$AA34,'Key Inputs'!$B$29:$B$114,$AB34,'Key Inputs'!$C$29:$C$114,$AC34)/8760)</f>
        <v>0.11415525114155251</v>
      </c>
      <c r="J34" s="647">
        <f>IF($AD34="","",SUMIFS('Key Inputs'!$H$29:$H$114,'Key Inputs'!$A$29:$A$114,$AA34,'Key Inputs'!$B$29:$B$114,$AB34,'Key Inputs'!$C$29:$C$114,$AC34))</f>
        <v>10</v>
      </c>
      <c r="K34" s="81">
        <f t="shared" si="3"/>
        <v>31.536000000000001</v>
      </c>
      <c r="L34" s="81"/>
      <c r="Q34" s="42" t="str">
        <f t="shared" si="12"/>
        <v>PRE</v>
      </c>
      <c r="R34" s="64" t="str">
        <f>IF($AD34="","",_xlfn.TEXTJOIN(",",TRUE,IF(LEFT(Regions!$C$3,1)&lt;&gt;"*",Regions!$C$3,""),IF(LEFT(Regions!$D$3,1)&lt;&gt;"*",Regions!$D$3,"")))</f>
        <v>IE,National</v>
      </c>
      <c r="S34" s="31" t="str">
        <f>IF($AD34="","",CONCATENATE(LEFT(Legend!$C$4),"-",$AG34,"-",$AF34,"_",$AD34,"_X0"))</f>
        <v>S-SH-PU_ELC_X0</v>
      </c>
      <c r="T34" s="31" t="str">
        <f t="shared" si="4"/>
        <v>Public Services - Space heating: Electricity (heaters)</v>
      </c>
      <c r="U34" s="31" t="str">
        <f t="shared" si="5"/>
        <v>PJ</v>
      </c>
      <c r="V34" s="31" t="str">
        <f t="shared" si="6"/>
        <v>GW</v>
      </c>
      <c r="W34" s="31" t="str">
        <f t="shared" si="7"/>
        <v>ANNUAL</v>
      </c>
      <c r="X34" s="22"/>
      <c r="Y34" s="22"/>
      <c r="AA34" s="33" t="str">
        <f>IF('Key Inputs'!A56="","",'Key Inputs'!A56)</f>
        <v>Public Services</v>
      </c>
      <c r="AB34" s="33" t="str">
        <f>IF('Key Inputs'!B56="","",'Key Inputs'!B56)</f>
        <v>Space heating</v>
      </c>
      <c r="AC34" s="33" t="str">
        <f>IF('Key Inputs'!C56="","",'Key Inputs'!C56)</f>
        <v>Electricity (heaters)</v>
      </c>
      <c r="AD34" s="33" t="str">
        <f>IF('Key Inputs'!D56="","",'Key Inputs'!D56)</f>
        <v>ELC</v>
      </c>
      <c r="AE34" s="33" t="str">
        <f>IF('Key Inputs'!E56="","",'Key Inputs'!E56)</f>
        <v>SRVELC</v>
      </c>
      <c r="AF34" s="7" t="str">
        <f>_xlfn.XLOOKUP(AA34,Legend!$A$36:$A$37,Legend!$C$36:$C$37)</f>
        <v>PU</v>
      </c>
      <c r="AG34" s="7" t="str">
        <f>_xlfn.XLOOKUP(AB34,Legend!$A$39:$A$49,Legend!$C$39:$C$49)</f>
        <v>SH</v>
      </c>
      <c r="AH34" s="27">
        <f t="shared" si="9"/>
        <v>1.1402010147389323</v>
      </c>
      <c r="AI34" s="110">
        <f t="shared" si="10"/>
        <v>0.93035284735828772</v>
      </c>
    </row>
    <row r="35" spans="1:35" s="8" customFormat="1" ht="30">
      <c r="A35" s="80"/>
      <c r="B35" s="661" t="str">
        <f t="shared" si="0"/>
        <v>*Public Services Water heating</v>
      </c>
      <c r="C35" s="80" t="str">
        <f t="shared" si="1"/>
        <v/>
      </c>
      <c r="D35" s="655" t="str">
        <f t="shared" si="8"/>
        <v/>
      </c>
      <c r="E35" s="655"/>
      <c r="F35" s="25" t="str">
        <f>IF($AD35="","",CONCATENATE(Legend!$C$4,AG35,"-",AF35))</f>
        <v/>
      </c>
      <c r="G35" s="655" t="str">
        <f>IF($AD35="","",SUMIFS('Key Inputs'!$K$29:$K$114,'Key Inputs'!$A$29:$A$114,$AA35,'Key Inputs'!$B$29:$B$114,$AB35,'Key Inputs'!$C$29:$C$114,$AC35))</f>
        <v/>
      </c>
      <c r="H35" s="656" t="str">
        <f>IF($AD35="","",SUMIFS('Key Inputs'!$G$29:$G$114,'Key Inputs'!$A$29:$A$114,$AA35,'Key Inputs'!$B$29:$B$114,$AB35,'Key Inputs'!$C$29:$C$114,$AC35))</f>
        <v/>
      </c>
      <c r="I35" s="656" t="str">
        <f>IF($AD35="","",SUMIFS('Key Inputs'!$I$29:$I$114,'Key Inputs'!$A$29:$A$114,$AA35,'Key Inputs'!$B$29:$B$114,$AB35,'Key Inputs'!$C$29:$C$114,$AC35)/8760)</f>
        <v/>
      </c>
      <c r="J35" s="657" t="str">
        <f>IF($AD35="","",SUMIFS('Key Inputs'!$H$29:$H$114,'Key Inputs'!$A$29:$A$114,$AA35,'Key Inputs'!$B$29:$B$114,$AB35,'Key Inputs'!$C$29:$C$114,$AC35))</f>
        <v/>
      </c>
      <c r="K35" s="112" t="str">
        <f t="shared" si="3"/>
        <v/>
      </c>
      <c r="L35" s="112"/>
      <c r="M35" s="658"/>
      <c r="N35" s="658"/>
      <c r="O35" s="658"/>
      <c r="P35" s="658"/>
      <c r="Q35" s="514" t="str">
        <f t="shared" si="12"/>
        <v>*Public Services Water heating</v>
      </c>
      <c r="R35" s="64" t="str">
        <f>IF($AD35="","",_xlfn.TEXTJOIN(",",TRUE,IF(LEFT(Regions!$C$3,1)&lt;&gt;"*",Regions!$C$3,""),IF(LEFT(Regions!$D$3,1)&lt;&gt;"*",Regions!$D$3,"")))</f>
        <v/>
      </c>
      <c r="S35" s="25" t="str">
        <f>IF($AD35="","",CONCATENATE(LEFT(Legend!$C$4),"-",$AG35,"-",$AF35,"_",$AD35,"_X0"))</f>
        <v/>
      </c>
      <c r="T35" s="25" t="str">
        <f t="shared" si="4"/>
        <v/>
      </c>
      <c r="U35" s="25" t="str">
        <f t="shared" si="5"/>
        <v/>
      </c>
      <c r="V35" s="25" t="str">
        <f t="shared" si="6"/>
        <v/>
      </c>
      <c r="W35" s="25" t="str">
        <f t="shared" si="7"/>
        <v/>
      </c>
      <c r="X35" s="511"/>
      <c r="Y35" s="511"/>
      <c r="Z35" s="658"/>
      <c r="AA35" s="659"/>
      <c r="AB35" s="659"/>
      <c r="AC35" s="659"/>
      <c r="AD35" s="659"/>
      <c r="AE35" s="659"/>
      <c r="AH35" s="27"/>
      <c r="AI35" s="110"/>
    </row>
    <row r="36" spans="1:35">
      <c r="B36" s="662" t="str">
        <f t="shared" si="0"/>
        <v>S-WH-PU_COA_X0</v>
      </c>
      <c r="C36" s="54" t="str">
        <f t="shared" si="1"/>
        <v>Public Services - Water heating: Solids</v>
      </c>
      <c r="D36" s="60" t="str">
        <f t="shared" si="8"/>
        <v>SRVCOA</v>
      </c>
      <c r="E36" s="60"/>
      <c r="F36" s="26" t="str">
        <f>IF($AD36="","",CONCATENATE(Legend!$C$4,AG36,"-",AF36))</f>
        <v>SRVWH-PU</v>
      </c>
      <c r="G36" s="60">
        <f>IF($AD36="","",SUMIFS('Key Inputs'!$K$29:$K$114,'Key Inputs'!$A$29:$A$114,$AA36,'Key Inputs'!$B$29:$B$114,$AB36,'Key Inputs'!$C$29:$C$114,$AC36))</f>
        <v>0</v>
      </c>
      <c r="H36" s="645">
        <f>IF($AD36="","",SUMIFS('Key Inputs'!$G$29:$G$114,'Key Inputs'!$A$29:$A$114,$AA36,'Key Inputs'!$B$29:$B$114,$AB36,'Key Inputs'!$C$29:$C$114,$AC36))</f>
        <v>0.33</v>
      </c>
      <c r="I36" s="645">
        <f>IF($AD36="","",SUMIFS('Key Inputs'!$I$29:$I$114,'Key Inputs'!$A$29:$A$114,$AA36,'Key Inputs'!$B$29:$B$114,$AB36,'Key Inputs'!$C$29:$C$114,$AC36)/8760)</f>
        <v>2.2831050228310501E-2</v>
      </c>
      <c r="J36" s="647">
        <f>IF($AD36="","",SUMIFS('Key Inputs'!$H$29:$H$114,'Key Inputs'!$A$29:$A$114,$AA36,'Key Inputs'!$B$29:$B$114,$AB36,'Key Inputs'!$C$29:$C$114,$AC36))</f>
        <v>20</v>
      </c>
      <c r="K36" s="81">
        <f t="shared" si="3"/>
        <v>31.536000000000001</v>
      </c>
      <c r="L36" s="81"/>
      <c r="Q36" s="42" t="str">
        <f t="shared" si="12"/>
        <v>PRE</v>
      </c>
      <c r="R36" s="64" t="str">
        <f>IF($AD36="","",_xlfn.TEXTJOIN(",",TRUE,IF(LEFT(Regions!$C$3,1)&lt;&gt;"*",Regions!$C$3,""),IF(LEFT(Regions!$D$3,1)&lt;&gt;"*",Regions!$D$3,"")))</f>
        <v>IE,National</v>
      </c>
      <c r="S36" s="31" t="str">
        <f>IF($AD36="","",CONCATENATE(LEFT(Legend!$C$4),"-",$AG36,"-",$AF36,"_",$AD36,"_X0"))</f>
        <v>S-WH-PU_COA_X0</v>
      </c>
      <c r="T36" s="31" t="str">
        <f t="shared" si="4"/>
        <v>Public Services - Water heating: Solids</v>
      </c>
      <c r="U36" s="31" t="str">
        <f t="shared" si="5"/>
        <v>PJ</v>
      </c>
      <c r="V36" s="31" t="str">
        <f t="shared" si="6"/>
        <v>GW</v>
      </c>
      <c r="W36" s="31" t="str">
        <f t="shared" si="7"/>
        <v>ANNUAL</v>
      </c>
      <c r="X36" s="22"/>
      <c r="Y36" s="22"/>
      <c r="AA36" s="33" t="str">
        <f>IF('Key Inputs'!A58="","",'Key Inputs'!A58)</f>
        <v>Public Services</v>
      </c>
      <c r="AB36" s="33" t="str">
        <f>IF('Key Inputs'!B58="","",'Key Inputs'!B58)</f>
        <v>Water heating</v>
      </c>
      <c r="AC36" s="33" t="str">
        <f>IF('Key Inputs'!C58="","",'Key Inputs'!C58)</f>
        <v>Solids</v>
      </c>
      <c r="AD36" s="33" t="str">
        <f>IF('Key Inputs'!D58="","",'Key Inputs'!D58)</f>
        <v>COA</v>
      </c>
      <c r="AE36" s="33" t="str">
        <f>IF('Key Inputs'!E58="","",'Key Inputs'!E58)</f>
        <v>SRVCOA</v>
      </c>
      <c r="AF36" s="7" t="str">
        <f>_xlfn.XLOOKUP(AA36,Legend!$A$36:$A$37,Legend!$C$36:$C$37)</f>
        <v>PU</v>
      </c>
      <c r="AG36" s="7" t="str">
        <f>_xlfn.XLOOKUP(AB36,Legend!$A$39:$A$49,Legend!$C$39:$C$49)</f>
        <v>WH</v>
      </c>
      <c r="AH36" s="27">
        <f t="shared" si="9"/>
        <v>0</v>
      </c>
      <c r="AI36" s="110">
        <f t="shared" si="10"/>
        <v>0</v>
      </c>
    </row>
    <row r="37" spans="1:35">
      <c r="B37" s="662" t="str">
        <f t="shared" si="0"/>
        <v>S-WH-PU_LPG_X0</v>
      </c>
      <c r="C37" s="54" t="str">
        <f t="shared" si="1"/>
        <v>Public Services - Water heating: LPG</v>
      </c>
      <c r="D37" s="60" t="str">
        <f t="shared" si="8"/>
        <v>SRVLPG</v>
      </c>
      <c r="E37" s="60"/>
      <c r="F37" s="26" t="str">
        <f>IF($AD37="","",CONCATENATE(Legend!$C$4,AG37,"-",AF37))</f>
        <v>SRVWH-PU</v>
      </c>
      <c r="G37" s="60">
        <f>IF($AD37="","",SUMIFS('Key Inputs'!$K$29:$K$114,'Key Inputs'!$A$29:$A$114,$AA37,'Key Inputs'!$B$29:$B$114,$AB37,'Key Inputs'!$C$29:$C$114,$AC37))</f>
        <v>0</v>
      </c>
      <c r="H37" s="645">
        <f>IF($AD37="","",SUMIFS('Key Inputs'!$G$29:$G$114,'Key Inputs'!$A$29:$A$114,$AA37,'Key Inputs'!$B$29:$B$114,$AB37,'Key Inputs'!$C$29:$C$114,$AC37))</f>
        <v>0.33</v>
      </c>
      <c r="I37" s="645">
        <f>IF($AD37="","",SUMIFS('Key Inputs'!$I$29:$I$114,'Key Inputs'!$A$29:$A$114,$AA37,'Key Inputs'!$B$29:$B$114,$AB37,'Key Inputs'!$C$29:$C$114,$AC37)/8760)</f>
        <v>2.2831050228310501E-2</v>
      </c>
      <c r="J37" s="647">
        <f>IF($AD37="","",SUMIFS('Key Inputs'!$H$29:$H$114,'Key Inputs'!$A$29:$A$114,$AA37,'Key Inputs'!$B$29:$B$114,$AB37,'Key Inputs'!$C$29:$C$114,$AC37))</f>
        <v>20</v>
      </c>
      <c r="K37" s="81">
        <f t="shared" si="3"/>
        <v>31.536000000000001</v>
      </c>
      <c r="L37" s="81"/>
      <c r="Q37" s="42" t="str">
        <f t="shared" si="12"/>
        <v>PRE</v>
      </c>
      <c r="R37" s="64" t="str">
        <f>IF($AD37="","",_xlfn.TEXTJOIN(",",TRUE,IF(LEFT(Regions!$C$3,1)&lt;&gt;"*",Regions!$C$3,""),IF(LEFT(Regions!$D$3,1)&lt;&gt;"*",Regions!$D$3,"")))</f>
        <v>IE,National</v>
      </c>
      <c r="S37" s="31" t="str">
        <f>IF($AD37="","",CONCATENATE(LEFT(Legend!$C$4),"-",$AG37,"-",$AF37,"_",$AD37,"_X0"))</f>
        <v>S-WH-PU_LPG_X0</v>
      </c>
      <c r="T37" s="31" t="str">
        <f t="shared" si="4"/>
        <v>Public Services - Water heating: LPG</v>
      </c>
      <c r="U37" s="31" t="str">
        <f t="shared" si="5"/>
        <v>PJ</v>
      </c>
      <c r="V37" s="31" t="str">
        <f t="shared" si="6"/>
        <v>GW</v>
      </c>
      <c r="W37" s="31" t="str">
        <f t="shared" si="7"/>
        <v>ANNUAL</v>
      </c>
      <c r="X37" s="22"/>
      <c r="Y37" s="22"/>
      <c r="AA37" s="33" t="str">
        <f>IF('Key Inputs'!A59="","",'Key Inputs'!A59)</f>
        <v>Public Services</v>
      </c>
      <c r="AB37" s="33" t="str">
        <f>IF('Key Inputs'!B59="","",'Key Inputs'!B59)</f>
        <v>Water heating</v>
      </c>
      <c r="AC37" s="33" t="str">
        <f>IF('Key Inputs'!C59="","",'Key Inputs'!C59)</f>
        <v>LPG</v>
      </c>
      <c r="AD37" s="33" t="str">
        <f>IF('Key Inputs'!D59="","",'Key Inputs'!D59)</f>
        <v>LPG</v>
      </c>
      <c r="AE37" s="33" t="str">
        <f>IF('Key Inputs'!E59="","",'Key Inputs'!E59)</f>
        <v>SRVLPG</v>
      </c>
      <c r="AF37" s="7" t="str">
        <f>_xlfn.XLOOKUP(AA37,Legend!$A$36:$A$37,Legend!$C$36:$C$37)</f>
        <v>PU</v>
      </c>
      <c r="AG37" s="7" t="str">
        <f>_xlfn.XLOOKUP(AB37,Legend!$A$39:$A$49,Legend!$C$39:$C$49)</f>
        <v>WH</v>
      </c>
      <c r="AH37" s="27">
        <f t="shared" si="9"/>
        <v>0</v>
      </c>
      <c r="AI37" s="110">
        <f t="shared" si="10"/>
        <v>0</v>
      </c>
    </row>
    <row r="38" spans="1:35">
      <c r="B38" s="662" t="str">
        <f t="shared" si="0"/>
        <v>S-WH-PU_OIL_X0</v>
      </c>
      <c r="C38" s="54" t="str">
        <f t="shared" si="1"/>
        <v>Public Services - Water heating: Oil</v>
      </c>
      <c r="D38" s="60" t="str">
        <f t="shared" si="8"/>
        <v>SRVOIL</v>
      </c>
      <c r="E38" s="60"/>
      <c r="F38" s="26" t="str">
        <f>IF($AD38="","",CONCATENATE(Legend!$C$4,AG38,"-",AF38))</f>
        <v>SRVWH-PU</v>
      </c>
      <c r="G38" s="60">
        <f>IF($AD38="","",SUMIFS('Key Inputs'!$K$29:$K$114,'Key Inputs'!$A$29:$A$114,$AA38,'Key Inputs'!$B$29:$B$114,$AB38,'Key Inputs'!$C$29:$C$114,$AC38))</f>
        <v>0.98654385278891354</v>
      </c>
      <c r="H38" s="645">
        <f>IF($AD38="","",SUMIFS('Key Inputs'!$G$29:$G$114,'Key Inputs'!$A$29:$A$114,$AA38,'Key Inputs'!$B$29:$B$114,$AB38,'Key Inputs'!$C$29:$C$114,$AC38))</f>
        <v>0.59834963673469854</v>
      </c>
      <c r="I38" s="645">
        <f>IF($AD38="","",SUMIFS('Key Inputs'!$I$29:$I$114,'Key Inputs'!$A$29:$A$114,$AA38,'Key Inputs'!$B$29:$B$114,$AB38,'Key Inputs'!$C$29:$C$114,$AC38)/8760)</f>
        <v>2.2831050228310501E-2</v>
      </c>
      <c r="J38" s="647">
        <f>IF($AD38="","",SUMIFS('Key Inputs'!$H$29:$H$114,'Key Inputs'!$A$29:$A$114,$AA38,'Key Inputs'!$B$29:$B$114,$AB38,'Key Inputs'!$C$29:$C$114,$AC38))</f>
        <v>20</v>
      </c>
      <c r="K38" s="81">
        <f t="shared" si="3"/>
        <v>31.536000000000001</v>
      </c>
      <c r="L38" s="81"/>
      <c r="Q38" s="42" t="str">
        <f t="shared" si="12"/>
        <v>PRE</v>
      </c>
      <c r="R38" s="64" t="str">
        <f>IF($AD38="","",_xlfn.TEXTJOIN(",",TRUE,IF(LEFT(Regions!$C$3,1)&lt;&gt;"*",Regions!$C$3,""),IF(LEFT(Regions!$D$3,1)&lt;&gt;"*",Regions!$D$3,"")))</f>
        <v>IE,National</v>
      </c>
      <c r="S38" s="31" t="str">
        <f>IF($AD38="","",CONCATENATE(LEFT(Legend!$C$4),"-",$AG38,"-",$AF38,"_",$AD38,"_X0"))</f>
        <v>S-WH-PU_OIL_X0</v>
      </c>
      <c r="T38" s="31" t="str">
        <f t="shared" si="4"/>
        <v>Public Services - Water heating: Oil</v>
      </c>
      <c r="U38" s="31" t="str">
        <f t="shared" si="5"/>
        <v>PJ</v>
      </c>
      <c r="V38" s="31" t="str">
        <f t="shared" si="6"/>
        <v>GW</v>
      </c>
      <c r="W38" s="31" t="str">
        <f t="shared" si="7"/>
        <v>ANNUAL</v>
      </c>
      <c r="X38" s="22"/>
      <c r="Y38" s="22"/>
      <c r="AA38" s="33" t="str">
        <f>IF('Key Inputs'!A60="","",'Key Inputs'!A60)</f>
        <v>Public Services</v>
      </c>
      <c r="AB38" s="33" t="str">
        <f>IF('Key Inputs'!B60="","",'Key Inputs'!B60)</f>
        <v>Water heating</v>
      </c>
      <c r="AC38" s="33" t="str">
        <f>IF('Key Inputs'!C60="","",'Key Inputs'!C60)</f>
        <v>Oil</v>
      </c>
      <c r="AD38" s="33" t="str">
        <f>IF('Key Inputs'!D60="","",'Key Inputs'!D60)</f>
        <v>OIL</v>
      </c>
      <c r="AE38" s="33" t="str">
        <f>IF('Key Inputs'!E60="","",'Key Inputs'!E60)</f>
        <v>SRVOIL</v>
      </c>
      <c r="AF38" s="7" t="str">
        <f>_xlfn.XLOOKUP(AA38,Legend!$A$36:$A$37,Legend!$C$36:$C$37)</f>
        <v>PU</v>
      </c>
      <c r="AG38" s="7" t="str">
        <f>_xlfn.XLOOKUP(AB38,Legend!$A$39:$A$49,Legend!$C$39:$C$49)</f>
        <v>WH</v>
      </c>
      <c r="AH38" s="27">
        <f t="shared" si="9"/>
        <v>1.1871179163478993</v>
      </c>
      <c r="AI38" s="110">
        <f t="shared" si="10"/>
        <v>0.71031157400801781</v>
      </c>
    </row>
    <row r="39" spans="1:35">
      <c r="B39" s="662" t="str">
        <f t="shared" si="0"/>
        <v>S-WH-PU_GAS_X0</v>
      </c>
      <c r="C39" s="54" t="str">
        <f t="shared" si="1"/>
        <v>Public Services - Water heating: Natural Gas</v>
      </c>
      <c r="D39" s="60" t="str">
        <f t="shared" si="8"/>
        <v>SRVGAS, SRVBGS</v>
      </c>
      <c r="E39" s="60"/>
      <c r="F39" s="26" t="str">
        <f>IF($AD39="","",CONCATENATE(Legend!$C$4,AG39,"-",AF39))</f>
        <v>SRVWH-PU</v>
      </c>
      <c r="G39" s="60">
        <f>IF($AD39="","",SUMIFS('Key Inputs'!$K$29:$K$114,'Key Inputs'!$A$29:$A$114,$AA39,'Key Inputs'!$B$29:$B$114,$AB39,'Key Inputs'!$C$29:$C$114,$AC39))</f>
        <v>1.2090065961850855</v>
      </c>
      <c r="H39" s="645">
        <f>IF($AD39="","",SUMIFS('Key Inputs'!$G$29:$G$114,'Key Inputs'!$A$29:$A$114,$AA39,'Key Inputs'!$B$29:$B$114,$AB39,'Key Inputs'!$C$29:$C$114,$AC39))</f>
        <v>0.63024757853709534</v>
      </c>
      <c r="I39" s="645">
        <f>IF($AD39="","",SUMIFS('Key Inputs'!$I$29:$I$114,'Key Inputs'!$A$29:$A$114,$AA39,'Key Inputs'!$B$29:$B$114,$AB39,'Key Inputs'!$C$29:$C$114,$AC39)/8760)</f>
        <v>2.2831050228310501E-2</v>
      </c>
      <c r="J39" s="647">
        <f>IF($AD39="","",SUMIFS('Key Inputs'!$H$29:$H$114,'Key Inputs'!$A$29:$A$114,$AA39,'Key Inputs'!$B$29:$B$114,$AB39,'Key Inputs'!$C$29:$C$114,$AC39))</f>
        <v>20</v>
      </c>
      <c r="K39" s="81">
        <f t="shared" si="3"/>
        <v>31.536000000000001</v>
      </c>
      <c r="L39" s="81"/>
      <c r="M39" s="646">
        <f>EB_SRV!G80/'Key Inputs'!F61</f>
        <v>0</v>
      </c>
      <c r="N39" s="646">
        <f>M39</f>
        <v>0</v>
      </c>
      <c r="O39" s="83">
        <v>5</v>
      </c>
      <c r="Q39" s="42" t="str">
        <f t="shared" si="12"/>
        <v>PRE</v>
      </c>
      <c r="R39" s="64" t="str">
        <f>IF($AD39="","",_xlfn.TEXTJOIN(",",TRUE,IF(LEFT(Regions!$C$3,1)&lt;&gt;"*",Regions!$C$3,""),IF(LEFT(Regions!$D$3,1)&lt;&gt;"*",Regions!$D$3,"")))</f>
        <v>IE,National</v>
      </c>
      <c r="S39" s="31" t="str">
        <f>IF($AD39="","",CONCATENATE(LEFT(Legend!$C$4),"-",$AG39,"-",$AF39,"_",$AD39,"_X0"))</f>
        <v>S-WH-PU_GAS_X0</v>
      </c>
      <c r="T39" s="31" t="str">
        <f t="shared" si="4"/>
        <v>Public Services - Water heating: Natural Gas</v>
      </c>
      <c r="U39" s="31" t="str">
        <f t="shared" si="5"/>
        <v>PJ</v>
      </c>
      <c r="V39" s="31" t="str">
        <f t="shared" si="6"/>
        <v>GW</v>
      </c>
      <c r="W39" s="31" t="str">
        <f t="shared" si="7"/>
        <v>ANNUAL</v>
      </c>
      <c r="X39" s="22"/>
      <c r="Y39" s="22"/>
      <c r="AA39" s="33" t="str">
        <f>IF('Key Inputs'!A61="","",'Key Inputs'!A61)</f>
        <v>Public Services</v>
      </c>
      <c r="AB39" s="33" t="str">
        <f>IF('Key Inputs'!B61="","",'Key Inputs'!B61)</f>
        <v>Water heating</v>
      </c>
      <c r="AC39" s="33" t="str">
        <f>IF('Key Inputs'!C61="","",'Key Inputs'!C61)</f>
        <v>Natural Gas</v>
      </c>
      <c r="AD39" s="33" t="str">
        <f>IF('Key Inputs'!D61="","",'Key Inputs'!D61)</f>
        <v>GAS</v>
      </c>
      <c r="AE39" s="33" t="str">
        <f>IF('Key Inputs'!E61="","",'Key Inputs'!E61)</f>
        <v>SRVGAS, SRVBGS</v>
      </c>
      <c r="AF39" s="7" t="str">
        <f>_xlfn.XLOOKUP(AA39,Legend!$A$36:$A$37,Legend!$C$36:$C$37)</f>
        <v>PU</v>
      </c>
      <c r="AG39" s="7" t="str">
        <f>_xlfn.XLOOKUP(AB39,Legend!$A$39:$A$49,Legend!$C$39:$C$49)</f>
        <v>WH</v>
      </c>
      <c r="AH39" s="27">
        <f t="shared" si="9"/>
        <v>1.3811790459771298</v>
      </c>
      <c r="AI39" s="110">
        <f t="shared" si="10"/>
        <v>0.87048474925326158</v>
      </c>
    </row>
    <row r="40" spans="1:35">
      <c r="B40" s="662" t="str">
        <f t="shared" si="0"/>
        <v>S-WH-PU_BIO_X0</v>
      </c>
      <c r="C40" s="54" t="str">
        <f t="shared" si="1"/>
        <v>Public Services - Water heating: Biomass</v>
      </c>
      <c r="D40" s="60" t="str">
        <f t="shared" si="8"/>
        <v>SRVBIO</v>
      </c>
      <c r="E40" s="60"/>
      <c r="F40" s="26" t="str">
        <f>IF($AD40="","",CONCATENATE(Legend!$C$4,AG40,"-",AF40))</f>
        <v>SRVWH-PU</v>
      </c>
      <c r="G40" s="60">
        <f>IF($AD40="","",SUMIFS('Key Inputs'!$K$29:$K$114,'Key Inputs'!$A$29:$A$114,$AA40,'Key Inputs'!$B$29:$B$114,$AB40,'Key Inputs'!$C$29:$C$114,$AC40))</f>
        <v>0</v>
      </c>
      <c r="H40" s="645">
        <f>IF($AD40="","",SUMIFS('Key Inputs'!$G$29:$G$114,'Key Inputs'!$A$29:$A$114,$AA40,'Key Inputs'!$B$29:$B$114,$AB40,'Key Inputs'!$C$29:$C$114,$AC40))</f>
        <v>0.33</v>
      </c>
      <c r="I40" s="645">
        <f>IF($AD40="","",SUMIFS('Key Inputs'!$I$29:$I$114,'Key Inputs'!$A$29:$A$114,$AA40,'Key Inputs'!$B$29:$B$114,$AB40,'Key Inputs'!$C$29:$C$114,$AC40)/8760)</f>
        <v>2.2831050228310501E-2</v>
      </c>
      <c r="J40" s="647">
        <f>IF($AD40="","",SUMIFS('Key Inputs'!$H$29:$H$114,'Key Inputs'!$A$29:$A$114,$AA40,'Key Inputs'!$B$29:$B$114,$AB40,'Key Inputs'!$C$29:$C$114,$AC40))</f>
        <v>20</v>
      </c>
      <c r="K40" s="81">
        <f t="shared" si="3"/>
        <v>31.536000000000001</v>
      </c>
      <c r="L40" s="81"/>
      <c r="Q40" s="42" t="str">
        <f t="shared" si="12"/>
        <v>PRE</v>
      </c>
      <c r="R40" s="64" t="str">
        <f>IF($AD40="","",_xlfn.TEXTJOIN(",",TRUE,IF(LEFT(Regions!$C$3,1)&lt;&gt;"*",Regions!$C$3,""),IF(LEFT(Regions!$D$3,1)&lt;&gt;"*",Regions!$D$3,"")))</f>
        <v>IE,National</v>
      </c>
      <c r="S40" s="31" t="str">
        <f>IF($AD40="","",CONCATENATE(LEFT(Legend!$C$4),"-",$AG40,"-",$AF40,"_",$AD40,"_X0"))</f>
        <v>S-WH-PU_BIO_X0</v>
      </c>
      <c r="T40" s="31" t="str">
        <f t="shared" si="4"/>
        <v>Public Services - Water heating: Biomass</v>
      </c>
      <c r="U40" s="31" t="str">
        <f t="shared" si="5"/>
        <v>PJ</v>
      </c>
      <c r="V40" s="31" t="str">
        <f t="shared" si="6"/>
        <v>GW</v>
      </c>
      <c r="W40" s="31" t="str">
        <f t="shared" si="7"/>
        <v>ANNUAL</v>
      </c>
      <c r="X40" s="22"/>
      <c r="Y40" s="22"/>
      <c r="AA40" s="33" t="str">
        <f>IF('Key Inputs'!A62="","",'Key Inputs'!A62)</f>
        <v>Public Services</v>
      </c>
      <c r="AB40" s="33" t="str">
        <f>IF('Key Inputs'!B62="","",'Key Inputs'!B62)</f>
        <v>Water heating</v>
      </c>
      <c r="AC40" s="33" t="str">
        <f>IF('Key Inputs'!C62="","",'Key Inputs'!C62)</f>
        <v>Biomass</v>
      </c>
      <c r="AD40" s="33" t="str">
        <f>IF('Key Inputs'!D62="","",'Key Inputs'!D62)</f>
        <v>BIO</v>
      </c>
      <c r="AE40" s="33" t="str">
        <f>IF('Key Inputs'!E62="","",'Key Inputs'!E62)</f>
        <v>SRVBIO</v>
      </c>
      <c r="AF40" s="7" t="str">
        <f>_xlfn.XLOOKUP(AA40,Legend!$A$36:$A$37,Legend!$C$36:$C$37)</f>
        <v>PU</v>
      </c>
      <c r="AG40" s="7" t="str">
        <f>_xlfn.XLOOKUP(AB40,Legend!$A$39:$A$49,Legend!$C$39:$C$49)</f>
        <v>WH</v>
      </c>
      <c r="AH40" s="27">
        <f t="shared" si="9"/>
        <v>0</v>
      </c>
      <c r="AI40" s="110">
        <f t="shared" si="10"/>
        <v>0</v>
      </c>
    </row>
    <row r="41" spans="1:35">
      <c r="B41" s="662" t="str">
        <f t="shared" si="0"/>
        <v>S-WH-PU_ELC_X0</v>
      </c>
      <c r="C41" s="54" t="str">
        <f t="shared" si="1"/>
        <v>Public Services - Water heating: Electricity</v>
      </c>
      <c r="D41" s="60" t="str">
        <f t="shared" si="8"/>
        <v>SRVELC</v>
      </c>
      <c r="E41" s="60"/>
      <c r="F41" s="26" t="str">
        <f>IF($AD41="","",CONCATENATE(Legend!$C$4,AG41,"-",AF41))</f>
        <v>SRVWH-PU</v>
      </c>
      <c r="G41" s="60">
        <f>IF($AD41="","",SUMIFS('Key Inputs'!$K$29:$K$114,'Key Inputs'!$A$29:$A$114,$AA41,'Key Inputs'!$B$29:$B$114,$AB41,'Key Inputs'!$C$29:$C$114,$AC41))</f>
        <v>0.7000046687367153</v>
      </c>
      <c r="H41" s="645">
        <f>IF($AD41="","",SUMIFS('Key Inputs'!$G$29:$G$114,'Key Inputs'!$A$29:$A$114,$AA41,'Key Inputs'!$B$29:$B$114,$AB41,'Key Inputs'!$C$29:$C$114,$AC41))</f>
        <v>0.7791533881609447</v>
      </c>
      <c r="I41" s="645">
        <f>IF($AD41="","",SUMIFS('Key Inputs'!$I$29:$I$114,'Key Inputs'!$A$29:$A$114,$AA41,'Key Inputs'!$B$29:$B$114,$AB41,'Key Inputs'!$C$29:$C$114,$AC41)/8760)</f>
        <v>2.2831050228310501E-2</v>
      </c>
      <c r="J41" s="647">
        <f>IF($AD41="","",SUMIFS('Key Inputs'!$H$29:$H$114,'Key Inputs'!$A$29:$A$114,$AA41,'Key Inputs'!$B$29:$B$114,$AB41,'Key Inputs'!$C$29:$C$114,$AC41))</f>
        <v>10</v>
      </c>
      <c r="K41" s="81">
        <f t="shared" si="3"/>
        <v>31.536000000000001</v>
      </c>
      <c r="L41" s="81"/>
      <c r="Q41" s="42" t="str">
        <f t="shared" si="12"/>
        <v>PRE</v>
      </c>
      <c r="R41" s="64" t="str">
        <f>IF($AD41="","",_xlfn.TEXTJOIN(",",TRUE,IF(LEFT(Regions!$C$3,1)&lt;&gt;"*",Regions!$C$3,""),IF(LEFT(Regions!$D$3,1)&lt;&gt;"*",Regions!$D$3,"")))</f>
        <v>IE,National</v>
      </c>
      <c r="S41" s="31" t="str">
        <f>IF($AD41="","",CONCATENATE(LEFT(Legend!$C$4),"-",$AG41,"-",$AF41,"_",$AD41,"_X0"))</f>
        <v>S-WH-PU_ELC_X0</v>
      </c>
      <c r="T41" s="31" t="str">
        <f t="shared" si="4"/>
        <v>Public Services - Water heating: Electricity</v>
      </c>
      <c r="U41" s="31" t="str">
        <f t="shared" si="5"/>
        <v>PJ</v>
      </c>
      <c r="V41" s="31" t="str">
        <f t="shared" si="6"/>
        <v>GW</v>
      </c>
      <c r="W41" s="31" t="str">
        <f t="shared" si="7"/>
        <v>ANNUAL</v>
      </c>
      <c r="X41" s="22"/>
      <c r="Y41" s="22"/>
      <c r="AA41" s="33" t="str">
        <f>IF('Key Inputs'!A63="","",'Key Inputs'!A63)</f>
        <v>Public Services</v>
      </c>
      <c r="AB41" s="33" t="str">
        <f>IF('Key Inputs'!B63="","",'Key Inputs'!B63)</f>
        <v>Water heating</v>
      </c>
      <c r="AC41" s="33" t="str">
        <f>IF('Key Inputs'!C63="","",'Key Inputs'!C63)</f>
        <v>Electricity</v>
      </c>
      <c r="AD41" s="33" t="str">
        <f>IF('Key Inputs'!D63="","",'Key Inputs'!D63)</f>
        <v>ELC</v>
      </c>
      <c r="AE41" s="33" t="str">
        <f>IF('Key Inputs'!E63="","",'Key Inputs'!E63)</f>
        <v>SRVELC</v>
      </c>
      <c r="AF41" s="7" t="str">
        <f>_xlfn.XLOOKUP(AA41,Legend!$A$36:$A$37,Legend!$C$36:$C$37)</f>
        <v>PU</v>
      </c>
      <c r="AG41" s="7" t="str">
        <f>_xlfn.XLOOKUP(AB41,Legend!$A$39:$A$49,Legend!$C$39:$C$49)</f>
        <v>WH</v>
      </c>
      <c r="AH41" s="27">
        <f t="shared" si="9"/>
        <v>0.64686025774725409</v>
      </c>
      <c r="AI41" s="110">
        <f t="shared" si="10"/>
        <v>0.50400336149043501</v>
      </c>
    </row>
    <row r="42" spans="1:35">
      <c r="B42" s="662" t="str">
        <f t="shared" si="0"/>
        <v>S-WH-PU_SOL_X0</v>
      </c>
      <c r="C42" s="54" t="str">
        <f t="shared" si="1"/>
        <v>Public Services - Water heating: Solar</v>
      </c>
      <c r="D42" s="60" t="str">
        <f t="shared" si="8"/>
        <v>SRVSOL</v>
      </c>
      <c r="E42" s="60"/>
      <c r="F42" s="26" t="str">
        <f>IF($AD42="","",CONCATENATE(Legend!$C$4,AG42,"-",AF42))</f>
        <v>SRVWH-PU</v>
      </c>
      <c r="G42" s="60">
        <f>IF($AD42="","",SUMIFS('Key Inputs'!$K$29:$K$114,'Key Inputs'!$A$29:$A$114,$AA42,'Key Inputs'!$B$29:$B$114,$AB42,'Key Inputs'!$C$29:$C$114,$AC42))</f>
        <v>0</v>
      </c>
      <c r="H42" s="645">
        <f>IF($AD42="","",SUMIFS('Key Inputs'!$G$29:$G$114,'Key Inputs'!$A$29:$A$114,$AA42,'Key Inputs'!$B$29:$B$114,$AB42,'Key Inputs'!$C$29:$C$114,$AC42))</f>
        <v>0.99999999999999989</v>
      </c>
      <c r="I42" s="645">
        <f>IF($AD42="","",SUMIFS('Key Inputs'!$I$29:$I$114,'Key Inputs'!$A$29:$A$114,$AA42,'Key Inputs'!$B$29:$B$114,$AB42,'Key Inputs'!$C$29:$C$114,$AC42)/8760)</f>
        <v>2.2831050228310501E-2</v>
      </c>
      <c r="J42" s="647">
        <f>IF($AD42="","",SUMIFS('Key Inputs'!$H$29:$H$114,'Key Inputs'!$A$29:$A$114,$AA42,'Key Inputs'!$B$29:$B$114,$AB42,'Key Inputs'!$C$29:$C$114,$AC42))</f>
        <v>15</v>
      </c>
      <c r="K42" s="81">
        <f t="shared" si="3"/>
        <v>31.536000000000001</v>
      </c>
      <c r="L42" s="81"/>
      <c r="Q42" s="42" t="str">
        <f t="shared" si="12"/>
        <v>PRE</v>
      </c>
      <c r="R42" s="64" t="str">
        <f>IF($AD42="","",_xlfn.TEXTJOIN(",",TRUE,IF(LEFT(Regions!$C$3,1)&lt;&gt;"*",Regions!$C$3,""),IF(LEFT(Regions!$D$3,1)&lt;&gt;"*",Regions!$D$3,"")))</f>
        <v>IE,National</v>
      </c>
      <c r="S42" s="31" t="str">
        <f>IF($AD42="","",CONCATENATE(LEFT(Legend!$C$4),"-",$AG42,"-",$AF42,"_",$AD42,"_X0"))</f>
        <v>S-WH-PU_SOL_X0</v>
      </c>
      <c r="T42" s="31" t="str">
        <f t="shared" si="4"/>
        <v>Public Services - Water heating: Solar</v>
      </c>
      <c r="U42" s="31" t="str">
        <f t="shared" si="5"/>
        <v>PJ</v>
      </c>
      <c r="V42" s="31" t="str">
        <f t="shared" si="6"/>
        <v>GW</v>
      </c>
      <c r="W42" s="31" t="str">
        <f t="shared" si="7"/>
        <v>ANNUAL</v>
      </c>
      <c r="X42" s="22"/>
      <c r="Y42" s="22"/>
      <c r="AA42" s="33" t="str">
        <f>IF('Key Inputs'!A64="","",'Key Inputs'!A64)</f>
        <v>Public Services</v>
      </c>
      <c r="AB42" s="33" t="str">
        <f>IF('Key Inputs'!B64="","",'Key Inputs'!B64)</f>
        <v>Water heating</v>
      </c>
      <c r="AC42" s="33" t="str">
        <f>IF('Key Inputs'!C64="","",'Key Inputs'!C64)</f>
        <v>Solar</v>
      </c>
      <c r="AD42" s="33" t="str">
        <f>IF('Key Inputs'!D64="","",'Key Inputs'!D64)</f>
        <v>SOL</v>
      </c>
      <c r="AE42" s="33" t="str">
        <f>IF('Key Inputs'!E64="","",'Key Inputs'!E64)</f>
        <v>SRVSOL</v>
      </c>
      <c r="AF42" s="7" t="str">
        <f>_xlfn.XLOOKUP(AA42,Legend!$A$36:$A$37,Legend!$C$36:$C$37)</f>
        <v>PU</v>
      </c>
      <c r="AG42" s="7" t="str">
        <f>_xlfn.XLOOKUP(AB42,Legend!$A$39:$A$49,Legend!$C$39:$C$49)</f>
        <v>WH</v>
      </c>
      <c r="AH42" s="27">
        <f t="shared" si="9"/>
        <v>0</v>
      </c>
      <c r="AI42" s="110">
        <f t="shared" si="10"/>
        <v>0</v>
      </c>
    </row>
    <row r="43" spans="1:35" s="8" customFormat="1" ht="30">
      <c r="A43" s="80"/>
      <c r="B43" s="661" t="str">
        <f t="shared" si="0"/>
        <v>*Public Services Space cooling</v>
      </c>
      <c r="C43" s="80" t="str">
        <f t="shared" si="1"/>
        <v/>
      </c>
      <c r="D43" s="655" t="str">
        <f t="shared" si="8"/>
        <v/>
      </c>
      <c r="E43" s="655"/>
      <c r="F43" s="25" t="str">
        <f>IF($AD43="","",CONCATENATE(Legend!$C$4,AG43,"-",AF43))</f>
        <v/>
      </c>
      <c r="G43" s="655" t="str">
        <f>IF($AD43="","",SUMIFS('Key Inputs'!$K$29:$K$114,'Key Inputs'!$A$29:$A$114,$AA43,'Key Inputs'!$B$29:$B$114,$AB43,'Key Inputs'!$C$29:$C$114,$AC43))</f>
        <v/>
      </c>
      <c r="H43" s="656" t="str">
        <f>IF($AD43="","",SUMIFS('Key Inputs'!$G$29:$G$114,'Key Inputs'!$A$29:$A$114,$AA43,'Key Inputs'!$B$29:$B$114,$AB43,'Key Inputs'!$C$29:$C$114,$AC43))</f>
        <v/>
      </c>
      <c r="I43" s="656" t="str">
        <f>IF($AD43="","",SUMIFS('Key Inputs'!$I$29:$I$114,'Key Inputs'!$A$29:$A$114,$AA43,'Key Inputs'!$B$29:$B$114,$AB43,'Key Inputs'!$C$29:$C$114,$AC43)/8760)</f>
        <v/>
      </c>
      <c r="J43" s="657" t="str">
        <f>IF($AD43="","",SUMIFS('Key Inputs'!$H$29:$H$114,'Key Inputs'!$A$29:$A$114,$AA43,'Key Inputs'!$B$29:$B$114,$AB43,'Key Inputs'!$C$29:$C$114,$AC43))</f>
        <v/>
      </c>
      <c r="K43" s="112" t="str">
        <f t="shared" si="3"/>
        <v/>
      </c>
      <c r="L43" s="112"/>
      <c r="M43" s="658"/>
      <c r="N43" s="658"/>
      <c r="O43" s="658"/>
      <c r="P43" s="658"/>
      <c r="Q43" s="514" t="str">
        <f t="shared" si="12"/>
        <v>*Public Services Space cooling</v>
      </c>
      <c r="R43" s="64" t="str">
        <f>IF($AD43="","",_xlfn.TEXTJOIN(",",TRUE,IF(LEFT(Regions!$C$3,1)&lt;&gt;"*",Regions!$C$3,""),IF(LEFT(Regions!$D$3,1)&lt;&gt;"*",Regions!$D$3,"")))</f>
        <v/>
      </c>
      <c r="S43" s="583" t="str">
        <f>IF($AD43="","",CONCATENATE(LEFT(Legend!$C$4),"-",$AG43,"-",$AF43,"_",$AD43,"_X0"))</f>
        <v/>
      </c>
      <c r="T43" s="583" t="str">
        <f t="shared" si="4"/>
        <v/>
      </c>
      <c r="U43" s="583" t="str">
        <f t="shared" si="5"/>
        <v/>
      </c>
      <c r="V43" s="583" t="str">
        <f t="shared" si="6"/>
        <v/>
      </c>
      <c r="W43" s="583" t="str">
        <f t="shared" si="7"/>
        <v/>
      </c>
      <c r="X43" s="19"/>
      <c r="Y43" s="19"/>
      <c r="Z43" s="658"/>
      <c r="AA43" s="659"/>
      <c r="AB43" s="659"/>
      <c r="AC43" s="659"/>
      <c r="AD43" s="659"/>
      <c r="AE43" s="659"/>
      <c r="AH43" s="27"/>
      <c r="AI43" s="687"/>
    </row>
    <row r="44" spans="1:35">
      <c r="B44" s="118" t="str">
        <f t="shared" si="0"/>
        <v>S-SC-PU_GAS_X0</v>
      </c>
      <c r="C44" s="107" t="str">
        <f t="shared" si="1"/>
        <v>Public Services - Space cooling: Natural Gas</v>
      </c>
      <c r="D44" s="88" t="str">
        <f t="shared" si="8"/>
        <v>SRVGAS</v>
      </c>
      <c r="E44" s="88"/>
      <c r="F44" s="129" t="str">
        <f>IF($AD44="","",CONCATENATE(Legend!$C$4,AG44,"-",AF44))</f>
        <v>SRVSC-PU</v>
      </c>
      <c r="G44" s="88">
        <f>IF($AD44="","",SUMIFS('Key Inputs'!$K$29:$K$114,'Key Inputs'!$A$29:$A$114,$AA44,'Key Inputs'!$B$29:$B$114,$AB44,'Key Inputs'!$C$29:$C$114,$AC44))</f>
        <v>1.1532630173488554E-2</v>
      </c>
      <c r="H44" s="104">
        <f>IF($AD44="","",SUMIFS('Key Inputs'!$G$29:$G$114,'Key Inputs'!$A$29:$A$114,$AA44,'Key Inputs'!$B$29:$B$114,$AB44,'Key Inputs'!$C$29:$C$114,$AC44))</f>
        <v>2.7679848891515557</v>
      </c>
      <c r="I44" s="104">
        <f>IF($AD44="","",SUMIFS('Key Inputs'!$I$29:$I$114,'Key Inputs'!$A$29:$A$114,$AA44,'Key Inputs'!$B$29:$B$114,$AB44,'Key Inputs'!$C$29:$C$114,$AC44)/8760)</f>
        <v>3.4246575342465752E-2</v>
      </c>
      <c r="J44" s="652">
        <f>IF($AD44="","",SUMIFS('Key Inputs'!$H$29:$H$114,'Key Inputs'!$A$29:$A$114,$AA44,'Key Inputs'!$B$29:$B$114,$AB44,'Key Inputs'!$C$29:$C$114,$AC44))</f>
        <v>15</v>
      </c>
      <c r="K44" s="108">
        <f t="shared" si="3"/>
        <v>31.536000000000001</v>
      </c>
      <c r="L44" s="108"/>
      <c r="M44" s="105"/>
      <c r="N44" s="105"/>
      <c r="O44" s="105"/>
      <c r="Q44" s="42" t="str">
        <f t="shared" si="12"/>
        <v>PRE</v>
      </c>
      <c r="R44" s="64" t="str">
        <f>IF($AD44="","",_xlfn.TEXTJOIN(",",TRUE,IF(LEFT(Regions!$C$3,1)&lt;&gt;"*",Regions!$C$3,""),IF(LEFT(Regions!$D$3,1)&lt;&gt;"*",Regions!$D$3,"")))</f>
        <v>IE,National</v>
      </c>
      <c r="S44" s="31" t="str">
        <f>IF($AD44="","",CONCATENATE(LEFT(Legend!$C$4),"-",$AG44,"-",$AF44,"_",$AD44,"_X0"))</f>
        <v>S-SC-PU_GAS_X0</v>
      </c>
      <c r="T44" s="31" t="str">
        <f t="shared" si="4"/>
        <v>Public Services - Space cooling: Natural Gas</v>
      </c>
      <c r="U44" s="31" t="str">
        <f t="shared" si="5"/>
        <v>PJ</v>
      </c>
      <c r="V44" s="31" t="str">
        <f t="shared" si="6"/>
        <v>GW</v>
      </c>
      <c r="W44" s="31" t="str">
        <f t="shared" si="7"/>
        <v>ANNUAL</v>
      </c>
      <c r="X44" s="458"/>
      <c r="Y44" s="458"/>
      <c r="AA44" s="33" t="str">
        <f>IF('Key Inputs'!A66="","",'Key Inputs'!A66)</f>
        <v>Public Services</v>
      </c>
      <c r="AB44" s="33" t="str">
        <f>IF('Key Inputs'!B66="","",'Key Inputs'!B66)</f>
        <v>Space cooling</v>
      </c>
      <c r="AC44" s="33" t="str">
        <f>IF('Key Inputs'!C66="","",'Key Inputs'!C66)</f>
        <v>Natural Gas</v>
      </c>
      <c r="AD44" s="33" t="str">
        <f>IF('Key Inputs'!D66="","",'Key Inputs'!D66)</f>
        <v>GAS</v>
      </c>
      <c r="AE44" s="33" t="str">
        <f>IF('Key Inputs'!E66="","",'Key Inputs'!E66)</f>
        <v>SRVGAS</v>
      </c>
      <c r="AF44" s="7" t="str">
        <f>_xlfn.XLOOKUP(AA44,Legend!$A$36:$A$37,Legend!$C$36:$C$37)</f>
        <v>PU</v>
      </c>
      <c r="AG44" s="7" t="str">
        <f>_xlfn.XLOOKUP(AB44,Legend!$A$39:$A$49,Legend!$C$39:$C$49)</f>
        <v>SC</v>
      </c>
      <c r="AH44" s="27">
        <f t="shared" si="9"/>
        <v>4.4997502104086361E-3</v>
      </c>
      <c r="AI44" s="110">
        <f t="shared" si="10"/>
        <v>1.2455240587367638E-2</v>
      </c>
    </row>
    <row r="45" spans="1:35">
      <c r="B45" s="116" t="str">
        <f t="shared" si="0"/>
        <v>S-SC-PU_ELC_X0</v>
      </c>
      <c r="C45" s="82" t="str">
        <f t="shared" si="1"/>
        <v>Public Services - Space cooling: Electricity</v>
      </c>
      <c r="D45" s="123" t="str">
        <f t="shared" si="8"/>
        <v>SRVELC</v>
      </c>
      <c r="E45" s="123"/>
      <c r="F45" s="130" t="str">
        <f>IF($AD45="","",CONCATENATE(Legend!$C$4,AG45,"-",AF45))</f>
        <v>SRVSC-PU</v>
      </c>
      <c r="G45" s="123">
        <f>IF($AD45="","",SUMIFS('Key Inputs'!$K$29:$K$114,'Key Inputs'!$A$29:$A$114,$AA45,'Key Inputs'!$B$29:$B$114,$AB45,'Key Inputs'!$C$29:$C$114,$AC45))</f>
        <v>1.4430376952972261</v>
      </c>
      <c r="H45" s="653">
        <f>IF($AD45="","",SUMIFS('Key Inputs'!$G$29:$G$114,'Key Inputs'!$A$29:$A$114,$AA45,'Key Inputs'!$B$29:$B$114,$AB45,'Key Inputs'!$C$29:$C$114,$AC45))</f>
        <v>2.7466471585410193</v>
      </c>
      <c r="I45" s="653">
        <f>IF($AD45="","",SUMIFS('Key Inputs'!$I$29:$I$114,'Key Inputs'!$A$29:$A$114,$AA45,'Key Inputs'!$B$29:$B$114,$AB45,'Key Inputs'!$C$29:$C$114,$AC45)/8760)</f>
        <v>3.4246575342465752E-2</v>
      </c>
      <c r="J45" s="654">
        <f>IF($AD45="","",SUMIFS('Key Inputs'!$H$29:$H$114,'Key Inputs'!$A$29:$A$114,$AA45,'Key Inputs'!$B$29:$B$114,$AB45,'Key Inputs'!$C$29:$C$114,$AC45))</f>
        <v>15</v>
      </c>
      <c r="K45" s="499">
        <f t="shared" si="3"/>
        <v>31.536000000000001</v>
      </c>
      <c r="L45" s="499"/>
      <c r="M45" s="106"/>
      <c r="N45" s="106"/>
      <c r="O45" s="106"/>
      <c r="Q45" s="49" t="str">
        <f>IF($AD45="","*"&amp;#REF!&amp;" "&amp;#REF!,"PRE")</f>
        <v>PRE</v>
      </c>
      <c r="R45" s="66" t="str">
        <f>IF($AD45="","",_xlfn.TEXTJOIN(",",TRUE,IF(LEFT(Regions!$C$3,1)&lt;&gt;"*",Regions!$C$3,""),IF(LEFT(Regions!$D$3,1)&lt;&gt;"*",Regions!$D$3,"")))</f>
        <v>IE,National</v>
      </c>
      <c r="S45" s="32" t="str">
        <f>IF($AD45="","",CONCATENATE(LEFT(Legend!$C$4),"-",$AG45,"-",$AF45,"_",$AD45,"_X0"))</f>
        <v>S-SC-PU_ELC_X0</v>
      </c>
      <c r="T45" s="32" t="str">
        <f t="shared" si="4"/>
        <v>Public Services - Space cooling: Electricity</v>
      </c>
      <c r="U45" s="32" t="str">
        <f t="shared" si="5"/>
        <v>PJ</v>
      </c>
      <c r="V45" s="32" t="str">
        <f t="shared" si="6"/>
        <v>GW</v>
      </c>
      <c r="W45" s="32" t="str">
        <f t="shared" si="7"/>
        <v>ANNUAL</v>
      </c>
      <c r="X45" s="111"/>
      <c r="Y45" s="111"/>
      <c r="AA45" s="33" t="str">
        <f>IF('Key Inputs'!A67="","",'Key Inputs'!A67)</f>
        <v>Public Services</v>
      </c>
      <c r="AB45" s="33" t="str">
        <f>IF('Key Inputs'!B67="","",'Key Inputs'!B67)</f>
        <v>Space cooling</v>
      </c>
      <c r="AC45" s="33" t="str">
        <f>IF('Key Inputs'!C67="","",'Key Inputs'!C67)</f>
        <v>Electricity</v>
      </c>
      <c r="AD45" s="33" t="str">
        <f>IF('Key Inputs'!D67="","",'Key Inputs'!D67)</f>
        <v>ELC</v>
      </c>
      <c r="AE45" s="33" t="str">
        <f>IF('Key Inputs'!E67="","",'Key Inputs'!E67)</f>
        <v>SRVELC</v>
      </c>
      <c r="AF45" s="7" t="str">
        <f>_xlfn.XLOOKUP(AA45,Legend!$A$36:$A$37,Legend!$C$36:$C$37)</f>
        <v>PU</v>
      </c>
      <c r="AG45" s="7" t="str">
        <f>_xlfn.XLOOKUP(AB45,Legend!$A$39:$A$49,Legend!$C$39:$C$49)</f>
        <v>SC</v>
      </c>
      <c r="AH45" s="27">
        <f t="shared" si="9"/>
        <v>0.56741205584952081</v>
      </c>
      <c r="AI45" s="110">
        <f t="shared" si="10"/>
        <v>1.5584807109210044</v>
      </c>
    </row>
    <row r="46" spans="1:35">
      <c r="Q46" s="1"/>
      <c r="R46" s="1"/>
      <c r="S46" s="1"/>
      <c r="T46" s="1"/>
      <c r="AA46" s="33"/>
      <c r="AB46" s="33"/>
      <c r="AC46" s="33"/>
      <c r="AD46" s="33"/>
      <c r="AE46" s="33"/>
    </row>
    <row r="47" spans="1:35">
      <c r="F47" s="25" t="s">
        <v>527</v>
      </c>
      <c r="G47" s="112">
        <f>SUM(G7:G45)</f>
        <v>14.866686296136042</v>
      </c>
      <c r="Q47" s="1"/>
      <c r="R47" s="1"/>
      <c r="S47" s="1"/>
      <c r="T47" s="1"/>
      <c r="AA47" s="33"/>
      <c r="AB47" s="33"/>
      <c r="AC47" s="33"/>
      <c r="AD47" s="33"/>
      <c r="AE47" s="33"/>
      <c r="AH47" s="506">
        <f>SUM(AH7:AH45)</f>
        <v>29.141975719581037</v>
      </c>
      <c r="AI47" s="506">
        <f>SUM(AI7:AI45)</f>
        <v>25.778451673743685</v>
      </c>
    </row>
    <row r="48" spans="1:35">
      <c r="Q48" s="1"/>
      <c r="R48" s="1"/>
      <c r="S48" s="1"/>
      <c r="T48" s="1"/>
      <c r="AA48" s="33"/>
      <c r="AB48" s="33"/>
      <c r="AC48" s="33"/>
      <c r="AD48" s="33"/>
      <c r="AE48" s="33"/>
    </row>
    <row r="49" spans="17:31">
      <c r="Q49" s="1"/>
      <c r="R49" s="1"/>
      <c r="S49" s="1"/>
      <c r="T49" s="1"/>
      <c r="AA49" s="33"/>
      <c r="AB49" s="33"/>
      <c r="AC49" s="33"/>
      <c r="AD49" s="33"/>
      <c r="AE49" s="33"/>
    </row>
    <row r="50" spans="17:31">
      <c r="Q50" s="1"/>
      <c r="R50" s="1"/>
      <c r="S50" s="1"/>
      <c r="T50" s="1"/>
      <c r="AA50" s="33"/>
      <c r="AB50" s="33"/>
      <c r="AC50" s="33"/>
      <c r="AD50" s="33"/>
      <c r="AE50" s="33"/>
    </row>
    <row r="51" spans="17:31">
      <c r="Q51" s="1"/>
      <c r="R51" s="1"/>
      <c r="S51" s="1"/>
      <c r="T51" s="1"/>
      <c r="AA51" s="33"/>
      <c r="AB51" s="33"/>
      <c r="AC51" s="33"/>
      <c r="AD51" s="33"/>
      <c r="AE51" s="33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48.710937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4.5703125" style="31" customWidth="1"/>
    <col min="14" max="14" width="16.5703125" style="31" bestFit="1" customWidth="1"/>
    <col min="15" max="15" width="44.42578125" style="31" bestFit="1" customWidth="1"/>
    <col min="16" max="20" width="9.7109375" style="31" customWidth="1"/>
    <col min="21" max="21" width="4.85546875" style="31" customWidth="1"/>
    <col min="22" max="22" width="21.42578125" style="31" bestFit="1" customWidth="1"/>
    <col min="23" max="23" width="8.8554687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521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537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395</v>
      </c>
      <c r="W3" s="722" t="s">
        <v>165</v>
      </c>
      <c r="X3" s="722" t="s">
        <v>83</v>
      </c>
      <c r="Y3" s="722" t="s">
        <v>515</v>
      </c>
      <c r="Z3" s="722" t="s">
        <v>516</v>
      </c>
      <c r="AA3" s="722" t="s">
        <v>517</v>
      </c>
      <c r="AB3" s="722" t="s">
        <v>518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551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519</v>
      </c>
    </row>
    <row r="5" spans="1:30">
      <c r="A5" s="62"/>
      <c r="B5" s="58" t="s">
        <v>136</v>
      </c>
      <c r="C5" s="58"/>
      <c r="D5" s="58"/>
      <c r="E5" s="58"/>
      <c r="F5" s="58" t="str">
        <f>Q7</f>
        <v>kunits</v>
      </c>
      <c r="G5" s="58" t="s">
        <v>137</v>
      </c>
      <c r="H5" s="58" t="s">
        <v>137</v>
      </c>
      <c r="I5" s="58" t="s">
        <v>143</v>
      </c>
      <c r="J5" s="58" t="s">
        <v>524</v>
      </c>
      <c r="L5" s="665" t="s">
        <v>513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s="25" customFormat="1" ht="45">
      <c r="A6" s="80"/>
      <c r="B6" s="661" t="str">
        <f t="shared" ref="B6" si="0">IF($Y6="",L6,N6)</f>
        <v>*Commercial Services Cooking</v>
      </c>
      <c r="C6" s="80" t="str">
        <f t="shared" ref="C6" si="1">IF($Y6="","",O6)</f>
        <v/>
      </c>
      <c r="D6" s="655" t="str">
        <f t="shared" ref="D6:D15" si="2">IF($Y6="","",Z6)</f>
        <v/>
      </c>
      <c r="E6" s="25" t="str">
        <f>IF($Y6="","",CONCATENATE(Legend!$C$4,AB6,"-",AA6))</f>
        <v/>
      </c>
      <c r="F6" s="655" t="str">
        <f>IF($Y6="","",SUMIFS('Key Inputs'!$L$29:$L$68,'Key Inputs'!$A$29:$A$68,TH_Techs!$AA5,'Key Inputs'!$B$29:$B$68,TH_Techs!$AB5,'Key Inputs'!$C$29:$C$68,TH_Techs!$AC5))</f>
        <v/>
      </c>
      <c r="G6" s="656" t="str">
        <f>IF($Y6="","",SUMIFS('Key Inputs'!$G$29:$G$68,'Key Inputs'!$A$29:$A$68,TH_Techs!$AA5,'Key Inputs'!$B$29:$B$68,TH_Techs!$AB5,'Key Inputs'!$C$29:$C$68,TH_Techs!$AC5))</f>
        <v/>
      </c>
      <c r="H6" s="656" t="str">
        <f>IF($Y6="","",SUMIFS('Key Inputs'!$I$29:$I$114,'Key Inputs'!$A$29:$A$114,$V6,'Key Inputs'!$B$29:$B$114,$W6,'Key Inputs'!$C$29:$C$114,$X6)/8760)</f>
        <v/>
      </c>
      <c r="I6" s="657" t="str">
        <f>IF($Y6="","",SUMIFS('Key Inputs'!$H$29:$H$114,'Key Inputs'!$A$29:$A$114,$V6,'Key Inputs'!$B$29:$B$114,$W6,'Key Inputs'!$C$29:$C$114,$X6))</f>
        <v/>
      </c>
      <c r="J6" s="679" t="str">
        <f>IF($Y6="","",SUMIFS('Key Inputs'!$J$29:$J$114,'Key Inputs'!$A$29:$A$114,$V6,'Key Inputs'!$B$29:$B$114,$W6,'Key Inputs'!$C$29:$C$114,$X6)/1000*31.536)</f>
        <v/>
      </c>
      <c r="L6" s="514" t="str">
        <f t="shared" ref="L6" si="3">IF($Y6="","*"&amp;V7&amp;" "&amp;W7,"PRE")</f>
        <v>*Commercial Services Cooking</v>
      </c>
      <c r="M6" s="64" t="str">
        <f>IF($AB6="","",_xlfn.TEXTJOIN(",",TRUE,IF(LEFT(Regions!$C$3,1)&lt;&gt;"*",Regions!$C$3,""),IF(LEFT(Regions!$D$3,1)&lt;&gt;"*",Regions!$D$3,"")))</f>
        <v/>
      </c>
      <c r="N6" s="25" t="str">
        <f>IF($Y6="","",CONCATENATE(LEFT(Legend!$C$4),"-",$AB6,"-",$AA6,"_",$Y6,"_X0"))</f>
        <v/>
      </c>
      <c r="O6" s="25" t="str">
        <f t="shared" ref="O6:O15" si="4">IF($Y6="","",CONCATENATE(V6," - ",W6,": ",X6))</f>
        <v/>
      </c>
      <c r="P6" s="31" t="str">
        <f t="shared" ref="P6" si="5">IF($Y6="","","PJ")</f>
        <v/>
      </c>
      <c r="Q6" s="25" t="str">
        <f t="shared" ref="Q6:Q15" si="6">IF($Y6="","","kunits")</f>
        <v/>
      </c>
      <c r="R6" s="25" t="str">
        <f t="shared" ref="R6:R15" si="7">IF($Y6="","","ANNUAL")</f>
        <v/>
      </c>
      <c r="S6" s="583"/>
      <c r="T6" s="583"/>
      <c r="V6" s="54" t="str">
        <f>IF('Key Inputs'!A74="","",'Key Inputs'!A74)</f>
        <v/>
      </c>
      <c r="W6" s="54" t="str">
        <f>IF('Key Inputs'!B74="","",'Key Inputs'!B74)</f>
        <v/>
      </c>
      <c r="X6" s="54" t="str">
        <f>IF('Key Inputs'!C74="","",'Key Inputs'!C74)</f>
        <v/>
      </c>
      <c r="Y6" s="54" t="str">
        <f>IF('Key Inputs'!D74="","",'Key Inputs'!D74)</f>
        <v/>
      </c>
      <c r="Z6" s="54" t="str">
        <f>IF('Key Inputs'!E74="","",'Key Inputs'!E74)</f>
        <v/>
      </c>
      <c r="AC6" s="27" t="str">
        <f t="shared" ref="AC6:AC15" si="8">IF($Y6="","",AD6/G6)</f>
        <v/>
      </c>
      <c r="AD6" s="110" t="str">
        <f t="shared" ref="AD6:AD15" si="9">IF($Y6="","",F6*H6*J6)</f>
        <v/>
      </c>
    </row>
    <row r="7" spans="1:30">
      <c r="B7" s="662" t="str">
        <f t="shared" ref="B7" si="10">IF($Y7="",L7,N7)</f>
        <v>S-CK-CS_LPG_X0</v>
      </c>
      <c r="C7" s="54" t="str">
        <f t="shared" ref="C7" si="11">IF($Y7="","",O7)</f>
        <v>Commercial Services - Cooking: LPG</v>
      </c>
      <c r="D7" s="60" t="str">
        <f t="shared" si="2"/>
        <v>SRVLPG</v>
      </c>
      <c r="E7" s="26" t="str">
        <f>IF($Y7="","",CONCATENATE(Legend!$C$4,AB7,"-",AA7))</f>
        <v>SRVCK-CS</v>
      </c>
      <c r="F7" s="60">
        <f>IF($Y7="","",SUMIFS('Key Inputs'!$L$29:$L$114,'Key Inputs'!$A$29:$A$114,$V7,'Key Inputs'!$B$29:$B$114,$W7,'Key Inputs'!$C$29:$C$114,$X7))</f>
        <v>25.250481302429399</v>
      </c>
      <c r="G7" s="60">
        <f>IF($Y7="","",SUMIFS('Key Inputs'!$G$29:$G$114,'Key Inputs'!$A$29:$A$114,$V7,'Key Inputs'!$B$29:$B$114,$W7,'Key Inputs'!$C$29:$C$114,$X7))</f>
        <v>0.48571820894923945</v>
      </c>
      <c r="H7" s="645">
        <f>IF($Y7="","",SUMIFS('Key Inputs'!$I$29:$I$114,'Key Inputs'!$A$29:$A$114,$V7,'Key Inputs'!$B$29:$B$114,$W7,'Key Inputs'!$C$29:$C$114,$X7)/8760)</f>
        <v>9.1324200913242004E-2</v>
      </c>
      <c r="I7" s="679">
        <f>IF($Y7="","",SUMIFS('Key Inputs'!$H$29:$H$114,'Key Inputs'!$A$29:$A$114,$V7,'Key Inputs'!$B$29:$B$114,$W7,'Key Inputs'!$C$29:$C$114,$X7))</f>
        <v>15</v>
      </c>
      <c r="J7" s="60">
        <f>IF($Y7="","",SUMIFS('Key Inputs'!$J$29:$J$114,'Key Inputs'!$A$29:$A$114,$V7,'Key Inputs'!$B$29:$B$114,$W7,'Key Inputs'!$C$29:$C$114,$X7)/1000*31.536)</f>
        <v>0.47304000000000002</v>
      </c>
      <c r="L7" s="42" t="str">
        <f t="shared" ref="L7" si="12">IF($Y7="","*"&amp;V8&amp;" "&amp;W8,"PRE")</f>
        <v>PRE</v>
      </c>
      <c r="M7" s="64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IF($Y7="","",CONCATENATE(LEFT(Legend!$C$4),"-",$AB7,"-",$AA7,"_",$Y7,"_X0"))</f>
        <v>S-CK-CS_LPG_X0</v>
      </c>
      <c r="O7" s="31" t="str">
        <f t="shared" si="4"/>
        <v>Commercial Services - Cooking: LPG</v>
      </c>
      <c r="P7" s="31" t="str">
        <f>IF($Y7="","","PJ")</f>
        <v>PJ</v>
      </c>
      <c r="Q7" s="31" t="str">
        <f t="shared" si="6"/>
        <v>kunits</v>
      </c>
      <c r="R7" s="31" t="str">
        <f t="shared" si="7"/>
        <v>ANNUAL</v>
      </c>
      <c r="S7" s="22"/>
      <c r="T7" s="22"/>
      <c r="V7" s="54" t="str">
        <f>IF('Key Inputs'!A75="","",'Key Inputs'!A75)</f>
        <v>Commercial Services</v>
      </c>
      <c r="W7" s="54" t="str">
        <f>IF('Key Inputs'!B75="","",'Key Inputs'!B75)</f>
        <v>Cooking</v>
      </c>
      <c r="X7" s="54" t="str">
        <f>IF('Key Inputs'!C75="","",'Key Inputs'!C75)</f>
        <v>LPG</v>
      </c>
      <c r="Y7" s="54" t="str">
        <f>IF('Key Inputs'!D75="","",'Key Inputs'!D75)</f>
        <v>LPG</v>
      </c>
      <c r="Z7" s="54" t="str">
        <f>IF('Key Inputs'!E75="","",'Key Inputs'!E75)</f>
        <v>SRVLPG</v>
      </c>
      <c r="AA7" s="31" t="str">
        <f>_xlfn.XLOOKUP(V7,Legend!$A$36:$A$37,Legend!$C$36:$C$37)</f>
        <v>CS</v>
      </c>
      <c r="AB7" s="31" t="str">
        <f>_xlfn.XLOOKUP(W7,Legend!$A$39:$A$49,Legend!$C$39:$C$49)</f>
        <v>CK</v>
      </c>
      <c r="AC7" s="27">
        <f t="shared" si="8"/>
        <v>2.2457893736879595</v>
      </c>
      <c r="AD7" s="110">
        <f t="shared" si="9"/>
        <v>1.09082079226495</v>
      </c>
    </row>
    <row r="8" spans="1:30">
      <c r="B8" s="662" t="str">
        <f t="shared" ref="B8:B15" si="13">IF($Y8="",L8,N8)</f>
        <v>S-CK-CS_GAS_X0</v>
      </c>
      <c r="C8" s="54" t="str">
        <f t="shared" ref="C8:C15" si="14">IF($Y8="","",O8)</f>
        <v>Commercial Services - Cooking: Natural Gas</v>
      </c>
      <c r="D8" s="60" t="str">
        <f t="shared" si="2"/>
        <v>SRVGAS</v>
      </c>
      <c r="E8" s="26" t="str">
        <f>IF($Y8="","",CONCATENATE(Legend!$C$4,AB8,"-",AA8))</f>
        <v>SRVCK-CS</v>
      </c>
      <c r="F8" s="60">
        <f>IF($Y8="","",SUMIFS('Key Inputs'!$L$29:$L$114,'Key Inputs'!$A$29:$A$114,$V8,'Key Inputs'!$B$29:$B$114,$W8,'Key Inputs'!$C$29:$C$114,$X8))</f>
        <v>26.239429074884384</v>
      </c>
      <c r="G8" s="60">
        <f>IF($Y8="","",SUMIFS('Key Inputs'!$G$29:$G$114,'Key Inputs'!$A$29:$A$114,$V8,'Key Inputs'!$B$29:$B$114,$W8,'Key Inputs'!$C$29:$C$114,$X8))</f>
        <v>0.5299882794392895</v>
      </c>
      <c r="H8" s="645">
        <f>IF($Y8="","",SUMIFS('Key Inputs'!$I$29:$I$114,'Key Inputs'!$A$29:$A$114,$V8,'Key Inputs'!$B$29:$B$114,$W8,'Key Inputs'!$C$29:$C$114,$X8)/8760)</f>
        <v>9.1324200913242004E-2</v>
      </c>
      <c r="I8" s="647">
        <f>IF($Y8="","",SUMIFS('Key Inputs'!$H$29:$H$114,'Key Inputs'!$A$29:$A$114,$V8,'Key Inputs'!$B$29:$B$114,$W8,'Key Inputs'!$C$29:$C$114,$X8))</f>
        <v>15</v>
      </c>
      <c r="J8" s="81">
        <f>IF($Y8="","",SUMIFS('Key Inputs'!$J$29:$J$114,'Key Inputs'!$A$29:$A$114,$V8,'Key Inputs'!$B$29:$B$114,$W8,'Key Inputs'!$C$29:$C$114,$X8)/1000*31.536)</f>
        <v>0.47304000000000002</v>
      </c>
      <c r="L8" s="42" t="str">
        <f t="shared" ref="L8:L15" si="15">IF($Y8="","*"&amp;V9&amp;" "&amp;W9,"PRE")</f>
        <v>PRE</v>
      </c>
      <c r="M8" s="42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S-CK-CS_GAS_X0</v>
      </c>
      <c r="O8" s="31" t="str">
        <f t="shared" si="4"/>
        <v>Commercial Services - Cooking: Natural Gas</v>
      </c>
      <c r="P8" s="31" t="str">
        <f t="shared" ref="P8:P15" si="16">IF($Y8="","","PJ")</f>
        <v>PJ</v>
      </c>
      <c r="Q8" s="31" t="str">
        <f t="shared" si="6"/>
        <v>kunits</v>
      </c>
      <c r="R8" s="31" t="str">
        <f t="shared" si="7"/>
        <v>ANNUAL</v>
      </c>
      <c r="S8" s="22"/>
      <c r="T8" s="22"/>
      <c r="V8" s="54" t="str">
        <f>IF('Key Inputs'!A76="","",'Key Inputs'!A76)</f>
        <v>Commercial Services</v>
      </c>
      <c r="W8" s="54" t="str">
        <f>IF('Key Inputs'!B76="","",'Key Inputs'!B76)</f>
        <v>Cooking</v>
      </c>
      <c r="X8" s="54" t="str">
        <f>IF('Key Inputs'!C76="","",'Key Inputs'!C76)</f>
        <v>Natural Gas</v>
      </c>
      <c r="Y8" s="54" t="str">
        <f>IF('Key Inputs'!D76="","",'Key Inputs'!D76)</f>
        <v>GAS</v>
      </c>
      <c r="Z8" s="54" t="str">
        <f>IF('Key Inputs'!E76="","",'Key Inputs'!E76)</f>
        <v>SRVGAS</v>
      </c>
      <c r="AA8" s="31" t="str">
        <f>_xlfn.XLOOKUP(V8,Legend!$A$36:$A$37,Legend!$C$36:$C$37)</f>
        <v>CS</v>
      </c>
      <c r="AB8" s="31" t="str">
        <f>_xlfn.XLOOKUP(W8,Legend!$A$39:$A$49,Legend!$C$39:$C$49)</f>
        <v>CK</v>
      </c>
      <c r="AC8" s="27">
        <f t="shared" si="8"/>
        <v>2.138808309561596</v>
      </c>
      <c r="AD8" s="110">
        <f t="shared" si="9"/>
        <v>1.1335433360350056</v>
      </c>
    </row>
    <row r="9" spans="1:30">
      <c r="B9" s="662" t="str">
        <f t="shared" si="13"/>
        <v>S-CK-CS_BIO_X0</v>
      </c>
      <c r="C9" s="54" t="str">
        <f t="shared" si="14"/>
        <v>Commercial Services - Cooking: Biomass</v>
      </c>
      <c r="D9" s="60" t="str">
        <f t="shared" si="2"/>
        <v>SRVBIO</v>
      </c>
      <c r="E9" s="26" t="str">
        <f>IF($Y9="","",CONCATENATE(Legend!$C$4,AB9,"-",AA9))</f>
        <v>SRVCK-CS</v>
      </c>
      <c r="F9" s="60">
        <f>IF($Y9="","",SUMIFS('Key Inputs'!$L$29:$L$114,'Key Inputs'!$A$29:$A$114,$V9,'Key Inputs'!$B$29:$B$114,$W9,'Key Inputs'!$C$29:$C$114,$X9))</f>
        <v>0</v>
      </c>
      <c r="G9" s="60">
        <f>IF($Y9="","",SUMIFS('Key Inputs'!$G$29:$G$114,'Key Inputs'!$A$29:$A$114,$V9,'Key Inputs'!$B$29:$B$114,$W9,'Key Inputs'!$C$29:$C$114,$X9))</f>
        <v>0.33</v>
      </c>
      <c r="H9" s="645">
        <f>IF($Y9="","",SUMIFS('Key Inputs'!$I$29:$I$114,'Key Inputs'!$A$29:$A$114,$V9,'Key Inputs'!$B$29:$B$114,$W9,'Key Inputs'!$C$29:$C$114,$X9)/8760)</f>
        <v>9.1324200913242004E-2</v>
      </c>
      <c r="I9" s="647">
        <f>IF($Y9="","",SUMIFS('Key Inputs'!$H$29:$H$114,'Key Inputs'!$A$29:$A$114,$V9,'Key Inputs'!$B$29:$B$114,$W9,'Key Inputs'!$C$29:$C$114,$X9))</f>
        <v>15</v>
      </c>
      <c r="J9" s="81">
        <f>IF($Y9="","",SUMIFS('Key Inputs'!$J$29:$J$114,'Key Inputs'!$A$29:$A$114,$V9,'Key Inputs'!$B$29:$B$114,$W9,'Key Inputs'!$C$29:$C$114,$X9)/1000*31.536)</f>
        <v>0.47304000000000002</v>
      </c>
      <c r="L9" s="42" t="str">
        <f t="shared" si="15"/>
        <v>PRE</v>
      </c>
      <c r="M9" s="42" t="str">
        <f>IF($AB9="","",_xlfn.TEXTJOIN(",",TRUE,IF(LEFT(Regions!$C$3,1)&lt;&gt;"*",Regions!$C$3,""),IF(LEFT(Regions!$D$3,1)&lt;&gt;"*",Regions!$D$3,"")))</f>
        <v>IE,National</v>
      </c>
      <c r="N9" s="31" t="str">
        <f>IF($Y9="","",CONCATENATE(LEFT(Legend!$C$4),"-",$AB9,"-",$AA9,"_",$Y9,"_X0"))</f>
        <v>S-CK-CS_BIO_X0</v>
      </c>
      <c r="O9" s="31" t="str">
        <f t="shared" si="4"/>
        <v>Commercial Services - Cooking: Biomass</v>
      </c>
      <c r="P9" s="31" t="str">
        <f t="shared" si="16"/>
        <v>PJ</v>
      </c>
      <c r="Q9" s="31" t="str">
        <f t="shared" si="6"/>
        <v>kunits</v>
      </c>
      <c r="R9" s="31" t="str">
        <f t="shared" si="7"/>
        <v>ANNUAL</v>
      </c>
      <c r="S9" s="22"/>
      <c r="T9" s="22"/>
      <c r="V9" s="54" t="str">
        <f>IF('Key Inputs'!A77="","",'Key Inputs'!A77)</f>
        <v>Commercial Services</v>
      </c>
      <c r="W9" s="54" t="str">
        <f>IF('Key Inputs'!B77="","",'Key Inputs'!B77)</f>
        <v>Cooking</v>
      </c>
      <c r="X9" s="54" t="str">
        <f>IF('Key Inputs'!C77="","",'Key Inputs'!C77)</f>
        <v>Biomass</v>
      </c>
      <c r="Y9" s="54" t="str">
        <f>IF('Key Inputs'!D77="","",'Key Inputs'!D77)</f>
        <v>BIO</v>
      </c>
      <c r="Z9" s="54" t="str">
        <f>IF('Key Inputs'!E77="","",'Key Inputs'!E77)</f>
        <v>SRVBIO</v>
      </c>
      <c r="AA9" s="31" t="str">
        <f>_xlfn.XLOOKUP(V9,Legend!$A$36:$A$37,Legend!$C$36:$C$37)</f>
        <v>CS</v>
      </c>
      <c r="AB9" s="31" t="str">
        <f>_xlfn.XLOOKUP(W9,Legend!$A$39:$A$49,Legend!$C$39:$C$49)</f>
        <v>CK</v>
      </c>
      <c r="AC9" s="27">
        <f t="shared" si="8"/>
        <v>0</v>
      </c>
      <c r="AD9" s="110">
        <f t="shared" si="9"/>
        <v>0</v>
      </c>
    </row>
    <row r="10" spans="1:30">
      <c r="B10" s="116" t="str">
        <f t="shared" si="13"/>
        <v>S-CK-CS_ELC_X0</v>
      </c>
      <c r="C10" s="82" t="str">
        <f t="shared" si="14"/>
        <v>Commercial Services - Cooking: Electricity</v>
      </c>
      <c r="D10" s="123" t="str">
        <f t="shared" si="2"/>
        <v>SRVELC</v>
      </c>
      <c r="E10" s="130" t="str">
        <f>IF($Y10="","",CONCATENATE(Legend!$C$4,AB10,"-",AA10))</f>
        <v>SRVCK-CS</v>
      </c>
      <c r="F10" s="123">
        <f>IF($Y10="","",SUMIFS('Key Inputs'!$L$29:$L$114,'Key Inputs'!$A$29:$A$114,$V10,'Key Inputs'!$B$29:$B$114,$W10,'Key Inputs'!$C$29:$C$114,$X10))</f>
        <v>35.480305304046496</v>
      </c>
      <c r="G10" s="123">
        <f>IF($Y10="","",SUMIFS('Key Inputs'!$G$29:$G$114,'Key Inputs'!$A$29:$A$114,$V10,'Key Inputs'!$B$29:$B$114,$W10,'Key Inputs'!$C$29:$C$114,$X10))</f>
        <v>0.67758189334652785</v>
      </c>
      <c r="H10" s="653">
        <f>IF($Y10="","",SUMIFS('Key Inputs'!$I$29:$I$114,'Key Inputs'!$A$29:$A$114,$V10,'Key Inputs'!$B$29:$B$114,$W10,'Key Inputs'!$C$29:$C$114,$X10)/8760)</f>
        <v>9.1324200913242004E-2</v>
      </c>
      <c r="I10" s="654">
        <f>IF($Y10="","",SUMIFS('Key Inputs'!$H$29:$H$114,'Key Inputs'!$A$29:$A$114,$V10,'Key Inputs'!$B$29:$B$114,$W10,'Key Inputs'!$C$29:$C$114,$X10))</f>
        <v>15</v>
      </c>
      <c r="J10" s="499">
        <f>IF($Y10="","",SUMIFS('Key Inputs'!$J$29:$J$114,'Key Inputs'!$A$29:$A$114,$V10,'Key Inputs'!$B$29:$B$114,$W10,'Key Inputs'!$C$29:$C$114,$X10)/1000*31.536)</f>
        <v>0.47304000000000002</v>
      </c>
      <c r="L10" s="49" t="str">
        <f t="shared" si="15"/>
        <v>PRE</v>
      </c>
      <c r="M10" s="49" t="str">
        <f>IF($AB10="","",_xlfn.TEXTJOIN(",",TRUE,IF(LEFT(Regions!$C$3,1)&lt;&gt;"*",Regions!$C$3,""),IF(LEFT(Regions!$D$3,1)&lt;&gt;"*",Regions!$D$3,"")))</f>
        <v>IE,National</v>
      </c>
      <c r="N10" s="32" t="str">
        <f>IF($Y10="","",CONCATENATE(LEFT(Legend!$C$4),"-",$AB10,"-",$AA10,"_",$Y10,"_X0"))</f>
        <v>S-CK-CS_ELC_X0</v>
      </c>
      <c r="O10" s="32" t="str">
        <f t="shared" si="4"/>
        <v>Commercial Services - Cooking: Electricity</v>
      </c>
      <c r="P10" s="32" t="str">
        <f t="shared" si="16"/>
        <v>PJ</v>
      </c>
      <c r="Q10" s="32" t="str">
        <f t="shared" si="6"/>
        <v>kunits</v>
      </c>
      <c r="R10" s="32" t="str">
        <f t="shared" si="7"/>
        <v>ANNUAL</v>
      </c>
      <c r="S10" s="32"/>
      <c r="T10" s="32"/>
      <c r="V10" s="107" t="str">
        <f>IF('Key Inputs'!A78="","",'Key Inputs'!A78)</f>
        <v>Commercial Services</v>
      </c>
      <c r="W10" s="107" t="str">
        <f>IF('Key Inputs'!B78="","",'Key Inputs'!B78)</f>
        <v>Cooking</v>
      </c>
      <c r="X10" s="107" t="str">
        <f>IF('Key Inputs'!C78="","",'Key Inputs'!C78)</f>
        <v>Electricity</v>
      </c>
      <c r="Y10" s="107" t="str">
        <f>IF('Key Inputs'!D78="","",'Key Inputs'!D78)</f>
        <v>ELC</v>
      </c>
      <c r="Z10" s="107" t="str">
        <f>IF('Key Inputs'!E78="","",'Key Inputs'!E78)</f>
        <v>SRVELC</v>
      </c>
      <c r="AA10" s="22" t="str">
        <f>_xlfn.XLOOKUP(V10,Legend!$A$36:$A$37,Legend!$C$36:$C$37)</f>
        <v>CS</v>
      </c>
      <c r="AB10" s="22" t="str">
        <f>_xlfn.XLOOKUP(W10,Legend!$A$39:$A$49,Legend!$C$39:$C$49)</f>
        <v>CK</v>
      </c>
      <c r="AC10" s="110">
        <f t="shared" si="8"/>
        <v>2.2620869952186466</v>
      </c>
      <c r="AD10" s="110">
        <f t="shared" si="9"/>
        <v>1.5327491891348086</v>
      </c>
    </row>
    <row r="11" spans="1:30" s="25" customFormat="1" ht="45">
      <c r="B11" s="661" t="str">
        <f t="shared" si="13"/>
        <v>*Public Services Cooking</v>
      </c>
      <c r="C11" s="80" t="str">
        <f t="shared" si="14"/>
        <v/>
      </c>
      <c r="D11" s="655" t="str">
        <f t="shared" si="2"/>
        <v/>
      </c>
      <c r="E11" s="25" t="str">
        <f>IF($Y11="","",CONCATENATE(Legend!$C$4,AB11,"-",AA11))</f>
        <v/>
      </c>
      <c r="F11" s="60" t="str">
        <f>IF($Y11="","",SUMIFS('Key Inputs'!$L$29:$L$114,'Key Inputs'!$A$29:$A$114,$V11,'Key Inputs'!$B$29:$B$114,$W11,'Key Inputs'!$C$29:$C$114,$X11))</f>
        <v/>
      </c>
      <c r="G11" s="60" t="str">
        <f>IF($Y11="","",SUMIFS('Key Inputs'!$G$29:$G$114,'Key Inputs'!$A$29:$A$114,$V11,'Key Inputs'!$B$29:$B$114,$W11,'Key Inputs'!$C$29:$C$114,$X11))</f>
        <v/>
      </c>
      <c r="H11" s="656" t="str">
        <f>IF($Y11="","",SUMIFS('Key Inputs'!$I$29:$I$114,'Key Inputs'!$A$29:$A$114,$V11,'Key Inputs'!$B$29:$B$114,$W11,'Key Inputs'!$C$29:$C$114,$X11)/8760)</f>
        <v/>
      </c>
      <c r="I11" s="657" t="str">
        <f>IF($Y11="","",SUMIFS('Key Inputs'!$H$29:$H$114,'Key Inputs'!$A$29:$A$114,$V11,'Key Inputs'!$B$29:$B$114,$W11,'Key Inputs'!$C$29:$C$114,$X11))</f>
        <v/>
      </c>
      <c r="J11" s="112" t="str">
        <f>IF($Y11="","",SUMIFS('Key Inputs'!$J$29:$J$114,'Key Inputs'!$A$29:$A$114,$V11,'Key Inputs'!$B$29:$B$114,$W11,'Key Inputs'!$C$29:$C$114,$X11)/1000*31.536)</f>
        <v/>
      </c>
      <c r="L11" s="514" t="str">
        <f t="shared" si="15"/>
        <v>*Public Services Cooking</v>
      </c>
      <c r="M11" s="514" t="str">
        <f>IF($AB11="","",_xlfn.TEXTJOIN(",",TRUE,IF(LEFT(Regions!$C$3,1)&lt;&gt;"*",Regions!$C$3,""),IF(LEFT(Regions!$D$3,1)&lt;&gt;"*",Regions!$D$3,"")))</f>
        <v>IE,National</v>
      </c>
      <c r="N11" s="25" t="str">
        <f>IF($Y11="","",CONCATENATE(LEFT(Legend!$C$4),"-",$AB11,"-",$AA11,"_",$Y11,"_X0"))</f>
        <v/>
      </c>
      <c r="O11" s="25" t="str">
        <f t="shared" si="4"/>
        <v/>
      </c>
      <c r="P11" s="31" t="str">
        <f t="shared" si="16"/>
        <v/>
      </c>
      <c r="Q11" s="25" t="str">
        <f t="shared" si="6"/>
        <v/>
      </c>
      <c r="R11" s="25" t="str">
        <f t="shared" si="7"/>
        <v/>
      </c>
      <c r="S11" s="583"/>
      <c r="T11" s="583"/>
      <c r="V11" s="584" t="str">
        <f>IF('Key Inputs'!A79="","",'Key Inputs'!A79)</f>
        <v>Commercial Services</v>
      </c>
      <c r="W11" s="584" t="str">
        <f>IF('Key Inputs'!B79="","",'Key Inputs'!B79)</f>
        <v>Cooking</v>
      </c>
      <c r="X11" s="584" t="str">
        <f>IF('Key Inputs'!C79="","",'Key Inputs'!C79)</f>
        <v>All fuels</v>
      </c>
      <c r="Y11" s="584" t="str">
        <f>IF('Key Inputs'!D79="","",'Key Inputs'!D79)</f>
        <v/>
      </c>
      <c r="Z11" s="584" t="str">
        <f>IF('Key Inputs'!E79="","",'Key Inputs'!E79)</f>
        <v/>
      </c>
      <c r="AA11" s="583" t="str">
        <f>_xlfn.XLOOKUP(V11,Legend!$A$36:$A$37,Legend!$C$36:$C$37)</f>
        <v>CS</v>
      </c>
      <c r="AB11" s="583" t="str">
        <f>_xlfn.XLOOKUP(W11,Legend!$A$39:$A$49,Legend!$C$39:$C$49)</f>
        <v>CK</v>
      </c>
      <c r="AC11" s="110" t="str">
        <f t="shared" si="8"/>
        <v/>
      </c>
      <c r="AD11" s="110" t="str">
        <f t="shared" si="9"/>
        <v/>
      </c>
    </row>
    <row r="12" spans="1:30">
      <c r="B12" s="662" t="str">
        <f t="shared" si="13"/>
        <v>S-CK-PU_LPG_X0</v>
      </c>
      <c r="C12" s="54" t="str">
        <f t="shared" si="14"/>
        <v>Public Services - Cooking: LPG</v>
      </c>
      <c r="D12" s="60" t="str">
        <f t="shared" si="2"/>
        <v>SRVLPG</v>
      </c>
      <c r="E12" s="26" t="str">
        <f>IF($Y12="","",CONCATENATE(Legend!$C$4,AB12,"-",AA12))</f>
        <v>SRVCK-PU</v>
      </c>
      <c r="F12" s="60">
        <f>IF($Y12="","",SUMIFS('Key Inputs'!$L$29:$L$114,'Key Inputs'!$A$29:$A$114,$V12,'Key Inputs'!$B$29:$B$114,$W12,'Key Inputs'!$C$29:$C$114,$X12))</f>
        <v>7.5700714937053677</v>
      </c>
      <c r="G12" s="60">
        <f>IF($Y12="","",SUMIFS('Key Inputs'!$G$29:$G$114,'Key Inputs'!$A$29:$A$114,$V12,'Key Inputs'!$B$29:$B$114,$W12,'Key Inputs'!$C$29:$C$114,$X12))</f>
        <v>0.48571820894923945</v>
      </c>
      <c r="H12" s="645">
        <f>IF($Y12="","",SUMIFS('Key Inputs'!$I$29:$I$114,'Key Inputs'!$A$29:$A$114,$V12,'Key Inputs'!$B$29:$B$114,$W12,'Key Inputs'!$C$29:$C$114,$X12)/8760)</f>
        <v>9.1324200913242004E-2</v>
      </c>
      <c r="I12" s="647">
        <f>IF($Y12="","",SUMIFS('Key Inputs'!$H$29:$H$114,'Key Inputs'!$A$29:$A$114,$V12,'Key Inputs'!$B$29:$B$114,$W12,'Key Inputs'!$C$29:$C$114,$X12))</f>
        <v>15</v>
      </c>
      <c r="J12" s="81">
        <f>IF($Y12="","",SUMIFS('Key Inputs'!$J$29:$J$114,'Key Inputs'!$A$29:$A$114,$V12,'Key Inputs'!$B$29:$B$114,$W12,'Key Inputs'!$C$29:$C$114,$X12)/1000*31.536)</f>
        <v>0.47304000000000002</v>
      </c>
      <c r="L12" s="42" t="str">
        <f t="shared" si="15"/>
        <v>PRE</v>
      </c>
      <c r="M12" s="42" t="str">
        <f>IF($AB12="","",_xlfn.TEXTJOIN(",",TRUE,IF(LEFT(Regions!$C$3,1)&lt;&gt;"*",Regions!$C$3,""),IF(LEFT(Regions!$D$3,1)&lt;&gt;"*",Regions!$D$3,"")))</f>
        <v>IE,National</v>
      </c>
      <c r="N12" s="31" t="str">
        <f>IF($Y12="","",CONCATENATE(LEFT(Legend!$C$4),"-",$AB12,"-",$AA12,"_",$Y12,"_X0"))</f>
        <v>S-CK-PU_LPG_X0</v>
      </c>
      <c r="O12" s="31" t="str">
        <f t="shared" si="4"/>
        <v>Public Services - Cooking: LPG</v>
      </c>
      <c r="P12" s="31" t="str">
        <f t="shared" si="16"/>
        <v>PJ</v>
      </c>
      <c r="Q12" s="31" t="str">
        <f t="shared" si="6"/>
        <v>kunits</v>
      </c>
      <c r="R12" s="31" t="str">
        <f t="shared" si="7"/>
        <v>ANNUAL</v>
      </c>
      <c r="S12" s="22"/>
      <c r="T12" s="22"/>
      <c r="V12" s="107" t="str">
        <f>IF('Key Inputs'!A80="","",'Key Inputs'!A80)</f>
        <v>Public Services</v>
      </c>
      <c r="W12" s="107" t="str">
        <f>IF('Key Inputs'!B80="","",'Key Inputs'!B80)</f>
        <v>Cooking</v>
      </c>
      <c r="X12" s="107" t="str">
        <f>IF('Key Inputs'!C80="","",'Key Inputs'!C80)</f>
        <v>LPG</v>
      </c>
      <c r="Y12" s="107" t="str">
        <f>IF('Key Inputs'!D80="","",'Key Inputs'!D80)</f>
        <v>LPG</v>
      </c>
      <c r="Z12" s="107" t="str">
        <f>IF('Key Inputs'!E80="","",'Key Inputs'!E80)</f>
        <v>SRVLPG</v>
      </c>
      <c r="AA12" s="22" t="str">
        <f>_xlfn.XLOOKUP(V12,Legend!$A$36:$A$37,Legend!$C$36:$C$37)</f>
        <v>PU</v>
      </c>
      <c r="AB12" s="22" t="str">
        <f>_xlfn.XLOOKUP(W12,Legend!$A$39:$A$49,Legend!$C$39:$C$49)</f>
        <v>CK</v>
      </c>
      <c r="AC12" s="110">
        <f t="shared" si="8"/>
        <v>0.67328562632134759</v>
      </c>
      <c r="AD12" s="110">
        <f t="shared" si="9"/>
        <v>0.32702708852807189</v>
      </c>
    </row>
    <row r="13" spans="1:30">
      <c r="B13" s="662" t="str">
        <f t="shared" si="13"/>
        <v>S-CK-PU_GAS_X0</v>
      </c>
      <c r="C13" s="54" t="str">
        <f t="shared" si="14"/>
        <v>Public Services - Cooking: Natural Gas</v>
      </c>
      <c r="D13" s="60" t="str">
        <f t="shared" si="2"/>
        <v>SRVGAS</v>
      </c>
      <c r="E13" s="26" t="str">
        <f>IF($Y13="","",CONCATENATE(Legend!$C$4,AB13,"-",AA13))</f>
        <v>SRVCK-PU</v>
      </c>
      <c r="F13" s="60">
        <f>IF($Y13="","",SUMIFS('Key Inputs'!$L$29:$L$114,'Key Inputs'!$A$29:$A$114,$V13,'Key Inputs'!$B$29:$B$114,$W13,'Key Inputs'!$C$29:$C$114,$X13))</f>
        <v>24.511737713037494</v>
      </c>
      <c r="G13" s="60">
        <f>IF($Y13="","",SUMIFS('Key Inputs'!$G$29:$G$114,'Key Inputs'!$A$29:$A$114,$V13,'Key Inputs'!$B$29:$B$114,$W13,'Key Inputs'!$C$29:$C$114,$X13))</f>
        <v>0.5299882794392895</v>
      </c>
      <c r="H13" s="645">
        <f>IF($Y13="","",SUMIFS('Key Inputs'!$I$29:$I$114,'Key Inputs'!$A$29:$A$114,$V13,'Key Inputs'!$B$29:$B$114,$W13,'Key Inputs'!$C$29:$C$114,$X13)/8760)</f>
        <v>9.1324200913242004E-2</v>
      </c>
      <c r="I13" s="647">
        <f>IF($Y13="","",SUMIFS('Key Inputs'!$H$29:$H$114,'Key Inputs'!$A$29:$A$114,$V13,'Key Inputs'!$B$29:$B$114,$W13,'Key Inputs'!$C$29:$C$114,$X13))</f>
        <v>15</v>
      </c>
      <c r="J13" s="81">
        <f>IF($Y13="","",SUMIFS('Key Inputs'!$J$29:$J$114,'Key Inputs'!$A$29:$A$114,$V13,'Key Inputs'!$B$29:$B$114,$W13,'Key Inputs'!$C$29:$C$114,$X13)/1000*31.536)</f>
        <v>0.47304000000000002</v>
      </c>
      <c r="L13" s="42" t="str">
        <f t="shared" si="15"/>
        <v>PRE</v>
      </c>
      <c r="M13" s="42" t="str">
        <f>IF($AB13="","",_xlfn.TEXTJOIN(",",TRUE,IF(LEFT(Regions!$C$3,1)&lt;&gt;"*",Regions!$C$3,""),IF(LEFT(Regions!$D$3,1)&lt;&gt;"*",Regions!$D$3,"")))</f>
        <v>IE,National</v>
      </c>
      <c r="N13" s="31" t="str">
        <f>IF($Y13="","",CONCATENATE(LEFT(Legend!$C$4),"-",$AB13,"-",$AA13,"_",$Y13,"_X0"))</f>
        <v>S-CK-PU_GAS_X0</v>
      </c>
      <c r="O13" s="31" t="str">
        <f t="shared" si="4"/>
        <v>Public Services - Cooking: Natural Gas</v>
      </c>
      <c r="P13" s="31" t="str">
        <f t="shared" si="16"/>
        <v>PJ</v>
      </c>
      <c r="Q13" s="31" t="str">
        <f t="shared" si="6"/>
        <v>kunits</v>
      </c>
      <c r="R13" s="31" t="str">
        <f t="shared" si="7"/>
        <v>ANNUAL</v>
      </c>
      <c r="S13" s="22"/>
      <c r="T13" s="22"/>
      <c r="V13" s="107" t="str">
        <f>IF('Key Inputs'!A81="","",'Key Inputs'!A81)</f>
        <v>Public Services</v>
      </c>
      <c r="W13" s="107" t="str">
        <f>IF('Key Inputs'!B81="","",'Key Inputs'!B81)</f>
        <v>Cooking</v>
      </c>
      <c r="X13" s="107" t="str">
        <f>IF('Key Inputs'!C81="","",'Key Inputs'!C81)</f>
        <v>Natural Gas</v>
      </c>
      <c r="Y13" s="107" t="str">
        <f>IF('Key Inputs'!D81="","",'Key Inputs'!D81)</f>
        <v>GAS</v>
      </c>
      <c r="Z13" s="107" t="str">
        <f>IF('Key Inputs'!E81="","",'Key Inputs'!E81)</f>
        <v>SRVGAS</v>
      </c>
      <c r="AA13" s="22" t="str">
        <f>_xlfn.XLOOKUP(V13,Legend!$A$36:$A$37,Legend!$C$36:$C$37)</f>
        <v>PU</v>
      </c>
      <c r="AB13" s="22" t="str">
        <f>_xlfn.XLOOKUP(W13,Legend!$A$39:$A$49,Legend!$C$39:$C$49)</f>
        <v>CK</v>
      </c>
      <c r="AC13" s="110">
        <f t="shared" si="8"/>
        <v>1.9979820503266774</v>
      </c>
      <c r="AD13" s="110">
        <f t="shared" si="9"/>
        <v>1.0589070692032196</v>
      </c>
    </row>
    <row r="14" spans="1:30">
      <c r="B14" s="662" t="str">
        <f t="shared" si="13"/>
        <v>S-CK-PU_BIO_X0</v>
      </c>
      <c r="C14" s="54" t="str">
        <f t="shared" si="14"/>
        <v>Public Services - Cooking: Biomass</v>
      </c>
      <c r="D14" s="60" t="str">
        <f t="shared" si="2"/>
        <v>SRVBIO</v>
      </c>
      <c r="E14" s="26" t="str">
        <f>IF($Y14="","",CONCATENATE(Legend!$C$4,AB14,"-",AA14))</f>
        <v>SRVCK-PU</v>
      </c>
      <c r="F14" s="60">
        <f>IF($Y14="","",SUMIFS('Key Inputs'!$L$29:$L$114,'Key Inputs'!$A$29:$A$114,$V14,'Key Inputs'!$B$29:$B$114,$W14,'Key Inputs'!$C$29:$C$114,$X14))</f>
        <v>0</v>
      </c>
      <c r="G14" s="60">
        <f>IF($Y14="","",SUMIFS('Key Inputs'!$G$29:$G$114,'Key Inputs'!$A$29:$A$114,$V14,'Key Inputs'!$B$29:$B$114,$W14,'Key Inputs'!$C$29:$C$114,$X14))</f>
        <v>0.33</v>
      </c>
      <c r="H14" s="645">
        <f>IF($Y14="","",SUMIFS('Key Inputs'!$I$29:$I$114,'Key Inputs'!$A$29:$A$114,$V14,'Key Inputs'!$B$29:$B$114,$W14,'Key Inputs'!$C$29:$C$114,$X14)/8760)</f>
        <v>9.1324200913242004E-2</v>
      </c>
      <c r="I14" s="647">
        <f>IF($Y14="","",SUMIFS('Key Inputs'!$H$29:$H$114,'Key Inputs'!$A$29:$A$114,$V14,'Key Inputs'!$B$29:$B$114,$W14,'Key Inputs'!$C$29:$C$114,$X14))</f>
        <v>15</v>
      </c>
      <c r="J14" s="81">
        <f>IF($Y14="","",SUMIFS('Key Inputs'!$J$29:$J$114,'Key Inputs'!$A$29:$A$114,$V14,'Key Inputs'!$B$29:$B$114,$W14,'Key Inputs'!$C$29:$C$114,$X14)/1000*31.536)</f>
        <v>0.47304000000000002</v>
      </c>
      <c r="L14" s="42" t="str">
        <f t="shared" si="15"/>
        <v>PRE</v>
      </c>
      <c r="M14" s="42" t="str">
        <f>IF($AB14="","",_xlfn.TEXTJOIN(",",TRUE,IF(LEFT(Regions!$C$3,1)&lt;&gt;"*",Regions!$C$3,""),IF(LEFT(Regions!$D$3,1)&lt;&gt;"*",Regions!$D$3,"")))</f>
        <v>IE,National</v>
      </c>
      <c r="N14" s="31" t="str">
        <f>IF($Y14="","",CONCATENATE(LEFT(Legend!$C$4),"-",$AB14,"-",$AA14,"_",$Y14,"_X0"))</f>
        <v>S-CK-PU_BIO_X0</v>
      </c>
      <c r="O14" s="31" t="str">
        <f t="shared" si="4"/>
        <v>Public Services - Cooking: Biomass</v>
      </c>
      <c r="P14" s="31" t="str">
        <f t="shared" si="16"/>
        <v>PJ</v>
      </c>
      <c r="Q14" s="31" t="str">
        <f t="shared" si="6"/>
        <v>kunits</v>
      </c>
      <c r="R14" s="31" t="str">
        <f t="shared" si="7"/>
        <v>ANNUAL</v>
      </c>
      <c r="S14" s="22"/>
      <c r="T14" s="22"/>
      <c r="V14" s="107" t="str">
        <f>IF('Key Inputs'!A82="","",'Key Inputs'!A82)</f>
        <v>Public Services</v>
      </c>
      <c r="W14" s="107" t="str">
        <f>IF('Key Inputs'!B82="","",'Key Inputs'!B82)</f>
        <v>Cooking</v>
      </c>
      <c r="X14" s="107" t="str">
        <f>IF('Key Inputs'!C82="","",'Key Inputs'!C82)</f>
        <v>Biomass</v>
      </c>
      <c r="Y14" s="107" t="str">
        <f>IF('Key Inputs'!D82="","",'Key Inputs'!D82)</f>
        <v>BIO</v>
      </c>
      <c r="Z14" s="107" t="str">
        <f>IF('Key Inputs'!E82="","",'Key Inputs'!E82)</f>
        <v>SRVBIO</v>
      </c>
      <c r="AA14" s="22" t="str">
        <f>_xlfn.XLOOKUP(V14,Legend!$A$36:$A$37,Legend!$C$36:$C$37)</f>
        <v>PU</v>
      </c>
      <c r="AB14" s="22" t="str">
        <f>_xlfn.XLOOKUP(W14,Legend!$A$39:$A$49,Legend!$C$39:$C$49)</f>
        <v>CK</v>
      </c>
      <c r="AC14" s="110">
        <f t="shared" si="8"/>
        <v>0</v>
      </c>
      <c r="AD14" s="110">
        <f t="shared" si="9"/>
        <v>0</v>
      </c>
    </row>
    <row r="15" spans="1:30">
      <c r="B15" s="116" t="str">
        <f t="shared" si="13"/>
        <v>S-CK-PU_ELC_X0</v>
      </c>
      <c r="C15" s="82" t="str">
        <f t="shared" si="14"/>
        <v>Public Services - Cooking: Electricity</v>
      </c>
      <c r="D15" s="123" t="str">
        <f t="shared" si="2"/>
        <v>SRVELC</v>
      </c>
      <c r="E15" s="130" t="str">
        <f>IF($Y15="","",CONCATENATE(Legend!$C$4,AB15,"-",AA15))</f>
        <v>SRVCK-PU</v>
      </c>
      <c r="F15" s="123">
        <f>IF($Y15="","",SUMIFS('Key Inputs'!$L$29:$L$114,'Key Inputs'!$A$29:$A$114,$V15,'Key Inputs'!$B$29:$B$114,$W15,'Key Inputs'!$C$29:$C$114,$X15))</f>
        <v>19.370706100616683</v>
      </c>
      <c r="G15" s="123">
        <f>IF($Y15="","",SUMIFS('Key Inputs'!$G$29:$G$114,'Key Inputs'!$A$29:$A$114,$V15,'Key Inputs'!$B$29:$B$114,$W15,'Key Inputs'!$C$29:$C$114,$X15))</f>
        <v>0.67758189334652785</v>
      </c>
      <c r="H15" s="653">
        <f>IF($Y15="","",SUMIFS('Key Inputs'!$I$29:$I$114,'Key Inputs'!$A$29:$A$114,$V15,'Key Inputs'!$B$29:$B$114,$W15,'Key Inputs'!$C$29:$C$114,$X15)/8760)</f>
        <v>9.1324200913242004E-2</v>
      </c>
      <c r="I15" s="654">
        <f>IF($Y15="","",SUMIFS('Key Inputs'!$H$29:$H$114,'Key Inputs'!$A$29:$A$114,$V15,'Key Inputs'!$B$29:$B$114,$W15,'Key Inputs'!$C$29:$C$114,$X15))</f>
        <v>15</v>
      </c>
      <c r="J15" s="499">
        <f>IF($Y15="","",SUMIFS('Key Inputs'!$J$29:$J$114,'Key Inputs'!$A$29:$A$114,$V15,'Key Inputs'!$B$29:$B$114,$W15,'Key Inputs'!$C$29:$C$114,$X15)/1000*31.536)</f>
        <v>0.47304000000000002</v>
      </c>
      <c r="L15" s="678" t="str">
        <f t="shared" si="15"/>
        <v>PRE</v>
      </c>
      <c r="M15" s="678" t="str">
        <f>IF($AB15="","",_xlfn.TEXTJOIN(",",TRUE,IF(LEFT(Regions!$C$3,1)&lt;&gt;"*",Regions!$C$3,""),IF(LEFT(Regions!$D$3,1)&lt;&gt;"*",Regions!$D$3,"")))</f>
        <v>IE,National</v>
      </c>
      <c r="N15" s="65" t="str">
        <f>IF($Y15="","",CONCATENATE(LEFT(Legend!$C$4),"-",$AB15,"-",$AA15,"_",$Y15,"_X0"))</f>
        <v>S-CK-PU_ELC_X0</v>
      </c>
      <c r="O15" s="65" t="str">
        <f t="shared" si="4"/>
        <v>Public Services - Cooking: Electricity</v>
      </c>
      <c r="P15" s="32" t="str">
        <f t="shared" si="16"/>
        <v>PJ</v>
      </c>
      <c r="Q15" s="65" t="str">
        <f t="shared" si="6"/>
        <v>kunits</v>
      </c>
      <c r="R15" s="65" t="str">
        <f t="shared" si="7"/>
        <v>ANNUAL</v>
      </c>
      <c r="S15" s="65"/>
      <c r="T15" s="65"/>
      <c r="V15" s="107" t="str">
        <f>IF('Key Inputs'!A83="","",'Key Inputs'!A83)</f>
        <v>Public Services</v>
      </c>
      <c r="W15" s="107" t="str">
        <f>IF('Key Inputs'!B83="","",'Key Inputs'!B83)</f>
        <v>Cooking</v>
      </c>
      <c r="X15" s="107" t="str">
        <f>IF('Key Inputs'!C83="","",'Key Inputs'!C83)</f>
        <v>Electricity</v>
      </c>
      <c r="Y15" s="107" t="str">
        <f>IF('Key Inputs'!D83="","",'Key Inputs'!D83)</f>
        <v>ELC</v>
      </c>
      <c r="Z15" s="107" t="str">
        <f>IF('Key Inputs'!E83="","",'Key Inputs'!E83)</f>
        <v>SRVELC</v>
      </c>
      <c r="AA15" s="22" t="str">
        <f>_xlfn.XLOOKUP(V15,Legend!$A$36:$A$37,Legend!$C$36:$C$37)</f>
        <v>PU</v>
      </c>
      <c r="AB15" s="22" t="str">
        <f>_xlfn.XLOOKUP(W15,Legend!$A$39:$A$49,Legend!$C$39:$C$49)</f>
        <v>CK</v>
      </c>
      <c r="AC15" s="110">
        <f t="shared" si="8"/>
        <v>1.2350012769876046</v>
      </c>
      <c r="AD15" s="110">
        <f t="shared" si="9"/>
        <v>0.83681450354664078</v>
      </c>
    </row>
    <row r="16" spans="1:30">
      <c r="B16" s="662"/>
      <c r="C16" s="54"/>
      <c r="D16" s="60"/>
      <c r="E16" s="26"/>
      <c r="F16" s="60"/>
      <c r="G16" s="645"/>
      <c r="H16" s="645"/>
      <c r="I16" s="647"/>
      <c r="J16" s="81"/>
      <c r="L16" s="42"/>
      <c r="M16" s="42"/>
      <c r="S16" s="22"/>
      <c r="T16" s="22"/>
      <c r="V16" s="54"/>
      <c r="W16" s="54"/>
      <c r="X16" s="54"/>
      <c r="Y16" s="54"/>
      <c r="Z16" s="54"/>
    </row>
    <row r="17" spans="2:30">
      <c r="B17" s="662"/>
      <c r="C17" s="54"/>
      <c r="D17" s="60"/>
      <c r="E17" s="25" t="s">
        <v>527</v>
      </c>
      <c r="F17" s="655">
        <f>SUM(F7:F15)</f>
        <v>138.42273098871982</v>
      </c>
      <c r="G17" s="645"/>
      <c r="H17" s="645"/>
      <c r="I17" s="647"/>
      <c r="J17" s="81"/>
      <c r="L17" s="42"/>
      <c r="M17" s="42"/>
      <c r="S17" s="22"/>
      <c r="T17" s="22"/>
      <c r="V17" s="54" t="str">
        <f>IF('Key Inputs'!A85="","",'Key Inputs'!A85)</f>
        <v/>
      </c>
      <c r="W17" s="54"/>
      <c r="X17" s="54"/>
      <c r="Y17" s="54"/>
      <c r="Z17" s="54"/>
      <c r="AC17" s="506">
        <f>SUM(AC7:AC15)</f>
        <v>10.552953632103833</v>
      </c>
      <c r="AD17" s="506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51.570312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2.42578125" style="31" customWidth="1"/>
    <col min="14" max="14" width="17.1406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95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537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395</v>
      </c>
      <c r="W3" s="722" t="s">
        <v>165</v>
      </c>
      <c r="X3" s="722" t="s">
        <v>83</v>
      </c>
      <c r="Y3" s="722" t="s">
        <v>515</v>
      </c>
      <c r="Z3" s="722" t="s">
        <v>516</v>
      </c>
      <c r="AA3" s="722" t="s">
        <v>517</v>
      </c>
      <c r="AB3" s="722" t="s">
        <v>518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551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519</v>
      </c>
    </row>
    <row r="5" spans="1:30" ht="25.5">
      <c r="A5" s="62"/>
      <c r="B5" s="58" t="s">
        <v>136</v>
      </c>
      <c r="C5" s="58"/>
      <c r="D5" s="58"/>
      <c r="E5" s="58"/>
      <c r="F5" s="58" t="s">
        <v>526</v>
      </c>
      <c r="G5" s="665" t="s">
        <v>525</v>
      </c>
      <c r="H5" s="58" t="s">
        <v>137</v>
      </c>
      <c r="I5" s="58" t="s">
        <v>143</v>
      </c>
      <c r="J5" s="58" t="s">
        <v>605</v>
      </c>
      <c r="L5" s="665" t="s">
        <v>513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526</v>
      </c>
    </row>
    <row r="6" spans="1:30">
      <c r="B6" s="662" t="str">
        <f t="shared" ref="B6" si="0">IF($Y6="",L6,N6)</f>
        <v>S-LIG-CS_ELC_X0</v>
      </c>
      <c r="C6" s="54" t="str">
        <f t="shared" ref="C6" si="1">IF($Y6="","",O6)</f>
        <v>Commercial Services - Building lighting: Electricity</v>
      </c>
      <c r="D6" s="60" t="str">
        <f t="shared" ref="D6:D11" si="2">IF($Y6="","",Z6)</f>
        <v>SRVELC</v>
      </c>
      <c r="E6" s="26" t="str">
        <f>IF($Y6="","",CONCATENATE(Legend!$C$4,AB6,"-",AA6))</f>
        <v>SRVLIG-CS</v>
      </c>
      <c r="F6" s="60">
        <f>IF($Y6="","",SUMIFS('Key Inputs'!$J$29:$J$114,'Key Inputs'!$A$29:$A$114,$V6,'Key Inputs'!$B$29:$B$114,$W6,'Key Inputs'!$C$29:$C$114,$X6))</f>
        <v>18.962690718520737</v>
      </c>
      <c r="G6" s="60">
        <f>IF($Y6="","",SUMIFS('Key Inputs'!$G$29:$G$114,'Key Inputs'!$A$29:$A$114,$V6,'Key Inputs'!$B$29:$B$114,$W6,'Key Inputs'!$C$29:$C$114,$X6))</f>
        <v>3.2268736739818373</v>
      </c>
      <c r="H6" s="647">
        <f>IF($Y6="","",1)</f>
        <v>1</v>
      </c>
      <c r="I6" s="679">
        <f>IF($Y6="","",SUMIFS('Key Inputs'!$H$29:$H$114,'Key Inputs'!$A$29:$A$114,$V6,'Key Inputs'!$B$29:$B$114,$W6,'Key Inputs'!$C$29:$C$114,$X6))</f>
        <v>10</v>
      </c>
      <c r="J6" s="679">
        <f>IF($Y6="","",1)</f>
        <v>1</v>
      </c>
      <c r="L6" s="42" t="str">
        <f t="shared" ref="L6" si="3">IF($Y6="","*"&amp;V7&amp;" "&amp;W7,"PRE")</f>
        <v>PRE</v>
      </c>
      <c r="M6" s="64" t="str">
        <f>IF($AB6="","",_xlfn.TEXTJOIN(",",TRUE,IF(LEFT(Regions!$C$3,1)&lt;&gt;"*",Regions!$C$3,""),IF(LEFT(Regions!$D$3,1)&lt;&gt;"*",Regions!$D$3,"")))</f>
        <v>IE,National</v>
      </c>
      <c r="N6" s="31" t="str">
        <f>IF($Y6="","",CONCATENATE(LEFT(Legend!$C$4),"-",$AB6,"-",$AA6,"_",$Y6,"_X0"))</f>
        <v>S-LIG-CS_ELC_X0</v>
      </c>
      <c r="O6" s="31" t="str">
        <f t="shared" ref="O6:O11" si="4">IF($Y6="","",CONCATENATE(V6," - ",W6,": ",X6))</f>
        <v>Commercial Services - Building lighting: Electricity</v>
      </c>
      <c r="P6" s="31" t="str">
        <f>IF($Y6="","","Munits")</f>
        <v>Munits</v>
      </c>
      <c r="Q6" s="31" t="str">
        <f>IF($Y6="","","Munits")</f>
        <v>Munits</v>
      </c>
      <c r="R6" s="31" t="str">
        <f t="shared" ref="R6:R11" si="5">IF($Y6="","","ANNUAL")</f>
        <v>ANNUAL</v>
      </c>
      <c r="S6" s="22"/>
      <c r="T6" s="22"/>
      <c r="V6" s="54" t="str">
        <f>IF('Key Inputs'!A91="","",'Key Inputs'!A91)</f>
        <v>Commercial Services</v>
      </c>
      <c r="W6" s="54" t="str">
        <f>IF('Key Inputs'!B91="","",'Key Inputs'!B91)</f>
        <v>Building lighting</v>
      </c>
      <c r="X6" s="54" t="str">
        <f>IF('Key Inputs'!C91="","",'Key Inputs'!C91)</f>
        <v>Electricity</v>
      </c>
      <c r="Y6" s="54" t="str">
        <f>IF('Key Inputs'!D91="","",'Key Inputs'!D91)</f>
        <v>ELC</v>
      </c>
      <c r="Z6" s="54" t="str">
        <f>IF('Key Inputs'!E91="","",'Key Inputs'!E91)</f>
        <v>SRVELC</v>
      </c>
      <c r="AA6" s="31" t="str">
        <f>_xlfn.XLOOKUP(V6,Legend!$A$36:$A$37,Legend!$C$36:$C$37)</f>
        <v>CS</v>
      </c>
      <c r="AB6" s="31" t="str">
        <f>_xlfn.XLOOKUP(W6,Legend!$A$39:$A$49,Legend!$C$39:$C$49)</f>
        <v>LIG</v>
      </c>
      <c r="AC6" s="27">
        <f t="shared" ref="AC6:AC11" si="6">IF($Y6="","",AD6/G6)</f>
        <v>5.8764899510681836</v>
      </c>
      <c r="AD6" s="110">
        <f t="shared" ref="AD6:AD11" si="7">IF($Y6="","",F6*H6*J6)</f>
        <v>18.962690718520737</v>
      </c>
    </row>
    <row r="7" spans="1:30">
      <c r="B7" s="662" t="str">
        <f>IF($Y7="",L7,N7)</f>
        <v>S-REF-CS_ELC_X0</v>
      </c>
      <c r="C7" s="54" t="str">
        <f>IF($Y7="","",O7)</f>
        <v>Commercial Services - Refrigeration: Electricity</v>
      </c>
      <c r="D7" s="60" t="str">
        <f t="shared" si="2"/>
        <v>SRVELC</v>
      </c>
      <c r="E7" s="26" t="str">
        <f>IF($Y7="","",CONCATENATE(Legend!$C$4,AB7,"-",AA7))</f>
        <v>SRVREF-CS</v>
      </c>
      <c r="F7" s="60">
        <f>IF($Y7="","",SUMIFS('Key Inputs'!$J$29:$J$114,'Key Inputs'!$A$29:$A$114,$V7,'Key Inputs'!$B$29:$B$114,$W7,'Key Inputs'!$C$29:$C$114,$X7))</f>
        <v>98.590578397640783</v>
      </c>
      <c r="G7" s="60">
        <f>IF($Y7="","",SUMIFS('Key Inputs'!$G$29:$G$114,'Key Inputs'!$A$29:$A$114,$V7,'Key Inputs'!$B$29:$B$114,$W7,'Key Inputs'!$C$29:$C$114,$X7))</f>
        <v>43.274952141011113</v>
      </c>
      <c r="H7" s="647">
        <f t="shared" ref="H7:H10" si="8">IF($Y7="","",1)</f>
        <v>1</v>
      </c>
      <c r="I7" s="647">
        <f>IF($Y7="","",SUMIFS('Key Inputs'!$H$29:$H$114,'Key Inputs'!$A$29:$A$114,$V7,'Key Inputs'!$B$29:$B$114,$W7,'Key Inputs'!$C$29:$C$114,$X7))</f>
        <v>10</v>
      </c>
      <c r="J7" s="679">
        <f t="shared" ref="J7:J10" si="9">IF($Y7="","",1)</f>
        <v>1</v>
      </c>
      <c r="L7" s="42" t="str">
        <f>IF($Y7="","*"&amp;V8&amp;" "&amp;W8,"PRE")</f>
        <v>PRE</v>
      </c>
      <c r="M7" s="64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IF($Y7="","",CONCATENATE(LEFT(Legend!$C$4),"-",$AB7,"-",$AA7,"_",$Y7,"_X0"))</f>
        <v>S-REF-CS_ELC_X0</v>
      </c>
      <c r="O7" s="31" t="str">
        <f t="shared" si="4"/>
        <v>Commercial Services - Refrigeration: Electricity</v>
      </c>
      <c r="P7" s="31" t="str">
        <f t="shared" ref="P7:Q10" si="10">IF($Y7="","","kunits")</f>
        <v>kunits</v>
      </c>
      <c r="Q7" s="31" t="str">
        <f t="shared" si="10"/>
        <v>kunits</v>
      </c>
      <c r="R7" s="31" t="str">
        <f t="shared" si="5"/>
        <v>ANNUAL</v>
      </c>
      <c r="S7" s="22"/>
      <c r="T7" s="22"/>
      <c r="V7" s="54" t="str">
        <f>IF('Key Inputs'!A92="","",'Key Inputs'!A92)</f>
        <v>Commercial Services</v>
      </c>
      <c r="W7" s="54" t="str">
        <f>IF('Key Inputs'!B92="","",'Key Inputs'!B92)</f>
        <v>Refrigeration</v>
      </c>
      <c r="X7" s="54" t="str">
        <f>IF('Key Inputs'!C92="","",'Key Inputs'!C92)</f>
        <v>Electricity</v>
      </c>
      <c r="Y7" s="54" t="str">
        <f>IF('Key Inputs'!D92="","",'Key Inputs'!D92)</f>
        <v>ELC</v>
      </c>
      <c r="Z7" s="54" t="str">
        <f>IF('Key Inputs'!E92="","",'Key Inputs'!E92)</f>
        <v>SRVELC</v>
      </c>
      <c r="AA7" s="31" t="str">
        <f>_xlfn.XLOOKUP(V7,Legend!$A$36:$A$37,Legend!$C$36:$C$37)</f>
        <v>CS</v>
      </c>
      <c r="AB7" s="31" t="str">
        <f>_xlfn.XLOOKUP(W7,Legend!$A$39:$A$49,Legend!$C$39:$C$49)</f>
        <v>REF</v>
      </c>
      <c r="AC7" s="27">
        <f t="shared" si="6"/>
        <v>2.2782365668801692</v>
      </c>
      <c r="AD7" s="110">
        <f t="shared" si="7"/>
        <v>98.590578397640783</v>
      </c>
    </row>
    <row r="8" spans="1:30" s="22" customFormat="1">
      <c r="B8" s="116" t="str">
        <f>IF($Y8="",L8,N8)</f>
        <v>S-OEL-CS_ELC_X0</v>
      </c>
      <c r="C8" s="82" t="str">
        <f>IF($Y8="","",O8)</f>
        <v>Commercial Services - Other appliances: Electricity</v>
      </c>
      <c r="D8" s="123" t="str">
        <f t="shared" si="2"/>
        <v>SRVELC</v>
      </c>
      <c r="E8" s="130" t="str">
        <f>IF($Y8="","",CONCATENATE(Legend!$C$4,AB8,"-",AA8))</f>
        <v>SRVOEL-CS</v>
      </c>
      <c r="F8" s="123">
        <f>IF($Y8="","",SUMIFS('Key Inputs'!$J$29:$J$114,'Key Inputs'!$A$29:$A$114,$V8,'Key Inputs'!$B$29:$B$114,$W8,'Key Inputs'!$C$29:$C$114,$X8))</f>
        <v>0.24789390676399958</v>
      </c>
      <c r="G8" s="123">
        <f>IF($Y8="","",SUMIFS('Key Inputs'!$G$29:$G$114,'Key Inputs'!$A$29:$A$114,$V8,'Key Inputs'!$B$29:$B$114,$W8,'Key Inputs'!$C$29:$C$114,$X8))</f>
        <v>1</v>
      </c>
      <c r="H8" s="654">
        <v>1</v>
      </c>
      <c r="I8" s="654">
        <f>IF($Y8="","",SUMIFS('Key Inputs'!$H$29:$H$114,'Key Inputs'!$A$29:$A$114,$V8,'Key Inputs'!$B$29:$B$114,$W8,'Key Inputs'!$C$29:$C$114,$X8))</f>
        <v>10</v>
      </c>
      <c r="J8" s="716">
        <v>31.536000000000001</v>
      </c>
      <c r="L8" s="49" t="str">
        <f>IF($Y8="","*"&amp;V9&amp;" "&amp;W9,"PRE")</f>
        <v>PRE</v>
      </c>
      <c r="M8" s="49" t="str">
        <f>IF($AB8="","",_xlfn.TEXTJOIN(",",TRUE,IF(LEFT(Regions!$C$3,1)&lt;&gt;"*",Regions!$C$3,""),IF(LEFT(Regions!$D$3,1)&lt;&gt;"*",Regions!$D$3,"")))</f>
        <v>IE,National</v>
      </c>
      <c r="N8" s="32" t="str">
        <f>IF($Y8="","",CONCATENATE(LEFT(Legend!$C$4),"-",$AB8,"-",$AA8,"_",$Y8,"_X0"))</f>
        <v>S-OEL-CS_ELC_X0</v>
      </c>
      <c r="O8" s="32" t="str">
        <f t="shared" si="4"/>
        <v>Commercial Services - Other appliances: Electricity</v>
      </c>
      <c r="P8" s="32" t="str">
        <f>IF($Y8="","","PJ")</f>
        <v>PJ</v>
      </c>
      <c r="Q8" s="32" t="s">
        <v>67</v>
      </c>
      <c r="R8" s="32" t="str">
        <f t="shared" si="5"/>
        <v>ANNUAL</v>
      </c>
      <c r="S8" s="32"/>
      <c r="T8" s="32"/>
      <c r="V8" s="107" t="str">
        <f>IF('Key Inputs'!A93="","",'Key Inputs'!A93)</f>
        <v>Commercial Services</v>
      </c>
      <c r="W8" s="107" t="str">
        <f>IF('Key Inputs'!B93="","",'Key Inputs'!B93)</f>
        <v>Other appliances</v>
      </c>
      <c r="X8" s="107" t="str">
        <f>IF('Key Inputs'!C93="","",'Key Inputs'!C93)</f>
        <v>Electricity</v>
      </c>
      <c r="Y8" s="107" t="str">
        <f>IF('Key Inputs'!D93="","",'Key Inputs'!D93)</f>
        <v>ELC</v>
      </c>
      <c r="Z8" s="107" t="str">
        <f>IF('Key Inputs'!E93="","",'Key Inputs'!E93)</f>
        <v>SRVELC</v>
      </c>
      <c r="AA8" s="22" t="str">
        <f>_xlfn.XLOOKUP(V8,Legend!$A$36:$A$37,Legend!$C$36:$C$37)</f>
        <v>CS</v>
      </c>
      <c r="AB8" s="22" t="str">
        <f>_xlfn.XLOOKUP(W8,Legend!$A$39:$A$49,Legend!$C$39:$C$49)</f>
        <v>OEL</v>
      </c>
      <c r="AC8" s="110">
        <f t="shared" si="6"/>
        <v>7.8175822437094915</v>
      </c>
      <c r="AD8" s="110">
        <f t="shared" si="7"/>
        <v>7.8175822437094915</v>
      </c>
    </row>
    <row r="9" spans="1:30" s="22" customFormat="1">
      <c r="B9" s="118" t="str">
        <f>IF($Y9="",L9,N9)</f>
        <v>S-LIG-PU_ELC_X0</v>
      </c>
      <c r="C9" s="107" t="str">
        <f>IF($Y9="","",O9)</f>
        <v>Public Services - Building lighting: Electricity</v>
      </c>
      <c r="D9" s="88" t="str">
        <f t="shared" si="2"/>
        <v>SRVELC</v>
      </c>
      <c r="E9" s="129" t="str">
        <f>IF($Y9="","",CONCATENATE(Legend!$C$4,AB9,"-",AA9))</f>
        <v>SRVLIG-PU</v>
      </c>
      <c r="F9" s="60">
        <f>IF($Y9="","",SUMIFS('Key Inputs'!$J$29:$J$114,'Key Inputs'!$A$29:$A$114,$V9,'Key Inputs'!$B$29:$B$114,$W9,'Key Inputs'!$C$29:$C$114,$X9))</f>
        <v>9.424570836151025</v>
      </c>
      <c r="G9" s="88">
        <f>IF($Y9="","",SUMIFS('Key Inputs'!$G$29:$G$114,'Key Inputs'!$A$29:$A$114,$V9,'Key Inputs'!$B$29:$B$114,$W9,'Key Inputs'!$C$29:$C$114,$X9))</f>
        <v>2.9375514476297524</v>
      </c>
      <c r="H9" s="647">
        <f t="shared" si="8"/>
        <v>1</v>
      </c>
      <c r="I9" s="652">
        <f>IF($Y9="","",SUMIFS('Key Inputs'!$H$29:$H$114,'Key Inputs'!$A$29:$A$114,$V9,'Key Inputs'!$B$29:$B$114,$W9,'Key Inputs'!$C$29:$C$114,$X9))</f>
        <v>10</v>
      </c>
      <c r="J9" s="679">
        <f t="shared" si="9"/>
        <v>1</v>
      </c>
      <c r="L9" s="42" t="str">
        <f>IF($Y9="","*"&amp;V10&amp;" "&amp;W10,"PRE")</f>
        <v>PRE</v>
      </c>
      <c r="M9" s="42" t="str">
        <f>IF($AB9="","",_xlfn.TEXTJOIN(",",TRUE,IF(LEFT(Regions!$C$3,1)&lt;&gt;"*",Regions!$C$3,""),IF(LEFT(Regions!$D$3,1)&lt;&gt;"*",Regions!$D$3,"")))</f>
        <v>IE,National</v>
      </c>
      <c r="N9" s="22" t="str">
        <f>IF($Y9="","",CONCATENATE(LEFT(Legend!$C$4),"-",$AB9,"-",$AA9,"_",$Y9,"_X0"))</f>
        <v>S-LIG-PU_ELC_X0</v>
      </c>
      <c r="O9" s="22" t="str">
        <f t="shared" si="4"/>
        <v>Public Services - Building lighting: Electricity</v>
      </c>
      <c r="P9" s="31" t="str">
        <f>IF($Y9="","","Munits")</f>
        <v>Munits</v>
      </c>
      <c r="Q9" s="31" t="str">
        <f>IF($Y9="","","Munits")</f>
        <v>Munits</v>
      </c>
      <c r="R9" s="22" t="str">
        <f t="shared" si="5"/>
        <v>ANNUAL</v>
      </c>
      <c r="V9" s="107" t="str">
        <f>IF('Key Inputs'!A94="","",'Key Inputs'!A94)</f>
        <v>Public Services</v>
      </c>
      <c r="W9" s="107" t="str">
        <f>IF('Key Inputs'!B94="","",'Key Inputs'!B94)</f>
        <v>Building lighting</v>
      </c>
      <c r="X9" s="107" t="str">
        <f>IF('Key Inputs'!C94="","",'Key Inputs'!C94)</f>
        <v>Electricity</v>
      </c>
      <c r="Y9" s="107" t="str">
        <f>IF('Key Inputs'!D94="","",'Key Inputs'!D94)</f>
        <v>ELC</v>
      </c>
      <c r="Z9" s="107" t="str">
        <f>IF('Key Inputs'!E94="","",'Key Inputs'!E94)</f>
        <v>SRVELC</v>
      </c>
      <c r="AA9" s="22" t="str">
        <f>_xlfn.XLOOKUP(V9,Legend!$A$36:$A$37,Legend!$C$36:$C$37)</f>
        <v>PU</v>
      </c>
      <c r="AB9" s="22" t="str">
        <f>_xlfn.XLOOKUP(W9,Legend!$A$39:$A$49,Legend!$C$39:$C$49)</f>
        <v>LIG</v>
      </c>
      <c r="AC9" s="110">
        <f t="shared" si="6"/>
        <v>3.2083083493756375</v>
      </c>
      <c r="AD9" s="110">
        <f t="shared" si="7"/>
        <v>9.424570836151025</v>
      </c>
    </row>
    <row r="10" spans="1:30" s="129" customFormat="1">
      <c r="B10" s="118" t="str">
        <f>IF($Y10="",L10,N10)</f>
        <v>S-REF-PU_ELC_X0</v>
      </c>
      <c r="C10" s="107" t="str">
        <f>IF($Y10="","",O10)</f>
        <v>Public Services - Refrigeration: Electricity</v>
      </c>
      <c r="D10" s="88" t="str">
        <f t="shared" si="2"/>
        <v>SRVELC</v>
      </c>
      <c r="E10" s="129" t="str">
        <f>IF($Y10="","",CONCATENATE(Legend!$C$4,AB10,"-",AA10))</f>
        <v>SRVREF-PU</v>
      </c>
      <c r="F10" s="60">
        <f>IF($Y10="","",SUMIFS('Key Inputs'!$J$29:$J$114,'Key Inputs'!$A$29:$A$114,$V10,'Key Inputs'!$B$29:$B$114,$W10,'Key Inputs'!$C$29:$C$114,$X10))</f>
        <v>49.000107826372364</v>
      </c>
      <c r="G10" s="88">
        <f>IF($Y10="","",SUMIFS('Key Inputs'!$G$29:$G$114,'Key Inputs'!$A$29:$A$114,$V10,'Key Inputs'!$B$29:$B$114,$W10,'Key Inputs'!$C$29:$C$114,$X10))</f>
        <v>39.394910105381136</v>
      </c>
      <c r="H10" s="647">
        <f t="shared" si="8"/>
        <v>1</v>
      </c>
      <c r="I10" s="652">
        <f>IF($Y10="","",SUMIFS('Key Inputs'!$H$29:$H$114,'Key Inputs'!$A$29:$A$114,$V10,'Key Inputs'!$B$29:$B$114,$W10,'Key Inputs'!$C$29:$C$114,$X10))</f>
        <v>10</v>
      </c>
      <c r="J10" s="679">
        <f t="shared" si="9"/>
        <v>1</v>
      </c>
      <c r="L10" s="515" t="str">
        <f>IF($Y10="","*"&amp;V11&amp;" "&amp;W11,"PRE")</f>
        <v>PRE</v>
      </c>
      <c r="M10" s="515" t="str">
        <f>IF($AB10="","",_xlfn.TEXTJOIN(",",TRUE,IF(LEFT(Regions!$C$3,1)&lt;&gt;"*",Regions!$C$3,""),IF(LEFT(Regions!$D$3,1)&lt;&gt;"*",Regions!$D$3,"")))</f>
        <v>IE,National</v>
      </c>
      <c r="N10" s="129" t="str">
        <f>IF($Y10="","",CONCATENATE(LEFT(Legend!$C$4),"-",$AB10,"-",$AA10,"_",$Y10,"_X0"))</f>
        <v>S-REF-PU_ELC_X0</v>
      </c>
      <c r="O10" s="129" t="str">
        <f t="shared" si="4"/>
        <v>Public Services - Refrigeration: Electricity</v>
      </c>
      <c r="P10" s="31" t="str">
        <f t="shared" si="10"/>
        <v>kunits</v>
      </c>
      <c r="Q10" s="31" t="str">
        <f t="shared" si="10"/>
        <v>kunits</v>
      </c>
      <c r="R10" s="129" t="str">
        <f t="shared" si="5"/>
        <v>ANNUAL</v>
      </c>
      <c r="V10" s="107" t="str">
        <f>IF('Key Inputs'!A95="","",'Key Inputs'!A95)</f>
        <v>Public Services</v>
      </c>
      <c r="W10" s="107" t="str">
        <f>IF('Key Inputs'!B95="","",'Key Inputs'!B95)</f>
        <v>Refrigeration</v>
      </c>
      <c r="X10" s="107" t="str">
        <f>IF('Key Inputs'!C95="","",'Key Inputs'!C95)</f>
        <v>Electricity</v>
      </c>
      <c r="Y10" s="107" t="str">
        <f>IF('Key Inputs'!D95="","",'Key Inputs'!D95)</f>
        <v>ELC</v>
      </c>
      <c r="Z10" s="107" t="str">
        <f>IF('Key Inputs'!E95="","",'Key Inputs'!E95)</f>
        <v>SRVELC</v>
      </c>
      <c r="AA10" s="129" t="str">
        <f>_xlfn.XLOOKUP(V10,Legend!$A$36:$A$37,Legend!$C$36:$C$37)</f>
        <v>PU</v>
      </c>
      <c r="AB10" s="129" t="str">
        <f>_xlfn.XLOOKUP(W10,Legend!$A$39:$A$49,Legend!$C$39:$C$49)</f>
        <v>REF</v>
      </c>
      <c r="AC10" s="110">
        <f t="shared" si="6"/>
        <v>1.2438182418819432</v>
      </c>
      <c r="AD10" s="110">
        <f t="shared" si="7"/>
        <v>49.000107826372364</v>
      </c>
    </row>
    <row r="11" spans="1:30">
      <c r="B11" s="116" t="str">
        <f>IF($Y11="",L11,N11)</f>
        <v>S-OEL-PU_ELC_X0</v>
      </c>
      <c r="C11" s="82" t="str">
        <f>IF($Y11="","",O11)</f>
        <v>Public Services - Other appliances: Electricity</v>
      </c>
      <c r="D11" s="123" t="str">
        <f t="shared" si="2"/>
        <v>SRVELC</v>
      </c>
      <c r="E11" s="130" t="str">
        <f>IF($Y11="","",CONCATENATE(Legend!$C$4,AB11,"-",AA11))</f>
        <v>SRVOEL-PU</v>
      </c>
      <c r="F11" s="123">
        <f>IF($Y11="","",SUMIFS('Key Inputs'!$J$29:$J$114,'Key Inputs'!$A$29:$A$114,$V11,'Key Inputs'!$B$29:$B$114,$W11,'Key Inputs'!$C$29:$C$114,$X11))</f>
        <v>0.13533930925649224</v>
      </c>
      <c r="G11" s="123">
        <f>IF($Y11="","",SUMIFS('Key Inputs'!$G$29:$G$114,'Key Inputs'!$A$29:$A$114,$V11,'Key Inputs'!$B$29:$B$114,$W11,'Key Inputs'!$C$29:$C$114,$X11))</f>
        <v>1</v>
      </c>
      <c r="H11" s="654">
        <v>1</v>
      </c>
      <c r="I11" s="654">
        <f>IF($Y11="","",SUMIFS('Key Inputs'!$H$29:$H$114,'Key Inputs'!$A$29:$A$114,$V11,'Key Inputs'!$B$29:$B$114,$W11,'Key Inputs'!$C$29:$C$114,$X11))</f>
        <v>10</v>
      </c>
      <c r="J11" s="716">
        <v>31.536000000000001</v>
      </c>
      <c r="L11" s="49" t="str">
        <f>IF($Y11="","*"&amp;#REF!&amp;" "&amp;#REF!,"PRE")</f>
        <v>PRE</v>
      </c>
      <c r="M11" s="49" t="str">
        <f>IF($AB11="","",_xlfn.TEXTJOIN(",",TRUE,IF(LEFT(Regions!$C$3,1)&lt;&gt;"*",Regions!$C$3,""),IF(LEFT(Regions!$D$3,1)&lt;&gt;"*",Regions!$D$3,"")))</f>
        <v>IE,National</v>
      </c>
      <c r="N11" s="32" t="str">
        <f>IF($Y11="","",CONCATENATE(LEFT(Legend!$C$4),"-",$AB11,"-",$AA11,"_",$Y11,"_X0"))</f>
        <v>S-OEL-PU_ELC_X0</v>
      </c>
      <c r="O11" s="32" t="str">
        <f t="shared" si="4"/>
        <v>Public Services - Other appliances: Electricity</v>
      </c>
      <c r="P11" s="32" t="str">
        <f>IF($Y11="","","PJ")</f>
        <v>PJ</v>
      </c>
      <c r="Q11" s="32" t="s">
        <v>67</v>
      </c>
      <c r="R11" s="32" t="str">
        <f t="shared" si="5"/>
        <v>ANNUAL</v>
      </c>
      <c r="S11" s="32"/>
      <c r="T11" s="32"/>
      <c r="V11" s="54" t="str">
        <f>IF('Key Inputs'!A96="","",'Key Inputs'!A96)</f>
        <v>Public Services</v>
      </c>
      <c r="W11" s="54" t="str">
        <f>IF('Key Inputs'!B96="","",'Key Inputs'!B96)</f>
        <v>Other appliances</v>
      </c>
      <c r="X11" s="54" t="str">
        <f>IF('Key Inputs'!C96="","",'Key Inputs'!C96)</f>
        <v>Electricity</v>
      </c>
      <c r="Y11" s="54" t="str">
        <f>IF('Key Inputs'!D96="","",'Key Inputs'!D96)</f>
        <v>ELC</v>
      </c>
      <c r="Z11" s="54" t="str">
        <f>IF('Key Inputs'!E96="","",'Key Inputs'!E96)</f>
        <v>SRVELC</v>
      </c>
      <c r="AA11" s="22" t="str">
        <f>_xlfn.XLOOKUP(V11,Legend!$A$36:$A$37,Legend!$C$36:$C$37)</f>
        <v>PU</v>
      </c>
      <c r="AB11" s="22" t="str">
        <f>_xlfn.XLOOKUP(W11,Legend!$A$39:$A$49,Legend!$C$39:$C$49)</f>
        <v>OEL</v>
      </c>
      <c r="AC11" s="110">
        <f t="shared" si="6"/>
        <v>4.2680604567127389</v>
      </c>
      <c r="AD11" s="110">
        <f t="shared" si="7"/>
        <v>4.2680604567127389</v>
      </c>
    </row>
    <row r="12" spans="1:30">
      <c r="B12" s="662"/>
      <c r="C12" s="54"/>
      <c r="D12" s="60"/>
      <c r="E12" s="26"/>
      <c r="F12" s="60"/>
      <c r="G12" s="645"/>
      <c r="H12" s="645"/>
      <c r="I12" s="647"/>
      <c r="J12" s="81"/>
      <c r="L12" s="42"/>
      <c r="M12" s="42"/>
      <c r="S12" s="22"/>
      <c r="T12" s="22"/>
      <c r="V12" s="54"/>
      <c r="W12" s="54"/>
      <c r="X12" s="54"/>
      <c r="Y12" s="54"/>
      <c r="Z12" s="54"/>
    </row>
    <row r="13" spans="1:30">
      <c r="B13" s="662"/>
      <c r="C13" s="54"/>
      <c r="D13" s="60"/>
      <c r="E13" s="25" t="s">
        <v>527</v>
      </c>
      <c r="F13" s="655">
        <f>SUM(F6:F11)</f>
        <v>176.36118099470539</v>
      </c>
      <c r="G13" s="645"/>
      <c r="H13" s="645"/>
      <c r="I13" s="647"/>
      <c r="J13" s="81"/>
      <c r="L13" s="42"/>
      <c r="M13" s="42"/>
      <c r="S13" s="22"/>
      <c r="T13" s="22"/>
      <c r="V13" s="54"/>
      <c r="W13" s="54"/>
      <c r="X13" s="54"/>
      <c r="Y13" s="54"/>
      <c r="Z13" s="54"/>
      <c r="AC13" s="506">
        <f>SUM(AC6:AC11)</f>
        <v>24.692495809628163</v>
      </c>
      <c r="AD13" s="506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51.570312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7.28515625" style="31" customWidth="1"/>
    <col min="14" max="14" width="17.1406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20.2851562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532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537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395</v>
      </c>
      <c r="W3" s="722" t="s">
        <v>165</v>
      </c>
      <c r="X3" s="722" t="s">
        <v>83</v>
      </c>
      <c r="Y3" s="722" t="s">
        <v>515</v>
      </c>
      <c r="Z3" s="722" t="s">
        <v>516</v>
      </c>
      <c r="AA3" s="722" t="s">
        <v>517</v>
      </c>
      <c r="AB3" s="722" t="s">
        <v>518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551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2" t="s">
        <v>125</v>
      </c>
      <c r="T4" s="52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519</v>
      </c>
    </row>
    <row r="5" spans="1:30">
      <c r="A5" s="62"/>
      <c r="B5" s="665" t="s">
        <v>136</v>
      </c>
      <c r="C5" s="665"/>
      <c r="D5" s="665"/>
      <c r="E5" s="665"/>
      <c r="F5" s="665" t="str">
        <f>Q7</f>
        <v>Mlamps</v>
      </c>
      <c r="G5" s="665" t="s">
        <v>153</v>
      </c>
      <c r="H5" s="665" t="s">
        <v>137</v>
      </c>
      <c r="I5" s="665" t="s">
        <v>143</v>
      </c>
      <c r="J5" s="665" t="s">
        <v>524</v>
      </c>
      <c r="L5" s="665" t="s">
        <v>513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ht="30">
      <c r="A6" s="22"/>
      <c r="B6" s="681" t="str">
        <f t="shared" ref="B6" si="0">IF($Y6="",L6,N6)</f>
        <v>*Public Services Public lighting</v>
      </c>
      <c r="C6" s="584" t="str">
        <f t="shared" ref="C6" si="1">IF($Y6="","",O6)</f>
        <v/>
      </c>
      <c r="D6" s="682" t="str">
        <f>IF($Y6="","",Z6)</f>
        <v/>
      </c>
      <c r="E6" s="129" t="str">
        <f>IF($Y6="","",CONCATENATE(Legend!$C$4,AB6,"-",Legend!$C$37))</f>
        <v/>
      </c>
      <c r="F6" s="88" t="str">
        <f>IF($Y6="","",SUMIFS('Key Inputs'!$M$29:$M$114,'Key Inputs'!$A$29:$A$114,$V6,'Key Inputs'!$B$29:$B$114,$W6,'Key Inputs'!$C$29:$C$114,$X6))</f>
        <v/>
      </c>
      <c r="G6" s="88" t="str">
        <f>IF($Y6="","",1/SUMIFS('Key Inputs'!$L$29:$L$114,'Key Inputs'!$A$29:$A$114,$V6,'Key Inputs'!$B$29:$B$114,$W6,'Key Inputs'!$C$29:$C$114,$X6))</f>
        <v/>
      </c>
      <c r="H6" s="683" t="str">
        <f>IF($Y6="","",1)</f>
        <v/>
      </c>
      <c r="I6" s="652" t="str">
        <f>IF($Y6="","",SUMIFS('Key Inputs'!$K$29:$K$114,'Key Inputs'!$A$29:$A$114,$V6,'Key Inputs'!$B$29:$B$114,$W6,'Key Inputs'!$C$29:$C$114,$X6))</f>
        <v/>
      </c>
      <c r="J6" s="682" t="str">
        <f>IF($Y6="","",1)</f>
        <v/>
      </c>
      <c r="K6" s="583"/>
      <c r="L6" s="514" t="str">
        <f t="shared" ref="L6" si="2">IF($Y6="","*"&amp;V7&amp;" "&amp;W7,"DMD")</f>
        <v>*Public Services Public lighting</v>
      </c>
      <c r="M6" s="64" t="str">
        <f>IF($AB6="","",_xlfn.TEXTJOIN(",",TRUE,IF(LEFT(Regions!$C$3,1)&lt;&gt;"*",Regions!$C$3,""),IF(LEFT(Regions!$D$3,1)&lt;&gt;"*",Regions!$D$3,"")))</f>
        <v/>
      </c>
      <c r="N6" s="583" t="str">
        <f>IF($Y6="","",CONCATENATE(LEFT(Legend!$C$4),"-",$AB6,"-",$AA6,"_",$Y6))</f>
        <v/>
      </c>
      <c r="O6" s="583" t="str">
        <f>IF($Y6="","",CONCATENATE(V6," - ",W6,": ",X6))</f>
        <v/>
      </c>
      <c r="P6" s="583" t="str">
        <f>IF($Y6="","","PJ")</f>
        <v/>
      </c>
      <c r="Q6" s="22" t="str">
        <f>IF($Y6="","",'Key Inputs'!$M$102)</f>
        <v/>
      </c>
      <c r="R6" s="583" t="str">
        <f>IF($Y6="","","ANNUAL")</f>
        <v/>
      </c>
      <c r="S6" s="583"/>
      <c r="T6" s="583"/>
      <c r="V6" s="54" t="str">
        <f>IF('Key Inputs'!A102="","",'Key Inputs'!A102)</f>
        <v/>
      </c>
      <c r="W6" s="54" t="str">
        <f>IF('Key Inputs'!B102="","",'Key Inputs'!B102)</f>
        <v/>
      </c>
      <c r="X6" s="54" t="str">
        <f>IF('Key Inputs'!C102="","",'Key Inputs'!C102)</f>
        <v/>
      </c>
      <c r="Y6" s="54" t="str">
        <f>IF('Key Inputs'!D102="","",'Key Inputs'!D102)</f>
        <v/>
      </c>
      <c r="Z6" s="54"/>
      <c r="AC6" s="27" t="str">
        <f>IF($Y6="","",AD6/G6)</f>
        <v/>
      </c>
      <c r="AD6" s="110" t="str">
        <f>IF($Y6="","",F6*H6*J6)</f>
        <v/>
      </c>
    </row>
    <row r="7" spans="1:30">
      <c r="A7" s="22"/>
      <c r="B7" s="118" t="str">
        <f>IF($Y7="",L7,N7)</f>
        <v>S-PLIG-PU_X1</v>
      </c>
      <c r="C7" s="107" t="str">
        <f>IF($Y7="","",O7)</f>
        <v>Public Services - Public lighting: Sodium vapor lamp</v>
      </c>
      <c r="D7" s="88" t="str">
        <f>IF($Y7="","",Z7)</f>
        <v>SRVELC</v>
      </c>
      <c r="E7" s="129" t="str">
        <f>IF($Y7="","",CONCATENATE(Legend!$C$4,AB7,"-",Legend!$C$37))</f>
        <v>SRVPLIG-PU</v>
      </c>
      <c r="F7" s="88">
        <f>IF($Y7="","",SUMIFS('Key Inputs'!$M$29:$M$114,'Key Inputs'!$A$29:$A$114,$V7,'Key Inputs'!$B$29:$B$114,$W7,'Key Inputs'!$C$29:$C$114,$X7))</f>
        <v>1.9199999999999998E-2</v>
      </c>
      <c r="G7" s="88">
        <f>IF($Y7="","",1/SUMIFS('Key Inputs'!$L$29:$L$114,'Key Inputs'!$A$29:$A$114,$V7,'Key Inputs'!$B$29:$B$114,$W7,'Key Inputs'!$C$29:$C$114,$X7))</f>
        <v>0.48784295359637825</v>
      </c>
      <c r="H7" s="652">
        <f>IF($Y7="","",1)</f>
        <v>1</v>
      </c>
      <c r="I7" s="652">
        <f>IF($Y7="","",SUMIFS('Key Inputs'!$K$29:$K$114,'Key Inputs'!$A$29:$A$114,$V7,'Key Inputs'!$B$29:$B$114,$W7,'Key Inputs'!$C$29:$C$114,$X7))</f>
        <v>20</v>
      </c>
      <c r="J7" s="680">
        <f t="shared" ref="J7:J10" si="3">IF($Y7="","",1)</f>
        <v>1</v>
      </c>
      <c r="K7" s="22"/>
      <c r="L7" s="42" t="str">
        <f>IF($Y7="","*"&amp;V8&amp;" "&amp;W8,"DMD")</f>
        <v>DMD</v>
      </c>
      <c r="M7" s="64" t="str">
        <f>IF($AB7="","",_xlfn.TEXTJOIN(",",TRUE,IF(LEFT(Regions!$C$3,1)&lt;&gt;"*",Regions!$C$3,""),IF(LEFT(Regions!$D$3,1)&lt;&gt;"*",Regions!$D$3,"")))</f>
        <v>IE,National</v>
      </c>
      <c r="N7" s="64" t="str">
        <f>IF($Y7="","",CONCATENATE(LEFT(Legend!$C$4),"-",$AB7,"-",$AA7,"_",$Y7))</f>
        <v>S-PLIG-PU_X1</v>
      </c>
      <c r="O7" s="22" t="str">
        <f>IF($Y7="","",CONCATENATE(V7," - ",W7,": ",X7))</f>
        <v>Public Services - Public lighting: Sodium vapor lamp</v>
      </c>
      <c r="P7" s="22" t="str">
        <f>IF($Y7="","",'Key Inputs'!$M$102)</f>
        <v>Mlamps</v>
      </c>
      <c r="Q7" s="22" t="str">
        <f>IF($Y7="","",'Key Inputs'!$M$102)</f>
        <v>Mlamps</v>
      </c>
      <c r="R7" s="22" t="str">
        <f>IF($Y7="","","ANNUAL")</f>
        <v>ANNUAL</v>
      </c>
      <c r="S7" s="22"/>
      <c r="T7" s="22"/>
      <c r="V7" s="54" t="str">
        <f>IF('Key Inputs'!A103="","",'Key Inputs'!A103)</f>
        <v>Public Services</v>
      </c>
      <c r="W7" s="54" t="str">
        <f>IF('Key Inputs'!B103="","",'Key Inputs'!B103)</f>
        <v>Public lighting</v>
      </c>
      <c r="X7" s="54" t="str">
        <f>IF('Key Inputs'!C103="","",'Key Inputs'!C103)</f>
        <v>Sodium vapor lamp</v>
      </c>
      <c r="Y7" s="54" t="s">
        <v>528</v>
      </c>
      <c r="Z7" s="54" t="str">
        <f>IF('Key Inputs'!E103="","",'Key Inputs'!E103)</f>
        <v>SRVELC</v>
      </c>
      <c r="AA7" s="31" t="str">
        <f>_xlfn.XLOOKUP(V7,Legend!$A$36:$A$37,Legend!$C$36:$C$37)</f>
        <v>PU</v>
      </c>
      <c r="AB7" s="31" t="str">
        <f>_xlfn.XLOOKUP(W7,Legend!$A$39:$A$49,Legend!$C$39:$C$49)</f>
        <v>PLIG</v>
      </c>
      <c r="AC7" s="27">
        <f>IF($Y7="","",AD7/G7)</f>
        <v>3.9356927999999999E-2</v>
      </c>
      <c r="AD7" s="110">
        <f>IF($Y7="","",F7*H7*J7)</f>
        <v>1.9199999999999998E-2</v>
      </c>
    </row>
    <row r="8" spans="1:30" s="22" customFormat="1">
      <c r="B8" s="118" t="str">
        <f>IF($Y8="",L8,N8)</f>
        <v>S-PLIG-PU_X2</v>
      </c>
      <c r="C8" s="107" t="str">
        <f>IF($Y8="","",O8)</f>
        <v>Public Services - Public lighting: Mercury lamps</v>
      </c>
      <c r="D8" s="88" t="str">
        <f>IF($Y8="","",Z8)</f>
        <v>SRVELC</v>
      </c>
      <c r="E8" s="129" t="str">
        <f>IF($Y8="","",CONCATENATE(Legend!$C$4,AB8,"-",Legend!$C$37))</f>
        <v>SRVPLIG-PU</v>
      </c>
      <c r="F8" s="88">
        <f>IF($Y8="","",SUMIFS('Key Inputs'!$M$29:$M$114,'Key Inputs'!$A$29:$A$114,$V8,'Key Inputs'!$B$29:$B$114,$W8,'Key Inputs'!$C$29:$C$114,$X8))</f>
        <v>7.1999999999999995E-2</v>
      </c>
      <c r="G8" s="88">
        <f>IF($Y8="","",1/SUMIFS('Key Inputs'!$L$29:$L$114,'Key Inputs'!$A$29:$A$114,$V8,'Key Inputs'!$B$29:$B$114,$W8,'Key Inputs'!$C$29:$C$114,$X8))</f>
        <v>0.37305637627958338</v>
      </c>
      <c r="H8" s="652">
        <f t="shared" ref="H8:H10" si="4">IF($Y8="","",1)</f>
        <v>1</v>
      </c>
      <c r="I8" s="652">
        <f>IF($Y8="","",SUMIFS('Key Inputs'!$K$29:$K$114,'Key Inputs'!$A$29:$A$114,$V8,'Key Inputs'!$B$29:$B$114,$W8,'Key Inputs'!$C$29:$C$114,$X8))</f>
        <v>20</v>
      </c>
      <c r="J8" s="680">
        <f t="shared" si="3"/>
        <v>1</v>
      </c>
      <c r="L8" s="42" t="str">
        <f t="shared" ref="L8:L10" si="5">IF($Y8="","*"&amp;V9&amp;" "&amp;W9,"DMD")</f>
        <v>DMD</v>
      </c>
      <c r="M8" s="42" t="str">
        <f>IF($AB8="","",_xlfn.TEXTJOIN(",",TRUE,IF(LEFT(Regions!$C$3,1)&lt;&gt;"*",Regions!$C$3,""),IF(LEFT(Regions!$D$3,1)&lt;&gt;"*",Regions!$D$3,"")))</f>
        <v>IE,National</v>
      </c>
      <c r="N8" s="42" t="str">
        <f>IF($Y8="","",CONCATENATE(LEFT(Legend!$C$4),"-",$AB8,"-",$AA8,"_",$Y8))</f>
        <v>S-PLIG-PU_X2</v>
      </c>
      <c r="O8" s="22" t="str">
        <f>IF($Y8="","",CONCATENATE(V8," - ",W8,": ",X8))</f>
        <v>Public Services - Public lighting: Mercury lamps</v>
      </c>
      <c r="P8" s="22" t="str">
        <f>IF($Y8="","",'Key Inputs'!$M$102)</f>
        <v>Mlamps</v>
      </c>
      <c r="Q8" s="22" t="str">
        <f>IF($Y8="","",'Key Inputs'!$M$102)</f>
        <v>Mlamps</v>
      </c>
      <c r="R8" s="22" t="str">
        <f>IF($Y8="","","ANNUAL")</f>
        <v>ANNUAL</v>
      </c>
      <c r="V8" s="54" t="str">
        <f>IF('Key Inputs'!A104="","",'Key Inputs'!A104)</f>
        <v>Public Services</v>
      </c>
      <c r="W8" s="54" t="str">
        <f>IF('Key Inputs'!B104="","",'Key Inputs'!B104)</f>
        <v>Public lighting</v>
      </c>
      <c r="X8" s="54" t="str">
        <f>IF('Key Inputs'!C104="","",'Key Inputs'!C104)</f>
        <v>Mercury lamps</v>
      </c>
      <c r="Y8" s="54" t="s">
        <v>529</v>
      </c>
      <c r="Z8" s="54" t="str">
        <f>IF('Key Inputs'!E104="","",'Key Inputs'!E104)</f>
        <v>SRVELC</v>
      </c>
      <c r="AA8" s="22" t="str">
        <f>_xlfn.XLOOKUP(V8,Legend!$A$36:$A$37,Legend!$C$36:$C$37)</f>
        <v>PU</v>
      </c>
      <c r="AB8" s="22" t="str">
        <f>_xlfn.XLOOKUP(W8,Legend!$A$39:$A$49,Legend!$C$39:$C$49)</f>
        <v>PLIG</v>
      </c>
      <c r="AC8" s="110">
        <f>IF($Y8="","",AD8/G8)</f>
        <v>0.19300031999999998</v>
      </c>
      <c r="AD8" s="110">
        <f>IF($Y8="","",F8*H8*J8)</f>
        <v>7.1999999999999995E-2</v>
      </c>
    </row>
    <row r="9" spans="1:30" s="22" customFormat="1">
      <c r="B9" s="118" t="str">
        <f>IF($Y9="",L9,N9)</f>
        <v>S-PLIG-PU_X3</v>
      </c>
      <c r="C9" s="107" t="str">
        <f>IF($Y9="","",O9)</f>
        <v>Public Services - Public lighting: Others</v>
      </c>
      <c r="D9" s="88" t="str">
        <f>IF($Y9="","",Z9)</f>
        <v>SRVELC</v>
      </c>
      <c r="E9" s="129" t="str">
        <f>IF($Y9="","",CONCATENATE(Legend!$C$4,AB9,"-",Legend!$C$37))</f>
        <v>SRVPLIG-PU</v>
      </c>
      <c r="F9" s="88">
        <f>IF($Y9="","",SUMIFS('Key Inputs'!$M$29:$M$114,'Key Inputs'!$A$29:$A$114,$V9,'Key Inputs'!$B$29:$B$114,$W9,'Key Inputs'!$C$29:$C$114,$X9))</f>
        <v>0.38400000000000001</v>
      </c>
      <c r="G9" s="88">
        <f>IF($Y9="","",1/SUMIFS('Key Inputs'!$L$29:$L$114,'Key Inputs'!$A$29:$A$114,$V9,'Key Inputs'!$B$29:$B$114,$W9,'Key Inputs'!$C$29:$C$114,$X9))</f>
        <v>0.31709791983764585</v>
      </c>
      <c r="H9" s="652">
        <f t="shared" si="4"/>
        <v>1</v>
      </c>
      <c r="I9" s="652">
        <f>IF($Y9="","",SUMIFS('Key Inputs'!$K$29:$K$114,'Key Inputs'!$A$29:$A$114,$V9,'Key Inputs'!$B$29:$B$114,$W9,'Key Inputs'!$C$29:$C$114,$X9))</f>
        <v>20</v>
      </c>
      <c r="J9" s="680">
        <f t="shared" si="3"/>
        <v>1</v>
      </c>
      <c r="L9" s="42" t="str">
        <f t="shared" si="5"/>
        <v>DMD</v>
      </c>
      <c r="M9" s="42" t="str">
        <f>IF($AB9="","",_xlfn.TEXTJOIN(",",TRUE,IF(LEFT(Regions!$C$3,1)&lt;&gt;"*",Regions!$C$3,""),IF(LEFT(Regions!$D$3,1)&lt;&gt;"*",Regions!$D$3,"")))</f>
        <v>IE,National</v>
      </c>
      <c r="N9" s="42" t="str">
        <f>IF($Y9="","",CONCATENATE(LEFT(Legend!$C$4),"-",$AB9,"-",$AA9,"_",$Y9))</f>
        <v>S-PLIG-PU_X3</v>
      </c>
      <c r="O9" s="22" t="str">
        <f>IF($Y9="","",CONCATENATE(V9," - ",W9,": ",X9))</f>
        <v>Public Services - Public lighting: Others</v>
      </c>
      <c r="P9" s="22" t="str">
        <f>IF($Y9="","",'Key Inputs'!$M$102)</f>
        <v>Mlamps</v>
      </c>
      <c r="Q9" s="22" t="str">
        <f>IF($Y9="","",'Key Inputs'!$M$102)</f>
        <v>Mlamps</v>
      </c>
      <c r="R9" s="22" t="str">
        <f>IF($Y9="","","ANNUAL")</f>
        <v>ANNUAL</v>
      </c>
      <c r="V9" s="54" t="str">
        <f>IF('Key Inputs'!A105="","",'Key Inputs'!A105)</f>
        <v>Public Services</v>
      </c>
      <c r="W9" s="54" t="str">
        <f>IF('Key Inputs'!B105="","",'Key Inputs'!B105)</f>
        <v>Public lighting</v>
      </c>
      <c r="X9" s="54" t="str">
        <f>IF('Key Inputs'!C105="","",'Key Inputs'!C105)</f>
        <v>Others</v>
      </c>
      <c r="Y9" s="54" t="s">
        <v>530</v>
      </c>
      <c r="Z9" s="54" t="str">
        <f>IF('Key Inputs'!E105="","",'Key Inputs'!E105)</f>
        <v>SRVELC</v>
      </c>
      <c r="AA9" s="22" t="str">
        <f>_xlfn.XLOOKUP(V9,Legend!$A$36:$A$37,Legend!$C$36:$C$37)</f>
        <v>PU</v>
      </c>
      <c r="AB9" s="22" t="str">
        <f>_xlfn.XLOOKUP(W9,Legend!$A$39:$A$49,Legend!$C$39:$C$49)</f>
        <v>PLIG</v>
      </c>
      <c r="AC9" s="110">
        <f>IF($Y9="","",AD9/G9)</f>
        <v>1.2109824</v>
      </c>
      <c r="AD9" s="110">
        <f>IF($Y9="","",F9*H9*J9)</f>
        <v>0.38400000000000001</v>
      </c>
    </row>
    <row r="10" spans="1:30" s="129" customFormat="1">
      <c r="B10" s="116" t="str">
        <f>IF($Y10="",L10,N10)</f>
        <v>S-PLIG-PU_X4</v>
      </c>
      <c r="C10" s="82" t="str">
        <f>IF($Y10="","",O10)</f>
        <v>Public Services - Public lighting: LED</v>
      </c>
      <c r="D10" s="123" t="str">
        <f>IF($Y10="","",Z10)</f>
        <v>SRVELC</v>
      </c>
      <c r="E10" s="130" t="str">
        <f>IF($Y10="","",CONCATENATE(Legend!$C$4,AB10,"-",Legend!$C$37))</f>
        <v>SRVPLIG-PU</v>
      </c>
      <c r="F10" s="123">
        <f>IF($Y10="","",SUMIFS('Key Inputs'!$M$29:$M$114,'Key Inputs'!$A$29:$A$114,$V10,'Key Inputs'!$B$29:$B$114,$W10,'Key Inputs'!$C$29:$C$114,$X10))</f>
        <v>4.7999999999999996E-3</v>
      </c>
      <c r="G10" s="123">
        <f>IF($Y10="","",1/SUMIFS('Key Inputs'!$L$29:$L$114,'Key Inputs'!$A$29:$A$114,$V10,'Key Inputs'!$B$29:$B$114,$W10,'Key Inputs'!$C$29:$C$114,$X10))</f>
        <v>1.2683916793505834</v>
      </c>
      <c r="H10" s="654">
        <f t="shared" si="4"/>
        <v>1</v>
      </c>
      <c r="I10" s="654">
        <f>IF($Y10="","",SUMIFS('Key Inputs'!$K$29:$K$114,'Key Inputs'!$A$29:$A$114,$V10,'Key Inputs'!$B$29:$B$114,$W10,'Key Inputs'!$C$29:$C$114,$X10))</f>
        <v>20</v>
      </c>
      <c r="J10" s="685">
        <f t="shared" si="3"/>
        <v>1</v>
      </c>
      <c r="L10" s="49" t="str">
        <f t="shared" si="5"/>
        <v>DMD</v>
      </c>
      <c r="M10" s="49" t="str">
        <f>IF($AB10="","",_xlfn.TEXTJOIN(",",TRUE,IF(LEFT(Regions!$C$3,1)&lt;&gt;"*",Regions!$C$3,""),IF(LEFT(Regions!$D$3,1)&lt;&gt;"*",Regions!$D$3,"")))</f>
        <v>IE,National</v>
      </c>
      <c r="N10" s="49" t="str">
        <f>IF($Y10="","",CONCATENATE(LEFT(Legend!$C$4),"-",$AB10,"-",$AA10,"_",$Y10))</f>
        <v>S-PLIG-PU_X4</v>
      </c>
      <c r="O10" s="130" t="str">
        <f>IF($Y10="","",CONCATENATE(V10," - ",W10,": ",X10))</f>
        <v>Public Services - Public lighting: LED</v>
      </c>
      <c r="P10" s="32" t="str">
        <f>IF($Y10="","",'Key Inputs'!$M$102)</f>
        <v>Mlamps</v>
      </c>
      <c r="Q10" s="32" t="str">
        <f>IF($Y10="","",'Key Inputs'!$M$102)</f>
        <v>Mlamps</v>
      </c>
      <c r="R10" s="130" t="str">
        <f>IF($Y10="","","ANNUAL")</f>
        <v>ANNUAL</v>
      </c>
      <c r="S10" s="130"/>
      <c r="T10" s="130"/>
      <c r="V10" s="54" t="str">
        <f>IF('Key Inputs'!A106="","",'Key Inputs'!A106)</f>
        <v>Public Services</v>
      </c>
      <c r="W10" s="54" t="str">
        <f>IF('Key Inputs'!B106="","",'Key Inputs'!B106)</f>
        <v>Public lighting</v>
      </c>
      <c r="X10" s="54" t="str">
        <f>IF('Key Inputs'!C106="","",'Key Inputs'!C106)</f>
        <v>LED</v>
      </c>
      <c r="Y10" s="54" t="s">
        <v>531</v>
      </c>
      <c r="Z10" s="54" t="str">
        <f>IF('Key Inputs'!E106="","",'Key Inputs'!E106)</f>
        <v>SRVELC</v>
      </c>
      <c r="AA10" s="129" t="str">
        <f>_xlfn.XLOOKUP(V10,Legend!$A$36:$A$37,Legend!$C$36:$C$37)</f>
        <v>PU</v>
      </c>
      <c r="AB10" s="129" t="str">
        <f>_xlfn.XLOOKUP(W10,Legend!$A$39:$A$49,Legend!$C$39:$C$49)</f>
        <v>PLIG</v>
      </c>
      <c r="AC10" s="110">
        <f>IF($Y10="","",AD10/G10)</f>
        <v>3.7843199999999999E-3</v>
      </c>
      <c r="AD10" s="110">
        <f>IF($Y10="","",F10*H10*J10)</f>
        <v>4.7999999999999996E-3</v>
      </c>
    </row>
    <row r="11" spans="1:30">
      <c r="A11" s="22"/>
      <c r="B11" s="118"/>
      <c r="C11" s="107"/>
      <c r="D11" s="88"/>
      <c r="E11" s="129"/>
      <c r="F11" s="88"/>
      <c r="G11" s="88"/>
      <c r="H11" s="652"/>
      <c r="I11" s="652"/>
      <c r="J11" s="88"/>
      <c r="K11" s="22"/>
      <c r="L11" s="42"/>
      <c r="M11" s="42"/>
      <c r="N11" s="22"/>
      <c r="O11" s="22"/>
      <c r="P11" s="22"/>
      <c r="Q11" s="22"/>
      <c r="R11" s="22"/>
      <c r="S11" s="22"/>
      <c r="T11" s="22"/>
      <c r="V11" s="54"/>
      <c r="W11" s="54"/>
      <c r="X11" s="54"/>
      <c r="Y11" s="54"/>
      <c r="Z11" s="54"/>
      <c r="AA11" s="22"/>
      <c r="AB11" s="22"/>
    </row>
    <row r="12" spans="1:30">
      <c r="B12" s="662"/>
      <c r="C12" s="54"/>
      <c r="D12" s="60"/>
      <c r="E12" s="25" t="s">
        <v>527</v>
      </c>
      <c r="F12" s="655">
        <f>SUM(F6:F10)</f>
        <v>0.48000000000000004</v>
      </c>
      <c r="G12" s="645"/>
      <c r="H12" s="645"/>
      <c r="I12" s="647"/>
      <c r="J12" s="81"/>
      <c r="L12" s="42"/>
      <c r="M12" s="42"/>
      <c r="S12" s="22"/>
      <c r="T12" s="22"/>
      <c r="V12" s="54"/>
      <c r="W12" s="54"/>
      <c r="X12" s="54"/>
      <c r="Y12" s="54"/>
      <c r="Z12" s="54"/>
      <c r="AC12" s="506">
        <f>SUM(AC6:AC10)</f>
        <v>1.4471239680000001</v>
      </c>
      <c r="AD12" s="506">
        <f>SUM(AD6:AD10)</f>
        <v>0.48000000000000004</v>
      </c>
    </row>
    <row r="13" spans="1:30">
      <c r="V13" s="54"/>
      <c r="W13" s="54"/>
      <c r="X13" s="54"/>
      <c r="Y13" s="54"/>
      <c r="Z13" s="54"/>
    </row>
    <row r="14" spans="1:30" ht="23.25">
      <c r="B14" s="68" t="s">
        <v>536</v>
      </c>
    </row>
    <row r="15" spans="1:30">
      <c r="B15" s="688" t="s">
        <v>88</v>
      </c>
      <c r="C15" s="85"/>
    </row>
    <row r="16" spans="1:30" ht="15.75" thickBot="1">
      <c r="B16" s="35" t="s">
        <v>7</v>
      </c>
      <c r="C16" s="35" t="s">
        <v>144</v>
      </c>
    </row>
    <row r="17" spans="2:3">
      <c r="B17" s="55" t="s">
        <v>534</v>
      </c>
      <c r="C17" s="55" t="s">
        <v>152</v>
      </c>
    </row>
    <row r="18" spans="2:3">
      <c r="B18" s="665"/>
      <c r="C18" s="677" t="str">
        <f>P10</f>
        <v>Mlamps</v>
      </c>
    </row>
    <row r="19" spans="2:3">
      <c r="B19" s="689" t="str">
        <f>E7</f>
        <v>SRVPLIG-PU</v>
      </c>
      <c r="C19" s="690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36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2" width="20.5703125" style="31" customWidth="1"/>
    <col min="13" max="13" width="12.42578125" style="31" customWidth="1"/>
    <col min="14" max="14" width="16.425781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533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161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537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395</v>
      </c>
      <c r="W3" s="722" t="s">
        <v>165</v>
      </c>
      <c r="X3" s="722" t="s">
        <v>83</v>
      </c>
      <c r="Y3" s="722" t="s">
        <v>515</v>
      </c>
      <c r="Z3" s="722" t="s">
        <v>516</v>
      </c>
      <c r="AA3" s="722" t="s">
        <v>517</v>
      </c>
      <c r="AB3" s="722" t="s">
        <v>518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606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551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519</v>
      </c>
    </row>
    <row r="5" spans="1:30">
      <c r="A5" s="62"/>
      <c r="B5" s="58" t="s">
        <v>136</v>
      </c>
      <c r="C5" s="58"/>
      <c r="D5" s="58"/>
      <c r="E5" s="58"/>
      <c r="F5" s="58" t="str">
        <f>Q7</f>
        <v>GW</v>
      </c>
      <c r="G5" s="665" t="s">
        <v>525</v>
      </c>
      <c r="H5" s="58" t="s">
        <v>137</v>
      </c>
      <c r="I5" s="58" t="s">
        <v>143</v>
      </c>
      <c r="J5" s="58" t="s">
        <v>524</v>
      </c>
      <c r="L5" s="665" t="s">
        <v>513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s="25" customFormat="1" ht="30">
      <c r="B6" s="661" t="str">
        <f t="shared" ref="B6" si="0">IF($Y6="",L6,N6)</f>
        <v>*Commercial Services Data centers</v>
      </c>
      <c r="C6" s="80" t="str">
        <f t="shared" ref="C6" si="1">IF($Y6="","",O6)</f>
        <v/>
      </c>
      <c r="D6" s="655" t="str">
        <f>IF($Y6="","",Z6)</f>
        <v/>
      </c>
      <c r="E6" s="25" t="str">
        <f>IF($Y6="","",CONCATENATE(Legend!$C$4,AB6,"-",AA6))</f>
        <v/>
      </c>
      <c r="F6" s="655" t="str">
        <f>IF($Y6="","",SUMIFS('Key Inputs'!$J$29:$J$114,'Key Inputs'!$A$29:$A$114,$V6,'Key Inputs'!$B$29:$B$114,$W6,'Key Inputs'!$C$29:$C$114,$X6))</f>
        <v/>
      </c>
      <c r="G6" s="60" t="str">
        <f>IF($Y6="","",1)</f>
        <v/>
      </c>
      <c r="H6" s="647" t="str">
        <f>IF($Y6="","",SUMIFS('Key Inputs'!$G$29:$G$114,'Key Inputs'!$A$29:$A$114,$V6,'Key Inputs'!$B$29:$B$114,$W6,'Key Inputs'!$C$29:$C$114,$X6))</f>
        <v/>
      </c>
      <c r="I6" s="686" t="str">
        <f>IF($Y6="","",SUMIFS('Key Inputs'!$H$29:$H$114,'Key Inputs'!$A$29:$A$114,$V6,'Key Inputs'!$B$29:$B$114,$W6,'Key Inputs'!$C$29:$C$114,$X6))</f>
        <v/>
      </c>
      <c r="J6" s="686" t="str">
        <f>IF($Y6="","",1)</f>
        <v/>
      </c>
      <c r="L6" s="514" t="str">
        <f>IF($Y6="","*"&amp;V7&amp;" "&amp;W7,"DMD")</f>
        <v>*Commercial Services Data centers</v>
      </c>
      <c r="M6" s="64" t="str">
        <f>IF($AB6="","",_xlfn.TEXTJOIN(",",TRUE,IF(LEFT(Regions!$C$3,1)&lt;&gt;"*",Regions!$C$3,""),IF(LEFT(Regions!$D$3,1)&lt;&gt;"*",Regions!$D$3,"")))</f>
        <v/>
      </c>
      <c r="N6" s="25" t="str">
        <f>IF($Y6="","",CONCATENATE(Legend!$C$4,"-",$AB6,"-",$AA6,"_",$Y6))</f>
        <v/>
      </c>
      <c r="O6" s="25" t="str">
        <f>IF($Y6="","",CONCATENATE(V6," - ",W6,": ",X6))</f>
        <v/>
      </c>
      <c r="P6" s="25" t="str">
        <f>IF($Y6="","","PJ")</f>
        <v/>
      </c>
      <c r="Q6" s="25" t="str">
        <f>IF($Y6="","","kunits")</f>
        <v/>
      </c>
      <c r="R6" s="25" t="str">
        <f>IF($Y6="","","ANNUAL")</f>
        <v/>
      </c>
      <c r="S6" s="583"/>
      <c r="T6" s="583"/>
      <c r="V6" s="80" t="str">
        <f>IF('Key Inputs'!A113="","",'Key Inputs'!A113)</f>
        <v/>
      </c>
      <c r="W6" s="80" t="str">
        <f>IF('Key Inputs'!B113="","",'Key Inputs'!B113)</f>
        <v/>
      </c>
      <c r="X6" s="80" t="str">
        <f>IF('Key Inputs'!C113="","",'Key Inputs'!C113)</f>
        <v/>
      </c>
      <c r="Y6" s="80" t="str">
        <f>IF('Key Inputs'!D113="","",'Key Inputs'!D113)</f>
        <v/>
      </c>
      <c r="Z6" s="80" t="str">
        <f>IF('Key Inputs'!E113="","",'Key Inputs'!E113)</f>
        <v/>
      </c>
      <c r="AC6" s="506" t="str">
        <f>IF($Y6="","",AD6/G6)</f>
        <v/>
      </c>
      <c r="AD6" s="687" t="str">
        <f>IF($Y6="","",F6*H6*J6)</f>
        <v/>
      </c>
    </row>
    <row r="7" spans="1:30">
      <c r="B7" s="116" t="str">
        <f>IF($Y7="",L7,N7)</f>
        <v>S-DCE-CS</v>
      </c>
      <c r="C7" s="82" t="str">
        <f>IF($Y7="","",O7)</f>
        <v>Commercial Services - Data centers</v>
      </c>
      <c r="D7" s="123" t="str">
        <f>IF($Y7="","",Z7)</f>
        <v>SRVELC</v>
      </c>
      <c r="E7" s="130" t="str">
        <f>IF($Y7="","",CONCATENATE(Legend!$C$4,AB7,"-",AA7))</f>
        <v>SRVDCE-CS</v>
      </c>
      <c r="F7" s="123">
        <f>IF($Y7="","",SUMIFS('Key Inputs'!$F$29:$F$114,'Key Inputs'!$A$29:$A$114,$V7,'Key Inputs'!$B$29:$B$114,$W7,'Key Inputs'!$C$29:$C$114,$X7))</f>
        <v>0.51</v>
      </c>
      <c r="G7" s="123">
        <f>IF($Y7="","",1)</f>
        <v>1</v>
      </c>
      <c r="H7" s="653">
        <f>IF($Y7="","",SUMIFS('Key Inputs'!$G$29:$G$114,'Key Inputs'!$A$29:$A$114,$V7,'Key Inputs'!$B$29:$B$114,$W7,'Key Inputs'!$C$29:$C$114,$X7))</f>
        <v>0.35</v>
      </c>
      <c r="I7" s="654">
        <f>IF($Y7="","",SUMIFS('Key Inputs'!$H$29:$H$114,'Key Inputs'!$A$29:$A$114,$V7,'Key Inputs'!$B$29:$B$114,$W7,'Key Inputs'!$C$29:$C$114,$X7))</f>
        <v>20</v>
      </c>
      <c r="J7" s="123">
        <f>IF($Y7="","",31.536)</f>
        <v>31.536000000000001</v>
      </c>
      <c r="L7" s="49" t="str">
        <f>IF($Y7="","*"&amp;V8&amp;" "&amp;W8,"DMD")</f>
        <v>DMD</v>
      </c>
      <c r="M7" s="66" t="str">
        <f>IF($AB7="","",_xlfn.TEXTJOIN(",",TRUE,IF(LEFT(Regions!$C$3,1)&lt;&gt;"*",Regions!$C$3,""),IF(LEFT(Regions!$D$3,1)&lt;&gt;"*",Regions!$D$3,"")))</f>
        <v>IE,National</v>
      </c>
      <c r="N7" s="32" t="str">
        <f>IF($Y7="","",CONCATENATE(LEFT(Legend!$C$4),"-",$AB7,"-",$AA7))</f>
        <v>S-DCE-CS</v>
      </c>
      <c r="O7" s="32" t="str">
        <f>IF($Y7="","",CONCATENATE(V7," - ",W7))</f>
        <v>Commercial Services - Data centers</v>
      </c>
      <c r="P7" s="32" t="str">
        <f>IF($Y7="","","PJ")</f>
        <v>PJ</v>
      </c>
      <c r="Q7" s="32" t="str">
        <f>IF($Y7="","","GW")</f>
        <v>GW</v>
      </c>
      <c r="R7" s="32" t="str">
        <f>IF($Y7="","","ANNUAL")</f>
        <v>ANNUAL</v>
      </c>
      <c r="S7" s="32"/>
      <c r="T7" s="32"/>
      <c r="V7" s="54" t="str">
        <f>IF('Key Inputs'!A114="","",'Key Inputs'!A114)</f>
        <v>Commercial Services</v>
      </c>
      <c r="W7" s="54" t="str">
        <f>IF('Key Inputs'!B114="","",'Key Inputs'!B114)</f>
        <v>Data centers</v>
      </c>
      <c r="X7" s="54" t="str">
        <f>IF('Key Inputs'!C114="","",'Key Inputs'!C114)</f>
        <v>Electricity</v>
      </c>
      <c r="Y7" s="54" t="str">
        <f>IF('Key Inputs'!D114="","",'Key Inputs'!D114)</f>
        <v>ELC</v>
      </c>
      <c r="Z7" s="54" t="str">
        <f>IF('Key Inputs'!E114="","",'Key Inputs'!E114)</f>
        <v>SRVELC</v>
      </c>
      <c r="AA7" s="31" t="str">
        <f>_xlfn.XLOOKUP(V7,Legend!$A$36:$A$37,Legend!$C$36:$C$37)</f>
        <v>CS</v>
      </c>
      <c r="AB7" s="31" t="str">
        <f>_xlfn.XLOOKUP(W7,Legend!$A$39:$A$49,Legend!$C$39:$C$49)</f>
        <v>DCE</v>
      </c>
      <c r="AC7" s="27">
        <f>IF($Y7="","",AD7/G7)</f>
        <v>5.6291760000000002</v>
      </c>
      <c r="AD7" s="110">
        <f>IF($Y7="","",F7*H7*J7)</f>
        <v>5.6291760000000002</v>
      </c>
    </row>
    <row r="8" spans="1:30">
      <c r="B8" s="662"/>
      <c r="C8" s="54"/>
      <c r="D8" s="60"/>
      <c r="E8" s="26"/>
      <c r="F8" s="60"/>
      <c r="G8" s="645"/>
      <c r="H8" s="645"/>
      <c r="I8" s="647"/>
      <c r="J8" s="81"/>
      <c r="L8" s="42"/>
      <c r="M8" s="42"/>
      <c r="S8" s="22"/>
      <c r="T8" s="22"/>
      <c r="V8" s="54"/>
      <c r="W8" s="54"/>
      <c r="X8" s="54"/>
      <c r="Y8" s="54"/>
      <c r="Z8" s="54"/>
    </row>
    <row r="9" spans="1:30">
      <c r="B9" s="662"/>
      <c r="C9" s="54"/>
      <c r="D9" s="60"/>
      <c r="E9" s="25" t="s">
        <v>527</v>
      </c>
      <c r="F9" s="655">
        <f>SUM(F6:F7)</f>
        <v>0.51</v>
      </c>
      <c r="G9" s="645"/>
      <c r="H9" s="645"/>
      <c r="I9" s="647"/>
      <c r="J9" s="81"/>
      <c r="L9" s="42"/>
      <c r="M9" s="42"/>
      <c r="S9" s="22"/>
      <c r="T9" s="22"/>
      <c r="V9" s="54"/>
      <c r="W9" s="54"/>
      <c r="X9" s="54"/>
      <c r="Y9" s="54"/>
      <c r="Z9" s="54"/>
      <c r="AC9" s="506">
        <f>SUM(AC6:AC7)</f>
        <v>5.6291760000000002</v>
      </c>
      <c r="AD9" s="506">
        <f>SUM(AD6:AD7)</f>
        <v>5.6291760000000002</v>
      </c>
    </row>
    <row r="11" spans="1:30" ht="23.25">
      <c r="B11" s="68" t="s">
        <v>536</v>
      </c>
    </row>
    <row r="12" spans="1:30">
      <c r="B12" s="688" t="s">
        <v>88</v>
      </c>
      <c r="C12" s="85"/>
    </row>
    <row r="13" spans="1:30" ht="15.75" thickBot="1">
      <c r="B13" s="35" t="s">
        <v>7</v>
      </c>
      <c r="C13" s="35" t="s">
        <v>144</v>
      </c>
    </row>
    <row r="14" spans="1:30">
      <c r="B14" s="55" t="s">
        <v>534</v>
      </c>
      <c r="C14" s="55" t="s">
        <v>152</v>
      </c>
    </row>
    <row r="15" spans="1:30">
      <c r="B15" s="665"/>
      <c r="C15" s="677" t="str">
        <f>P7</f>
        <v>PJ</v>
      </c>
    </row>
    <row r="16" spans="1:30">
      <c r="B16" s="689" t="str">
        <f>E7</f>
        <v>SRVDCE-CS</v>
      </c>
      <c r="C16" s="690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tabSelected="1" zoomScaleNormal="100" workbookViewId="0">
      <selection activeCell="I18" sqref="I18"/>
    </sheetView>
  </sheetViews>
  <sheetFormatPr defaultColWidth="8.85546875" defaultRowHeight="15"/>
  <cols>
    <col min="1" max="1" width="2.42578125" style="31" customWidth="1"/>
    <col min="2" max="8" width="14.85546875" style="31" customWidth="1"/>
    <col min="9" max="19" width="11.28515625" style="31" customWidth="1"/>
    <col min="20" max="16384" width="8.85546875" style="31"/>
  </cols>
  <sheetData>
    <row r="1" spans="2:8" ht="23.25">
      <c r="B1" s="34" t="s">
        <v>80</v>
      </c>
    </row>
    <row r="2" spans="2:8">
      <c r="B2" s="56" t="s">
        <v>25</v>
      </c>
    </row>
    <row r="3" spans="2:8" s="62" customFormat="1" ht="15.75" thickBot="1">
      <c r="B3" s="35" t="s">
        <v>7</v>
      </c>
      <c r="C3" s="35" t="str">
        <f>Commodities!D23</f>
        <v>SRVCOA</v>
      </c>
      <c r="D3" s="35" t="str">
        <f>Commodities!D24</f>
        <v>SRVLPG</v>
      </c>
      <c r="E3" s="35" t="str">
        <f>Commodities!D25</f>
        <v>SRVOIL</v>
      </c>
      <c r="F3" s="35" t="str">
        <f>Commodities!D26</f>
        <v>SRVGAS</v>
      </c>
      <c r="G3" s="35" t="str">
        <f>Commodities!D27</f>
        <v>SRVBIO</v>
      </c>
      <c r="H3" s="35" t="str">
        <f>Commodities!D29</f>
        <v>SRVSOL</v>
      </c>
    </row>
    <row r="4" spans="2:8" s="62" customFormat="1" ht="25.5">
      <c r="B4" s="55" t="s">
        <v>155</v>
      </c>
      <c r="C4" s="86" t="str">
        <f>Commodities!E23</f>
        <v>Solids (SRV)</v>
      </c>
      <c r="D4" s="86" t="str">
        <f>Commodities!E24</f>
        <v>LPG (SRV)</v>
      </c>
      <c r="E4" s="86" t="str">
        <f>Commodities!E25</f>
        <v>Oil (SRV)</v>
      </c>
      <c r="F4" s="86" t="str">
        <f>Commodities!E26</f>
        <v>Natural Gas (SRV)</v>
      </c>
      <c r="G4" s="86" t="str">
        <f>Commodities!E27</f>
        <v>Biomass (SRV)</v>
      </c>
      <c r="H4" s="86" t="str">
        <f>Commodities!E29</f>
        <v>Solar (SRV)</v>
      </c>
    </row>
    <row r="5" spans="2:8" s="62" customFormat="1">
      <c r="B5" s="58" t="s">
        <v>136</v>
      </c>
      <c r="C5" s="58" t="s">
        <v>156</v>
      </c>
      <c r="D5" s="58" t="s">
        <v>156</v>
      </c>
      <c r="E5" s="58" t="s">
        <v>156</v>
      </c>
      <c r="F5" s="58" t="s">
        <v>156</v>
      </c>
      <c r="G5" s="58" t="s">
        <v>156</v>
      </c>
      <c r="H5" s="58" t="s">
        <v>156</v>
      </c>
    </row>
    <row r="6" spans="2:8">
      <c r="B6" s="710" t="str">
        <f>Commodities!D38</f>
        <v>SRVCO2N</v>
      </c>
      <c r="C6" s="713">
        <v>94.6</v>
      </c>
      <c r="D6" s="713">
        <v>63.7</v>
      </c>
      <c r="E6" s="649">
        <f>SUMPRODUCT(C17:C19,'Fuel Techs'!F7:F9)</f>
        <v>73.27463785057148</v>
      </c>
      <c r="F6" s="713">
        <v>55.74</v>
      </c>
      <c r="G6" s="711">
        <v>0</v>
      </c>
      <c r="H6" s="711">
        <v>0</v>
      </c>
    </row>
    <row r="7" spans="2:8">
      <c r="B7" s="22" t="str">
        <f>Commodities!D39</f>
        <v>SRVCH4N</v>
      </c>
    </row>
    <row r="8" spans="2:8">
      <c r="B8" s="22" t="str">
        <f>Commodities!D40</f>
        <v>SRVSO2N</v>
      </c>
      <c r="C8" s="26"/>
      <c r="D8" s="26"/>
      <c r="E8" s="26"/>
      <c r="F8" s="26"/>
      <c r="G8" s="26"/>
      <c r="H8" s="26"/>
    </row>
    <row r="9" spans="2:8">
      <c r="B9" s="22" t="str">
        <f>Commodities!D41</f>
        <v>SRVNOXN</v>
      </c>
      <c r="C9" s="26"/>
      <c r="D9" s="26"/>
      <c r="E9" s="26"/>
      <c r="F9" s="26"/>
      <c r="G9" s="26"/>
      <c r="H9" s="26"/>
    </row>
    <row r="10" spans="2:8">
      <c r="B10" s="22" t="str">
        <f>Commodities!D42</f>
        <v>SRVPM10</v>
      </c>
      <c r="C10" s="26"/>
      <c r="D10" s="26"/>
      <c r="E10" s="26"/>
      <c r="F10" s="26"/>
      <c r="G10" s="26"/>
      <c r="H10" s="26"/>
    </row>
    <row r="11" spans="2:8">
      <c r="B11" s="32" t="str">
        <f>Commodities!D43</f>
        <v>SRVPM25</v>
      </c>
      <c r="C11" s="130"/>
      <c r="D11" s="130"/>
      <c r="E11" s="130"/>
      <c r="F11" s="130"/>
      <c r="G11" s="130"/>
      <c r="H11" s="130"/>
    </row>
    <row r="16" spans="2:8" ht="15.75" thickBot="1">
      <c r="B16" s="707" t="s">
        <v>156</v>
      </c>
      <c r="C16" s="513" t="str">
        <f>B6</f>
        <v>SRVCO2N</v>
      </c>
    </row>
    <row r="17" spans="2:3">
      <c r="B17" s="709" t="s">
        <v>565</v>
      </c>
      <c r="C17" s="712">
        <v>71.900000000000006</v>
      </c>
    </row>
    <row r="18" spans="2:3">
      <c r="B18" s="709" t="s">
        <v>597</v>
      </c>
      <c r="C18" s="712">
        <v>74.099999999999994</v>
      </c>
    </row>
    <row r="19" spans="2:3">
      <c r="B19" s="714" t="s">
        <v>598</v>
      </c>
      <c r="C19" s="708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60" customWidth="1"/>
    <col min="2" max="2" width="13" style="141" bestFit="1" customWidth="1"/>
    <col min="3" max="4" width="7.5703125" style="238" bestFit="1" customWidth="1"/>
    <col min="5" max="5" width="9.140625" style="238"/>
    <col min="6" max="6" width="6.140625" style="264" customWidth="1"/>
    <col min="7" max="7" width="5.85546875" style="264" bestFit="1" customWidth="1"/>
    <col min="8" max="8" width="6.42578125" style="238" bestFit="1" customWidth="1"/>
    <col min="9" max="9" width="6.140625" style="264" bestFit="1" customWidth="1"/>
    <col min="10" max="10" width="6" style="264" bestFit="1" customWidth="1"/>
    <col min="11" max="11" width="6.85546875" style="264" bestFit="1" customWidth="1"/>
    <col min="12" max="12" width="8.7109375" style="194" bestFit="1" customWidth="1"/>
    <col min="13" max="13" width="8.140625" style="141" bestFit="1" customWidth="1"/>
    <col min="14" max="14" width="8.140625" style="141" customWidth="1"/>
    <col min="15" max="15" width="5.28515625" style="141" customWidth="1"/>
    <col min="16" max="16" width="7.42578125" style="141" customWidth="1"/>
    <col min="17" max="17" width="7.42578125" style="141" bestFit="1" customWidth="1"/>
    <col min="18" max="18" width="8.140625" style="141" bestFit="1" customWidth="1"/>
    <col min="19" max="19" width="7.28515625" style="141" bestFit="1" customWidth="1"/>
    <col min="20" max="20" width="7.42578125" style="141" bestFit="1" customWidth="1"/>
    <col min="21" max="21" width="8.42578125" style="141" bestFit="1" customWidth="1"/>
    <col min="22" max="22" width="6.85546875" style="141" bestFit="1" customWidth="1"/>
    <col min="23" max="25" width="5.42578125" style="141" customWidth="1"/>
    <col min="26" max="26" width="5.42578125" style="264" customWidth="1"/>
    <col min="27" max="27" width="8.140625" style="194" bestFit="1" customWidth="1"/>
    <col min="28" max="28" width="6.7109375" style="194" bestFit="1" customWidth="1"/>
    <col min="29" max="30" width="5.5703125" style="141" customWidth="1"/>
    <col min="31" max="31" width="8.7109375" style="141" bestFit="1" customWidth="1"/>
    <col min="32" max="32" width="8.7109375" style="141" customWidth="1"/>
    <col min="33" max="33" width="5.5703125" style="141" customWidth="1"/>
    <col min="34" max="34" width="5.85546875" style="141" bestFit="1" customWidth="1"/>
    <col min="35" max="37" width="7" style="141" customWidth="1"/>
    <col min="38" max="40" width="5.5703125" style="141" customWidth="1"/>
    <col min="41" max="41" width="8.7109375" style="194" bestFit="1" customWidth="1"/>
    <col min="42" max="42" width="4.42578125" style="194" bestFit="1" customWidth="1"/>
    <col min="43" max="43" width="9.28515625" style="141" bestFit="1" customWidth="1"/>
    <col min="44" max="44" width="9.140625" style="141"/>
    <col min="45" max="45" width="9.140625" style="158"/>
    <col min="46" max="16384" width="9.140625" style="141"/>
  </cols>
  <sheetData>
    <row r="1" spans="1:45" ht="105.75" customHeight="1" thickBot="1">
      <c r="A1" s="131" t="s">
        <v>195</v>
      </c>
      <c r="B1" s="132" t="s">
        <v>196</v>
      </c>
      <c r="C1" s="133" t="s">
        <v>197</v>
      </c>
      <c r="D1" s="134" t="s">
        <v>198</v>
      </c>
      <c r="E1" s="135" t="s">
        <v>199</v>
      </c>
      <c r="F1" s="136" t="s">
        <v>200</v>
      </c>
      <c r="G1" s="136" t="s">
        <v>201</v>
      </c>
      <c r="H1" s="137" t="s">
        <v>202</v>
      </c>
      <c r="I1" s="134" t="s">
        <v>203</v>
      </c>
      <c r="J1" s="135" t="s">
        <v>204</v>
      </c>
      <c r="K1" s="135" t="s">
        <v>205</v>
      </c>
      <c r="L1" s="137" t="s">
        <v>206</v>
      </c>
      <c r="M1" s="134" t="s">
        <v>207</v>
      </c>
      <c r="N1" s="134" t="s">
        <v>208</v>
      </c>
      <c r="O1" s="135" t="s">
        <v>209</v>
      </c>
      <c r="P1" s="135" t="s">
        <v>210</v>
      </c>
      <c r="Q1" s="135" t="s">
        <v>211</v>
      </c>
      <c r="R1" s="135" t="s">
        <v>212</v>
      </c>
      <c r="S1" s="135" t="s">
        <v>213</v>
      </c>
      <c r="T1" s="135" t="s">
        <v>214</v>
      </c>
      <c r="U1" s="135" t="s">
        <v>215</v>
      </c>
      <c r="V1" s="135" t="s">
        <v>216</v>
      </c>
      <c r="W1" s="136" t="s">
        <v>217</v>
      </c>
      <c r="X1" s="136" t="s">
        <v>218</v>
      </c>
      <c r="Y1" s="136" t="s">
        <v>219</v>
      </c>
      <c r="Z1" s="135" t="s">
        <v>220</v>
      </c>
      <c r="AA1" s="137" t="s">
        <v>221</v>
      </c>
      <c r="AB1" s="138" t="s">
        <v>222</v>
      </c>
      <c r="AC1" s="139" t="s">
        <v>223</v>
      </c>
      <c r="AD1" s="135" t="s">
        <v>224</v>
      </c>
      <c r="AE1" s="135" t="s">
        <v>225</v>
      </c>
      <c r="AF1" s="135" t="s">
        <v>226</v>
      </c>
      <c r="AG1" s="135" t="s">
        <v>227</v>
      </c>
      <c r="AH1" s="135" t="s">
        <v>228</v>
      </c>
      <c r="AI1" s="135" t="s">
        <v>229</v>
      </c>
      <c r="AJ1" s="135" t="s">
        <v>230</v>
      </c>
      <c r="AK1" s="135" t="s">
        <v>231</v>
      </c>
      <c r="AL1" s="135" t="s">
        <v>232</v>
      </c>
      <c r="AM1" s="136" t="s">
        <v>233</v>
      </c>
      <c r="AN1" s="137" t="s">
        <v>234</v>
      </c>
      <c r="AO1" s="137" t="s">
        <v>235</v>
      </c>
      <c r="AP1" s="138" t="s">
        <v>236</v>
      </c>
      <c r="AQ1" s="140" t="s">
        <v>237</v>
      </c>
      <c r="AS1" s="142"/>
    </row>
    <row r="2" spans="1:45" ht="12.75" customHeight="1">
      <c r="A2" s="143" t="s">
        <v>238</v>
      </c>
      <c r="B2" s="144"/>
      <c r="C2" s="145">
        <f>SUM(D2:G2)</f>
        <v>0</v>
      </c>
      <c r="D2" s="146">
        <v>0</v>
      </c>
      <c r="E2" s="147"/>
      <c r="F2" s="148"/>
      <c r="G2" s="148"/>
      <c r="H2" s="149">
        <f>SUM(I2:K2)</f>
        <v>815.92434898628403</v>
      </c>
      <c r="I2" s="150">
        <v>688.22034898628408</v>
      </c>
      <c r="J2" s="151">
        <v>127.70399999999999</v>
      </c>
      <c r="K2" s="151"/>
      <c r="L2" s="149">
        <f>SUM(M2:Z2)</f>
        <v>0</v>
      </c>
      <c r="M2" s="150"/>
      <c r="N2" s="152"/>
      <c r="O2" s="153"/>
      <c r="P2" s="153"/>
      <c r="Q2" s="153"/>
      <c r="R2" s="153"/>
      <c r="S2" s="153"/>
      <c r="T2" s="153"/>
      <c r="U2" s="153"/>
      <c r="V2" s="153"/>
      <c r="W2" s="148"/>
      <c r="X2" s="148"/>
      <c r="Y2" s="148"/>
      <c r="Z2" s="151"/>
      <c r="AA2" s="149">
        <v>2751.9191872187112</v>
      </c>
      <c r="AB2" s="154">
        <f>SUM(AC2:AM2)</f>
        <v>1331.2863828445347</v>
      </c>
      <c r="AC2" s="155">
        <v>59.691708987970003</v>
      </c>
      <c r="AD2" s="151">
        <v>743.01992281532614</v>
      </c>
      <c r="AE2" s="151">
        <v>249.68174480509879</v>
      </c>
      <c r="AF2" s="151">
        <v>139.99992739520798</v>
      </c>
      <c r="AG2" s="151">
        <v>33.531818868055431</v>
      </c>
      <c r="AH2" s="151">
        <v>16.813132576534866</v>
      </c>
      <c r="AI2" s="151">
        <v>27.095124147648001</v>
      </c>
      <c r="AJ2" s="151">
        <v>2.6691993220799999</v>
      </c>
      <c r="AK2" s="150">
        <v>1.4323955643044282</v>
      </c>
      <c r="AL2" s="150">
        <v>13.54608560366562</v>
      </c>
      <c r="AM2" s="148">
        <v>43.805322758643676</v>
      </c>
      <c r="AN2" s="156">
        <v>145.43710297949829</v>
      </c>
      <c r="AO2" s="156"/>
      <c r="AP2" s="154"/>
      <c r="AQ2" s="157">
        <f>C2+H2+L2+AA2+AB2+AN2+AO2+AP2</f>
        <v>5044.5670220290285</v>
      </c>
    </row>
    <row r="3" spans="1:45" ht="12.75" customHeight="1">
      <c r="A3" s="159" t="s">
        <v>239</v>
      </c>
      <c r="B3" s="160"/>
      <c r="C3" s="161">
        <f>SUM(D3:G3)</f>
        <v>935.78934491090115</v>
      </c>
      <c r="D3" s="162">
        <v>802.24865041659757</v>
      </c>
      <c r="E3" s="163">
        <v>125.38500136039437</v>
      </c>
      <c r="F3" s="164"/>
      <c r="G3" s="164">
        <v>8.1556931339092724</v>
      </c>
      <c r="H3" s="165">
        <f>SUM(I3:K3)</f>
        <v>0</v>
      </c>
      <c r="I3" s="166"/>
      <c r="J3" s="167"/>
      <c r="K3" s="167"/>
      <c r="L3" s="165">
        <f>SUM(M3:Z3)</f>
        <v>9146.774069288922</v>
      </c>
      <c r="M3" s="166">
        <v>3053.4742963851995</v>
      </c>
      <c r="N3" s="166">
        <v>16.633377499200002</v>
      </c>
      <c r="O3" s="167">
        <v>0</v>
      </c>
      <c r="P3" s="167">
        <v>564.2282843555555</v>
      </c>
      <c r="Q3" s="167">
        <v>369.55541863968</v>
      </c>
      <c r="R3" s="167">
        <v>1543.1782335883197</v>
      </c>
      <c r="S3" s="167">
        <v>82.827948630790956</v>
      </c>
      <c r="T3" s="167">
        <v>157.5463640726893</v>
      </c>
      <c r="U3" s="167">
        <v>2941.4703035056637</v>
      </c>
      <c r="V3" s="167">
        <v>164.48328641762765</v>
      </c>
      <c r="W3" s="164">
        <v>7.5616539426795564</v>
      </c>
      <c r="X3" s="164">
        <v>200.83222211696253</v>
      </c>
      <c r="Y3" s="164">
        <v>1.2281470084248403</v>
      </c>
      <c r="Z3" s="167">
        <v>43.754533126130625</v>
      </c>
      <c r="AA3" s="165">
        <v>1728.338063506957</v>
      </c>
      <c r="AB3" s="168">
        <f>SUM(AC3:AM3)</f>
        <v>150.18873559012798</v>
      </c>
      <c r="AC3" s="169"/>
      <c r="AD3" s="167"/>
      <c r="AE3" s="167">
        <v>23.169037781663999</v>
      </c>
      <c r="AF3" s="167"/>
      <c r="AG3" s="167"/>
      <c r="AH3" s="167"/>
      <c r="AI3" s="167">
        <v>104.16969909062398</v>
      </c>
      <c r="AJ3" s="167">
        <v>22.849998717839998</v>
      </c>
      <c r="AK3" s="166"/>
      <c r="AL3" s="166"/>
      <c r="AM3" s="164"/>
      <c r="AN3" s="170"/>
      <c r="AO3" s="170">
        <v>139.45061680000001</v>
      </c>
      <c r="AP3" s="168"/>
      <c r="AQ3" s="171">
        <f t="shared" ref="AQ3:AQ20" si="0">C3+H3+L3+AA3+AB3+AN3+AO3+AP3</f>
        <v>12100.540830096908</v>
      </c>
    </row>
    <row r="4" spans="1:45" ht="12.75" customHeight="1">
      <c r="A4" s="159" t="s">
        <v>240</v>
      </c>
      <c r="B4" s="160"/>
      <c r="C4" s="161">
        <f>SUM(D4:G4)</f>
        <v>15.186580890896002</v>
      </c>
      <c r="D4" s="162">
        <v>0</v>
      </c>
      <c r="E4" s="172">
        <v>14.097722162000002</v>
      </c>
      <c r="F4" s="164"/>
      <c r="G4" s="164">
        <v>1.0888587288959999</v>
      </c>
      <c r="H4" s="165">
        <f>SUM(I4:K4)</f>
        <v>7.0330680000000001</v>
      </c>
      <c r="I4" s="166"/>
      <c r="J4" s="167"/>
      <c r="K4" s="167">
        <v>7.0330680000000001</v>
      </c>
      <c r="L4" s="165">
        <f>SUM(M4:Z4)</f>
        <v>1717.0624747879344</v>
      </c>
      <c r="M4" s="166">
        <v>0</v>
      </c>
      <c r="N4" s="166">
        <v>0</v>
      </c>
      <c r="O4" s="167"/>
      <c r="P4" s="167">
        <v>364.52221864444448</v>
      </c>
      <c r="Q4" s="167">
        <v>21.672508399360005</v>
      </c>
      <c r="R4" s="167">
        <v>156.29379915984001</v>
      </c>
      <c r="S4" s="167">
        <v>986.60611760112999</v>
      </c>
      <c r="T4" s="167">
        <v>35.289733288720633</v>
      </c>
      <c r="U4" s="167">
        <v>102.14625414775992</v>
      </c>
      <c r="V4" s="167">
        <v>2.9088437938490893E-3</v>
      </c>
      <c r="W4" s="164">
        <v>36.297317128453038</v>
      </c>
      <c r="X4" s="164">
        <v>5.4694689952000006</v>
      </c>
      <c r="Y4" s="164">
        <v>1.8500297569930473E-2</v>
      </c>
      <c r="Z4" s="167">
        <v>8.7436482816626366</v>
      </c>
      <c r="AA4" s="165">
        <v>0</v>
      </c>
      <c r="AB4" s="168">
        <f>SUM(AC4:AM4)</f>
        <v>9.4476585178560004</v>
      </c>
      <c r="AC4" s="169"/>
      <c r="AD4" s="167"/>
      <c r="AE4" s="167">
        <v>0.41264639999999991</v>
      </c>
      <c r="AF4" s="167"/>
      <c r="AG4" s="167"/>
      <c r="AH4" s="167"/>
      <c r="AI4" s="167">
        <v>9.0350121178560006</v>
      </c>
      <c r="AJ4" s="167">
        <v>0</v>
      </c>
      <c r="AK4" s="166"/>
      <c r="AL4" s="166"/>
      <c r="AM4" s="164"/>
      <c r="AN4" s="170"/>
      <c r="AO4" s="170">
        <v>141.83539077999998</v>
      </c>
      <c r="AP4" s="168"/>
      <c r="AQ4" s="171">
        <f t="shared" si="0"/>
        <v>1890.5651729766864</v>
      </c>
    </row>
    <row r="5" spans="1:45" ht="12.75" customHeight="1">
      <c r="A5" s="159" t="s">
        <v>241</v>
      </c>
      <c r="B5" s="160"/>
      <c r="C5" s="161">
        <f>SUM(D5:G5)</f>
        <v>0</v>
      </c>
      <c r="D5" s="162"/>
      <c r="E5" s="172"/>
      <c r="F5" s="164"/>
      <c r="G5" s="164"/>
      <c r="H5" s="165">
        <f>SUM(I5:K5)</f>
        <v>0</v>
      </c>
      <c r="I5" s="166"/>
      <c r="J5" s="167"/>
      <c r="K5" s="167"/>
      <c r="L5" s="165">
        <f>SUM(M5:Z5)</f>
        <v>162.14899063248015</v>
      </c>
      <c r="M5" s="166"/>
      <c r="N5" s="166"/>
      <c r="O5" s="167"/>
      <c r="P5" s="167"/>
      <c r="Q5" s="167"/>
      <c r="R5" s="167"/>
      <c r="S5" s="167">
        <v>15.730078096892656</v>
      </c>
      <c r="T5" s="167"/>
      <c r="U5" s="167">
        <v>146.41891253558748</v>
      </c>
      <c r="V5" s="167"/>
      <c r="W5" s="164"/>
      <c r="X5" s="164"/>
      <c r="Y5" s="164"/>
      <c r="Z5" s="167"/>
      <c r="AA5" s="165"/>
      <c r="AB5" s="168">
        <f>SUM(AC5:AM5)</f>
        <v>0</v>
      </c>
      <c r="AC5" s="169"/>
      <c r="AD5" s="167"/>
      <c r="AE5" s="167"/>
      <c r="AF5" s="167"/>
      <c r="AG5" s="167"/>
      <c r="AH5" s="167"/>
      <c r="AI5" s="167"/>
      <c r="AJ5" s="167"/>
      <c r="AK5" s="166"/>
      <c r="AL5" s="166"/>
      <c r="AM5" s="164"/>
      <c r="AN5" s="170"/>
      <c r="AO5" s="170"/>
      <c r="AP5" s="168"/>
      <c r="AQ5" s="171">
        <f t="shared" si="0"/>
        <v>162.14899063248015</v>
      </c>
    </row>
    <row r="6" spans="1:45" ht="12.75" customHeight="1" thickBot="1">
      <c r="A6" s="173" t="s">
        <v>242</v>
      </c>
      <c r="B6" s="174"/>
      <c r="C6" s="161">
        <f>SUM(D6:G6)</f>
        <v>-105.50045932171129</v>
      </c>
      <c r="D6" s="175">
        <v>-106.11399866466098</v>
      </c>
      <c r="E6" s="164">
        <v>-0.8079766727235479</v>
      </c>
      <c r="F6" s="176"/>
      <c r="G6" s="176">
        <v>1.4215160156732278</v>
      </c>
      <c r="H6" s="177">
        <f>SUM(I6:K6)</f>
        <v>-122.93905189963694</v>
      </c>
      <c r="I6" s="178">
        <v>-136.53826589963694</v>
      </c>
      <c r="J6" s="178">
        <v>0</v>
      </c>
      <c r="K6" s="178">
        <v>13.599214000000003</v>
      </c>
      <c r="L6" s="177">
        <f>SUM(M6:Z6)</f>
        <v>151.33981188504902</v>
      </c>
      <c r="M6" s="166">
        <v>38.730964773999993</v>
      </c>
      <c r="N6" s="166">
        <v>-8.8751519999999999</v>
      </c>
      <c r="O6" s="167"/>
      <c r="P6" s="167">
        <v>-9.6980083333333713</v>
      </c>
      <c r="Q6" s="167">
        <v>12.883201938880001</v>
      </c>
      <c r="R6" s="167">
        <v>82.12024884504001</v>
      </c>
      <c r="S6" s="167">
        <v>23.637599999999999</v>
      </c>
      <c r="T6" s="167">
        <v>1.4659197380156652</v>
      </c>
      <c r="U6" s="167">
        <v>8.3874136006762399</v>
      </c>
      <c r="V6" s="167">
        <v>3.2040911090633046</v>
      </c>
      <c r="W6" s="176">
        <v>-0.51646778729281662</v>
      </c>
      <c r="X6" s="176">
        <v>0</v>
      </c>
      <c r="Y6" s="176">
        <v>0</v>
      </c>
      <c r="Z6" s="178">
        <v>0</v>
      </c>
      <c r="AA6" s="177">
        <v>0</v>
      </c>
      <c r="AB6" s="179">
        <f>SUM(AC6:AM6)</f>
        <v>4.4601014379600006</v>
      </c>
      <c r="AC6" s="180"/>
      <c r="AD6" s="181"/>
      <c r="AE6" s="181">
        <v>0.26707427819999968</v>
      </c>
      <c r="AF6" s="181"/>
      <c r="AG6" s="181"/>
      <c r="AH6" s="181"/>
      <c r="AI6" s="181">
        <v>1.7828522013120007</v>
      </c>
      <c r="AJ6" s="181">
        <v>2.4101749584479997</v>
      </c>
      <c r="AK6" s="178"/>
      <c r="AL6" s="178"/>
      <c r="AM6" s="176"/>
      <c r="AN6" s="182"/>
      <c r="AO6" s="182"/>
      <c r="AP6" s="179"/>
      <c r="AQ6" s="183">
        <f t="shared" si="0"/>
        <v>-72.639597898339204</v>
      </c>
    </row>
    <row r="7" spans="1:45" s="194" customFormat="1" ht="12.75" customHeight="1">
      <c r="A7" s="184" t="s">
        <v>243</v>
      </c>
      <c r="B7" s="185"/>
      <c r="C7" s="186">
        <f t="shared" ref="C7:AP7" si="1">C2+C3-C4-C5+C6</f>
        <v>815.10230469829378</v>
      </c>
      <c r="D7" s="187">
        <f t="shared" si="1"/>
        <v>696.13465175193664</v>
      </c>
      <c r="E7" s="188">
        <f t="shared" si="1"/>
        <v>110.47930252567083</v>
      </c>
      <c r="F7" s="188">
        <f t="shared" si="1"/>
        <v>0</v>
      </c>
      <c r="G7" s="188">
        <f t="shared" si="1"/>
        <v>8.4883504206865013</v>
      </c>
      <c r="H7" s="189">
        <f t="shared" si="1"/>
        <v>685.95222908664709</v>
      </c>
      <c r="I7" s="187">
        <f t="shared" si="1"/>
        <v>551.68208308664714</v>
      </c>
      <c r="J7" s="188">
        <f t="shared" si="1"/>
        <v>127.70399999999999</v>
      </c>
      <c r="K7" s="188">
        <f t="shared" si="1"/>
        <v>6.5661460000000034</v>
      </c>
      <c r="L7" s="189">
        <f t="shared" si="1"/>
        <v>7418.9024157535559</v>
      </c>
      <c r="M7" s="187">
        <f t="shared" si="1"/>
        <v>3092.2052611591994</v>
      </c>
      <c r="N7" s="187">
        <f t="shared" si="1"/>
        <v>7.7582254992000017</v>
      </c>
      <c r="O7" s="188">
        <f t="shared" si="1"/>
        <v>0</v>
      </c>
      <c r="P7" s="188">
        <f t="shared" si="1"/>
        <v>190.00805737777765</v>
      </c>
      <c r="Q7" s="188">
        <f t="shared" si="1"/>
        <v>360.76611217919998</v>
      </c>
      <c r="R7" s="188">
        <f t="shared" si="1"/>
        <v>1469.0046832735197</v>
      </c>
      <c r="S7" s="188">
        <f t="shared" si="1"/>
        <v>-895.87064706723163</v>
      </c>
      <c r="T7" s="188">
        <f t="shared" si="1"/>
        <v>123.72255052198433</v>
      </c>
      <c r="U7" s="188">
        <f t="shared" si="1"/>
        <v>2701.2925504229925</v>
      </c>
      <c r="V7" s="188">
        <f t="shared" si="1"/>
        <v>167.68446868289712</v>
      </c>
      <c r="W7" s="188">
        <f t="shared" si="1"/>
        <v>-29.252130973066301</v>
      </c>
      <c r="X7" s="188">
        <f t="shared" si="1"/>
        <v>195.36275312176252</v>
      </c>
      <c r="Y7" s="188">
        <f t="shared" si="1"/>
        <v>1.2096467108549098</v>
      </c>
      <c r="Z7" s="188">
        <f t="shared" si="1"/>
        <v>35.010884844467988</v>
      </c>
      <c r="AA7" s="189">
        <f t="shared" si="1"/>
        <v>4480.2572507256682</v>
      </c>
      <c r="AB7" s="189">
        <f t="shared" si="1"/>
        <v>1476.4875613547667</v>
      </c>
      <c r="AC7" s="187">
        <f t="shared" si="1"/>
        <v>59.691708987970003</v>
      </c>
      <c r="AD7" s="188">
        <f t="shared" si="1"/>
        <v>743.01992281532614</v>
      </c>
      <c r="AE7" s="188">
        <f t="shared" si="1"/>
        <v>272.70521046496276</v>
      </c>
      <c r="AF7" s="188">
        <f t="shared" si="1"/>
        <v>139.99992739520798</v>
      </c>
      <c r="AG7" s="188">
        <f t="shared" si="1"/>
        <v>33.531818868055431</v>
      </c>
      <c r="AH7" s="188">
        <f t="shared" si="1"/>
        <v>16.813132576534866</v>
      </c>
      <c r="AI7" s="188">
        <f t="shared" si="1"/>
        <v>124.01266332172798</v>
      </c>
      <c r="AJ7" s="188">
        <f t="shared" si="1"/>
        <v>27.929372998367999</v>
      </c>
      <c r="AK7" s="190">
        <f t="shared" si="1"/>
        <v>1.4323955643044282</v>
      </c>
      <c r="AL7" s="190">
        <f t="shared" si="1"/>
        <v>13.54608560366562</v>
      </c>
      <c r="AM7" s="187">
        <f t="shared" si="1"/>
        <v>43.805322758643676</v>
      </c>
      <c r="AN7" s="189">
        <f t="shared" si="1"/>
        <v>145.43710297949829</v>
      </c>
      <c r="AO7" s="189">
        <f t="shared" si="1"/>
        <v>-2.3847739799999772</v>
      </c>
      <c r="AP7" s="191">
        <f t="shared" si="1"/>
        <v>0</v>
      </c>
      <c r="AQ7" s="192">
        <f t="shared" si="0"/>
        <v>15019.754090618429</v>
      </c>
      <c r="AR7" s="141"/>
      <c r="AS7" s="193"/>
    </row>
    <row r="8" spans="1:45" s="194" customFormat="1" ht="12.75" customHeight="1" thickBot="1">
      <c r="A8" s="195" t="s">
        <v>244</v>
      </c>
      <c r="B8" s="196"/>
      <c r="C8" s="197">
        <f t="shared" ref="C8:AP8" si="2">C7-C27</f>
        <v>815.10230469829378</v>
      </c>
      <c r="D8" s="198">
        <f t="shared" si="2"/>
        <v>696.13465175193664</v>
      </c>
      <c r="E8" s="199">
        <f t="shared" si="2"/>
        <v>110.47930252567083</v>
      </c>
      <c r="F8" s="200">
        <f t="shared" si="2"/>
        <v>0</v>
      </c>
      <c r="G8" s="200">
        <f t="shared" si="2"/>
        <v>8.4883504206865013</v>
      </c>
      <c r="H8" s="201">
        <f t="shared" si="2"/>
        <v>685.95222908664709</v>
      </c>
      <c r="I8" s="198">
        <f t="shared" si="2"/>
        <v>551.68208308664714</v>
      </c>
      <c r="J8" s="199">
        <f t="shared" si="2"/>
        <v>127.70399999999999</v>
      </c>
      <c r="K8" s="199">
        <f t="shared" si="2"/>
        <v>6.5661460000000034</v>
      </c>
      <c r="L8" s="201">
        <f t="shared" si="2"/>
        <v>7187.3191310764705</v>
      </c>
      <c r="M8" s="198">
        <f t="shared" si="2"/>
        <v>3092.2052611591994</v>
      </c>
      <c r="N8" s="198">
        <f t="shared" si="2"/>
        <v>7.7582254992000017</v>
      </c>
      <c r="O8" s="199">
        <f t="shared" si="2"/>
        <v>0</v>
      </c>
      <c r="P8" s="199">
        <f t="shared" si="2"/>
        <v>190.00805737777765</v>
      </c>
      <c r="Q8" s="199">
        <f t="shared" si="2"/>
        <v>360.76611217919998</v>
      </c>
      <c r="R8" s="199">
        <f t="shared" si="2"/>
        <v>1469.0046832735197</v>
      </c>
      <c r="S8" s="199">
        <f t="shared" si="2"/>
        <v>-895.87064706723163</v>
      </c>
      <c r="T8" s="199">
        <f t="shared" si="2"/>
        <v>123.72255052198433</v>
      </c>
      <c r="U8" s="199">
        <f t="shared" si="2"/>
        <v>2701.2925504229925</v>
      </c>
      <c r="V8" s="199">
        <f t="shared" si="2"/>
        <v>167.68446868289712</v>
      </c>
      <c r="W8" s="200">
        <f t="shared" si="2"/>
        <v>-29.252130973066301</v>
      </c>
      <c r="X8" s="200">
        <f t="shared" si="2"/>
        <v>0</v>
      </c>
      <c r="Y8" s="200">
        <f t="shared" si="2"/>
        <v>0</v>
      </c>
      <c r="Z8" s="199">
        <f t="shared" si="2"/>
        <v>0</v>
      </c>
      <c r="AA8" s="201">
        <f t="shared" si="2"/>
        <v>4480.2572507256682</v>
      </c>
      <c r="AB8" s="202">
        <f t="shared" si="2"/>
        <v>1476.4875613547667</v>
      </c>
      <c r="AC8" s="198">
        <f t="shared" si="2"/>
        <v>59.691708987970003</v>
      </c>
      <c r="AD8" s="199">
        <f t="shared" si="2"/>
        <v>743.01992281532614</v>
      </c>
      <c r="AE8" s="199">
        <f t="shared" si="2"/>
        <v>272.70521046496276</v>
      </c>
      <c r="AF8" s="199">
        <f t="shared" si="2"/>
        <v>139.99992739520798</v>
      </c>
      <c r="AG8" s="199">
        <f t="shared" si="2"/>
        <v>33.531818868055431</v>
      </c>
      <c r="AH8" s="199">
        <f t="shared" si="2"/>
        <v>16.813132576534866</v>
      </c>
      <c r="AI8" s="199">
        <f t="shared" si="2"/>
        <v>124.01266332172798</v>
      </c>
      <c r="AJ8" s="199">
        <f t="shared" si="2"/>
        <v>27.929372998367999</v>
      </c>
      <c r="AK8" s="203">
        <f t="shared" si="2"/>
        <v>1.4323955643044282</v>
      </c>
      <c r="AL8" s="203">
        <f t="shared" si="2"/>
        <v>13.54608560366562</v>
      </c>
      <c r="AM8" s="198">
        <f t="shared" si="2"/>
        <v>43.805322758643676</v>
      </c>
      <c r="AN8" s="201">
        <f t="shared" si="2"/>
        <v>145.43710297949829</v>
      </c>
      <c r="AO8" s="201">
        <f t="shared" si="2"/>
        <v>-2.3847739799999772</v>
      </c>
      <c r="AP8" s="198">
        <f t="shared" si="2"/>
        <v>0</v>
      </c>
      <c r="AQ8" s="204">
        <f t="shared" si="0"/>
        <v>14788.170805941343</v>
      </c>
      <c r="AR8" s="141"/>
      <c r="AS8" s="193"/>
    </row>
    <row r="9" spans="1:45" s="194" customFormat="1" ht="12.75" customHeight="1">
      <c r="A9" s="184" t="s">
        <v>245</v>
      </c>
      <c r="B9" s="185"/>
      <c r="C9" s="186">
        <f t="shared" ref="C9:AP9" si="3">SUM(C10:C14)</f>
        <v>488.64939432989598</v>
      </c>
      <c r="D9" s="190">
        <f t="shared" si="3"/>
        <v>488.64939432989598</v>
      </c>
      <c r="E9" s="188">
        <f t="shared" si="3"/>
        <v>0</v>
      </c>
      <c r="F9" s="205">
        <f t="shared" si="3"/>
        <v>0</v>
      </c>
      <c r="G9" s="205">
        <f t="shared" si="3"/>
        <v>0</v>
      </c>
      <c r="H9" s="189">
        <f t="shared" si="3"/>
        <v>541.02658367795425</v>
      </c>
      <c r="I9" s="190">
        <f t="shared" si="3"/>
        <v>541.02658367795425</v>
      </c>
      <c r="J9" s="188">
        <f t="shared" si="3"/>
        <v>0</v>
      </c>
      <c r="K9" s="188">
        <f t="shared" si="3"/>
        <v>0</v>
      </c>
      <c r="L9" s="189">
        <f t="shared" si="3"/>
        <v>3165.7216476484605</v>
      </c>
      <c r="M9" s="188">
        <f t="shared" si="3"/>
        <v>3092.2052611591994</v>
      </c>
      <c r="N9" s="188">
        <f t="shared" ref="N9" si="4">SUM(N10:N14)</f>
        <v>38.786602361842682</v>
      </c>
      <c r="O9" s="188">
        <f t="shared" si="3"/>
        <v>0</v>
      </c>
      <c r="P9" s="188">
        <f t="shared" si="3"/>
        <v>0</v>
      </c>
      <c r="Q9" s="188">
        <f t="shared" si="3"/>
        <v>0</v>
      </c>
      <c r="R9" s="188">
        <f t="shared" si="3"/>
        <v>0</v>
      </c>
      <c r="S9" s="188">
        <f t="shared" si="3"/>
        <v>25.868327226603597</v>
      </c>
      <c r="T9" s="188">
        <f t="shared" si="3"/>
        <v>0.63499472294399995</v>
      </c>
      <c r="U9" s="188">
        <f t="shared" si="3"/>
        <v>8.2264621778709284</v>
      </c>
      <c r="V9" s="188">
        <f t="shared" si="3"/>
        <v>0</v>
      </c>
      <c r="W9" s="205">
        <f t="shared" si="3"/>
        <v>0</v>
      </c>
      <c r="X9" s="205">
        <f t="shared" si="3"/>
        <v>0</v>
      </c>
      <c r="Y9" s="205">
        <f t="shared" si="3"/>
        <v>0</v>
      </c>
      <c r="Z9" s="188">
        <f t="shared" si="3"/>
        <v>0</v>
      </c>
      <c r="AA9" s="189">
        <f t="shared" si="3"/>
        <v>2501.2994242635782</v>
      </c>
      <c r="AB9" s="187">
        <f t="shared" si="3"/>
        <v>215.90352917717644</v>
      </c>
      <c r="AC9" s="206">
        <f t="shared" si="3"/>
        <v>0</v>
      </c>
      <c r="AD9" s="188">
        <f t="shared" si="3"/>
        <v>0</v>
      </c>
      <c r="AE9" s="188">
        <f t="shared" si="3"/>
        <v>76.028615684916531</v>
      </c>
      <c r="AF9" s="188">
        <f t="shared" ref="AF9" si="5">SUM(AF10:AF14)</f>
        <v>99.30702317107577</v>
      </c>
      <c r="AG9" s="188">
        <f t="shared" si="3"/>
        <v>33.531818868055431</v>
      </c>
      <c r="AH9" s="188">
        <f t="shared" si="3"/>
        <v>7.0360714531287174</v>
      </c>
      <c r="AI9" s="188">
        <f t="shared" si="3"/>
        <v>0</v>
      </c>
      <c r="AJ9" s="188">
        <f t="shared" ref="AJ9" si="6">SUM(AJ10:AJ14)</f>
        <v>0</v>
      </c>
      <c r="AK9" s="190">
        <f t="shared" si="3"/>
        <v>0</v>
      </c>
      <c r="AL9" s="190">
        <f t="shared" ref="AL9" si="7">SUM(AL10:AL14)</f>
        <v>0</v>
      </c>
      <c r="AM9" s="205">
        <f t="shared" si="3"/>
        <v>0</v>
      </c>
      <c r="AN9" s="189">
        <f t="shared" si="3"/>
        <v>90.714163374524205</v>
      </c>
      <c r="AO9" s="189">
        <f t="shared" si="3"/>
        <v>54.38453208</v>
      </c>
      <c r="AP9" s="187">
        <f t="shared" si="3"/>
        <v>0</v>
      </c>
      <c r="AQ9" s="207">
        <f t="shared" si="0"/>
        <v>7057.699274551589</v>
      </c>
      <c r="AR9" s="141"/>
      <c r="AS9" s="193"/>
    </row>
    <row r="10" spans="1:45" ht="12.75" customHeight="1">
      <c r="A10" s="208" t="s">
        <v>246</v>
      </c>
      <c r="B10" s="209"/>
      <c r="C10" s="210">
        <f>SUM(D10:G10)</f>
        <v>488.64939432989598</v>
      </c>
      <c r="D10" s="211">
        <v>488.64939432989598</v>
      </c>
      <c r="E10" s="212"/>
      <c r="F10" s="213"/>
      <c r="G10" s="213"/>
      <c r="H10" s="214">
        <f>SUM(I10:K10)</f>
        <v>467.10845991760607</v>
      </c>
      <c r="I10" s="211">
        <v>467.10845991760607</v>
      </c>
      <c r="J10" s="212">
        <v>0</v>
      </c>
      <c r="K10" s="212"/>
      <c r="L10" s="214">
        <f>SUM(M10:Z10)</f>
        <v>34.094789404474525</v>
      </c>
      <c r="M10" s="212"/>
      <c r="N10" s="212"/>
      <c r="O10" s="212"/>
      <c r="P10" s="212"/>
      <c r="Q10" s="212"/>
      <c r="R10" s="212"/>
      <c r="S10" s="212">
        <v>25.868327226603597</v>
      </c>
      <c r="T10" s="212"/>
      <c r="U10" s="212">
        <v>8.2264621778709284</v>
      </c>
      <c r="V10" s="212"/>
      <c r="W10" s="213"/>
      <c r="X10" s="213"/>
      <c r="Y10" s="213"/>
      <c r="Z10" s="212"/>
      <c r="AA10" s="214">
        <v>2187.6033883210698</v>
      </c>
      <c r="AB10" s="215">
        <f>SUM(AC10:AM10)</f>
        <v>205.30590173319058</v>
      </c>
      <c r="AC10" s="216"/>
      <c r="AD10" s="212"/>
      <c r="AE10" s="212">
        <v>72.467059694059387</v>
      </c>
      <c r="AF10" s="212">
        <v>99.30702317107577</v>
      </c>
      <c r="AG10" s="212">
        <v>33.531818868055431</v>
      </c>
      <c r="AH10" s="212"/>
      <c r="AI10" s="212"/>
      <c r="AJ10" s="212"/>
      <c r="AK10" s="211"/>
      <c r="AL10" s="211"/>
      <c r="AM10" s="213"/>
      <c r="AN10" s="217">
        <v>90.714163374524205</v>
      </c>
      <c r="AO10" s="214"/>
      <c r="AP10" s="215"/>
      <c r="AQ10" s="218">
        <f t="shared" si="0"/>
        <v>3473.4760970807611</v>
      </c>
    </row>
    <row r="11" spans="1:45" ht="12.75" customHeight="1">
      <c r="A11" s="159" t="s">
        <v>247</v>
      </c>
      <c r="B11" s="160"/>
      <c r="C11" s="161">
        <f>SUM(D11:G11)</f>
        <v>0</v>
      </c>
      <c r="D11" s="166">
        <v>0</v>
      </c>
      <c r="E11" s="167"/>
      <c r="F11" s="164"/>
      <c r="G11" s="164"/>
      <c r="H11" s="165">
        <f>SUM(I11:K11)</f>
        <v>5.8425469182429177</v>
      </c>
      <c r="I11" s="166">
        <v>5.8425469182429177</v>
      </c>
      <c r="J11" s="167"/>
      <c r="K11" s="167"/>
      <c r="L11" s="165">
        <f>SUM(M11:Z11)</f>
        <v>0.63499472294399995</v>
      </c>
      <c r="M11" s="167"/>
      <c r="N11" s="219"/>
      <c r="O11" s="219">
        <v>0</v>
      </c>
      <c r="P11" s="167"/>
      <c r="Q11" s="167"/>
      <c r="R11" s="167"/>
      <c r="S11" s="167">
        <v>0</v>
      </c>
      <c r="T11" s="167">
        <v>0.63499472294399995</v>
      </c>
      <c r="U11" s="167">
        <v>0</v>
      </c>
      <c r="V11" s="167"/>
      <c r="W11" s="164"/>
      <c r="X11" s="164"/>
      <c r="Y11" s="164"/>
      <c r="Z11" s="167"/>
      <c r="AA11" s="165">
        <v>272.96145103491432</v>
      </c>
      <c r="AB11" s="168">
        <f>SUM(AC11:AM11)</f>
        <v>10.597627443985861</v>
      </c>
      <c r="AC11" s="169"/>
      <c r="AD11" s="167"/>
      <c r="AE11" s="167">
        <v>3.5615559908571428</v>
      </c>
      <c r="AF11" s="167"/>
      <c r="AG11" s="167"/>
      <c r="AH11" s="167">
        <v>7.0360714531287174</v>
      </c>
      <c r="AI11" s="167"/>
      <c r="AJ11" s="167"/>
      <c r="AK11" s="166"/>
      <c r="AL11" s="166"/>
      <c r="AM11" s="164"/>
      <c r="AN11" s="170"/>
      <c r="AO11" s="170"/>
      <c r="AP11" s="168"/>
      <c r="AQ11" s="171">
        <f t="shared" si="0"/>
        <v>290.03662012008709</v>
      </c>
    </row>
    <row r="12" spans="1:45" ht="12.75" customHeight="1">
      <c r="A12" s="159" t="s">
        <v>248</v>
      </c>
      <c r="B12" s="160"/>
      <c r="C12" s="161"/>
      <c r="D12" s="166"/>
      <c r="E12" s="167"/>
      <c r="F12" s="164"/>
      <c r="G12" s="164"/>
      <c r="H12" s="165"/>
      <c r="I12" s="166"/>
      <c r="J12" s="167"/>
      <c r="K12" s="167"/>
      <c r="L12" s="165"/>
      <c r="M12" s="167"/>
      <c r="N12" s="219"/>
      <c r="O12" s="219"/>
      <c r="P12" s="167"/>
      <c r="Q12" s="167"/>
      <c r="R12" s="167"/>
      <c r="S12" s="167"/>
      <c r="T12" s="167"/>
      <c r="U12" s="167"/>
      <c r="V12" s="167"/>
      <c r="W12" s="164"/>
      <c r="X12" s="164"/>
      <c r="Y12" s="164"/>
      <c r="Z12" s="167"/>
      <c r="AA12" s="165"/>
      <c r="AB12" s="168"/>
      <c r="AC12" s="169"/>
      <c r="AD12" s="167"/>
      <c r="AE12" s="167"/>
      <c r="AF12" s="167"/>
      <c r="AG12" s="167"/>
      <c r="AH12" s="167"/>
      <c r="AI12" s="167"/>
      <c r="AJ12" s="167"/>
      <c r="AK12" s="166"/>
      <c r="AL12" s="166"/>
      <c r="AM12" s="164"/>
      <c r="AN12" s="170"/>
      <c r="AO12" s="170">
        <v>42.942060079999997</v>
      </c>
      <c r="AP12" s="168"/>
      <c r="AQ12" s="171">
        <f t="shared" si="0"/>
        <v>42.942060079999997</v>
      </c>
    </row>
    <row r="13" spans="1:45" ht="12.75" customHeight="1">
      <c r="A13" s="159" t="s">
        <v>249</v>
      </c>
      <c r="B13" s="160"/>
      <c r="C13" s="161">
        <f>SUM(D13:G13)</f>
        <v>0</v>
      </c>
      <c r="D13" s="166"/>
      <c r="E13" s="164"/>
      <c r="F13" s="164"/>
      <c r="G13" s="164"/>
      <c r="H13" s="165">
        <f>SUM(I13:K13)</f>
        <v>68.075576842105264</v>
      </c>
      <c r="I13" s="166">
        <v>68.075576842105264</v>
      </c>
      <c r="J13" s="167"/>
      <c r="K13" s="167"/>
      <c r="L13" s="165">
        <f>SUM(M13:Z13)</f>
        <v>0</v>
      </c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4"/>
      <c r="X13" s="164"/>
      <c r="Y13" s="164"/>
      <c r="Z13" s="167"/>
      <c r="AA13" s="165"/>
      <c r="AB13" s="168">
        <f>SUM(AC13:AM13)</f>
        <v>0</v>
      </c>
      <c r="AC13" s="169"/>
      <c r="AD13" s="167"/>
      <c r="AE13" s="167"/>
      <c r="AF13" s="167"/>
      <c r="AG13" s="167"/>
      <c r="AH13" s="167"/>
      <c r="AI13" s="167"/>
      <c r="AJ13" s="167"/>
      <c r="AK13" s="166"/>
      <c r="AL13" s="166"/>
      <c r="AM13" s="164"/>
      <c r="AN13" s="170"/>
      <c r="AO13" s="170"/>
      <c r="AP13" s="168"/>
      <c r="AQ13" s="171">
        <f t="shared" si="0"/>
        <v>68.075576842105264</v>
      </c>
    </row>
    <row r="14" spans="1:45" ht="12.75" customHeight="1">
      <c r="A14" s="220" t="s">
        <v>250</v>
      </c>
      <c r="B14" s="221"/>
      <c r="C14" s="222">
        <f>SUM(D14:G14)</f>
        <v>0</v>
      </c>
      <c r="D14" s="223"/>
      <c r="E14" s="224"/>
      <c r="F14" s="225"/>
      <c r="G14" s="225"/>
      <c r="H14" s="226">
        <f>SUM(I14:K14)</f>
        <v>0</v>
      </c>
      <c r="I14" s="223"/>
      <c r="J14" s="224"/>
      <c r="K14" s="224"/>
      <c r="L14" s="226">
        <f>SUM(M14:Z14)</f>
        <v>3130.991863521042</v>
      </c>
      <c r="M14" s="224">
        <v>3092.2052611591994</v>
      </c>
      <c r="N14" s="224">
        <v>38.786602361842682</v>
      </c>
      <c r="O14" s="224"/>
      <c r="P14" s="224"/>
      <c r="Q14" s="224"/>
      <c r="R14" s="224"/>
      <c r="S14" s="224"/>
      <c r="T14" s="224"/>
      <c r="U14" s="224"/>
      <c r="V14" s="224"/>
      <c r="W14" s="225"/>
      <c r="X14" s="225"/>
      <c r="Y14" s="225"/>
      <c r="Z14" s="224"/>
      <c r="AA14" s="226">
        <v>40.734584907594211</v>
      </c>
      <c r="AB14" s="227">
        <f>SUM(AC14:AM14)</f>
        <v>0</v>
      </c>
      <c r="AC14" s="228"/>
      <c r="AD14" s="224"/>
      <c r="AE14" s="224"/>
      <c r="AF14" s="224"/>
      <c r="AG14" s="224"/>
      <c r="AH14" s="224"/>
      <c r="AI14" s="224"/>
      <c r="AJ14" s="224"/>
      <c r="AK14" s="223"/>
      <c r="AL14" s="223"/>
      <c r="AM14" s="225"/>
      <c r="AN14" s="229"/>
      <c r="AO14" s="229">
        <v>11.442471999999999</v>
      </c>
      <c r="AP14" s="227"/>
      <c r="AQ14" s="230">
        <f t="shared" si="0"/>
        <v>3183.1689204286363</v>
      </c>
    </row>
    <row r="15" spans="1:45" s="194" customFormat="1" ht="12.75" customHeight="1">
      <c r="A15" s="231" t="s">
        <v>251</v>
      </c>
      <c r="B15" s="232"/>
      <c r="C15" s="233">
        <f t="shared" ref="C15:AP15" si="8">SUM(C16:C20)</f>
        <v>0</v>
      </c>
      <c r="D15" s="234">
        <f t="shared" si="8"/>
        <v>0</v>
      </c>
      <c r="E15" s="235">
        <f t="shared" si="8"/>
        <v>0</v>
      </c>
      <c r="F15" s="236">
        <f t="shared" si="8"/>
        <v>0</v>
      </c>
      <c r="G15" s="236">
        <f t="shared" si="8"/>
        <v>0</v>
      </c>
      <c r="H15" s="237">
        <f t="shared" si="8"/>
        <v>64.671797999999995</v>
      </c>
      <c r="I15" s="234">
        <f t="shared" si="8"/>
        <v>0</v>
      </c>
      <c r="J15" s="235">
        <f t="shared" si="8"/>
        <v>0</v>
      </c>
      <c r="K15" s="235">
        <f t="shared" si="8"/>
        <v>64.671797999999995</v>
      </c>
      <c r="L15" s="237">
        <f t="shared" si="8"/>
        <v>3166.7858692089685</v>
      </c>
      <c r="M15" s="235">
        <f t="shared" si="8"/>
        <v>0</v>
      </c>
      <c r="N15" s="235">
        <f t="shared" si="8"/>
        <v>0</v>
      </c>
      <c r="O15" s="235">
        <f t="shared" si="8"/>
        <v>90.017983923640699</v>
      </c>
      <c r="P15" s="235">
        <f t="shared" si="8"/>
        <v>640.53679657777786</v>
      </c>
      <c r="Q15" s="235">
        <f t="shared" si="8"/>
        <v>226.77459106847999</v>
      </c>
      <c r="R15" s="235">
        <f t="shared" si="8"/>
        <v>0</v>
      </c>
      <c r="S15" s="235">
        <f t="shared" si="8"/>
        <v>960.95017928079096</v>
      </c>
      <c r="T15" s="235">
        <f t="shared" si="8"/>
        <v>64.797462901984332</v>
      </c>
      <c r="U15" s="235">
        <f t="shared" si="8"/>
        <v>1146.9502117491124</v>
      </c>
      <c r="V15" s="235">
        <f t="shared" si="8"/>
        <v>0</v>
      </c>
      <c r="W15" s="236">
        <f t="shared" si="8"/>
        <v>36.758643707182323</v>
      </c>
      <c r="X15" s="236">
        <f t="shared" si="8"/>
        <v>0</v>
      </c>
      <c r="Y15" s="236">
        <f t="shared" si="8"/>
        <v>0</v>
      </c>
      <c r="Z15" s="235">
        <f t="shared" si="8"/>
        <v>0</v>
      </c>
      <c r="AA15" s="237">
        <f t="shared" si="8"/>
        <v>0</v>
      </c>
      <c r="AB15" s="238">
        <f t="shared" si="8"/>
        <v>0</v>
      </c>
      <c r="AC15" s="239">
        <f t="shared" si="8"/>
        <v>0</v>
      </c>
      <c r="AD15" s="235">
        <f t="shared" si="8"/>
        <v>0</v>
      </c>
      <c r="AE15" s="235">
        <f t="shared" si="8"/>
        <v>0</v>
      </c>
      <c r="AF15" s="235">
        <f t="shared" si="8"/>
        <v>0</v>
      </c>
      <c r="AG15" s="240">
        <f t="shared" si="8"/>
        <v>0</v>
      </c>
      <c r="AH15" s="240">
        <f t="shared" si="8"/>
        <v>0</v>
      </c>
      <c r="AI15" s="240">
        <f t="shared" si="8"/>
        <v>0</v>
      </c>
      <c r="AJ15" s="240">
        <f t="shared" si="8"/>
        <v>0</v>
      </c>
      <c r="AK15" s="234">
        <f t="shared" si="8"/>
        <v>0</v>
      </c>
      <c r="AL15" s="234">
        <f t="shared" si="8"/>
        <v>0</v>
      </c>
      <c r="AM15" s="236">
        <f t="shared" si="8"/>
        <v>0</v>
      </c>
      <c r="AN15" s="237">
        <f t="shared" si="8"/>
        <v>0</v>
      </c>
      <c r="AO15" s="237">
        <f t="shared" si="8"/>
        <v>1873.361490524092</v>
      </c>
      <c r="AP15" s="238">
        <f t="shared" si="8"/>
        <v>0</v>
      </c>
      <c r="AQ15" s="241">
        <f t="shared" si="0"/>
        <v>5104.8191577330599</v>
      </c>
      <c r="AR15" s="141"/>
      <c r="AS15" s="193"/>
    </row>
    <row r="16" spans="1:45" ht="12.75" customHeight="1">
      <c r="A16" s="208" t="s">
        <v>246</v>
      </c>
      <c r="B16" s="209"/>
      <c r="C16" s="210">
        <f>SUM(D16:G16)</f>
        <v>0</v>
      </c>
      <c r="D16" s="211"/>
      <c r="E16" s="212"/>
      <c r="F16" s="213"/>
      <c r="G16" s="213"/>
      <c r="H16" s="214">
        <f>SUM(I16:K16)</f>
        <v>0</v>
      </c>
      <c r="I16" s="211"/>
      <c r="J16" s="212"/>
      <c r="K16" s="212"/>
      <c r="L16" s="214">
        <f>SUM(M16:Z16)</f>
        <v>0</v>
      </c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3"/>
      <c r="X16" s="213"/>
      <c r="Y16" s="213"/>
      <c r="Z16" s="212"/>
      <c r="AA16" s="214"/>
      <c r="AB16" s="215">
        <f>SUM(AC16:AL16)</f>
        <v>0</v>
      </c>
      <c r="AC16" s="216"/>
      <c r="AD16" s="212"/>
      <c r="AE16" s="212"/>
      <c r="AF16" s="212"/>
      <c r="AG16" s="219"/>
      <c r="AH16" s="219"/>
      <c r="AI16" s="219"/>
      <c r="AJ16" s="219"/>
      <c r="AK16" s="211"/>
      <c r="AL16" s="211"/>
      <c r="AM16" s="213"/>
      <c r="AN16" s="217"/>
      <c r="AO16" s="217">
        <v>1667.7865923774164</v>
      </c>
      <c r="AP16" s="215"/>
      <c r="AQ16" s="242">
        <f>C16+H16+L16+AA16+AO16+AP16</f>
        <v>1667.7865923774164</v>
      </c>
    </row>
    <row r="17" spans="1:45" ht="12.75" customHeight="1">
      <c r="A17" s="159" t="s">
        <v>247</v>
      </c>
      <c r="B17" s="160"/>
      <c r="C17" s="161">
        <f>SUM(D17:G17)</f>
        <v>0</v>
      </c>
      <c r="D17" s="166"/>
      <c r="E17" s="167"/>
      <c r="F17" s="164"/>
      <c r="G17" s="164"/>
      <c r="H17" s="165">
        <f>SUM(I17:K17)</f>
        <v>0</v>
      </c>
      <c r="I17" s="166"/>
      <c r="J17" s="167"/>
      <c r="K17" s="167"/>
      <c r="L17" s="165">
        <f>SUM(M17:Z17)</f>
        <v>0</v>
      </c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4"/>
      <c r="X17" s="164"/>
      <c r="Y17" s="164"/>
      <c r="Z17" s="167"/>
      <c r="AA17" s="165"/>
      <c r="AB17" s="168">
        <f>SUM(AC17:AL17)</f>
        <v>0</v>
      </c>
      <c r="AC17" s="169"/>
      <c r="AD17" s="167"/>
      <c r="AE17" s="167"/>
      <c r="AF17" s="167"/>
      <c r="AG17" s="167"/>
      <c r="AH17" s="167"/>
      <c r="AI17" s="167"/>
      <c r="AJ17" s="167"/>
      <c r="AK17" s="166"/>
      <c r="AL17" s="166"/>
      <c r="AM17" s="164"/>
      <c r="AN17" s="170"/>
      <c r="AO17" s="243">
        <v>185.14395873624346</v>
      </c>
      <c r="AP17" s="168"/>
      <c r="AQ17" s="171">
        <f>C17+H17+L17+AA17+AO17+AP17</f>
        <v>185.14395873624346</v>
      </c>
    </row>
    <row r="18" spans="1:45" ht="12.75" customHeight="1">
      <c r="A18" s="159" t="s">
        <v>252</v>
      </c>
      <c r="B18" s="160"/>
      <c r="C18" s="161"/>
      <c r="D18" s="166"/>
      <c r="E18" s="167"/>
      <c r="F18" s="164"/>
      <c r="G18" s="164"/>
      <c r="H18" s="165"/>
      <c r="I18" s="166"/>
      <c r="J18" s="167"/>
      <c r="K18" s="167"/>
      <c r="L18" s="165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4"/>
      <c r="X18" s="164"/>
      <c r="Y18" s="164"/>
      <c r="Z18" s="167"/>
      <c r="AA18" s="165"/>
      <c r="AB18" s="168"/>
      <c r="AC18" s="169"/>
      <c r="AD18" s="167"/>
      <c r="AE18" s="167"/>
      <c r="AF18" s="167"/>
      <c r="AG18" s="167"/>
      <c r="AH18" s="167"/>
      <c r="AI18" s="167"/>
      <c r="AJ18" s="167"/>
      <c r="AK18" s="166"/>
      <c r="AL18" s="166"/>
      <c r="AM18" s="164"/>
      <c r="AN18" s="170"/>
      <c r="AO18" s="170">
        <v>20.430939410432</v>
      </c>
      <c r="AP18" s="168"/>
      <c r="AQ18" s="171">
        <f t="shared" si="0"/>
        <v>20.430939410432</v>
      </c>
    </row>
    <row r="19" spans="1:45" ht="12.75" customHeight="1">
      <c r="A19" s="159" t="s">
        <v>249</v>
      </c>
      <c r="B19" s="160"/>
      <c r="C19" s="161"/>
      <c r="D19" s="141"/>
      <c r="E19" s="167"/>
      <c r="F19" s="164"/>
      <c r="G19" s="164"/>
      <c r="H19" s="165">
        <f>SUM(I19:K19)</f>
        <v>64.671797999999995</v>
      </c>
      <c r="I19" s="166"/>
      <c r="J19" s="167"/>
      <c r="K19" s="167">
        <v>64.671797999999995</v>
      </c>
      <c r="L19" s="165">
        <f>SUM(M19:Z19)</f>
        <v>0</v>
      </c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4"/>
      <c r="X19" s="164"/>
      <c r="Y19" s="164"/>
      <c r="Z19" s="167"/>
      <c r="AA19" s="165"/>
      <c r="AB19" s="168">
        <f>SUM(AC19:AL19)</f>
        <v>0</v>
      </c>
      <c r="AC19" s="169"/>
      <c r="AD19" s="167"/>
      <c r="AE19" s="167"/>
      <c r="AF19" s="167"/>
      <c r="AG19" s="167"/>
      <c r="AH19" s="167"/>
      <c r="AI19" s="167"/>
      <c r="AJ19" s="167"/>
      <c r="AK19" s="166"/>
      <c r="AL19" s="166"/>
      <c r="AM19" s="164"/>
      <c r="AN19" s="170"/>
      <c r="AO19" s="170"/>
      <c r="AP19" s="168"/>
      <c r="AQ19" s="171">
        <f t="shared" si="0"/>
        <v>64.671797999999995</v>
      </c>
    </row>
    <row r="20" spans="1:45" ht="12.75" customHeight="1">
      <c r="A20" s="220" t="s">
        <v>253</v>
      </c>
      <c r="B20" s="221"/>
      <c r="C20" s="222"/>
      <c r="D20" s="223"/>
      <c r="E20" s="224"/>
      <c r="F20" s="225"/>
      <c r="G20" s="225"/>
      <c r="H20" s="226">
        <f>SUM(I20:K20)</f>
        <v>0</v>
      </c>
      <c r="I20" s="223"/>
      <c r="J20" s="224"/>
      <c r="K20" s="224"/>
      <c r="L20" s="226">
        <f>SUM(M20:Z20)</f>
        <v>3166.7858692089685</v>
      </c>
      <c r="M20" s="224"/>
      <c r="N20" s="224"/>
      <c r="O20" s="224">
        <v>90.017983923640699</v>
      </c>
      <c r="P20" s="224">
        <v>640.53679657777786</v>
      </c>
      <c r="Q20" s="224">
        <v>226.77459106847999</v>
      </c>
      <c r="R20" s="224">
        <v>0</v>
      </c>
      <c r="S20" s="224">
        <v>960.95017928079096</v>
      </c>
      <c r="T20" s="224">
        <v>64.797462901984332</v>
      </c>
      <c r="U20" s="224">
        <v>1146.9502117491124</v>
      </c>
      <c r="V20" s="224"/>
      <c r="W20" s="225">
        <v>36.758643707182323</v>
      </c>
      <c r="X20" s="225"/>
      <c r="Y20" s="225"/>
      <c r="Z20" s="224"/>
      <c r="AA20" s="226"/>
      <c r="AB20" s="227">
        <f>SUM(AC20:AL20)</f>
        <v>0</v>
      </c>
      <c r="AC20" s="228"/>
      <c r="AD20" s="224"/>
      <c r="AE20" s="224"/>
      <c r="AF20" s="224"/>
      <c r="AG20" s="224"/>
      <c r="AH20" s="224"/>
      <c r="AI20" s="224"/>
      <c r="AJ20" s="224"/>
      <c r="AK20" s="223"/>
      <c r="AL20" s="223"/>
      <c r="AM20" s="225"/>
      <c r="AN20" s="229"/>
      <c r="AO20" s="229"/>
      <c r="AP20" s="227"/>
      <c r="AQ20" s="230">
        <f t="shared" si="0"/>
        <v>3166.7858692089685</v>
      </c>
    </row>
    <row r="21" spans="1:45" ht="12.75" customHeight="1">
      <c r="A21" s="244" t="s">
        <v>254</v>
      </c>
      <c r="B21" s="245"/>
      <c r="C21" s="246">
        <f>SUM(C22:C24)</f>
        <v>22.240061570656763</v>
      </c>
      <c r="D21" s="247">
        <f>SUM(D22:D24)</f>
        <v>-17.141361188350004</v>
      </c>
      <c r="E21" s="248">
        <f>SUM(E22:E24)</f>
        <v>39.381422759006767</v>
      </c>
      <c r="F21" s="249">
        <f>SUM(F22:F24)</f>
        <v>0</v>
      </c>
      <c r="G21" s="249">
        <f>SUM(G22:G24)</f>
        <v>0</v>
      </c>
      <c r="H21" s="250">
        <f>SUM(I21:K21)</f>
        <v>0</v>
      </c>
      <c r="I21" s="247">
        <f>SUM(I22:I24)</f>
        <v>0</v>
      </c>
      <c r="J21" s="248">
        <f>SUM(J22:J24)</f>
        <v>0</v>
      </c>
      <c r="K21" s="248">
        <f>SUM(K22:K24)</f>
        <v>0</v>
      </c>
      <c r="L21" s="250">
        <f>SUM(M21:Z21)</f>
        <v>-24.953759699422424</v>
      </c>
      <c r="M21" s="248">
        <f t="shared" ref="M21:AQ21" si="9">SUM(M22:M24)</f>
        <v>0</v>
      </c>
      <c r="N21" s="248">
        <f t="shared" si="9"/>
        <v>30.880435114089789</v>
      </c>
      <c r="O21" s="248">
        <f t="shared" si="9"/>
        <v>0</v>
      </c>
      <c r="P21" s="248">
        <f t="shared" si="9"/>
        <v>-31.080771455555681</v>
      </c>
      <c r="Q21" s="248">
        <f t="shared" si="9"/>
        <v>374.46366644960005</v>
      </c>
      <c r="R21" s="248">
        <f t="shared" si="9"/>
        <v>-373.64776418279996</v>
      </c>
      <c r="S21" s="248">
        <f t="shared" si="9"/>
        <v>0</v>
      </c>
      <c r="T21" s="248">
        <f t="shared" si="9"/>
        <v>0</v>
      </c>
      <c r="U21" s="248">
        <f t="shared" si="9"/>
        <v>-3.3292640540998377</v>
      </c>
      <c r="V21" s="248">
        <f t="shared" si="9"/>
        <v>-22.240061570656767</v>
      </c>
      <c r="W21" s="249">
        <f t="shared" si="9"/>
        <v>0</v>
      </c>
      <c r="X21" s="249">
        <f t="shared" si="9"/>
        <v>0</v>
      </c>
      <c r="Y21" s="249">
        <f t="shared" si="9"/>
        <v>0</v>
      </c>
      <c r="Z21" s="248">
        <f t="shared" si="9"/>
        <v>0</v>
      </c>
      <c r="AA21" s="250">
        <f t="shared" si="9"/>
        <v>0</v>
      </c>
      <c r="AB21" s="251">
        <f t="shared" si="9"/>
        <v>-804.14402736760053</v>
      </c>
      <c r="AC21" s="252">
        <f t="shared" si="9"/>
        <v>-59.691708987970003</v>
      </c>
      <c r="AD21" s="248">
        <f t="shared" si="9"/>
        <v>-743.01992281532614</v>
      </c>
      <c r="AE21" s="248">
        <f t="shared" si="9"/>
        <v>0</v>
      </c>
      <c r="AF21" s="248">
        <f t="shared" si="9"/>
        <v>0</v>
      </c>
      <c r="AG21" s="253">
        <f t="shared" si="9"/>
        <v>0</v>
      </c>
      <c r="AH21" s="253">
        <f t="shared" si="9"/>
        <v>0</v>
      </c>
      <c r="AI21" s="253">
        <f t="shared" si="9"/>
        <v>0</v>
      </c>
      <c r="AJ21" s="253">
        <f t="shared" si="9"/>
        <v>0</v>
      </c>
      <c r="AK21" s="247">
        <f t="shared" si="9"/>
        <v>-1.4323955643044282</v>
      </c>
      <c r="AL21" s="253">
        <f t="shared" si="9"/>
        <v>0</v>
      </c>
      <c r="AM21" s="249">
        <f t="shared" si="9"/>
        <v>0</v>
      </c>
      <c r="AN21" s="254">
        <f t="shared" si="9"/>
        <v>0</v>
      </c>
      <c r="AO21" s="250">
        <f t="shared" si="9"/>
        <v>804.14402736760053</v>
      </c>
      <c r="AP21" s="251">
        <f t="shared" si="9"/>
        <v>0</v>
      </c>
      <c r="AQ21" s="255">
        <f t="shared" si="9"/>
        <v>-2.7136981287656603</v>
      </c>
    </row>
    <row r="22" spans="1:45" ht="12.75" customHeight="1">
      <c r="A22" s="208" t="s">
        <v>1</v>
      </c>
      <c r="B22" s="209"/>
      <c r="C22" s="256"/>
      <c r="D22" s="257"/>
      <c r="E22" s="258"/>
      <c r="F22" s="213"/>
      <c r="G22" s="213"/>
      <c r="H22" s="214"/>
      <c r="I22" s="259"/>
      <c r="J22" s="212"/>
      <c r="K22" s="212"/>
      <c r="L22" s="214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3"/>
      <c r="X22" s="213"/>
      <c r="Y22" s="213"/>
      <c r="Z22" s="212"/>
      <c r="AA22" s="214"/>
      <c r="AB22" s="215">
        <f>SUM(AC22:AM22)</f>
        <v>-804.14402736760053</v>
      </c>
      <c r="AC22" s="216">
        <f>-AC2</f>
        <v>-59.691708987970003</v>
      </c>
      <c r="AD22" s="212">
        <f>-AD2</f>
        <v>-743.01992281532614</v>
      </c>
      <c r="AE22" s="212"/>
      <c r="AF22" s="212"/>
      <c r="AG22" s="219"/>
      <c r="AH22" s="219"/>
      <c r="AI22" s="219"/>
      <c r="AJ22" s="219"/>
      <c r="AK22" s="211">
        <v>-1.4323955643044282</v>
      </c>
      <c r="AL22" s="219"/>
      <c r="AM22" s="213"/>
      <c r="AN22" s="217"/>
      <c r="AO22" s="214">
        <f>-(C22+H22+L22+AA22+AB22)</f>
        <v>804.14402736760053</v>
      </c>
      <c r="AP22" s="215"/>
      <c r="AQ22" s="242">
        <f>C22+H22+L22+AA22+AB22+AN22+AO22+AP22</f>
        <v>0</v>
      </c>
    </row>
    <row r="23" spans="1:45" ht="12.75" customHeight="1">
      <c r="A23" s="260" t="s">
        <v>255</v>
      </c>
      <c r="B23" s="232"/>
      <c r="C23" s="261"/>
      <c r="D23" s="262"/>
      <c r="E23" s="235"/>
      <c r="F23" s="263"/>
      <c r="G23" s="263"/>
      <c r="H23" s="237"/>
      <c r="J23" s="265"/>
      <c r="K23" s="265"/>
      <c r="L23" s="237"/>
      <c r="M23" s="265"/>
      <c r="N23" s="265"/>
      <c r="O23" s="265"/>
      <c r="P23" s="265"/>
      <c r="Q23" s="265"/>
      <c r="R23" s="265"/>
      <c r="S23" s="265"/>
      <c r="T23" s="265"/>
      <c r="U23" s="265"/>
      <c r="V23" s="265"/>
      <c r="W23" s="263"/>
      <c r="X23" s="263"/>
      <c r="Y23" s="263"/>
      <c r="Z23" s="265"/>
      <c r="AA23" s="237"/>
      <c r="AB23" s="238"/>
      <c r="AC23" s="266"/>
      <c r="AD23" s="265"/>
      <c r="AE23" s="265"/>
      <c r="AF23" s="265"/>
      <c r="AG23" s="265"/>
      <c r="AH23" s="265"/>
      <c r="AI23" s="265"/>
      <c r="AJ23" s="265"/>
      <c r="AK23" s="267"/>
      <c r="AL23" s="267"/>
      <c r="AM23" s="263"/>
      <c r="AN23" s="268"/>
      <c r="AO23" s="237"/>
      <c r="AP23" s="238"/>
      <c r="AQ23" s="269">
        <f>C23+H23+L23+AA23+AB23+AN23+AO23+AP23</f>
        <v>0</v>
      </c>
    </row>
    <row r="24" spans="1:45" ht="12.75" customHeight="1" thickBot="1">
      <c r="A24" s="173" t="s">
        <v>256</v>
      </c>
      <c r="B24" s="174"/>
      <c r="C24" s="270">
        <f>SUM(D24:G24)</f>
        <v>22.240061570656763</v>
      </c>
      <c r="D24" s="271">
        <v>-17.141361188350004</v>
      </c>
      <c r="E24" s="181">
        <f>-D24-V24</f>
        <v>39.381422759006767</v>
      </c>
      <c r="F24" s="176"/>
      <c r="G24" s="176"/>
      <c r="H24" s="177"/>
      <c r="I24" s="272"/>
      <c r="J24" s="181"/>
      <c r="K24" s="181"/>
      <c r="L24" s="177">
        <f>SUM(N24:Z24)</f>
        <v>-24.953759699422424</v>
      </c>
      <c r="M24" s="181"/>
      <c r="N24" s="181">
        <v>30.880435114089789</v>
      </c>
      <c r="O24" s="181"/>
      <c r="P24" s="181">
        <v>-31.080771455555681</v>
      </c>
      <c r="Q24" s="181">
        <v>374.46366644960005</v>
      </c>
      <c r="R24" s="181">
        <v>-373.64776418279996</v>
      </c>
      <c r="S24" s="181">
        <v>0</v>
      </c>
      <c r="T24" s="181"/>
      <c r="U24" s="181">
        <v>-3.3292640540998377</v>
      </c>
      <c r="V24" s="176">
        <v>-22.240061570656767</v>
      </c>
      <c r="W24" s="176">
        <v>0</v>
      </c>
      <c r="X24" s="176"/>
      <c r="Y24" s="176"/>
      <c r="Z24" s="181"/>
      <c r="AA24" s="177"/>
      <c r="AB24" s="177">
        <f>SUM(AC24:AM24)</f>
        <v>0</v>
      </c>
      <c r="AC24" s="180"/>
      <c r="AD24" s="181"/>
      <c r="AE24" s="181"/>
      <c r="AF24" s="181"/>
      <c r="AG24" s="181"/>
      <c r="AH24" s="181"/>
      <c r="AI24" s="181"/>
      <c r="AJ24" s="181"/>
      <c r="AK24" s="178"/>
      <c r="AL24" s="178"/>
      <c r="AM24" s="176"/>
      <c r="AN24" s="182"/>
      <c r="AO24" s="177"/>
      <c r="AP24" s="179"/>
      <c r="AQ24" s="183">
        <f>C24+H24+L24+AA24+AB24+AN24+AO24+AP24</f>
        <v>-2.7136981287656603</v>
      </c>
    </row>
    <row r="25" spans="1:45" ht="12.75" customHeight="1" thickBot="1">
      <c r="A25" s="231" t="s">
        <v>257</v>
      </c>
      <c r="B25" s="232"/>
      <c r="C25" s="233">
        <f>SUM(D25:G25)</f>
        <v>0</v>
      </c>
      <c r="D25" s="234"/>
      <c r="E25" s="235"/>
      <c r="F25" s="263"/>
      <c r="G25" s="263"/>
      <c r="H25" s="237">
        <f>SUM(I25:K25)</f>
        <v>10.28324833984202</v>
      </c>
      <c r="I25" s="263">
        <v>10.28324833984202</v>
      </c>
      <c r="J25" s="265"/>
      <c r="K25" s="265"/>
      <c r="L25" s="237">
        <f>SUM(O25:Z25)</f>
        <v>98.284657617035819</v>
      </c>
      <c r="M25" s="265"/>
      <c r="N25" s="265"/>
      <c r="O25" s="265">
        <v>95.274692021714102</v>
      </c>
      <c r="P25" s="265"/>
      <c r="Q25" s="265"/>
      <c r="R25" s="265"/>
      <c r="S25" s="265">
        <v>0</v>
      </c>
      <c r="T25" s="265">
        <v>4.1693256233877908E-3</v>
      </c>
      <c r="U25" s="265">
        <v>3.0057962696983291</v>
      </c>
      <c r="V25" s="265"/>
      <c r="W25" s="263"/>
      <c r="X25" s="263"/>
      <c r="Y25" s="263"/>
      <c r="Z25" s="265"/>
      <c r="AA25" s="237">
        <v>57.528599543766255</v>
      </c>
      <c r="AB25" s="238">
        <f>SUM(AC25:AI25)</f>
        <v>0</v>
      </c>
      <c r="AC25" s="239"/>
      <c r="AD25" s="265"/>
      <c r="AE25" s="265"/>
      <c r="AF25" s="265"/>
      <c r="AG25" s="265"/>
      <c r="AH25" s="265"/>
      <c r="AI25" s="265"/>
      <c r="AJ25" s="265"/>
      <c r="AK25" s="267"/>
      <c r="AL25" s="267"/>
      <c r="AM25" s="263"/>
      <c r="AN25" s="268"/>
      <c r="AO25" s="237">
        <v>259.46681438260055</v>
      </c>
      <c r="AP25" s="238"/>
      <c r="AQ25" s="269">
        <f>C25+H25+L25+AA25+AB25+AN25+AO25+AP25</f>
        <v>425.56331988324462</v>
      </c>
    </row>
    <row r="26" spans="1:45" s="194" customFormat="1" ht="12.75" customHeight="1" thickBot="1">
      <c r="A26" s="273" t="s">
        <v>258</v>
      </c>
      <c r="B26" s="274"/>
      <c r="C26" s="275">
        <f t="shared" ref="C26:AP26" si="10">C7-C9+C15+C21-C25</f>
        <v>348.69297193905459</v>
      </c>
      <c r="D26" s="276">
        <f t="shared" si="10"/>
        <v>190.34389623369066</v>
      </c>
      <c r="E26" s="277">
        <f t="shared" si="10"/>
        <v>149.86072528467759</v>
      </c>
      <c r="F26" s="277">
        <f t="shared" si="10"/>
        <v>0</v>
      </c>
      <c r="G26" s="277">
        <f t="shared" si="10"/>
        <v>8.4883504206865013</v>
      </c>
      <c r="H26" s="278">
        <f t="shared" si="10"/>
        <v>199.31419506885081</v>
      </c>
      <c r="I26" s="276">
        <f t="shared" si="10"/>
        <v>0.37225106885087023</v>
      </c>
      <c r="J26" s="277">
        <f t="shared" si="10"/>
        <v>127.70399999999999</v>
      </c>
      <c r="K26" s="277">
        <f t="shared" si="10"/>
        <v>71.237943999999999</v>
      </c>
      <c r="L26" s="278">
        <f t="shared" si="10"/>
        <v>7296.7282199976062</v>
      </c>
      <c r="M26" s="277">
        <f t="shared" si="10"/>
        <v>0</v>
      </c>
      <c r="N26" s="277">
        <f t="shared" si="10"/>
        <v>-0.14794174855289199</v>
      </c>
      <c r="O26" s="277">
        <f t="shared" si="10"/>
        <v>-5.2567080980734033</v>
      </c>
      <c r="P26" s="277">
        <f t="shared" si="10"/>
        <v>799.46408249999979</v>
      </c>
      <c r="Q26" s="277">
        <f t="shared" si="10"/>
        <v>962.00436969728003</v>
      </c>
      <c r="R26" s="277">
        <f t="shared" si="10"/>
        <v>1095.3569190907197</v>
      </c>
      <c r="S26" s="277">
        <f t="shared" si="10"/>
        <v>39.21120498695575</v>
      </c>
      <c r="T26" s="277">
        <f t="shared" si="10"/>
        <v>187.88084937540125</v>
      </c>
      <c r="U26" s="277">
        <f t="shared" si="10"/>
        <v>3833.6812396704358</v>
      </c>
      <c r="V26" s="277">
        <f t="shared" si="10"/>
        <v>145.44440711224036</v>
      </c>
      <c r="W26" s="277">
        <f t="shared" si="10"/>
        <v>7.506512734116022</v>
      </c>
      <c r="X26" s="277">
        <f t="shared" si="10"/>
        <v>195.36275312176252</v>
      </c>
      <c r="Y26" s="277">
        <f t="shared" si="10"/>
        <v>1.2096467108549098</v>
      </c>
      <c r="Z26" s="277">
        <f t="shared" si="10"/>
        <v>35.010884844467988</v>
      </c>
      <c r="AA26" s="278">
        <f t="shared" si="10"/>
        <v>1921.4292269183238</v>
      </c>
      <c r="AB26" s="279">
        <f t="shared" si="10"/>
        <v>456.44000480998989</v>
      </c>
      <c r="AC26" s="206">
        <f t="shared" si="10"/>
        <v>0</v>
      </c>
      <c r="AD26" s="188">
        <f t="shared" si="10"/>
        <v>0</v>
      </c>
      <c r="AE26" s="188">
        <f t="shared" si="10"/>
        <v>196.67659478004623</v>
      </c>
      <c r="AF26" s="188">
        <f t="shared" si="10"/>
        <v>40.692904224132207</v>
      </c>
      <c r="AG26" s="188">
        <f t="shared" si="10"/>
        <v>0</v>
      </c>
      <c r="AH26" s="188">
        <f t="shared" si="10"/>
        <v>9.7770611234061491</v>
      </c>
      <c r="AI26" s="188">
        <f t="shared" si="10"/>
        <v>124.01266332172798</v>
      </c>
      <c r="AJ26" s="188">
        <f t="shared" si="10"/>
        <v>27.929372998367999</v>
      </c>
      <c r="AK26" s="190">
        <f t="shared" si="10"/>
        <v>0</v>
      </c>
      <c r="AL26" s="190">
        <f t="shared" si="10"/>
        <v>13.54608560366562</v>
      </c>
      <c r="AM26" s="280">
        <f t="shared" si="10"/>
        <v>43.805322758643676</v>
      </c>
      <c r="AN26" s="278">
        <f t="shared" si="10"/>
        <v>54.722939604974087</v>
      </c>
      <c r="AO26" s="278">
        <f t="shared" si="10"/>
        <v>2361.2693974490917</v>
      </c>
      <c r="AP26" s="279">
        <f t="shared" si="10"/>
        <v>0</v>
      </c>
      <c r="AQ26" s="281">
        <f>C26+H26+L26+AA26+AB26+AN26+AO26+AP26</f>
        <v>12638.596955787891</v>
      </c>
      <c r="AR26" s="141"/>
      <c r="AS26" s="193"/>
    </row>
    <row r="27" spans="1:45" s="194" customFormat="1" ht="12.75" customHeight="1">
      <c r="A27" s="184" t="s">
        <v>259</v>
      </c>
      <c r="B27" s="185"/>
      <c r="C27" s="186">
        <f t="shared" ref="C27:V27" si="11">C28</f>
        <v>0</v>
      </c>
      <c r="D27" s="190">
        <f t="shared" si="11"/>
        <v>0</v>
      </c>
      <c r="E27" s="188">
        <f t="shared" si="11"/>
        <v>0</v>
      </c>
      <c r="F27" s="205">
        <f t="shared" si="11"/>
        <v>0</v>
      </c>
      <c r="G27" s="205">
        <f t="shared" si="11"/>
        <v>0</v>
      </c>
      <c r="H27" s="189">
        <f t="shared" si="11"/>
        <v>0</v>
      </c>
      <c r="I27" s="190">
        <f t="shared" si="11"/>
        <v>0</v>
      </c>
      <c r="J27" s="188">
        <f t="shared" si="11"/>
        <v>0</v>
      </c>
      <c r="K27" s="188">
        <f t="shared" si="11"/>
        <v>0</v>
      </c>
      <c r="L27" s="189">
        <f t="shared" si="11"/>
        <v>231.58328467708543</v>
      </c>
      <c r="M27" s="188">
        <f t="shared" si="11"/>
        <v>0</v>
      </c>
      <c r="N27" s="188">
        <f t="shared" si="11"/>
        <v>0</v>
      </c>
      <c r="O27" s="188">
        <f t="shared" si="11"/>
        <v>0</v>
      </c>
      <c r="P27" s="188">
        <f t="shared" si="11"/>
        <v>0</v>
      </c>
      <c r="Q27" s="188">
        <f t="shared" si="11"/>
        <v>0</v>
      </c>
      <c r="R27" s="188">
        <f t="shared" si="11"/>
        <v>0</v>
      </c>
      <c r="S27" s="188">
        <f t="shared" si="11"/>
        <v>0</v>
      </c>
      <c r="T27" s="188">
        <f t="shared" si="11"/>
        <v>0</v>
      </c>
      <c r="U27" s="188">
        <f t="shared" si="11"/>
        <v>0</v>
      </c>
      <c r="V27" s="188">
        <f t="shared" si="11"/>
        <v>0</v>
      </c>
      <c r="W27" s="205"/>
      <c r="X27" s="205">
        <f t="shared" ref="X27:AQ27" si="12">X28</f>
        <v>195.36275312176252</v>
      </c>
      <c r="Y27" s="205">
        <f t="shared" si="12"/>
        <v>1.2096467108549098</v>
      </c>
      <c r="Z27" s="188">
        <f t="shared" si="12"/>
        <v>35.010884844467988</v>
      </c>
      <c r="AA27" s="189">
        <f t="shared" si="12"/>
        <v>0</v>
      </c>
      <c r="AB27" s="187">
        <f t="shared" si="12"/>
        <v>0</v>
      </c>
      <c r="AC27" s="206">
        <f t="shared" si="12"/>
        <v>0</v>
      </c>
      <c r="AD27" s="188">
        <f t="shared" si="12"/>
        <v>0</v>
      </c>
      <c r="AE27" s="188">
        <f t="shared" si="12"/>
        <v>0</v>
      </c>
      <c r="AF27" s="188">
        <f t="shared" si="12"/>
        <v>0</v>
      </c>
      <c r="AG27" s="188">
        <f t="shared" si="12"/>
        <v>0</v>
      </c>
      <c r="AH27" s="188">
        <f t="shared" si="12"/>
        <v>0</v>
      </c>
      <c r="AI27" s="188">
        <f t="shared" si="12"/>
        <v>0</v>
      </c>
      <c r="AJ27" s="188">
        <f t="shared" si="12"/>
        <v>0</v>
      </c>
      <c r="AK27" s="190">
        <f t="shared" si="12"/>
        <v>0</v>
      </c>
      <c r="AL27" s="190">
        <f t="shared" si="12"/>
        <v>0</v>
      </c>
      <c r="AM27" s="205">
        <f t="shared" si="12"/>
        <v>0</v>
      </c>
      <c r="AN27" s="189">
        <f t="shared" si="12"/>
        <v>0</v>
      </c>
      <c r="AO27" s="189">
        <f t="shared" si="12"/>
        <v>0</v>
      </c>
      <c r="AP27" s="187">
        <f t="shared" si="12"/>
        <v>0</v>
      </c>
      <c r="AQ27" s="192">
        <f t="shared" si="12"/>
        <v>231.58328467708543</v>
      </c>
      <c r="AR27" s="141"/>
      <c r="AS27" s="193"/>
    </row>
    <row r="28" spans="1:45" ht="12.75" customHeight="1" thickBot="1">
      <c r="A28" s="282" t="s">
        <v>260</v>
      </c>
      <c r="B28" s="283"/>
      <c r="C28" s="284">
        <f>SUM(D28:G28)</f>
        <v>0</v>
      </c>
      <c r="D28" s="247"/>
      <c r="E28" s="248"/>
      <c r="F28" s="249"/>
      <c r="G28" s="249"/>
      <c r="H28" s="254">
        <f>SUM(I28:K28)</f>
        <v>0</v>
      </c>
      <c r="I28" s="247"/>
      <c r="J28" s="248"/>
      <c r="K28" s="248"/>
      <c r="L28" s="254">
        <f>SUM(M28:Z28)</f>
        <v>231.58328467708543</v>
      </c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9"/>
      <c r="X28" s="249">
        <f>X26</f>
        <v>195.36275312176252</v>
      </c>
      <c r="Y28" s="249">
        <f>Y26</f>
        <v>1.2096467108549098</v>
      </c>
      <c r="Z28" s="248">
        <f>Z26</f>
        <v>35.010884844467988</v>
      </c>
      <c r="AA28" s="254">
        <v>0</v>
      </c>
      <c r="AB28" s="285">
        <f>SUM(AC28:AI28)</f>
        <v>0</v>
      </c>
      <c r="AC28" s="252"/>
      <c r="AD28" s="248"/>
      <c r="AE28" s="248"/>
      <c r="AF28" s="248"/>
      <c r="AG28" s="248"/>
      <c r="AH28" s="248"/>
      <c r="AI28" s="248"/>
      <c r="AJ28" s="248"/>
      <c r="AK28" s="247"/>
      <c r="AL28" s="247"/>
      <c r="AM28" s="249"/>
      <c r="AN28" s="254"/>
      <c r="AO28" s="254"/>
      <c r="AP28" s="285"/>
      <c r="AQ28" s="255">
        <f t="shared" ref="AQ28:AQ72" si="13">C28+H28+L28+AA28+AB28+AN28+AO28+AP28</f>
        <v>231.58328467708543</v>
      </c>
    </row>
    <row r="29" spans="1:45" s="194" customFormat="1" ht="12.75" customHeight="1" thickBot="1">
      <c r="A29" s="184" t="s">
        <v>261</v>
      </c>
      <c r="B29" s="185"/>
      <c r="C29" s="186">
        <f t="shared" ref="C29:AQ29" si="14">C30+C45+C56+C58+C65+C70+C71</f>
        <v>351.41289633822032</v>
      </c>
      <c r="D29" s="190">
        <f t="shared" si="14"/>
        <v>190.16205136582681</v>
      </c>
      <c r="E29" s="188">
        <f t="shared" si="14"/>
        <v>153.30941368399715</v>
      </c>
      <c r="F29" s="205">
        <f t="shared" si="14"/>
        <v>0</v>
      </c>
      <c r="G29" s="205">
        <f t="shared" si="14"/>
        <v>7.795884678396293</v>
      </c>
      <c r="H29" s="189">
        <f t="shared" si="14"/>
        <v>197.36847005356</v>
      </c>
      <c r="I29" s="190">
        <f t="shared" si="14"/>
        <v>0.82966372355999995</v>
      </c>
      <c r="J29" s="190">
        <f t="shared" si="14"/>
        <v>127.70399999999999</v>
      </c>
      <c r="K29" s="190">
        <f t="shared" si="14"/>
        <v>68.834806329999992</v>
      </c>
      <c r="L29" s="189">
        <f t="shared" si="14"/>
        <v>7065.3194555859664</v>
      </c>
      <c r="M29" s="188">
        <f t="shared" si="14"/>
        <v>0</v>
      </c>
      <c r="N29" s="188">
        <f t="shared" si="14"/>
        <v>0</v>
      </c>
      <c r="O29" s="188">
        <f t="shared" si="14"/>
        <v>0</v>
      </c>
      <c r="P29" s="188">
        <f t="shared" si="14"/>
        <v>821.48002832197096</v>
      </c>
      <c r="Q29" s="188">
        <f t="shared" si="14"/>
        <v>946.63395628255989</v>
      </c>
      <c r="R29" s="188">
        <f t="shared" si="14"/>
        <v>1102.0673096951998</v>
      </c>
      <c r="S29" s="188">
        <f t="shared" si="14"/>
        <v>31.039400915077643</v>
      </c>
      <c r="T29" s="188">
        <f t="shared" si="14"/>
        <v>181.32381570558749</v>
      </c>
      <c r="U29" s="188">
        <f t="shared" si="14"/>
        <v>3838.1558666328419</v>
      </c>
      <c r="V29" s="188">
        <f t="shared" si="14"/>
        <v>144.61907803272823</v>
      </c>
      <c r="W29" s="205">
        <f t="shared" si="14"/>
        <v>0</v>
      </c>
      <c r="X29" s="205">
        <f t="shared" si="14"/>
        <v>0</v>
      </c>
      <c r="Y29" s="205">
        <f t="shared" si="14"/>
        <v>0</v>
      </c>
      <c r="Z29" s="190">
        <f t="shared" si="14"/>
        <v>0</v>
      </c>
      <c r="AA29" s="278">
        <f t="shared" si="14"/>
        <v>1961.7039372255224</v>
      </c>
      <c r="AB29" s="187">
        <f t="shared" si="14"/>
        <v>464.57031831216926</v>
      </c>
      <c r="AC29" s="206">
        <f t="shared" si="14"/>
        <v>0</v>
      </c>
      <c r="AD29" s="188">
        <f t="shared" si="14"/>
        <v>0</v>
      </c>
      <c r="AE29" s="188">
        <f t="shared" si="14"/>
        <v>202.50934255862566</v>
      </c>
      <c r="AF29" s="188">
        <f t="shared" si="14"/>
        <v>40.692904224132199</v>
      </c>
      <c r="AG29" s="188">
        <f t="shared" si="14"/>
        <v>0</v>
      </c>
      <c r="AH29" s="188">
        <f t="shared" si="14"/>
        <v>9.7770611234061491</v>
      </c>
      <c r="AI29" s="188">
        <f t="shared" si="14"/>
        <v>126.968349188928</v>
      </c>
      <c r="AJ29" s="188">
        <f t="shared" si="14"/>
        <v>27.271252854767997</v>
      </c>
      <c r="AK29" s="187">
        <f t="shared" si="14"/>
        <v>0</v>
      </c>
      <c r="AL29" s="187">
        <f t="shared" si="14"/>
        <v>13.546085603665619</v>
      </c>
      <c r="AM29" s="187">
        <f t="shared" si="14"/>
        <v>43.805322758643683</v>
      </c>
      <c r="AN29" s="187">
        <f t="shared" si="14"/>
        <v>54.722939604974094</v>
      </c>
      <c r="AO29" s="189">
        <f t="shared" si="14"/>
        <v>2397.4208343089181</v>
      </c>
      <c r="AP29" s="187">
        <f t="shared" si="14"/>
        <v>0</v>
      </c>
      <c r="AQ29" s="281">
        <f t="shared" si="14"/>
        <v>12492.518851429331</v>
      </c>
      <c r="AR29" s="141"/>
      <c r="AS29" s="193"/>
    </row>
    <row r="30" spans="1:45" s="194" customFormat="1" ht="12.75" customHeight="1">
      <c r="A30" s="286" t="s">
        <v>262</v>
      </c>
      <c r="B30" s="287"/>
      <c r="C30" s="288">
        <f>SUM(C31:C44)</f>
        <v>105.57009591000003</v>
      </c>
      <c r="D30" s="289">
        <v>105.4245493</v>
      </c>
      <c r="E30" s="289">
        <v>0</v>
      </c>
      <c r="F30" s="290"/>
      <c r="G30" s="290"/>
      <c r="H30" s="291">
        <f>SUM(H31:H44)</f>
        <v>0.82966372355999995</v>
      </c>
      <c r="I30" s="292">
        <f t="shared" ref="I30:K30" si="15">SUM(I31:I44)</f>
        <v>0.82966372355999995</v>
      </c>
      <c r="J30" s="289">
        <f t="shared" si="15"/>
        <v>0</v>
      </c>
      <c r="K30" s="289">
        <f t="shared" si="15"/>
        <v>0</v>
      </c>
      <c r="L30" s="291">
        <f>SUM(L31:L44)</f>
        <v>374.2907898235643</v>
      </c>
      <c r="M30" s="289">
        <f>SUM(M31:M44)</f>
        <v>0</v>
      </c>
      <c r="N30" s="289">
        <f>SUM(N31:N44)</f>
        <v>0</v>
      </c>
      <c r="O30" s="289">
        <f>SUM(O31:O44)</f>
        <v>0</v>
      </c>
      <c r="P30" s="289">
        <f>SUM(P31:P44)</f>
        <v>0</v>
      </c>
      <c r="Q30" s="289">
        <v>9.5497368091127406</v>
      </c>
      <c r="R30" s="289">
        <f>SUM(R31:R44)</f>
        <v>0</v>
      </c>
      <c r="S30" s="289">
        <v>30.396553446461994</v>
      </c>
      <c r="T30" s="289">
        <v>55.909311724159259</v>
      </c>
      <c r="U30" s="289">
        <v>137.32678867057862</v>
      </c>
      <c r="V30" s="289">
        <v>141.10839917325163</v>
      </c>
      <c r="W30" s="289">
        <f>SUM(W31:W44)</f>
        <v>0</v>
      </c>
      <c r="X30" s="289">
        <f>SUM(X31:X44)</f>
        <v>0</v>
      </c>
      <c r="Y30" s="289">
        <f>SUM(Y31:Y44)</f>
        <v>0</v>
      </c>
      <c r="Z30" s="289">
        <f>SUM(Z31:Z44)</f>
        <v>0</v>
      </c>
      <c r="AA30" s="291">
        <v>937.35749564856553</v>
      </c>
      <c r="AB30" s="293">
        <f t="shared" ref="AB30:AN30" si="16">SUM(AB31:AB44)</f>
        <v>196.85576511692614</v>
      </c>
      <c r="AC30" s="294">
        <f t="shared" si="16"/>
        <v>0</v>
      </c>
      <c r="AD30" s="289">
        <f t="shared" si="16"/>
        <v>0</v>
      </c>
      <c r="AE30" s="289">
        <f t="shared" si="16"/>
        <v>153.9273551380638</v>
      </c>
      <c r="AF30" s="289">
        <f t="shared" si="16"/>
        <v>40.692904224132199</v>
      </c>
      <c r="AG30" s="289">
        <f t="shared" si="16"/>
        <v>0</v>
      </c>
      <c r="AH30" s="289">
        <f t="shared" si="16"/>
        <v>2.2355057547301662</v>
      </c>
      <c r="AI30" s="289">
        <f t="shared" si="16"/>
        <v>0</v>
      </c>
      <c r="AJ30" s="289">
        <f t="shared" si="16"/>
        <v>0</v>
      </c>
      <c r="AK30" s="289">
        <f t="shared" si="16"/>
        <v>0</v>
      </c>
      <c r="AL30" s="289">
        <f t="shared" si="16"/>
        <v>0</v>
      </c>
      <c r="AM30" s="295">
        <f t="shared" si="16"/>
        <v>0</v>
      </c>
      <c r="AN30" s="292">
        <f t="shared" si="16"/>
        <v>54.722939604974094</v>
      </c>
      <c r="AO30" s="291">
        <v>621.72214114590861</v>
      </c>
      <c r="AP30" s="293">
        <f>SUM(AP31:AP44)</f>
        <v>0</v>
      </c>
      <c r="AQ30" s="207">
        <f t="shared" ref="AQ30" si="17">C30+H30+L30+AA30+AB30+AN30+AO30+AP30</f>
        <v>2291.3488909734988</v>
      </c>
      <c r="AR30" s="141"/>
      <c r="AS30" s="193"/>
    </row>
    <row r="31" spans="1:45" ht="12.75" customHeight="1">
      <c r="A31" s="296" t="s">
        <v>263</v>
      </c>
      <c r="B31" s="297" t="s">
        <v>264</v>
      </c>
      <c r="C31" s="298">
        <f t="shared" ref="C31:C43" si="18">SUM(D31:G31)</f>
        <v>0</v>
      </c>
      <c r="D31" s="216">
        <v>0</v>
      </c>
      <c r="E31" s="299"/>
      <c r="F31" s="299"/>
      <c r="G31" s="300"/>
      <c r="H31" s="301">
        <f t="shared" ref="H31:H43" si="19">SUM(I31:K31)</f>
        <v>0</v>
      </c>
      <c r="I31" s="302"/>
      <c r="J31" s="219"/>
      <c r="K31" s="219"/>
      <c r="L31" s="301">
        <f t="shared" ref="L31:L43" si="20">SUM(M31:Z31)</f>
        <v>22.334930091304539</v>
      </c>
      <c r="M31" s="219"/>
      <c r="N31" s="219"/>
      <c r="O31" s="219"/>
      <c r="P31" s="303"/>
      <c r="Q31" s="259">
        <v>0.34591578903338577</v>
      </c>
      <c r="R31" s="299"/>
      <c r="S31" s="259">
        <v>0</v>
      </c>
      <c r="T31" s="259">
        <v>1.3603740574248424</v>
      </c>
      <c r="U31" s="259">
        <v>20.628640244846309</v>
      </c>
      <c r="V31" s="259">
        <v>0</v>
      </c>
      <c r="W31" s="299"/>
      <c r="X31" s="302"/>
      <c r="Y31" s="303"/>
      <c r="Z31" s="219"/>
      <c r="AA31" s="217">
        <v>8.7861347374034651</v>
      </c>
      <c r="AB31" s="304">
        <f t="shared" ref="AB31:AB43" si="21">SUM(AC31:AM31)</f>
        <v>0</v>
      </c>
      <c r="AC31" s="305"/>
      <c r="AD31" s="219"/>
      <c r="AE31" s="219"/>
      <c r="AF31" s="219"/>
      <c r="AG31" s="219"/>
      <c r="AH31" s="219"/>
      <c r="AI31" s="219"/>
      <c r="AJ31" s="219"/>
      <c r="AK31" s="211"/>
      <c r="AL31" s="213"/>
      <c r="AM31" s="219"/>
      <c r="AN31" s="217"/>
      <c r="AO31" s="217">
        <v>18.350912208427118</v>
      </c>
      <c r="AP31" s="304"/>
      <c r="AQ31" s="218">
        <f t="shared" si="13"/>
        <v>49.471977037135119</v>
      </c>
    </row>
    <row r="32" spans="1:45" ht="12.75" customHeight="1">
      <c r="A32" s="306" t="s">
        <v>265</v>
      </c>
      <c r="B32" s="307" t="s">
        <v>266</v>
      </c>
      <c r="C32" s="161">
        <f t="shared" si="18"/>
        <v>18.505815952000003</v>
      </c>
      <c r="D32" s="169">
        <v>18.505815952000003</v>
      </c>
      <c r="E32" s="308"/>
      <c r="F32" s="308"/>
      <c r="G32" s="309"/>
      <c r="H32" s="165">
        <f t="shared" si="19"/>
        <v>0.82966372355999995</v>
      </c>
      <c r="I32" s="166">
        <v>0.82966372355999995</v>
      </c>
      <c r="J32" s="167"/>
      <c r="K32" s="167"/>
      <c r="L32" s="165">
        <f t="shared" si="20"/>
        <v>71.784094369696632</v>
      </c>
      <c r="M32" s="167"/>
      <c r="N32" s="167"/>
      <c r="O32" s="167"/>
      <c r="P32" s="303"/>
      <c r="Q32" s="308">
        <v>2.0660606672266768</v>
      </c>
      <c r="R32" s="308"/>
      <c r="S32" s="308">
        <v>22.968462416696998</v>
      </c>
      <c r="T32" s="308">
        <v>30.662877604409012</v>
      </c>
      <c r="U32" s="308">
        <v>16.086693681363943</v>
      </c>
      <c r="V32" s="308">
        <v>0</v>
      </c>
      <c r="W32" s="308"/>
      <c r="X32" s="166"/>
      <c r="Y32" s="164"/>
      <c r="Z32" s="167"/>
      <c r="AA32" s="170">
        <v>265.46537885977392</v>
      </c>
      <c r="AB32" s="168">
        <f t="shared" si="21"/>
        <v>26.063524749810167</v>
      </c>
      <c r="AC32" s="169"/>
      <c r="AD32" s="167"/>
      <c r="AE32" s="167">
        <v>23.828018995080001</v>
      </c>
      <c r="AF32" s="167"/>
      <c r="AG32" s="219"/>
      <c r="AH32" s="219">
        <v>2.2355057547301662</v>
      </c>
      <c r="AI32" s="219"/>
      <c r="AJ32" s="219"/>
      <c r="AK32" s="166"/>
      <c r="AL32" s="164"/>
      <c r="AM32" s="167"/>
      <c r="AN32" s="170"/>
      <c r="AO32" s="170">
        <v>148.76072128018708</v>
      </c>
      <c r="AP32" s="168"/>
      <c r="AQ32" s="171">
        <f t="shared" si="13"/>
        <v>531.4091989350278</v>
      </c>
    </row>
    <row r="33" spans="1:45" ht="12.75" customHeight="1">
      <c r="A33" s="306" t="s">
        <v>267</v>
      </c>
      <c r="B33" s="310" t="s">
        <v>268</v>
      </c>
      <c r="C33" s="161">
        <f t="shared" si="18"/>
        <v>0</v>
      </c>
      <c r="D33" s="169">
        <v>0</v>
      </c>
      <c r="E33" s="308"/>
      <c r="F33" s="308"/>
      <c r="G33" s="309"/>
      <c r="H33" s="165">
        <f t="shared" si="19"/>
        <v>0</v>
      </c>
      <c r="I33" s="166"/>
      <c r="J33" s="167"/>
      <c r="K33" s="167"/>
      <c r="L33" s="165">
        <f t="shared" si="20"/>
        <v>3.9848369673637745</v>
      </c>
      <c r="M33" s="167"/>
      <c r="N33" s="167"/>
      <c r="O33" s="167"/>
      <c r="P33" s="303"/>
      <c r="Q33" s="308">
        <v>6.1845550160514413E-2</v>
      </c>
      <c r="R33" s="308"/>
      <c r="S33" s="308">
        <v>0</v>
      </c>
      <c r="T33" s="308">
        <v>3.2282811958991577</v>
      </c>
      <c r="U33" s="308">
        <v>0.69471022130410232</v>
      </c>
      <c r="V33" s="308">
        <v>0</v>
      </c>
      <c r="W33" s="308"/>
      <c r="X33" s="166"/>
      <c r="Y33" s="164"/>
      <c r="Z33" s="167"/>
      <c r="AA33" s="170">
        <v>19.827078866680154</v>
      </c>
      <c r="AB33" s="168">
        <f t="shared" si="21"/>
        <v>0</v>
      </c>
      <c r="AC33" s="169"/>
      <c r="AD33" s="167"/>
      <c r="AE33" s="167"/>
      <c r="AF33" s="167"/>
      <c r="AG33" s="219"/>
      <c r="AH33" s="219"/>
      <c r="AI33" s="219"/>
      <c r="AJ33" s="219"/>
      <c r="AK33" s="166"/>
      <c r="AL33" s="164"/>
      <c r="AM33" s="167"/>
      <c r="AN33" s="170"/>
      <c r="AO33" s="170">
        <v>4.8844128009868593</v>
      </c>
      <c r="AP33" s="168"/>
      <c r="AQ33" s="171">
        <f t="shared" si="13"/>
        <v>28.696328635030788</v>
      </c>
    </row>
    <row r="34" spans="1:45" ht="12.75" customHeight="1">
      <c r="A34" s="306" t="s">
        <v>269</v>
      </c>
      <c r="B34" s="310" t="s">
        <v>270</v>
      </c>
      <c r="C34" s="161">
        <f t="shared" si="18"/>
        <v>0</v>
      </c>
      <c r="D34" s="169">
        <v>0</v>
      </c>
      <c r="E34" s="308"/>
      <c r="F34" s="308"/>
      <c r="G34" s="309"/>
      <c r="H34" s="165">
        <f t="shared" si="19"/>
        <v>0</v>
      </c>
      <c r="I34" s="166"/>
      <c r="J34" s="167"/>
      <c r="K34" s="167"/>
      <c r="L34" s="165">
        <f t="shared" si="20"/>
        <v>2.6182891559382289</v>
      </c>
      <c r="M34" s="167"/>
      <c r="N34" s="167"/>
      <c r="O34" s="167"/>
      <c r="P34" s="303"/>
      <c r="Q34" s="308">
        <v>8.9099521417690272E-2</v>
      </c>
      <c r="R34" s="308"/>
      <c r="S34" s="308">
        <v>0</v>
      </c>
      <c r="T34" s="308">
        <v>0.28505282634285456</v>
      </c>
      <c r="U34" s="308">
        <v>2.244136808177684</v>
      </c>
      <c r="V34" s="308">
        <v>0</v>
      </c>
      <c r="W34" s="308"/>
      <c r="X34" s="166"/>
      <c r="Y34" s="164"/>
      <c r="Z34" s="167"/>
      <c r="AA34" s="170">
        <v>3.0214445851101197</v>
      </c>
      <c r="AB34" s="168">
        <f t="shared" si="21"/>
        <v>127.87356205415999</v>
      </c>
      <c r="AC34" s="169"/>
      <c r="AD34" s="167"/>
      <c r="AE34" s="167">
        <v>127.87356205415999</v>
      </c>
      <c r="AF34" s="167"/>
      <c r="AG34" s="219"/>
      <c r="AH34" s="219"/>
      <c r="AI34" s="219"/>
      <c r="AJ34" s="219"/>
      <c r="AK34" s="166"/>
      <c r="AL34" s="164"/>
      <c r="AM34" s="167"/>
      <c r="AN34" s="170"/>
      <c r="AO34" s="170">
        <v>26.251691103783244</v>
      </c>
      <c r="AP34" s="168"/>
      <c r="AQ34" s="171">
        <f t="shared" si="13"/>
        <v>159.76498689899159</v>
      </c>
    </row>
    <row r="35" spans="1:45" ht="12.75" customHeight="1">
      <c r="A35" s="306" t="s">
        <v>271</v>
      </c>
      <c r="B35" s="310" t="s">
        <v>272</v>
      </c>
      <c r="C35" s="161">
        <f t="shared" si="18"/>
        <v>0</v>
      </c>
      <c r="D35" s="169">
        <v>0</v>
      </c>
      <c r="E35" s="308"/>
      <c r="F35" s="308"/>
      <c r="G35" s="309"/>
      <c r="H35" s="165">
        <f t="shared" si="19"/>
        <v>0</v>
      </c>
      <c r="I35" s="166"/>
      <c r="J35" s="167"/>
      <c r="K35" s="167"/>
      <c r="L35" s="165">
        <f t="shared" si="20"/>
        <v>0.83838358845358163</v>
      </c>
      <c r="M35" s="167"/>
      <c r="N35" s="167"/>
      <c r="O35" s="167"/>
      <c r="P35" s="303"/>
      <c r="Q35" s="308">
        <v>0.19497071745518102</v>
      </c>
      <c r="R35" s="308"/>
      <c r="S35" s="308">
        <v>0</v>
      </c>
      <c r="T35" s="308">
        <v>5.0985058370266664E-2</v>
      </c>
      <c r="U35" s="308">
        <v>0.59242781262813393</v>
      </c>
      <c r="V35" s="308">
        <v>0</v>
      </c>
      <c r="W35" s="308"/>
      <c r="X35" s="166"/>
      <c r="Y35" s="164"/>
      <c r="Z35" s="167"/>
      <c r="AA35" s="170">
        <v>4.5940947412447954</v>
      </c>
      <c r="AB35" s="168">
        <f t="shared" si="21"/>
        <v>0</v>
      </c>
      <c r="AC35" s="169"/>
      <c r="AD35" s="167"/>
      <c r="AE35" s="167"/>
      <c r="AF35" s="167"/>
      <c r="AG35" s="219"/>
      <c r="AH35" s="219"/>
      <c r="AI35" s="219"/>
      <c r="AJ35" s="219"/>
      <c r="AK35" s="166"/>
      <c r="AL35" s="164"/>
      <c r="AM35" s="167"/>
      <c r="AN35" s="170"/>
      <c r="AO35" s="170">
        <v>10.638816275668107</v>
      </c>
      <c r="AP35" s="168"/>
      <c r="AQ35" s="171">
        <f t="shared" si="13"/>
        <v>16.071294605366482</v>
      </c>
    </row>
    <row r="36" spans="1:45" ht="12.75" customHeight="1">
      <c r="A36" s="306" t="s">
        <v>273</v>
      </c>
      <c r="B36" s="310" t="s">
        <v>274</v>
      </c>
      <c r="C36" s="161">
        <f t="shared" si="18"/>
        <v>0</v>
      </c>
      <c r="D36" s="305">
        <v>0</v>
      </c>
      <c r="E36" s="308"/>
      <c r="F36" s="308"/>
      <c r="G36" s="309"/>
      <c r="H36" s="165">
        <f t="shared" si="19"/>
        <v>0</v>
      </c>
      <c r="I36" s="166"/>
      <c r="J36" s="167"/>
      <c r="K36" s="167"/>
      <c r="L36" s="165">
        <f t="shared" si="20"/>
        <v>20.491702651385793</v>
      </c>
      <c r="M36" s="167"/>
      <c r="N36" s="167"/>
      <c r="O36" s="167"/>
      <c r="P36" s="303"/>
      <c r="Q36" s="299">
        <v>0.29140784651903406</v>
      </c>
      <c r="R36" s="308"/>
      <c r="S36" s="299">
        <v>2.7458233928999998</v>
      </c>
      <c r="T36" s="299">
        <v>2.7311768767890574</v>
      </c>
      <c r="U36" s="299">
        <v>4.9055048279840703</v>
      </c>
      <c r="V36" s="299">
        <v>9.8177897071936346</v>
      </c>
      <c r="W36" s="308"/>
      <c r="X36" s="166"/>
      <c r="Y36" s="164"/>
      <c r="Z36" s="167"/>
      <c r="AA36" s="311">
        <v>128.0014006524043</v>
      </c>
      <c r="AB36" s="168">
        <f t="shared" si="21"/>
        <v>0</v>
      </c>
      <c r="AC36" s="169"/>
      <c r="AD36" s="167"/>
      <c r="AE36" s="167">
        <v>0</v>
      </c>
      <c r="AF36" s="167"/>
      <c r="AG36" s="219"/>
      <c r="AH36" s="219"/>
      <c r="AI36" s="219"/>
      <c r="AJ36" s="219"/>
      <c r="AK36" s="302"/>
      <c r="AL36" s="303"/>
      <c r="AM36" s="167"/>
      <c r="AN36" s="311"/>
      <c r="AO36" s="311">
        <v>104.62854472087723</v>
      </c>
      <c r="AP36" s="168"/>
      <c r="AQ36" s="171">
        <f t="shared" si="13"/>
        <v>253.12164802466731</v>
      </c>
    </row>
    <row r="37" spans="1:45" ht="12.75" customHeight="1">
      <c r="A37" s="306" t="s">
        <v>275</v>
      </c>
      <c r="B37" s="310" t="s">
        <v>276</v>
      </c>
      <c r="C37" s="161">
        <f t="shared" si="18"/>
        <v>0</v>
      </c>
      <c r="D37" s="169">
        <v>0</v>
      </c>
      <c r="E37" s="308"/>
      <c r="F37" s="308"/>
      <c r="G37" s="309"/>
      <c r="H37" s="165">
        <f t="shared" si="19"/>
        <v>0</v>
      </c>
      <c r="I37" s="166"/>
      <c r="J37" s="167"/>
      <c r="K37" s="167"/>
      <c r="L37" s="165">
        <f t="shared" si="20"/>
        <v>4.5221622064203446</v>
      </c>
      <c r="M37" s="167"/>
      <c r="N37" s="167"/>
      <c r="O37" s="167"/>
      <c r="P37" s="303"/>
      <c r="Q37" s="308">
        <v>1.8396430598593692</v>
      </c>
      <c r="R37" s="308"/>
      <c r="S37" s="308">
        <v>0</v>
      </c>
      <c r="T37" s="308">
        <v>1.2363876654789667</v>
      </c>
      <c r="U37" s="308">
        <v>1.446131481082009</v>
      </c>
      <c r="V37" s="308">
        <v>0</v>
      </c>
      <c r="W37" s="308"/>
      <c r="X37" s="166"/>
      <c r="Y37" s="164"/>
      <c r="Z37" s="167"/>
      <c r="AA37" s="170">
        <v>2.284026640331299</v>
      </c>
      <c r="AB37" s="168">
        <f t="shared" si="21"/>
        <v>0</v>
      </c>
      <c r="AC37" s="169"/>
      <c r="AD37" s="167"/>
      <c r="AE37" s="167"/>
      <c r="AF37" s="167"/>
      <c r="AG37" s="219"/>
      <c r="AH37" s="219"/>
      <c r="AI37" s="219"/>
      <c r="AJ37" s="219"/>
      <c r="AK37" s="166"/>
      <c r="AL37" s="164"/>
      <c r="AM37" s="167"/>
      <c r="AN37" s="170"/>
      <c r="AO37" s="170">
        <v>20.435816256672165</v>
      </c>
      <c r="AP37" s="168"/>
      <c r="AQ37" s="171">
        <f t="shared" si="13"/>
        <v>27.242005103423807</v>
      </c>
    </row>
    <row r="38" spans="1:45" ht="12.75" customHeight="1">
      <c r="A38" s="306" t="s">
        <v>277</v>
      </c>
      <c r="B38" s="310" t="s">
        <v>278</v>
      </c>
      <c r="C38" s="161">
        <f t="shared" si="18"/>
        <v>86.919212076000022</v>
      </c>
      <c r="D38" s="169">
        <v>86.919212076000022</v>
      </c>
      <c r="E38" s="308"/>
      <c r="F38" s="308"/>
      <c r="G38" s="309"/>
      <c r="H38" s="165">
        <f t="shared" si="19"/>
        <v>0</v>
      </c>
      <c r="I38" s="166"/>
      <c r="J38" s="167"/>
      <c r="K38" s="167"/>
      <c r="L38" s="165">
        <f t="shared" si="20"/>
        <v>165.25524621751634</v>
      </c>
      <c r="M38" s="167"/>
      <c r="N38" s="167"/>
      <c r="O38" s="167"/>
      <c r="P38" s="303"/>
      <c r="Q38" s="308">
        <v>1.7086143518921777</v>
      </c>
      <c r="R38" s="308"/>
      <c r="S38" s="308">
        <v>0</v>
      </c>
      <c r="T38" s="308">
        <v>2.4472828017727997</v>
      </c>
      <c r="U38" s="308">
        <v>29.80873959779337</v>
      </c>
      <c r="V38" s="308">
        <v>131.29060946605799</v>
      </c>
      <c r="W38" s="308"/>
      <c r="X38" s="166"/>
      <c r="Y38" s="164"/>
      <c r="Z38" s="167"/>
      <c r="AA38" s="170">
        <v>20.60514689627021</v>
      </c>
      <c r="AB38" s="168">
        <f t="shared" si="21"/>
        <v>42.918678312955997</v>
      </c>
      <c r="AC38" s="169"/>
      <c r="AD38" s="167"/>
      <c r="AE38" s="167">
        <v>2.2257740888237998</v>
      </c>
      <c r="AF38" s="167">
        <v>40.692904224132199</v>
      </c>
      <c r="AG38" s="219"/>
      <c r="AH38" s="219"/>
      <c r="AI38" s="219"/>
      <c r="AJ38" s="219"/>
      <c r="AK38" s="166"/>
      <c r="AL38" s="164"/>
      <c r="AM38" s="167"/>
      <c r="AN38" s="170">
        <v>54.722939604974094</v>
      </c>
      <c r="AO38" s="170">
        <v>54.010284601158837</v>
      </c>
      <c r="AP38" s="168"/>
      <c r="AQ38" s="171">
        <f t="shared" si="13"/>
        <v>424.43150770887547</v>
      </c>
    </row>
    <row r="39" spans="1:45" ht="12.75" customHeight="1">
      <c r="A39" s="306" t="s">
        <v>279</v>
      </c>
      <c r="B39" s="310" t="s">
        <v>280</v>
      </c>
      <c r="C39" s="161">
        <f t="shared" si="18"/>
        <v>0.14506788200000253</v>
      </c>
      <c r="D39" s="169">
        <v>0.14506788200000253</v>
      </c>
      <c r="E39" s="308"/>
      <c r="F39" s="308"/>
      <c r="G39" s="309"/>
      <c r="H39" s="165">
        <f t="shared" si="19"/>
        <v>0</v>
      </c>
      <c r="I39" s="166"/>
      <c r="J39" s="167"/>
      <c r="K39" s="167"/>
      <c r="L39" s="165">
        <f t="shared" si="20"/>
        <v>8.534515108025424</v>
      </c>
      <c r="M39" s="167"/>
      <c r="N39" s="167"/>
      <c r="O39" s="167"/>
      <c r="P39" s="303"/>
      <c r="Q39" s="308">
        <v>0.75262889856354831</v>
      </c>
      <c r="R39" s="308"/>
      <c r="S39" s="308">
        <v>1.0397614907400001</v>
      </c>
      <c r="T39" s="308">
        <v>3.4113639055014784</v>
      </c>
      <c r="U39" s="308">
        <v>3.3307608132203974</v>
      </c>
      <c r="V39" s="308">
        <v>0</v>
      </c>
      <c r="W39" s="308"/>
      <c r="X39" s="166"/>
      <c r="Y39" s="164"/>
      <c r="Z39" s="167"/>
      <c r="AA39" s="170">
        <v>408.68833080126041</v>
      </c>
      <c r="AB39" s="168">
        <f t="shared" si="21"/>
        <v>0</v>
      </c>
      <c r="AC39" s="169"/>
      <c r="AD39" s="167"/>
      <c r="AE39" s="167"/>
      <c r="AF39" s="167"/>
      <c r="AG39" s="219"/>
      <c r="AH39" s="219"/>
      <c r="AI39" s="219"/>
      <c r="AJ39" s="219"/>
      <c r="AK39" s="166"/>
      <c r="AL39" s="164"/>
      <c r="AM39" s="167"/>
      <c r="AN39" s="170"/>
      <c r="AO39" s="170">
        <v>49.329922605876547</v>
      </c>
      <c r="AP39" s="168"/>
      <c r="AQ39" s="171">
        <f t="shared" si="13"/>
        <v>466.6978363971624</v>
      </c>
    </row>
    <row r="40" spans="1:45" ht="12.75" customHeight="1">
      <c r="A40" s="306" t="s">
        <v>281</v>
      </c>
      <c r="B40" s="310" t="s">
        <v>282</v>
      </c>
      <c r="C40" s="161">
        <f t="shared" si="18"/>
        <v>0</v>
      </c>
      <c r="D40" s="169">
        <v>0</v>
      </c>
      <c r="E40" s="308"/>
      <c r="F40" s="308"/>
      <c r="G40" s="309"/>
      <c r="H40" s="165">
        <f t="shared" si="19"/>
        <v>0</v>
      </c>
      <c r="I40" s="166"/>
      <c r="J40" s="167"/>
      <c r="K40" s="167"/>
      <c r="L40" s="165">
        <f t="shared" si="20"/>
        <v>4.4175991624811015</v>
      </c>
      <c r="M40" s="167"/>
      <c r="N40" s="167"/>
      <c r="O40" s="167"/>
      <c r="P40" s="303"/>
      <c r="Q40" s="308">
        <v>0.21069416241124406</v>
      </c>
      <c r="R40" s="308"/>
      <c r="S40" s="308">
        <v>0</v>
      </c>
      <c r="T40" s="308">
        <v>2.0741648746085759</v>
      </c>
      <c r="U40" s="308">
        <v>2.1327401254612819</v>
      </c>
      <c r="V40" s="308">
        <v>0</v>
      </c>
      <c r="W40" s="308"/>
      <c r="X40" s="166"/>
      <c r="Y40" s="164"/>
      <c r="Z40" s="167"/>
      <c r="AA40" s="170">
        <v>7.9737681987539286</v>
      </c>
      <c r="AB40" s="168">
        <f t="shared" si="21"/>
        <v>0</v>
      </c>
      <c r="AC40" s="169"/>
      <c r="AD40" s="167"/>
      <c r="AE40" s="167"/>
      <c r="AF40" s="167"/>
      <c r="AG40" s="219"/>
      <c r="AH40" s="219"/>
      <c r="AI40" s="219"/>
      <c r="AJ40" s="219"/>
      <c r="AK40" s="166"/>
      <c r="AL40" s="164"/>
      <c r="AM40" s="167"/>
      <c r="AN40" s="170"/>
      <c r="AO40" s="170">
        <v>18.411529811795422</v>
      </c>
      <c r="AP40" s="168"/>
      <c r="AQ40" s="171">
        <f t="shared" si="13"/>
        <v>30.802897173030452</v>
      </c>
    </row>
    <row r="41" spans="1:45" ht="12.75" customHeight="1">
      <c r="A41" s="306" t="s">
        <v>283</v>
      </c>
      <c r="B41" s="310" t="s">
        <v>284</v>
      </c>
      <c r="C41" s="161">
        <f t="shared" si="18"/>
        <v>0</v>
      </c>
      <c r="D41" s="305">
        <v>0</v>
      </c>
      <c r="E41" s="308"/>
      <c r="F41" s="308"/>
      <c r="G41" s="309"/>
      <c r="H41" s="165">
        <f t="shared" si="19"/>
        <v>0</v>
      </c>
      <c r="I41" s="166"/>
      <c r="J41" s="167"/>
      <c r="K41" s="167"/>
      <c r="L41" s="165">
        <f t="shared" si="20"/>
        <v>3.5291908924471116</v>
      </c>
      <c r="M41" s="167"/>
      <c r="N41" s="167"/>
      <c r="O41" s="167"/>
      <c r="P41" s="303"/>
      <c r="Q41" s="299">
        <v>0.4496905257434014</v>
      </c>
      <c r="R41" s="308"/>
      <c r="S41" s="299">
        <v>0</v>
      </c>
      <c r="T41" s="299">
        <v>2.0880698905277391</v>
      </c>
      <c r="U41" s="299">
        <v>0.99143047617597102</v>
      </c>
      <c r="V41" s="299">
        <v>0</v>
      </c>
      <c r="W41" s="308"/>
      <c r="X41" s="166"/>
      <c r="Y41" s="164"/>
      <c r="Z41" s="167"/>
      <c r="AA41" s="311">
        <v>18.389717274057872</v>
      </c>
      <c r="AB41" s="168">
        <f t="shared" si="21"/>
        <v>0</v>
      </c>
      <c r="AC41" s="169"/>
      <c r="AD41" s="167"/>
      <c r="AE41" s="167"/>
      <c r="AF41" s="167"/>
      <c r="AG41" s="219"/>
      <c r="AH41" s="219"/>
      <c r="AI41" s="219"/>
      <c r="AJ41" s="219"/>
      <c r="AK41" s="302"/>
      <c r="AL41" s="303"/>
      <c r="AM41" s="167"/>
      <c r="AN41" s="311"/>
      <c r="AO41" s="311">
        <v>80.043410825191572</v>
      </c>
      <c r="AP41" s="168"/>
      <c r="AQ41" s="171">
        <f t="shared" si="13"/>
        <v>101.96231899169655</v>
      </c>
    </row>
    <row r="42" spans="1:45" ht="12.75" customHeight="1">
      <c r="A42" s="306" t="s">
        <v>285</v>
      </c>
      <c r="B42" s="310" t="s">
        <v>286</v>
      </c>
      <c r="C42" s="161">
        <f t="shared" si="18"/>
        <v>0</v>
      </c>
      <c r="D42" s="169">
        <v>0</v>
      </c>
      <c r="E42" s="308"/>
      <c r="F42" s="308"/>
      <c r="G42" s="309"/>
      <c r="H42" s="165">
        <f t="shared" si="19"/>
        <v>0</v>
      </c>
      <c r="I42" s="166"/>
      <c r="J42" s="167"/>
      <c r="K42" s="167"/>
      <c r="L42" s="165">
        <f t="shared" si="20"/>
        <v>1.41139605019423</v>
      </c>
      <c r="M42" s="167"/>
      <c r="N42" s="167"/>
      <c r="O42" s="167"/>
      <c r="P42" s="303"/>
      <c r="Q42" s="308">
        <v>5.2411483186876627E-2</v>
      </c>
      <c r="R42" s="308"/>
      <c r="S42" s="308">
        <v>0</v>
      </c>
      <c r="T42" s="308">
        <v>0.92352480729778486</v>
      </c>
      <c r="U42" s="308">
        <v>0.43545975970956852</v>
      </c>
      <c r="V42" s="308">
        <v>0</v>
      </c>
      <c r="W42" s="308"/>
      <c r="X42" s="166"/>
      <c r="Y42" s="164"/>
      <c r="Z42" s="167"/>
      <c r="AA42" s="170">
        <v>0.27057712702478681</v>
      </c>
      <c r="AB42" s="168">
        <f t="shared" si="21"/>
        <v>0</v>
      </c>
      <c r="AC42" s="169"/>
      <c r="AD42" s="167"/>
      <c r="AE42" s="167"/>
      <c r="AF42" s="167"/>
      <c r="AG42" s="219"/>
      <c r="AH42" s="219"/>
      <c r="AI42" s="219"/>
      <c r="AJ42" s="219"/>
      <c r="AK42" s="267"/>
      <c r="AL42" s="263"/>
      <c r="AM42" s="167"/>
      <c r="AN42" s="268"/>
      <c r="AO42" s="170">
        <v>2.2633417821038564</v>
      </c>
      <c r="AP42" s="168"/>
      <c r="AQ42" s="171">
        <f t="shared" si="13"/>
        <v>3.9453149593228733</v>
      </c>
    </row>
    <row r="43" spans="1:45" ht="12.75" customHeight="1">
      <c r="A43" s="306" t="s">
        <v>287</v>
      </c>
      <c r="B43" s="310" t="s">
        <v>288</v>
      </c>
      <c r="C43" s="161">
        <f t="shared" si="18"/>
        <v>0</v>
      </c>
      <c r="D43" s="169">
        <v>0</v>
      </c>
      <c r="E43" s="308"/>
      <c r="F43" s="308"/>
      <c r="G43" s="309"/>
      <c r="H43" s="165">
        <f t="shared" si="19"/>
        <v>0</v>
      </c>
      <c r="I43" s="166"/>
      <c r="J43" s="167"/>
      <c r="K43" s="167">
        <v>0</v>
      </c>
      <c r="L43" s="165">
        <f t="shared" si="20"/>
        <v>12.511675497016565</v>
      </c>
      <c r="M43" s="167"/>
      <c r="N43" s="167"/>
      <c r="O43" s="167"/>
      <c r="P43" s="164"/>
      <c r="Q43" s="308">
        <v>0.76415942486466115</v>
      </c>
      <c r="R43" s="308"/>
      <c r="S43" s="308">
        <v>3.6425061461249997</v>
      </c>
      <c r="T43" s="308">
        <v>4.9362806513030915</v>
      </c>
      <c r="U43" s="308">
        <v>3.1687292747238134</v>
      </c>
      <c r="V43" s="308">
        <v>0</v>
      </c>
      <c r="W43" s="308"/>
      <c r="X43" s="166"/>
      <c r="Y43" s="164"/>
      <c r="Z43" s="167"/>
      <c r="AA43" s="170">
        <v>30.013736057345717</v>
      </c>
      <c r="AB43" s="168">
        <f t="shared" si="21"/>
        <v>0</v>
      </c>
      <c r="AC43" s="169"/>
      <c r="AD43" s="167"/>
      <c r="AE43" s="167"/>
      <c r="AF43" s="167"/>
      <c r="AG43" s="167"/>
      <c r="AH43" s="167"/>
      <c r="AI43" s="167"/>
      <c r="AJ43" s="167"/>
      <c r="AK43" s="166"/>
      <c r="AL43" s="164"/>
      <c r="AM43" s="167"/>
      <c r="AN43" s="170"/>
      <c r="AO43" s="170">
        <v>59.095333131604164</v>
      </c>
      <c r="AP43" s="168"/>
      <c r="AQ43" s="171">
        <f t="shared" si="13"/>
        <v>101.62074468596644</v>
      </c>
    </row>
    <row r="44" spans="1:45" ht="12.75" customHeight="1">
      <c r="A44" s="312" t="s">
        <v>289</v>
      </c>
      <c r="B44" s="313" t="s">
        <v>290</v>
      </c>
      <c r="C44" s="222">
        <f>SUM(D44:G44)</f>
        <v>0</v>
      </c>
      <c r="D44" s="228">
        <v>0</v>
      </c>
      <c r="E44" s="314"/>
      <c r="F44" s="314"/>
      <c r="G44" s="315"/>
      <c r="H44" s="226">
        <f>SUM(I44:K44)</f>
        <v>0</v>
      </c>
      <c r="I44" s="223"/>
      <c r="J44" s="224"/>
      <c r="K44" s="224"/>
      <c r="L44" s="226">
        <f>SUM(M44:Z44)</f>
        <v>52.05676786532063</v>
      </c>
      <c r="M44" s="224"/>
      <c r="N44" s="224"/>
      <c r="O44" s="224"/>
      <c r="P44" s="225"/>
      <c r="Q44" s="314">
        <v>0.72259481077897947</v>
      </c>
      <c r="R44" s="314"/>
      <c r="S44" s="314">
        <v>0</v>
      </c>
      <c r="T44" s="314">
        <v>0.47348950843364052</v>
      </c>
      <c r="U44" s="314">
        <v>50.860683546108007</v>
      </c>
      <c r="V44" s="314">
        <v>0</v>
      </c>
      <c r="W44" s="314"/>
      <c r="X44" s="223"/>
      <c r="Y44" s="225"/>
      <c r="Z44" s="224"/>
      <c r="AA44" s="229">
        <v>19.436660210904712</v>
      </c>
      <c r="AB44" s="227">
        <f>SUM(AC44:AM44)</f>
        <v>0</v>
      </c>
      <c r="AC44" s="228"/>
      <c r="AD44" s="224"/>
      <c r="AE44" s="224"/>
      <c r="AF44" s="224"/>
      <c r="AG44" s="224"/>
      <c r="AH44" s="224"/>
      <c r="AI44" s="224"/>
      <c r="AJ44" s="224"/>
      <c r="AK44" s="223"/>
      <c r="AL44" s="225"/>
      <c r="AM44" s="224"/>
      <c r="AN44" s="229"/>
      <c r="AO44" s="229">
        <v>24.617403741576357</v>
      </c>
      <c r="AP44" s="227"/>
      <c r="AQ44" s="230">
        <f>C44+H44+L44+AA44+AB44+AN44+AO44+AP44</f>
        <v>96.110831817801696</v>
      </c>
    </row>
    <row r="45" spans="1:45" s="194" customFormat="1" ht="12.75" customHeight="1">
      <c r="A45" s="231" t="s">
        <v>291</v>
      </c>
      <c r="B45" s="232"/>
      <c r="C45" s="316">
        <f t="shared" ref="C45:AP45" si="22">SUM(C46:C55)</f>
        <v>0</v>
      </c>
      <c r="D45" s="317">
        <f t="shared" si="22"/>
        <v>0</v>
      </c>
      <c r="E45" s="317">
        <f t="shared" si="22"/>
        <v>0</v>
      </c>
      <c r="F45" s="318">
        <f t="shared" si="22"/>
        <v>0</v>
      </c>
      <c r="G45" s="318">
        <f t="shared" si="22"/>
        <v>0</v>
      </c>
      <c r="H45" s="319">
        <f t="shared" si="22"/>
        <v>0</v>
      </c>
      <c r="I45" s="320">
        <f t="shared" si="22"/>
        <v>0</v>
      </c>
      <c r="J45" s="317">
        <f t="shared" si="22"/>
        <v>0</v>
      </c>
      <c r="K45" s="317">
        <f t="shared" si="22"/>
        <v>0</v>
      </c>
      <c r="L45" s="319">
        <f t="shared" si="22"/>
        <v>5019.9247759387081</v>
      </c>
      <c r="M45" s="317">
        <f t="shared" si="22"/>
        <v>0</v>
      </c>
      <c r="N45" s="317">
        <f t="shared" ref="N45" si="23">SUM(N46:N55)</f>
        <v>0</v>
      </c>
      <c r="O45" s="317">
        <f t="shared" si="22"/>
        <v>0</v>
      </c>
      <c r="P45" s="317">
        <f t="shared" si="22"/>
        <v>821.48002832197096</v>
      </c>
      <c r="Q45" s="317">
        <f t="shared" si="22"/>
        <v>0</v>
      </c>
      <c r="R45" s="317">
        <f t="shared" si="22"/>
        <v>1102.0673096951998</v>
      </c>
      <c r="S45" s="317">
        <f t="shared" si="22"/>
        <v>0</v>
      </c>
      <c r="T45" s="317">
        <f t="shared" si="22"/>
        <v>1.8520724281984335</v>
      </c>
      <c r="U45" s="317">
        <f>SUM(U46:U55)</f>
        <v>3094.5253654933395</v>
      </c>
      <c r="V45" s="317">
        <f t="shared" si="22"/>
        <v>0</v>
      </c>
      <c r="W45" s="318">
        <f t="shared" si="22"/>
        <v>0</v>
      </c>
      <c r="X45" s="318">
        <f t="shared" si="22"/>
        <v>0</v>
      </c>
      <c r="Y45" s="318">
        <f t="shared" si="22"/>
        <v>0</v>
      </c>
      <c r="Z45" s="317">
        <f t="shared" si="22"/>
        <v>0</v>
      </c>
      <c r="AA45" s="319">
        <f t="shared" si="22"/>
        <v>22.560835415583806</v>
      </c>
      <c r="AB45" s="321">
        <f t="shared" si="22"/>
        <v>154.23960204369601</v>
      </c>
      <c r="AC45" s="322">
        <f t="shared" si="22"/>
        <v>0</v>
      </c>
      <c r="AD45" s="317">
        <f t="shared" si="22"/>
        <v>0</v>
      </c>
      <c r="AE45" s="317">
        <f t="shared" si="22"/>
        <v>0</v>
      </c>
      <c r="AF45" s="317">
        <f t="shared" ref="AF45" si="24">SUM(AF46:AF55)</f>
        <v>0</v>
      </c>
      <c r="AG45" s="317">
        <f t="shared" si="22"/>
        <v>0</v>
      </c>
      <c r="AH45" s="317">
        <f t="shared" si="22"/>
        <v>0</v>
      </c>
      <c r="AI45" s="317">
        <f t="shared" si="22"/>
        <v>126.968349188928</v>
      </c>
      <c r="AJ45" s="317">
        <f t="shared" ref="AJ45" si="25">SUM(AJ46:AJ55)</f>
        <v>27.271252854767997</v>
      </c>
      <c r="AK45" s="320">
        <f t="shared" si="22"/>
        <v>0</v>
      </c>
      <c r="AL45" s="318">
        <f t="shared" ref="AL45" si="26">SUM(AL46:AL55)</f>
        <v>0</v>
      </c>
      <c r="AM45" s="317">
        <f t="shared" si="22"/>
        <v>0</v>
      </c>
      <c r="AN45" s="319">
        <f t="shared" si="22"/>
        <v>0</v>
      </c>
      <c r="AO45" s="319">
        <f t="shared" si="22"/>
        <v>5.3733816232262495</v>
      </c>
      <c r="AP45" s="321">
        <f t="shared" si="22"/>
        <v>0</v>
      </c>
      <c r="AQ45" s="323">
        <f t="shared" si="13"/>
        <v>5202.0985950212144</v>
      </c>
      <c r="AR45" s="141"/>
      <c r="AS45" s="193"/>
    </row>
    <row r="46" spans="1:45" ht="12.75" customHeight="1">
      <c r="A46" s="324" t="s">
        <v>292</v>
      </c>
      <c r="B46" s="209"/>
      <c r="C46" s="210">
        <f t="shared" ref="C46:C64" si="27">SUM(D46:G46)</f>
        <v>0</v>
      </c>
      <c r="D46" s="325"/>
      <c r="E46" s="258"/>
      <c r="F46" s="213"/>
      <c r="G46" s="213"/>
      <c r="H46" s="214">
        <f t="shared" ref="H46:H64" si="28">SUM(I46:K46)</f>
        <v>0</v>
      </c>
      <c r="I46" s="211"/>
      <c r="J46" s="212"/>
      <c r="K46" s="212"/>
      <c r="L46" s="214">
        <f t="shared" ref="L46:L64" si="29">SUM(M46:Z46)</f>
        <v>702.41214426261672</v>
      </c>
      <c r="M46" s="212"/>
      <c r="N46" s="212"/>
      <c r="O46" s="212"/>
      <c r="P46" s="212"/>
      <c r="Q46" s="212"/>
      <c r="R46" s="212"/>
      <c r="S46" s="212"/>
      <c r="T46" s="212"/>
      <c r="U46" s="212">
        <v>702.41214426261672</v>
      </c>
      <c r="V46" s="212"/>
      <c r="W46" s="213"/>
      <c r="X46" s="213"/>
      <c r="Y46" s="213"/>
      <c r="Z46" s="212"/>
      <c r="AA46" s="217">
        <v>2.9723185667999998E-2</v>
      </c>
      <c r="AB46" s="215">
        <f t="shared" ref="AB46:AB64" si="30">SUM(AC46:AM46)</f>
        <v>30.002374318707627</v>
      </c>
      <c r="AC46" s="216"/>
      <c r="AD46" s="212"/>
      <c r="AE46" s="212"/>
      <c r="AF46" s="212"/>
      <c r="AG46" s="212"/>
      <c r="AH46" s="212"/>
      <c r="AI46" s="212">
        <v>30.002374318707627</v>
      </c>
      <c r="AJ46" s="212">
        <v>0</v>
      </c>
      <c r="AK46" s="211"/>
      <c r="AL46" s="213"/>
      <c r="AM46" s="212"/>
      <c r="AN46" s="214"/>
      <c r="AO46" s="217"/>
      <c r="AP46" s="215"/>
      <c r="AQ46" s="242">
        <f t="shared" si="13"/>
        <v>732.44424176699238</v>
      </c>
    </row>
    <row r="47" spans="1:45" ht="12.75" customHeight="1">
      <c r="A47" s="296" t="s">
        <v>293</v>
      </c>
      <c r="B47" s="326"/>
      <c r="C47" s="161">
        <f t="shared" si="27"/>
        <v>0</v>
      </c>
      <c r="D47" s="327"/>
      <c r="E47" s="328"/>
      <c r="F47" s="303"/>
      <c r="G47" s="303"/>
      <c r="H47" s="165">
        <f t="shared" si="28"/>
        <v>0</v>
      </c>
      <c r="I47" s="302"/>
      <c r="J47" s="219"/>
      <c r="K47" s="219"/>
      <c r="L47" s="301">
        <f t="shared" si="29"/>
        <v>319.57486919365164</v>
      </c>
      <c r="M47" s="219"/>
      <c r="N47" s="219"/>
      <c r="O47" s="219"/>
      <c r="P47" s="219"/>
      <c r="Q47" s="219"/>
      <c r="R47" s="219"/>
      <c r="S47" s="219"/>
      <c r="T47" s="219"/>
      <c r="U47" s="219">
        <v>319.57486919365164</v>
      </c>
      <c r="V47" s="219"/>
      <c r="W47" s="303"/>
      <c r="X47" s="303"/>
      <c r="Y47" s="303"/>
      <c r="Z47" s="219"/>
      <c r="AA47" s="311"/>
      <c r="AB47" s="304">
        <f t="shared" si="30"/>
        <v>13.65011258235765</v>
      </c>
      <c r="AC47" s="305"/>
      <c r="AD47" s="219"/>
      <c r="AE47" s="219"/>
      <c r="AF47" s="219"/>
      <c r="AG47" s="219"/>
      <c r="AH47" s="219"/>
      <c r="AI47" s="219">
        <v>13.65011258235765</v>
      </c>
      <c r="AJ47" s="219">
        <v>0</v>
      </c>
      <c r="AK47" s="302"/>
      <c r="AL47" s="303"/>
      <c r="AM47" s="219"/>
      <c r="AN47" s="301"/>
      <c r="AO47" s="311"/>
      <c r="AP47" s="304"/>
      <c r="AQ47" s="218">
        <f t="shared" si="13"/>
        <v>333.22498177600926</v>
      </c>
    </row>
    <row r="48" spans="1:45" ht="12.75" customHeight="1">
      <c r="A48" s="306" t="s">
        <v>294</v>
      </c>
      <c r="B48" s="160"/>
      <c r="C48" s="161">
        <f t="shared" si="27"/>
        <v>0</v>
      </c>
      <c r="D48" s="162"/>
      <c r="E48" s="172"/>
      <c r="F48" s="164"/>
      <c r="G48" s="164"/>
      <c r="H48" s="165">
        <f t="shared" si="28"/>
        <v>0</v>
      </c>
      <c r="I48" s="166"/>
      <c r="J48" s="167"/>
      <c r="K48" s="167"/>
      <c r="L48" s="165">
        <f t="shared" si="29"/>
        <v>1985.7767970742025</v>
      </c>
      <c r="M48" s="167"/>
      <c r="N48" s="167"/>
      <c r="O48" s="167"/>
      <c r="P48" s="167">
        <v>673.74419325959013</v>
      </c>
      <c r="Q48" s="167"/>
      <c r="R48" s="167"/>
      <c r="S48" s="167"/>
      <c r="T48" s="167">
        <v>1.8520724281984335</v>
      </c>
      <c r="U48" s="167">
        <v>1310.180531386414</v>
      </c>
      <c r="V48" s="167"/>
      <c r="W48" s="164"/>
      <c r="X48" s="164"/>
      <c r="Y48" s="164"/>
      <c r="Z48" s="167"/>
      <c r="AA48" s="170"/>
      <c r="AB48" s="168">
        <f t="shared" si="30"/>
        <v>78.347166728170066</v>
      </c>
      <c r="AC48" s="169"/>
      <c r="AD48" s="167"/>
      <c r="AE48" s="167"/>
      <c r="AF48" s="167"/>
      <c r="AG48" s="167"/>
      <c r="AH48" s="167"/>
      <c r="AI48" s="167">
        <v>55.96219690791942</v>
      </c>
      <c r="AJ48" s="167">
        <v>22.384969820250642</v>
      </c>
      <c r="AK48" s="166"/>
      <c r="AL48" s="164"/>
      <c r="AM48" s="167"/>
      <c r="AN48" s="165"/>
      <c r="AO48" s="170">
        <v>1.0652907432262495</v>
      </c>
      <c r="AP48" s="168"/>
      <c r="AQ48" s="171">
        <f t="shared" si="13"/>
        <v>2065.1892545455989</v>
      </c>
    </row>
    <row r="49" spans="1:45" ht="12.75" customHeight="1">
      <c r="A49" s="306" t="s">
        <v>295</v>
      </c>
      <c r="B49" s="160"/>
      <c r="C49" s="161">
        <f t="shared" si="27"/>
        <v>0</v>
      </c>
      <c r="D49" s="162"/>
      <c r="E49" s="172"/>
      <c r="F49" s="164"/>
      <c r="G49" s="164"/>
      <c r="H49" s="165">
        <f t="shared" si="28"/>
        <v>0</v>
      </c>
      <c r="I49" s="166"/>
      <c r="J49" s="167"/>
      <c r="K49" s="167"/>
      <c r="L49" s="165">
        <f t="shared" si="29"/>
        <v>131.85233821544426</v>
      </c>
      <c r="M49" s="167"/>
      <c r="N49" s="167"/>
      <c r="O49" s="167"/>
      <c r="P49" s="167">
        <v>6.3769522656162847</v>
      </c>
      <c r="Q49" s="167"/>
      <c r="R49" s="167"/>
      <c r="S49" s="167"/>
      <c r="T49" s="167"/>
      <c r="U49" s="167">
        <v>125.47538594982798</v>
      </c>
      <c r="V49" s="167"/>
      <c r="W49" s="164"/>
      <c r="X49" s="164"/>
      <c r="Y49" s="164"/>
      <c r="Z49" s="167"/>
      <c r="AA49" s="170"/>
      <c r="AB49" s="168">
        <f t="shared" si="30"/>
        <v>5.5713463444749705</v>
      </c>
      <c r="AC49" s="169"/>
      <c r="AD49" s="167"/>
      <c r="AE49" s="167"/>
      <c r="AF49" s="167"/>
      <c r="AG49" s="167"/>
      <c r="AH49" s="167"/>
      <c r="AI49" s="167">
        <v>5.3594738186126225</v>
      </c>
      <c r="AJ49" s="167">
        <v>0.21187252586234828</v>
      </c>
      <c r="AK49" s="166"/>
      <c r="AL49" s="164"/>
      <c r="AM49" s="167"/>
      <c r="AN49" s="165"/>
      <c r="AO49" s="170"/>
      <c r="AP49" s="168"/>
      <c r="AQ49" s="171">
        <f t="shared" si="13"/>
        <v>137.42368455991922</v>
      </c>
    </row>
    <row r="50" spans="1:45" ht="12.75" customHeight="1">
      <c r="A50" s="306" t="s">
        <v>296</v>
      </c>
      <c r="B50" s="160"/>
      <c r="C50" s="161">
        <f t="shared" si="27"/>
        <v>0</v>
      </c>
      <c r="D50" s="162"/>
      <c r="E50" s="172"/>
      <c r="F50" s="164"/>
      <c r="G50" s="164"/>
      <c r="H50" s="165">
        <f t="shared" si="28"/>
        <v>0</v>
      </c>
      <c r="I50" s="166"/>
      <c r="J50" s="167"/>
      <c r="K50" s="167"/>
      <c r="L50" s="165">
        <f t="shared" si="29"/>
        <v>38.043221783939138</v>
      </c>
      <c r="M50" s="167"/>
      <c r="N50" s="167"/>
      <c r="O50" s="167"/>
      <c r="P50" s="167"/>
      <c r="Q50" s="167"/>
      <c r="R50" s="329"/>
      <c r="S50" s="167"/>
      <c r="T50" s="167"/>
      <c r="U50" s="167">
        <v>38.043221783939138</v>
      </c>
      <c r="V50" s="167"/>
      <c r="W50" s="164"/>
      <c r="X50" s="164"/>
      <c r="Y50" s="164"/>
      <c r="Z50" s="167"/>
      <c r="AA50" s="170"/>
      <c r="AB50" s="168">
        <f t="shared" si="30"/>
        <v>0</v>
      </c>
      <c r="AC50" s="169"/>
      <c r="AD50" s="167"/>
      <c r="AE50" s="167"/>
      <c r="AF50" s="167"/>
      <c r="AG50" s="167"/>
      <c r="AH50" s="167"/>
      <c r="AI50" s="167">
        <v>0</v>
      </c>
      <c r="AJ50" s="167"/>
      <c r="AK50" s="166"/>
      <c r="AL50" s="164"/>
      <c r="AM50" s="167"/>
      <c r="AN50" s="165"/>
      <c r="AO50" s="170">
        <v>4.30809088</v>
      </c>
      <c r="AP50" s="168"/>
      <c r="AQ50" s="171">
        <f t="shared" si="13"/>
        <v>42.35131266393914</v>
      </c>
    </row>
    <row r="51" spans="1:45" ht="12.75" customHeight="1">
      <c r="A51" s="306" t="s">
        <v>297</v>
      </c>
      <c r="B51" s="160"/>
      <c r="C51" s="161">
        <f t="shared" si="27"/>
        <v>0</v>
      </c>
      <c r="D51" s="162"/>
      <c r="E51" s="172"/>
      <c r="F51" s="164"/>
      <c r="G51" s="164"/>
      <c r="H51" s="165">
        <f t="shared" si="28"/>
        <v>0</v>
      </c>
      <c r="I51" s="166"/>
      <c r="J51" s="167"/>
      <c r="K51" s="167"/>
      <c r="L51" s="165">
        <f t="shared" si="29"/>
        <v>5.5768892778871404</v>
      </c>
      <c r="M51" s="167"/>
      <c r="N51" s="167"/>
      <c r="O51" s="167"/>
      <c r="P51" s="167">
        <v>0.66818888888888883</v>
      </c>
      <c r="Q51" s="167"/>
      <c r="R51" s="167">
        <v>4.9087003889982519</v>
      </c>
      <c r="S51" s="167"/>
      <c r="T51" s="167"/>
      <c r="U51" s="167"/>
      <c r="V51" s="167"/>
      <c r="W51" s="164"/>
      <c r="X51" s="164"/>
      <c r="Y51" s="164"/>
      <c r="Z51" s="167"/>
      <c r="AA51" s="170"/>
      <c r="AB51" s="168">
        <f t="shared" si="30"/>
        <v>0</v>
      </c>
      <c r="AC51" s="169"/>
      <c r="AD51" s="167"/>
      <c r="AE51" s="167"/>
      <c r="AF51" s="167"/>
      <c r="AG51" s="167"/>
      <c r="AH51" s="167"/>
      <c r="AI51" s="167"/>
      <c r="AJ51" s="167"/>
      <c r="AK51" s="166"/>
      <c r="AL51" s="164"/>
      <c r="AM51" s="167"/>
      <c r="AN51" s="165"/>
      <c r="AO51" s="170"/>
      <c r="AP51" s="168"/>
      <c r="AQ51" s="171">
        <f t="shared" si="13"/>
        <v>5.5768892778871404</v>
      </c>
    </row>
    <row r="52" spans="1:45" ht="12.75" customHeight="1">
      <c r="A52" s="306" t="s">
        <v>298</v>
      </c>
      <c r="B52" s="310"/>
      <c r="C52" s="330">
        <f t="shared" si="27"/>
        <v>0</v>
      </c>
      <c r="D52" s="329"/>
      <c r="E52" s="329"/>
      <c r="F52" s="331"/>
      <c r="G52" s="331"/>
      <c r="H52" s="332">
        <f t="shared" si="28"/>
        <v>0</v>
      </c>
      <c r="I52" s="333"/>
      <c r="J52" s="329"/>
      <c r="K52" s="329"/>
      <c r="L52" s="332">
        <f t="shared" si="29"/>
        <v>1097.1586093062015</v>
      </c>
      <c r="M52" s="329"/>
      <c r="N52" s="329"/>
      <c r="O52" s="329"/>
      <c r="P52" s="219"/>
      <c r="Q52" s="329"/>
      <c r="R52" s="329">
        <v>1097.1586093062015</v>
      </c>
      <c r="S52" s="329"/>
      <c r="T52" s="329"/>
      <c r="U52" s="329"/>
      <c r="V52" s="329"/>
      <c r="W52" s="331"/>
      <c r="X52" s="331"/>
      <c r="Y52" s="331"/>
      <c r="Z52" s="329"/>
      <c r="AA52" s="311"/>
      <c r="AB52" s="334">
        <f t="shared" si="30"/>
        <v>0</v>
      </c>
      <c r="AC52" s="335"/>
      <c r="AD52" s="329"/>
      <c r="AE52" s="329"/>
      <c r="AF52" s="329"/>
      <c r="AG52" s="329"/>
      <c r="AH52" s="329"/>
      <c r="AI52" s="329"/>
      <c r="AJ52" s="329"/>
      <c r="AK52" s="302"/>
      <c r="AL52" s="303"/>
      <c r="AM52" s="329"/>
      <c r="AN52" s="311"/>
      <c r="AO52" s="311"/>
      <c r="AP52" s="334"/>
      <c r="AQ52" s="336">
        <f t="shared" si="13"/>
        <v>1097.1586093062015</v>
      </c>
    </row>
    <row r="53" spans="1:45" ht="12.75" customHeight="1">
      <c r="A53" s="306" t="s">
        <v>299</v>
      </c>
      <c r="B53" s="310"/>
      <c r="C53" s="330">
        <f t="shared" si="27"/>
        <v>0</v>
      </c>
      <c r="D53" s="333"/>
      <c r="E53" s="329"/>
      <c r="F53" s="331"/>
      <c r="G53" s="331"/>
      <c r="H53" s="332">
        <f t="shared" si="28"/>
        <v>0</v>
      </c>
      <c r="I53" s="333"/>
      <c r="J53" s="329"/>
      <c r="K53" s="329"/>
      <c r="L53" s="332">
        <f t="shared" si="29"/>
        <v>176.94052908505745</v>
      </c>
      <c r="M53" s="329"/>
      <c r="N53" s="329"/>
      <c r="O53" s="329"/>
      <c r="P53" s="329">
        <v>0</v>
      </c>
      <c r="Q53" s="329"/>
      <c r="R53" s="329"/>
      <c r="S53" s="329"/>
      <c r="T53" s="329"/>
      <c r="U53" s="329">
        <v>176.94052908505745</v>
      </c>
      <c r="V53" s="329"/>
      <c r="W53" s="331"/>
      <c r="X53" s="331"/>
      <c r="Y53" s="331"/>
      <c r="Z53" s="329"/>
      <c r="AA53" s="311"/>
      <c r="AB53" s="334">
        <f t="shared" si="30"/>
        <v>7.5577223843887342</v>
      </c>
      <c r="AC53" s="335"/>
      <c r="AD53" s="329"/>
      <c r="AE53" s="329"/>
      <c r="AF53" s="329"/>
      <c r="AG53" s="329"/>
      <c r="AH53" s="329"/>
      <c r="AI53" s="167">
        <v>7.5577223843887342</v>
      </c>
      <c r="AJ53" s="167">
        <v>0</v>
      </c>
      <c r="AK53" s="329"/>
      <c r="AL53" s="329"/>
      <c r="AM53" s="329"/>
      <c r="AN53" s="311"/>
      <c r="AO53" s="170"/>
      <c r="AP53" s="334"/>
      <c r="AQ53" s="336">
        <f t="shared" si="13"/>
        <v>184.49825146944619</v>
      </c>
    </row>
    <row r="54" spans="1:45" ht="12.75" customHeight="1">
      <c r="A54" s="159" t="s">
        <v>300</v>
      </c>
      <c r="B54" s="160"/>
      <c r="C54" s="330">
        <f t="shared" si="27"/>
        <v>0</v>
      </c>
      <c r="D54" s="333"/>
      <c r="E54" s="329"/>
      <c r="F54" s="331"/>
      <c r="G54" s="331"/>
      <c r="H54" s="332">
        <f t="shared" si="28"/>
        <v>0</v>
      </c>
      <c r="I54" s="333"/>
      <c r="J54" s="329"/>
      <c r="K54" s="329"/>
      <c r="L54" s="332">
        <f t="shared" si="29"/>
        <v>83.913724293678101</v>
      </c>
      <c r="M54" s="329"/>
      <c r="N54" s="329"/>
      <c r="O54" s="329"/>
      <c r="P54" s="329"/>
      <c r="Q54" s="329"/>
      <c r="R54" s="329"/>
      <c r="S54" s="329"/>
      <c r="T54" s="329"/>
      <c r="U54" s="329">
        <v>83.913724293678101</v>
      </c>
      <c r="V54" s="329"/>
      <c r="W54" s="331"/>
      <c r="X54" s="331"/>
      <c r="Y54" s="331"/>
      <c r="Z54" s="329"/>
      <c r="AA54" s="268"/>
      <c r="AB54" s="334">
        <f t="shared" si="30"/>
        <v>0</v>
      </c>
      <c r="AC54" s="335"/>
      <c r="AD54" s="329"/>
      <c r="AE54" s="329"/>
      <c r="AF54" s="329"/>
      <c r="AG54" s="329"/>
      <c r="AH54" s="329"/>
      <c r="AI54" s="329"/>
      <c r="AJ54" s="329"/>
      <c r="AK54" s="329"/>
      <c r="AL54" s="329"/>
      <c r="AM54" s="329"/>
      <c r="AN54" s="268"/>
      <c r="AO54" s="311"/>
      <c r="AP54" s="334"/>
      <c r="AQ54" s="336">
        <f t="shared" si="13"/>
        <v>83.913724293678101</v>
      </c>
    </row>
    <row r="55" spans="1:45" ht="12.75" customHeight="1">
      <c r="A55" s="220" t="s">
        <v>301</v>
      </c>
      <c r="B55" s="221"/>
      <c r="C55" s="222">
        <f t="shared" si="27"/>
        <v>0</v>
      </c>
      <c r="D55" s="337"/>
      <c r="E55" s="338"/>
      <c r="F55" s="225"/>
      <c r="G55" s="225"/>
      <c r="H55" s="226">
        <f t="shared" si="28"/>
        <v>0</v>
      </c>
      <c r="I55" s="223"/>
      <c r="J55" s="224"/>
      <c r="K55" s="224"/>
      <c r="L55" s="226">
        <f t="shared" si="29"/>
        <v>478.67565344603031</v>
      </c>
      <c r="M55" s="224"/>
      <c r="N55" s="224"/>
      <c r="O55" s="224"/>
      <c r="P55" s="224">
        <v>140.69069390787573</v>
      </c>
      <c r="Q55" s="224"/>
      <c r="R55" s="224"/>
      <c r="S55" s="224">
        <v>0</v>
      </c>
      <c r="T55" s="224"/>
      <c r="U55" s="224">
        <v>337.98495953815461</v>
      </c>
      <c r="V55" s="224"/>
      <c r="W55" s="225"/>
      <c r="X55" s="225"/>
      <c r="Y55" s="225"/>
      <c r="Z55" s="224"/>
      <c r="AA55" s="229">
        <v>22.531112229915806</v>
      </c>
      <c r="AB55" s="227">
        <f t="shared" si="30"/>
        <v>19.110879685596952</v>
      </c>
      <c r="AC55" s="228"/>
      <c r="AD55" s="224"/>
      <c r="AE55" s="224"/>
      <c r="AF55" s="224"/>
      <c r="AG55" s="224"/>
      <c r="AH55" s="224"/>
      <c r="AI55" s="224">
        <v>14.436469176941943</v>
      </c>
      <c r="AJ55" s="224">
        <v>4.6744105086550087</v>
      </c>
      <c r="AK55" s="223"/>
      <c r="AL55" s="225"/>
      <c r="AM55" s="224"/>
      <c r="AN55" s="226"/>
      <c r="AO55" s="229"/>
      <c r="AP55" s="227"/>
      <c r="AQ55" s="230">
        <f t="shared" si="13"/>
        <v>520.3176453615431</v>
      </c>
    </row>
    <row r="56" spans="1:45" s="194" customFormat="1" ht="12.75" customHeight="1">
      <c r="A56" s="339" t="s">
        <v>158</v>
      </c>
      <c r="B56" s="340"/>
      <c r="C56" s="341">
        <f t="shared" si="27"/>
        <v>245.30288163122782</v>
      </c>
      <c r="D56" s="342">
        <v>84.19758326883435</v>
      </c>
      <c r="E56" s="163">
        <v>153.30941368399715</v>
      </c>
      <c r="F56" s="343"/>
      <c r="G56" s="343">
        <v>7.795884678396293</v>
      </c>
      <c r="H56" s="344">
        <f t="shared" si="28"/>
        <v>196.53880633</v>
      </c>
      <c r="I56" s="342"/>
      <c r="J56" s="240">
        <v>127.70399999999999</v>
      </c>
      <c r="K56" s="240">
        <v>68.834806329999992</v>
      </c>
      <c r="L56" s="344">
        <f t="shared" si="29"/>
        <v>1204.833103126648</v>
      </c>
      <c r="M56" s="240"/>
      <c r="N56" s="240"/>
      <c r="O56" s="240"/>
      <c r="P56" s="240">
        <v>0</v>
      </c>
      <c r="Q56" s="240">
        <v>863.40024232349867</v>
      </c>
      <c r="R56" s="240"/>
      <c r="S56" s="240">
        <v>0</v>
      </c>
      <c r="T56" s="240">
        <v>53.841522983216713</v>
      </c>
      <c r="U56" s="240">
        <v>284.08105108362315</v>
      </c>
      <c r="V56" s="240">
        <v>3.5102867363093639</v>
      </c>
      <c r="W56" s="343"/>
      <c r="X56" s="343"/>
      <c r="Y56" s="343"/>
      <c r="Z56" s="240"/>
      <c r="AA56" s="344">
        <v>604.09375845912712</v>
      </c>
      <c r="AB56" s="345">
        <f t="shared" si="30"/>
        <v>72.095627568998594</v>
      </c>
      <c r="AC56" s="346"/>
      <c r="AD56" s="240"/>
      <c r="AE56" s="240">
        <v>30.588864173321877</v>
      </c>
      <c r="AF56" s="240"/>
      <c r="AG56" s="240"/>
      <c r="AH56" s="240"/>
      <c r="AI56" s="240"/>
      <c r="AJ56" s="240"/>
      <c r="AK56" s="342"/>
      <c r="AL56" s="343">
        <v>13.379590942008413</v>
      </c>
      <c r="AM56" s="240">
        <v>28.127172453668308</v>
      </c>
      <c r="AN56" s="344"/>
      <c r="AO56" s="344">
        <v>702.94473599999992</v>
      </c>
      <c r="AP56" s="345"/>
      <c r="AQ56" s="241">
        <f t="shared" si="13"/>
        <v>3025.8089131160013</v>
      </c>
      <c r="AR56" s="141"/>
      <c r="AS56" s="193"/>
    </row>
    <row r="57" spans="1:45" s="194" customFormat="1" ht="12.75" customHeight="1">
      <c r="A57" s="339" t="s">
        <v>302</v>
      </c>
      <c r="B57" s="340"/>
      <c r="C57" s="341">
        <f>C58+C65</f>
        <v>0.53991879699248124</v>
      </c>
      <c r="D57" s="240">
        <f t="shared" ref="D57:AP57" si="31">D58+D65</f>
        <v>0.53991879699248124</v>
      </c>
      <c r="E57" s="240">
        <f t="shared" si="31"/>
        <v>0</v>
      </c>
      <c r="F57" s="343">
        <f t="shared" si="31"/>
        <v>0</v>
      </c>
      <c r="G57" s="343">
        <f t="shared" si="31"/>
        <v>0</v>
      </c>
      <c r="H57" s="344">
        <f t="shared" si="31"/>
        <v>0</v>
      </c>
      <c r="I57" s="342">
        <f t="shared" si="31"/>
        <v>0</v>
      </c>
      <c r="J57" s="342">
        <f t="shared" si="31"/>
        <v>0</v>
      </c>
      <c r="K57" s="342">
        <f t="shared" si="31"/>
        <v>0</v>
      </c>
      <c r="L57" s="344">
        <f t="shared" si="31"/>
        <v>263.55542937744985</v>
      </c>
      <c r="M57" s="240">
        <f t="shared" si="31"/>
        <v>0</v>
      </c>
      <c r="N57" s="240">
        <f t="shared" si="31"/>
        <v>0</v>
      </c>
      <c r="O57" s="240">
        <f t="shared" si="31"/>
        <v>0</v>
      </c>
      <c r="P57" s="240">
        <f t="shared" si="31"/>
        <v>0</v>
      </c>
      <c r="Q57" s="240">
        <f t="shared" si="31"/>
        <v>73.683977149948603</v>
      </c>
      <c r="R57" s="240">
        <f t="shared" si="31"/>
        <v>0</v>
      </c>
      <c r="S57" s="240">
        <f t="shared" si="31"/>
        <v>0.64284746861564912</v>
      </c>
      <c r="T57" s="240">
        <f t="shared" si="31"/>
        <v>69.72090857001308</v>
      </c>
      <c r="U57" s="240">
        <f t="shared" si="31"/>
        <v>119.50730406570531</v>
      </c>
      <c r="V57" s="240">
        <f t="shared" si="31"/>
        <v>3.9212316723240829E-4</v>
      </c>
      <c r="W57" s="343">
        <f t="shared" si="31"/>
        <v>0</v>
      </c>
      <c r="X57" s="343">
        <f t="shared" si="31"/>
        <v>0</v>
      </c>
      <c r="Y57" s="343">
        <f t="shared" si="31"/>
        <v>0</v>
      </c>
      <c r="Z57" s="342">
        <f t="shared" si="31"/>
        <v>0</v>
      </c>
      <c r="AA57" s="344">
        <f t="shared" si="31"/>
        <v>397.69184770224592</v>
      </c>
      <c r="AB57" s="345">
        <f t="shared" si="31"/>
        <v>41.379323582548558</v>
      </c>
      <c r="AC57" s="346">
        <f t="shared" si="31"/>
        <v>0</v>
      </c>
      <c r="AD57" s="240">
        <f t="shared" si="31"/>
        <v>0</v>
      </c>
      <c r="AE57" s="240">
        <f t="shared" si="31"/>
        <v>17.99312324724</v>
      </c>
      <c r="AF57" s="240">
        <f t="shared" si="31"/>
        <v>0</v>
      </c>
      <c r="AG57" s="240">
        <f t="shared" si="31"/>
        <v>0</v>
      </c>
      <c r="AH57" s="240">
        <f t="shared" si="31"/>
        <v>7.541555368675982</v>
      </c>
      <c r="AI57" s="240">
        <f t="shared" si="31"/>
        <v>0</v>
      </c>
      <c r="AJ57" s="240">
        <f t="shared" si="31"/>
        <v>0</v>
      </c>
      <c r="AK57" s="240">
        <f t="shared" si="31"/>
        <v>0</v>
      </c>
      <c r="AL57" s="240">
        <f t="shared" si="31"/>
        <v>0.16649466165720572</v>
      </c>
      <c r="AM57" s="342">
        <f t="shared" si="31"/>
        <v>15.678150304975372</v>
      </c>
      <c r="AN57" s="344">
        <f t="shared" si="31"/>
        <v>0</v>
      </c>
      <c r="AO57" s="344">
        <f t="shared" si="31"/>
        <v>1019.3925755397834</v>
      </c>
      <c r="AP57" s="345">
        <f t="shared" si="31"/>
        <v>0</v>
      </c>
      <c r="AQ57" s="347">
        <f t="shared" si="13"/>
        <v>1722.5590949990201</v>
      </c>
      <c r="AR57" s="141"/>
      <c r="AS57" s="193"/>
    </row>
    <row r="58" spans="1:45" ht="12.75" customHeight="1">
      <c r="A58" s="339" t="s">
        <v>303</v>
      </c>
      <c r="B58" s="340"/>
      <c r="C58" s="341">
        <f t="shared" si="27"/>
        <v>0.53991879699248124</v>
      </c>
      <c r="D58" s="346">
        <v>0.53991879699248124</v>
      </c>
      <c r="E58" s="345">
        <v>0</v>
      </c>
      <c r="F58" s="345">
        <f>SUM(F59:F64)</f>
        <v>0</v>
      </c>
      <c r="G58" s="348">
        <v>0</v>
      </c>
      <c r="H58" s="344">
        <f t="shared" si="28"/>
        <v>0</v>
      </c>
      <c r="I58" s="342">
        <f>SUM(I59:I64)</f>
        <v>0</v>
      </c>
      <c r="J58" s="342">
        <f>SUM(J59:J64)</f>
        <v>0</v>
      </c>
      <c r="K58" s="342">
        <f>SUM(K59:K64)</f>
        <v>0</v>
      </c>
      <c r="L58" s="344">
        <f t="shared" si="29"/>
        <v>123.39297948584372</v>
      </c>
      <c r="M58" s="240">
        <f t="shared" ref="M58:AN58" si="32">SUM(M59:M64)</f>
        <v>0</v>
      </c>
      <c r="N58" s="343">
        <f t="shared" si="32"/>
        <v>0</v>
      </c>
      <c r="O58" s="343">
        <f t="shared" si="32"/>
        <v>0</v>
      </c>
      <c r="P58" s="345">
        <f t="shared" si="32"/>
        <v>0</v>
      </c>
      <c r="Q58" s="345">
        <v>25.817592108194308</v>
      </c>
      <c r="R58" s="345">
        <f t="shared" si="32"/>
        <v>0</v>
      </c>
      <c r="S58" s="345">
        <v>0</v>
      </c>
      <c r="T58" s="345">
        <v>53.639757659500326</v>
      </c>
      <c r="U58" s="345">
        <v>43.935237594981864</v>
      </c>
      <c r="V58" s="345">
        <f t="shared" si="32"/>
        <v>3.9212316723240829E-4</v>
      </c>
      <c r="W58" s="345">
        <f t="shared" si="32"/>
        <v>0</v>
      </c>
      <c r="X58" s="345">
        <f t="shared" si="32"/>
        <v>0</v>
      </c>
      <c r="Y58" s="343">
        <f t="shared" si="32"/>
        <v>0</v>
      </c>
      <c r="Z58" s="342">
        <f t="shared" si="32"/>
        <v>0</v>
      </c>
      <c r="AA58" s="344">
        <v>205.61511570855646</v>
      </c>
      <c r="AB58" s="345">
        <f t="shared" si="30"/>
        <v>23.586836774290585</v>
      </c>
      <c r="AC58" s="346">
        <f t="shared" si="32"/>
        <v>0</v>
      </c>
      <c r="AD58" s="240">
        <f t="shared" si="32"/>
        <v>0</v>
      </c>
      <c r="AE58" s="240">
        <f t="shared" si="32"/>
        <v>5.0179504193776099</v>
      </c>
      <c r="AF58" s="240"/>
      <c r="AG58" s="240">
        <f t="shared" si="32"/>
        <v>0</v>
      </c>
      <c r="AH58" s="240">
        <f t="shared" si="32"/>
        <v>2.7242413882803982</v>
      </c>
      <c r="AI58" s="240">
        <f t="shared" si="32"/>
        <v>0</v>
      </c>
      <c r="AJ58" s="240">
        <f t="shared" si="32"/>
        <v>0</v>
      </c>
      <c r="AK58" s="240"/>
      <c r="AL58" s="240">
        <v>0.16649466165720572</v>
      </c>
      <c r="AM58" s="343">
        <v>15.678150304975372</v>
      </c>
      <c r="AN58" s="344">
        <f t="shared" si="32"/>
        <v>0</v>
      </c>
      <c r="AO58" s="344">
        <v>684.51532146142654</v>
      </c>
      <c r="AP58" s="345">
        <f t="shared" ref="AP58" si="33">SUM(AP59:AP64)</f>
        <v>0</v>
      </c>
      <c r="AQ58" s="347">
        <f t="shared" si="13"/>
        <v>1037.6501722271098</v>
      </c>
    </row>
    <row r="59" spans="1:45" ht="12.75" customHeight="1">
      <c r="A59" s="349" t="s">
        <v>304</v>
      </c>
      <c r="B59" s="350" t="s">
        <v>305</v>
      </c>
      <c r="C59" s="210">
        <f t="shared" si="27"/>
        <v>9.9984962406015031E-3</v>
      </c>
      <c r="D59" s="351">
        <v>9.9984962406015031E-3</v>
      </c>
      <c r="E59" s="215"/>
      <c r="F59" s="215"/>
      <c r="G59" s="256"/>
      <c r="H59" s="214">
        <f t="shared" si="28"/>
        <v>0</v>
      </c>
      <c r="I59" s="325"/>
      <c r="J59" s="325"/>
      <c r="K59" s="325"/>
      <c r="L59" s="214">
        <f t="shared" si="29"/>
        <v>32.327049654868127</v>
      </c>
      <c r="M59" s="258"/>
      <c r="N59" s="352"/>
      <c r="O59" s="352"/>
      <c r="P59" s="215"/>
      <c r="Q59" s="353">
        <v>8.0278057943609493</v>
      </c>
      <c r="R59" s="215"/>
      <c r="S59" s="353">
        <v>0</v>
      </c>
      <c r="T59" s="353">
        <v>15.105482293518097</v>
      </c>
      <c r="U59" s="353">
        <v>9.19376156698908</v>
      </c>
      <c r="V59" s="353">
        <v>0</v>
      </c>
      <c r="W59" s="215"/>
      <c r="X59" s="215"/>
      <c r="Y59" s="352"/>
      <c r="Z59" s="325"/>
      <c r="AA59" s="354">
        <v>57.532573159401849</v>
      </c>
      <c r="AB59" s="215">
        <f t="shared" si="30"/>
        <v>1.2773333532141125</v>
      </c>
      <c r="AC59" s="355"/>
      <c r="AD59" s="258"/>
      <c r="AE59" s="356">
        <v>1.2773333532141125</v>
      </c>
      <c r="AF59" s="356"/>
      <c r="AG59" s="356"/>
      <c r="AH59" s="356">
        <v>0</v>
      </c>
      <c r="AI59" s="356"/>
      <c r="AJ59" s="356"/>
      <c r="AK59" s="356"/>
      <c r="AL59" s="356">
        <v>0</v>
      </c>
      <c r="AM59" s="357">
        <v>0</v>
      </c>
      <c r="AN59" s="214"/>
      <c r="AO59" s="354">
        <v>227.43297899256885</v>
      </c>
      <c r="AP59" s="215"/>
      <c r="AQ59" s="358">
        <f t="shared" si="13"/>
        <v>318.57993365629352</v>
      </c>
    </row>
    <row r="60" spans="1:45" ht="12.75" customHeight="1">
      <c r="A60" s="349" t="s">
        <v>306</v>
      </c>
      <c r="B60" s="350" t="s">
        <v>307</v>
      </c>
      <c r="C60" s="161">
        <f t="shared" si="27"/>
        <v>1.0998345864661654E-2</v>
      </c>
      <c r="D60" s="351">
        <v>1.0998345864661654E-2</v>
      </c>
      <c r="E60" s="168"/>
      <c r="F60" s="168"/>
      <c r="G60" s="359"/>
      <c r="H60" s="165">
        <f t="shared" si="28"/>
        <v>0</v>
      </c>
      <c r="I60" s="162"/>
      <c r="J60" s="162"/>
      <c r="K60" s="162"/>
      <c r="L60" s="165">
        <f t="shared" si="29"/>
        <v>24.137833390343388</v>
      </c>
      <c r="M60" s="172"/>
      <c r="N60" s="163"/>
      <c r="O60" s="163"/>
      <c r="P60" s="168"/>
      <c r="Q60" s="353">
        <v>5.3543303518790886</v>
      </c>
      <c r="R60" s="168"/>
      <c r="S60" s="353">
        <v>0</v>
      </c>
      <c r="T60" s="353">
        <v>5.393987425308894</v>
      </c>
      <c r="U60" s="353">
        <v>13.389515613155407</v>
      </c>
      <c r="V60" s="353">
        <v>0</v>
      </c>
      <c r="W60" s="168"/>
      <c r="X60" s="168"/>
      <c r="Y60" s="163"/>
      <c r="Z60" s="162"/>
      <c r="AA60" s="354">
        <v>17.076846566169994</v>
      </c>
      <c r="AB60" s="168">
        <f t="shared" si="30"/>
        <v>6.7770858417357749E-2</v>
      </c>
      <c r="AC60" s="360"/>
      <c r="AD60" s="172"/>
      <c r="AE60" s="361">
        <v>6.7770858417357749E-2</v>
      </c>
      <c r="AF60" s="361"/>
      <c r="AG60" s="361"/>
      <c r="AH60" s="361">
        <v>0</v>
      </c>
      <c r="AI60" s="361"/>
      <c r="AJ60" s="361"/>
      <c r="AK60" s="361"/>
      <c r="AL60" s="361">
        <v>0</v>
      </c>
      <c r="AM60" s="362">
        <v>0</v>
      </c>
      <c r="AN60" s="165"/>
      <c r="AO60" s="354">
        <v>69.841724309024471</v>
      </c>
      <c r="AP60" s="168"/>
      <c r="AQ60" s="363">
        <f t="shared" si="13"/>
        <v>111.13517346981988</v>
      </c>
    </row>
    <row r="61" spans="1:45" s="534" customFormat="1" ht="12.75" customHeight="1">
      <c r="A61" s="518" t="s">
        <v>308</v>
      </c>
      <c r="B61" s="519" t="s">
        <v>309</v>
      </c>
      <c r="C61" s="520">
        <f t="shared" si="27"/>
        <v>0.48392721804511274</v>
      </c>
      <c r="D61" s="521">
        <v>0.48392721804511274</v>
      </c>
      <c r="E61" s="522"/>
      <c r="F61" s="522"/>
      <c r="G61" s="523"/>
      <c r="H61" s="524">
        <f t="shared" si="28"/>
        <v>0</v>
      </c>
      <c r="I61" s="525"/>
      <c r="J61" s="525"/>
      <c r="K61" s="525"/>
      <c r="L61" s="524">
        <f t="shared" si="29"/>
        <v>31.333616383670492</v>
      </c>
      <c r="M61" s="526"/>
      <c r="N61" s="527"/>
      <c r="O61" s="527"/>
      <c r="P61" s="522"/>
      <c r="Q61" s="528">
        <v>4.9790317487546645</v>
      </c>
      <c r="R61" s="522"/>
      <c r="S61" s="528">
        <v>0</v>
      </c>
      <c r="T61" s="528">
        <v>19.202826984364982</v>
      </c>
      <c r="U61" s="528">
        <v>7.1517576505508451</v>
      </c>
      <c r="V61" s="528">
        <v>0</v>
      </c>
      <c r="W61" s="522"/>
      <c r="X61" s="522"/>
      <c r="Y61" s="527"/>
      <c r="Z61" s="525"/>
      <c r="AA61" s="529">
        <v>37.147190784142389</v>
      </c>
      <c r="AB61" s="522">
        <f t="shared" si="30"/>
        <v>2.1318354810851448</v>
      </c>
      <c r="AC61" s="530"/>
      <c r="AD61" s="526"/>
      <c r="AE61" s="531">
        <v>2.1318354810851448</v>
      </c>
      <c r="AF61" s="531"/>
      <c r="AG61" s="531"/>
      <c r="AH61" s="531">
        <v>0</v>
      </c>
      <c r="AI61" s="531"/>
      <c r="AJ61" s="531"/>
      <c r="AK61" s="531"/>
      <c r="AL61" s="531">
        <v>0</v>
      </c>
      <c r="AM61" s="532">
        <v>0</v>
      </c>
      <c r="AN61" s="524"/>
      <c r="AO61" s="529">
        <v>87.896378653102275</v>
      </c>
      <c r="AP61" s="522"/>
      <c r="AQ61" s="533">
        <f t="shared" si="13"/>
        <v>158.99294852004542</v>
      </c>
      <c r="AS61" s="535"/>
    </row>
    <row r="62" spans="1:45" s="534" customFormat="1" ht="12.75" customHeight="1">
      <c r="A62" s="518" t="s">
        <v>310</v>
      </c>
      <c r="B62" s="519" t="s">
        <v>311</v>
      </c>
      <c r="C62" s="520">
        <f t="shared" si="27"/>
        <v>0</v>
      </c>
      <c r="D62" s="521">
        <v>0</v>
      </c>
      <c r="E62" s="522"/>
      <c r="F62" s="522"/>
      <c r="G62" s="523"/>
      <c r="H62" s="524">
        <f t="shared" si="28"/>
        <v>0</v>
      </c>
      <c r="I62" s="525"/>
      <c r="J62" s="525"/>
      <c r="K62" s="525"/>
      <c r="L62" s="524">
        <f t="shared" si="29"/>
        <v>5.4379501694305112</v>
      </c>
      <c r="M62" s="526"/>
      <c r="N62" s="527"/>
      <c r="O62" s="527"/>
      <c r="P62" s="522"/>
      <c r="Q62" s="528">
        <v>1.5602301478206442</v>
      </c>
      <c r="R62" s="522"/>
      <c r="S62" s="528">
        <v>0</v>
      </c>
      <c r="T62" s="528">
        <v>1.6396331271347122</v>
      </c>
      <c r="U62" s="528">
        <v>2.2380868944751544</v>
      </c>
      <c r="V62" s="528">
        <v>0</v>
      </c>
      <c r="W62" s="522"/>
      <c r="X62" s="522"/>
      <c r="Y62" s="527"/>
      <c r="Z62" s="525"/>
      <c r="AA62" s="529">
        <v>9.7954001243574229</v>
      </c>
      <c r="AB62" s="522">
        <f t="shared" si="30"/>
        <v>3.8305267801115254E-2</v>
      </c>
      <c r="AC62" s="530"/>
      <c r="AD62" s="526"/>
      <c r="AE62" s="531">
        <v>3.8305267801115254E-2</v>
      </c>
      <c r="AF62" s="531"/>
      <c r="AG62" s="531"/>
      <c r="AH62" s="531">
        <v>0</v>
      </c>
      <c r="AI62" s="531"/>
      <c r="AJ62" s="531"/>
      <c r="AK62" s="531"/>
      <c r="AL62" s="531">
        <v>0</v>
      </c>
      <c r="AM62" s="532">
        <v>0</v>
      </c>
      <c r="AN62" s="524"/>
      <c r="AO62" s="529">
        <v>168.21982573047418</v>
      </c>
      <c r="AP62" s="522"/>
      <c r="AQ62" s="533">
        <f t="shared" si="13"/>
        <v>183.49148129206324</v>
      </c>
      <c r="AS62" s="535"/>
    </row>
    <row r="63" spans="1:45" s="534" customFormat="1" ht="12.75" customHeight="1">
      <c r="A63" s="518" t="s">
        <v>312</v>
      </c>
      <c r="B63" s="519" t="s">
        <v>313</v>
      </c>
      <c r="C63" s="520">
        <f t="shared" si="27"/>
        <v>3.4994736842105266E-2</v>
      </c>
      <c r="D63" s="536">
        <v>3.4994736842105266E-2</v>
      </c>
      <c r="E63" s="522"/>
      <c r="F63" s="522"/>
      <c r="G63" s="523"/>
      <c r="H63" s="524">
        <f t="shared" si="28"/>
        <v>0</v>
      </c>
      <c r="I63" s="525"/>
      <c r="J63" s="525"/>
      <c r="K63" s="525"/>
      <c r="L63" s="524">
        <f t="shared" si="29"/>
        <v>2.5994355613729017</v>
      </c>
      <c r="M63" s="526"/>
      <c r="N63" s="527"/>
      <c r="O63" s="527"/>
      <c r="P63" s="522"/>
      <c r="Q63" s="537">
        <v>0.92243336442098911</v>
      </c>
      <c r="R63" s="522"/>
      <c r="S63" s="537">
        <v>0</v>
      </c>
      <c r="T63" s="537">
        <v>0.18424146092891816</v>
      </c>
      <c r="U63" s="537">
        <v>1.4927607360229946</v>
      </c>
      <c r="V63" s="537">
        <v>0</v>
      </c>
      <c r="W63" s="522"/>
      <c r="X63" s="522"/>
      <c r="Y63" s="527"/>
      <c r="Z63" s="525"/>
      <c r="AA63" s="538">
        <v>15.333339022313094</v>
      </c>
      <c r="AB63" s="522">
        <f t="shared" si="30"/>
        <v>0</v>
      </c>
      <c r="AC63" s="530"/>
      <c r="AD63" s="526"/>
      <c r="AE63" s="531">
        <v>0</v>
      </c>
      <c r="AF63" s="531"/>
      <c r="AG63" s="531"/>
      <c r="AH63" s="531">
        <v>0</v>
      </c>
      <c r="AI63" s="531"/>
      <c r="AJ63" s="531"/>
      <c r="AK63" s="531"/>
      <c r="AL63" s="531">
        <v>0</v>
      </c>
      <c r="AM63" s="532">
        <v>0</v>
      </c>
      <c r="AN63" s="524"/>
      <c r="AO63" s="538">
        <v>37.594013086148287</v>
      </c>
      <c r="AP63" s="522"/>
      <c r="AQ63" s="533">
        <f t="shared" si="13"/>
        <v>55.561782406676386</v>
      </c>
      <c r="AS63" s="535"/>
    </row>
    <row r="64" spans="1:45" ht="12.75" customHeight="1">
      <c r="A64" s="367" t="s">
        <v>314</v>
      </c>
      <c r="B64" s="368"/>
      <c r="C64" s="222">
        <f t="shared" si="27"/>
        <v>0</v>
      </c>
      <c r="D64" s="364">
        <v>0</v>
      </c>
      <c r="E64" s="227"/>
      <c r="F64" s="227"/>
      <c r="G64" s="369"/>
      <c r="H64" s="226">
        <f t="shared" si="28"/>
        <v>0</v>
      </c>
      <c r="I64" s="337"/>
      <c r="J64" s="337"/>
      <c r="K64" s="337"/>
      <c r="L64" s="226">
        <f t="shared" si="29"/>
        <v>27.557094326158314</v>
      </c>
      <c r="M64" s="338"/>
      <c r="N64" s="370"/>
      <c r="O64" s="370"/>
      <c r="P64" s="227"/>
      <c r="Q64" s="365">
        <v>4.9737607009579721</v>
      </c>
      <c r="R64" s="227"/>
      <c r="S64" s="365">
        <v>0</v>
      </c>
      <c r="T64" s="365">
        <v>12.11358636824472</v>
      </c>
      <c r="U64" s="365">
        <v>10.469355133788389</v>
      </c>
      <c r="V64" s="365">
        <v>3.9212316723240829E-4</v>
      </c>
      <c r="W64" s="227"/>
      <c r="X64" s="227"/>
      <c r="Y64" s="370"/>
      <c r="Z64" s="337"/>
      <c r="AA64" s="366">
        <v>68.729766052171726</v>
      </c>
      <c r="AB64" s="227">
        <f t="shared" si="30"/>
        <v>20.071591813772855</v>
      </c>
      <c r="AC64" s="371"/>
      <c r="AD64" s="338"/>
      <c r="AE64" s="372">
        <v>1.5027054588598796</v>
      </c>
      <c r="AF64" s="372"/>
      <c r="AG64" s="372"/>
      <c r="AH64" s="372">
        <v>2.7242413882803982</v>
      </c>
      <c r="AI64" s="372"/>
      <c r="AJ64" s="372"/>
      <c r="AK64" s="372"/>
      <c r="AL64" s="372">
        <v>0.16649466165720572</v>
      </c>
      <c r="AM64" s="373">
        <v>15.678150304975372</v>
      </c>
      <c r="AN64" s="226"/>
      <c r="AO64" s="366">
        <v>93.530400690108436</v>
      </c>
      <c r="AP64" s="227"/>
      <c r="AQ64" s="374">
        <f t="shared" si="13"/>
        <v>209.88885288221132</v>
      </c>
    </row>
    <row r="65" spans="1:45" ht="12.75" customHeight="1">
      <c r="A65" s="339" t="s">
        <v>315</v>
      </c>
      <c r="B65" s="340"/>
      <c r="C65" s="222">
        <f>SUM(D65:G65)</f>
        <v>0</v>
      </c>
      <c r="D65" s="346">
        <f>SUM(D66:D69)</f>
        <v>0</v>
      </c>
      <c r="E65" s="314"/>
      <c r="F65" s="314"/>
      <c r="G65" s="315"/>
      <c r="H65" s="226">
        <f>SUM(I65:K65)</f>
        <v>0</v>
      </c>
      <c r="I65" s="223"/>
      <c r="J65" s="224">
        <v>0</v>
      </c>
      <c r="K65" s="224">
        <v>0</v>
      </c>
      <c r="L65" s="226">
        <f>SUM(M65:Z65)</f>
        <v>140.16244989160612</v>
      </c>
      <c r="M65" s="224"/>
      <c r="N65" s="225"/>
      <c r="O65" s="225"/>
      <c r="P65" s="314"/>
      <c r="Q65" s="345">
        <v>47.866385041754299</v>
      </c>
      <c r="R65" s="314"/>
      <c r="S65" s="345">
        <v>0.64284746861564912</v>
      </c>
      <c r="T65" s="345">
        <v>16.081150910512747</v>
      </c>
      <c r="U65" s="345">
        <v>75.572066470723442</v>
      </c>
      <c r="V65" s="345">
        <f>SUM(V66:V69)</f>
        <v>0</v>
      </c>
      <c r="W65" s="314"/>
      <c r="X65" s="314"/>
      <c r="Y65" s="225"/>
      <c r="Z65" s="224"/>
      <c r="AA65" s="344">
        <v>192.07673199368949</v>
      </c>
      <c r="AB65" s="227">
        <f>SUM(AC65:AM65)</f>
        <v>17.792486808257973</v>
      </c>
      <c r="AC65" s="228"/>
      <c r="AD65" s="224"/>
      <c r="AE65" s="224">
        <f>SUM(AE66:AE69)</f>
        <v>12.975172827862389</v>
      </c>
      <c r="AF65" s="224"/>
      <c r="AG65" s="224"/>
      <c r="AH65" s="224">
        <v>4.8173139803955838</v>
      </c>
      <c r="AI65" s="224"/>
      <c r="AJ65" s="224"/>
      <c r="AK65" s="224"/>
      <c r="AL65" s="224"/>
      <c r="AM65" s="225"/>
      <c r="AN65" s="226"/>
      <c r="AO65" s="344">
        <v>334.87725407835688</v>
      </c>
      <c r="AP65" s="227"/>
      <c r="AQ65" s="375">
        <f t="shared" si="13"/>
        <v>684.90892277191051</v>
      </c>
    </row>
    <row r="66" spans="1:45" ht="12.75" customHeight="1">
      <c r="A66" s="376" t="s">
        <v>316</v>
      </c>
      <c r="B66" s="377" t="s">
        <v>317</v>
      </c>
      <c r="C66" s="210">
        <f t="shared" ref="C66:C69" si="34">SUM(D66:G66)</f>
        <v>0</v>
      </c>
      <c r="D66" s="378">
        <v>0</v>
      </c>
      <c r="E66" s="259"/>
      <c r="F66" s="259"/>
      <c r="G66" s="379"/>
      <c r="H66" s="214">
        <f t="shared" ref="H66:H69" si="35">SUM(I66:K66)</f>
        <v>0</v>
      </c>
      <c r="I66" s="380"/>
      <c r="J66" s="212"/>
      <c r="K66" s="381"/>
      <c r="L66" s="214">
        <f t="shared" ref="L66:L69" si="36">SUM(M66:Z66)</f>
        <v>11.083842216367572</v>
      </c>
      <c r="M66" s="380"/>
      <c r="N66" s="259"/>
      <c r="O66" s="213"/>
      <c r="P66" s="259"/>
      <c r="Q66" s="382">
        <v>0.2530102942411856</v>
      </c>
      <c r="R66" s="259"/>
      <c r="S66" s="382">
        <v>0.3129380842779857</v>
      </c>
      <c r="T66" s="382">
        <v>1.0521462045500485</v>
      </c>
      <c r="U66" s="382">
        <v>9.4657476332983528</v>
      </c>
      <c r="V66" s="382">
        <v>0</v>
      </c>
      <c r="W66" s="259"/>
      <c r="X66" s="259"/>
      <c r="Y66" s="213"/>
      <c r="Z66" s="212"/>
      <c r="AA66" s="383">
        <v>8.4437848043838404</v>
      </c>
      <c r="AB66" s="215">
        <f t="shared" ref="AB66:AB69" si="37">SUM(AC66:AM66)</f>
        <v>5.4773432101994155</v>
      </c>
      <c r="AC66" s="216"/>
      <c r="AD66" s="212"/>
      <c r="AE66" s="212">
        <v>0.66002922980383205</v>
      </c>
      <c r="AF66" s="212"/>
      <c r="AG66" s="212"/>
      <c r="AH66" s="212">
        <v>4.8173139803955838</v>
      </c>
      <c r="AI66" s="212"/>
      <c r="AJ66" s="212"/>
      <c r="AK66" s="212"/>
      <c r="AL66" s="212"/>
      <c r="AM66" s="213"/>
      <c r="AN66" s="214"/>
      <c r="AO66" s="383">
        <v>55.850156928746095</v>
      </c>
      <c r="AP66" s="215"/>
      <c r="AQ66" s="242">
        <f t="shared" si="13"/>
        <v>80.85512715969692</v>
      </c>
    </row>
    <row r="67" spans="1:45" ht="12.75" customHeight="1">
      <c r="A67" s="384" t="s">
        <v>318</v>
      </c>
      <c r="B67" s="385">
        <v>84</v>
      </c>
      <c r="C67" s="161">
        <f t="shared" si="34"/>
        <v>0</v>
      </c>
      <c r="D67" s="386">
        <v>0</v>
      </c>
      <c r="E67" s="308"/>
      <c r="F67" s="308"/>
      <c r="G67" s="309"/>
      <c r="H67" s="165">
        <f t="shared" si="35"/>
        <v>0</v>
      </c>
      <c r="I67" s="387"/>
      <c r="J67" s="167"/>
      <c r="K67" s="388"/>
      <c r="L67" s="165">
        <f t="shared" si="36"/>
        <v>59.95397707725251</v>
      </c>
      <c r="M67" s="387"/>
      <c r="N67" s="308"/>
      <c r="O67" s="164"/>
      <c r="P67" s="308"/>
      <c r="Q67" s="389">
        <v>11.981091641879475</v>
      </c>
      <c r="R67" s="308"/>
      <c r="S67" s="389">
        <v>0.20048339509750321</v>
      </c>
      <c r="T67" s="389">
        <v>7.85054023769447</v>
      </c>
      <c r="U67" s="389">
        <v>39.921861802581063</v>
      </c>
      <c r="V67" s="389">
        <v>0</v>
      </c>
      <c r="W67" s="308"/>
      <c r="X67" s="308"/>
      <c r="Y67" s="164"/>
      <c r="Z67" s="167"/>
      <c r="AA67" s="390">
        <v>66.187230278743982</v>
      </c>
      <c r="AB67" s="168">
        <f t="shared" si="37"/>
        <v>9.4672942649987188</v>
      </c>
      <c r="AC67" s="169"/>
      <c r="AD67" s="167"/>
      <c r="AE67" s="167">
        <v>9.4672942649987188</v>
      </c>
      <c r="AF67" s="167"/>
      <c r="AG67" s="167"/>
      <c r="AH67" s="167">
        <v>0</v>
      </c>
      <c r="AI67" s="167"/>
      <c r="AJ67" s="167"/>
      <c r="AK67" s="167"/>
      <c r="AL67" s="167"/>
      <c r="AM67" s="164"/>
      <c r="AN67" s="165"/>
      <c r="AO67" s="390">
        <v>154.30936641104071</v>
      </c>
      <c r="AP67" s="168"/>
      <c r="AQ67" s="171">
        <f t="shared" si="13"/>
        <v>289.91786803203593</v>
      </c>
    </row>
    <row r="68" spans="1:45" ht="12.75" customHeight="1">
      <c r="A68" s="349" t="s">
        <v>64</v>
      </c>
      <c r="B68" s="350">
        <v>85</v>
      </c>
      <c r="C68" s="161">
        <f t="shared" si="34"/>
        <v>0</v>
      </c>
      <c r="D68" s="386">
        <v>0</v>
      </c>
      <c r="E68" s="308"/>
      <c r="F68" s="308"/>
      <c r="G68" s="309"/>
      <c r="H68" s="165">
        <f t="shared" si="35"/>
        <v>0</v>
      </c>
      <c r="I68" s="387"/>
      <c r="J68" s="167"/>
      <c r="K68" s="388"/>
      <c r="L68" s="165">
        <f t="shared" si="36"/>
        <v>42.831123161298109</v>
      </c>
      <c r="M68" s="387"/>
      <c r="N68" s="308"/>
      <c r="O68" s="164"/>
      <c r="P68" s="308"/>
      <c r="Q68" s="389">
        <v>21.281328374361724</v>
      </c>
      <c r="R68" s="308"/>
      <c r="S68" s="389">
        <v>3.2197887029108509E-2</v>
      </c>
      <c r="T68" s="389">
        <v>4.5585277188324795</v>
      </c>
      <c r="U68" s="389">
        <v>16.959069181074796</v>
      </c>
      <c r="V68" s="389">
        <v>0</v>
      </c>
      <c r="W68" s="308"/>
      <c r="X68" s="308"/>
      <c r="Y68" s="164"/>
      <c r="Z68" s="167"/>
      <c r="AA68" s="390">
        <v>53.929324235430926</v>
      </c>
      <c r="AB68" s="168">
        <f t="shared" si="37"/>
        <v>1.3804629203709615</v>
      </c>
      <c r="AC68" s="169"/>
      <c r="AD68" s="167"/>
      <c r="AE68" s="167">
        <v>1.3804629203709615</v>
      </c>
      <c r="AF68" s="167"/>
      <c r="AG68" s="167"/>
      <c r="AH68" s="167">
        <v>0</v>
      </c>
      <c r="AI68" s="167"/>
      <c r="AJ68" s="167"/>
      <c r="AK68" s="167"/>
      <c r="AL68" s="167"/>
      <c r="AM68" s="164"/>
      <c r="AN68" s="165"/>
      <c r="AO68" s="390">
        <v>74.178871141573552</v>
      </c>
      <c r="AP68" s="168"/>
      <c r="AQ68" s="171">
        <f t="shared" si="13"/>
        <v>172.31978145867356</v>
      </c>
    </row>
    <row r="69" spans="1:45" ht="12.75" customHeight="1">
      <c r="A69" s="367" t="s">
        <v>319</v>
      </c>
      <c r="B69" s="368" t="s">
        <v>320</v>
      </c>
      <c r="C69" s="330">
        <f t="shared" si="34"/>
        <v>0</v>
      </c>
      <c r="D69" s="391">
        <v>0</v>
      </c>
      <c r="E69" s="314"/>
      <c r="F69" s="314"/>
      <c r="G69" s="315"/>
      <c r="H69" s="332">
        <f t="shared" si="35"/>
        <v>0</v>
      </c>
      <c r="I69" s="392"/>
      <c r="J69" s="224"/>
      <c r="K69" s="393"/>
      <c r="L69" s="332">
        <f t="shared" si="36"/>
        <v>26.293507436687939</v>
      </c>
      <c r="M69" s="392"/>
      <c r="N69" s="314"/>
      <c r="O69" s="225"/>
      <c r="P69" s="314"/>
      <c r="Q69" s="394">
        <v>14.35095473127191</v>
      </c>
      <c r="R69" s="314"/>
      <c r="S69" s="394">
        <v>9.7228102211051784E-2</v>
      </c>
      <c r="T69" s="394">
        <v>2.6199367494357482</v>
      </c>
      <c r="U69" s="394">
        <v>9.2253878537692273</v>
      </c>
      <c r="V69" s="394">
        <v>0</v>
      </c>
      <c r="W69" s="314"/>
      <c r="X69" s="314"/>
      <c r="Y69" s="225"/>
      <c r="Z69" s="224"/>
      <c r="AA69" s="395">
        <v>63.51639267513076</v>
      </c>
      <c r="AB69" s="334">
        <f t="shared" si="37"/>
        <v>1.4673864126888767</v>
      </c>
      <c r="AC69" s="335"/>
      <c r="AD69" s="329"/>
      <c r="AE69" s="329">
        <v>1.4673864126888767</v>
      </c>
      <c r="AF69" s="329"/>
      <c r="AG69" s="329"/>
      <c r="AH69" s="329">
        <v>0</v>
      </c>
      <c r="AI69" s="329"/>
      <c r="AJ69" s="329"/>
      <c r="AK69" s="329"/>
      <c r="AL69" s="329"/>
      <c r="AM69" s="331"/>
      <c r="AN69" s="332"/>
      <c r="AO69" s="395">
        <v>50.538859596996531</v>
      </c>
      <c r="AP69" s="334"/>
      <c r="AQ69" s="336">
        <f t="shared" si="13"/>
        <v>141.81614612150412</v>
      </c>
    </row>
    <row r="70" spans="1:45" s="194" customFormat="1" ht="12.75" customHeight="1">
      <c r="A70" s="244" t="s">
        <v>321</v>
      </c>
      <c r="B70" s="245"/>
      <c r="C70" s="246">
        <f>SUM(D70:G70)</f>
        <v>0</v>
      </c>
      <c r="D70" s="396">
        <v>0</v>
      </c>
      <c r="E70" s="397"/>
      <c r="F70" s="398"/>
      <c r="G70" s="398"/>
      <c r="H70" s="250">
        <f>SUM(I70:K70)</f>
        <v>0</v>
      </c>
      <c r="I70" s="396"/>
      <c r="J70" s="397"/>
      <c r="K70" s="397"/>
      <c r="L70" s="250">
        <f>SUM(M70:Z70)</f>
        <v>175.46549158593075</v>
      </c>
      <c r="M70" s="397"/>
      <c r="N70" s="397"/>
      <c r="O70" s="397"/>
      <c r="P70" s="397">
        <v>0</v>
      </c>
      <c r="Q70" s="397">
        <v>0</v>
      </c>
      <c r="R70" s="397"/>
      <c r="S70" s="397"/>
      <c r="T70" s="399">
        <v>0</v>
      </c>
      <c r="U70" s="397">
        <v>175.46549158593075</v>
      </c>
      <c r="V70" s="212"/>
      <c r="W70" s="398"/>
      <c r="X70" s="398"/>
      <c r="Y70" s="398"/>
      <c r="Z70" s="397"/>
      <c r="AA70" s="250">
        <v>0</v>
      </c>
      <c r="AB70" s="251">
        <f>SUM(AC70:AM70)</f>
        <v>0</v>
      </c>
      <c r="AC70" s="400"/>
      <c r="AD70" s="397"/>
      <c r="AE70" s="397"/>
      <c r="AF70" s="397"/>
      <c r="AG70" s="397"/>
      <c r="AH70" s="397"/>
      <c r="AI70" s="397"/>
      <c r="AJ70" s="397"/>
      <c r="AK70" s="396"/>
      <c r="AL70" s="398"/>
      <c r="AM70" s="397"/>
      <c r="AN70" s="250"/>
      <c r="AO70" s="250">
        <v>47.988</v>
      </c>
      <c r="AP70" s="251"/>
      <c r="AQ70" s="241">
        <f t="shared" si="13"/>
        <v>223.45349158593075</v>
      </c>
      <c r="AR70" s="141"/>
      <c r="AS70" s="193"/>
    </row>
    <row r="71" spans="1:45" s="194" customFormat="1" ht="12.75" customHeight="1" thickBot="1">
      <c r="A71" s="401" t="s">
        <v>322</v>
      </c>
      <c r="B71" s="221"/>
      <c r="C71" s="222">
        <f>SUM(D71:G71)</f>
        <v>0</v>
      </c>
      <c r="D71" s="223"/>
      <c r="E71" s="224"/>
      <c r="F71" s="225"/>
      <c r="G71" s="225"/>
      <c r="H71" s="226">
        <f>SUM(I71:K71)</f>
        <v>0</v>
      </c>
      <c r="I71" s="223"/>
      <c r="J71" s="224"/>
      <c r="K71" s="224"/>
      <c r="L71" s="226">
        <f>SUM(M71:Z71)</f>
        <v>27.249865733664667</v>
      </c>
      <c r="M71" s="224"/>
      <c r="N71" s="224"/>
      <c r="O71" s="224"/>
      <c r="P71" s="224"/>
      <c r="Q71" s="224"/>
      <c r="R71" s="224"/>
      <c r="S71" s="224"/>
      <c r="T71" s="224"/>
      <c r="U71" s="338">
        <v>27.249865733664667</v>
      </c>
      <c r="V71" s="224"/>
      <c r="W71" s="225"/>
      <c r="X71" s="225"/>
      <c r="Y71" s="225"/>
      <c r="Z71" s="224"/>
      <c r="AA71" s="226"/>
      <c r="AB71" s="227">
        <f>SUM(AC71:AM71)</f>
        <v>0</v>
      </c>
      <c r="AC71" s="228"/>
      <c r="AD71" s="224"/>
      <c r="AE71" s="224"/>
      <c r="AF71" s="224"/>
      <c r="AG71" s="224"/>
      <c r="AH71" s="224"/>
      <c r="AI71" s="224"/>
      <c r="AJ71" s="224"/>
      <c r="AK71" s="223"/>
      <c r="AL71" s="225"/>
      <c r="AM71" s="224"/>
      <c r="AN71" s="226"/>
      <c r="AO71" s="229"/>
      <c r="AP71" s="227"/>
      <c r="AQ71" s="402">
        <f t="shared" si="13"/>
        <v>27.249865733664667</v>
      </c>
      <c r="AR71" s="141"/>
      <c r="AS71" s="193"/>
    </row>
    <row r="72" spans="1:45" s="194" customFormat="1" ht="12.75" customHeight="1" thickBot="1">
      <c r="A72" s="273" t="s">
        <v>323</v>
      </c>
      <c r="B72" s="274"/>
      <c r="C72" s="275">
        <f t="shared" ref="C72:AP72" si="38">C26-C27-C29</f>
        <v>-2.719924399165734</v>
      </c>
      <c r="D72" s="276">
        <f t="shared" si="38"/>
        <v>0.18184486786384468</v>
      </c>
      <c r="E72" s="277">
        <f t="shared" si="38"/>
        <v>-3.4486883993195647</v>
      </c>
      <c r="F72" s="280">
        <f t="shared" si="38"/>
        <v>0</v>
      </c>
      <c r="G72" s="280">
        <f t="shared" si="38"/>
        <v>0.6924657422902083</v>
      </c>
      <c r="H72" s="278">
        <f t="shared" si="38"/>
        <v>1.9457250152908045</v>
      </c>
      <c r="I72" s="276">
        <f t="shared" si="38"/>
        <v>-0.45741265470912973</v>
      </c>
      <c r="J72" s="277">
        <f t="shared" si="38"/>
        <v>0</v>
      </c>
      <c r="K72" s="277">
        <f t="shared" si="38"/>
        <v>2.4031376700000067</v>
      </c>
      <c r="L72" s="278">
        <f t="shared" si="38"/>
        <v>-0.17452026544560795</v>
      </c>
      <c r="M72" s="277">
        <f t="shared" si="38"/>
        <v>0</v>
      </c>
      <c r="N72" s="277">
        <f t="shared" si="38"/>
        <v>-0.14794174855289199</v>
      </c>
      <c r="O72" s="277">
        <f t="shared" si="38"/>
        <v>-5.2567080980734033</v>
      </c>
      <c r="P72" s="277">
        <f t="shared" si="38"/>
        <v>-22.015945821971172</v>
      </c>
      <c r="Q72" s="277">
        <f t="shared" si="38"/>
        <v>15.370413414720133</v>
      </c>
      <c r="R72" s="277">
        <f t="shared" si="38"/>
        <v>-6.7103906044801533</v>
      </c>
      <c r="S72" s="277">
        <f t="shared" si="38"/>
        <v>8.1718040718781069</v>
      </c>
      <c r="T72" s="277">
        <f t="shared" si="38"/>
        <v>6.5570336698137623</v>
      </c>
      <c r="U72" s="277">
        <f t="shared" si="38"/>
        <v>-4.4746269624060915</v>
      </c>
      <c r="V72" s="277">
        <f t="shared" si="38"/>
        <v>0.82532907951213019</v>
      </c>
      <c r="W72" s="280">
        <f t="shared" si="38"/>
        <v>7.506512734116022</v>
      </c>
      <c r="X72" s="280">
        <f t="shared" si="38"/>
        <v>0</v>
      </c>
      <c r="Y72" s="280">
        <f t="shared" si="38"/>
        <v>0</v>
      </c>
      <c r="Z72" s="277">
        <f t="shared" si="38"/>
        <v>0</v>
      </c>
      <c r="AA72" s="278">
        <f t="shared" si="38"/>
        <v>-40.274710307198575</v>
      </c>
      <c r="AB72" s="279">
        <f t="shared" si="38"/>
        <v>-8.1303135021793764</v>
      </c>
      <c r="AC72" s="403">
        <f t="shared" si="38"/>
        <v>0</v>
      </c>
      <c r="AD72" s="277">
        <f t="shared" si="38"/>
        <v>0</v>
      </c>
      <c r="AE72" s="277">
        <f t="shared" si="38"/>
        <v>-5.8327477785794315</v>
      </c>
      <c r="AF72" s="277">
        <f t="shared" si="38"/>
        <v>0</v>
      </c>
      <c r="AG72" s="277">
        <f t="shared" si="38"/>
        <v>0</v>
      </c>
      <c r="AH72" s="277">
        <f t="shared" si="38"/>
        <v>0</v>
      </c>
      <c r="AI72" s="277">
        <f t="shared" si="38"/>
        <v>-2.9556858672000175</v>
      </c>
      <c r="AJ72" s="277">
        <f t="shared" si="38"/>
        <v>0.65812014360000148</v>
      </c>
      <c r="AK72" s="276">
        <f t="shared" si="38"/>
        <v>0</v>
      </c>
      <c r="AL72" s="280">
        <f t="shared" si="38"/>
        <v>0</v>
      </c>
      <c r="AM72" s="277">
        <f t="shared" si="38"/>
        <v>0</v>
      </c>
      <c r="AN72" s="278">
        <f t="shared" si="38"/>
        <v>0</v>
      </c>
      <c r="AO72" s="278">
        <f t="shared" si="38"/>
        <v>-36.15143685982639</v>
      </c>
      <c r="AP72" s="279">
        <f t="shared" si="38"/>
        <v>0</v>
      </c>
      <c r="AQ72" s="281">
        <f t="shared" si="13"/>
        <v>-85.505180318524879</v>
      </c>
      <c r="AR72" s="141"/>
      <c r="AS72" s="193"/>
    </row>
    <row r="73" spans="1:45" ht="12.75" customHeight="1">
      <c r="A73" s="404"/>
      <c r="B73" s="404"/>
      <c r="C73" s="404"/>
      <c r="D73" s="404"/>
      <c r="E73" s="404"/>
      <c r="F73" s="404"/>
      <c r="G73" s="404"/>
      <c r="H73" s="404"/>
      <c r="I73" s="404"/>
      <c r="J73" s="404"/>
      <c r="K73" s="404"/>
      <c r="L73" s="404"/>
      <c r="M73" s="404"/>
      <c r="N73" s="404"/>
      <c r="O73" s="404"/>
      <c r="P73" s="404"/>
      <c r="Q73" s="404"/>
      <c r="R73" s="404"/>
      <c r="S73" s="404"/>
      <c r="T73" s="404"/>
      <c r="U73" s="404"/>
      <c r="V73" s="404"/>
      <c r="W73" s="404"/>
      <c r="X73" s="404"/>
      <c r="Y73" s="404"/>
      <c r="Z73" s="404"/>
      <c r="AA73" s="404"/>
      <c r="AB73" s="404"/>
      <c r="AC73" s="404"/>
      <c r="AD73" s="404"/>
      <c r="AE73" s="404"/>
      <c r="AF73" s="404"/>
      <c r="AG73" s="404"/>
      <c r="AH73" s="404"/>
      <c r="AI73" s="404"/>
      <c r="AJ73" s="404"/>
      <c r="AK73" s="404"/>
      <c r="AL73" s="404"/>
      <c r="AM73" s="404"/>
      <c r="AN73" s="404"/>
      <c r="AO73" s="404"/>
      <c r="AP73" s="404"/>
      <c r="AQ73" s="404"/>
    </row>
    <row r="74" spans="1:45" s="194" customFormat="1" ht="15" customHeight="1">
      <c r="A74" s="260" t="s">
        <v>324</v>
      </c>
      <c r="B74" s="238"/>
      <c r="C74" s="238"/>
      <c r="D74" s="238"/>
      <c r="E74" s="238"/>
      <c r="F74" s="238"/>
      <c r="G74" s="238"/>
      <c r="H74" s="238"/>
      <c r="I74" s="238"/>
      <c r="J74" s="238"/>
      <c r="K74" s="238"/>
      <c r="L74" s="405"/>
      <c r="M74" s="238"/>
      <c r="N74" s="238"/>
      <c r="Q74" s="238"/>
      <c r="R74" s="238"/>
      <c r="S74" s="238"/>
      <c r="T74" s="238"/>
      <c r="U74" s="238"/>
      <c r="V74" s="238"/>
      <c r="W74" s="231"/>
      <c r="Y74" s="238"/>
      <c r="Z74" s="238"/>
      <c r="AA74" s="238"/>
      <c r="AB74" s="238"/>
      <c r="AC74" s="238"/>
      <c r="AD74" s="238"/>
      <c r="AE74" s="238"/>
      <c r="AF74" s="238"/>
      <c r="AG74" s="238"/>
      <c r="AH74" s="238"/>
      <c r="AI74" s="238"/>
      <c r="AJ74" s="238"/>
      <c r="AK74" s="238"/>
      <c r="AL74" s="238"/>
      <c r="AM74" s="238"/>
      <c r="AN74" s="238"/>
      <c r="AO74" s="238"/>
      <c r="AP74" s="238"/>
      <c r="AQ74" s="238"/>
      <c r="AS74" s="193"/>
    </row>
    <row r="75" spans="1:45" ht="12.75" customHeight="1">
      <c r="A75" s="406" t="s">
        <v>325</v>
      </c>
      <c r="B75" s="404"/>
      <c r="C75" s="404"/>
      <c r="D75" s="404"/>
      <c r="E75" s="404"/>
      <c r="F75" s="404"/>
      <c r="G75" s="404"/>
      <c r="H75" s="404"/>
      <c r="I75" s="404"/>
      <c r="J75" s="404"/>
      <c r="K75" s="404"/>
      <c r="L75" s="404"/>
      <c r="M75" s="404"/>
      <c r="N75" s="404"/>
      <c r="O75" s="404"/>
      <c r="P75" s="404"/>
      <c r="Q75" s="404"/>
      <c r="R75" s="404"/>
      <c r="S75" s="404"/>
      <c r="T75" s="404"/>
      <c r="U75" s="404"/>
      <c r="V75" s="404"/>
      <c r="W75" s="404"/>
      <c r="X75" s="404"/>
      <c r="Y75" s="404"/>
      <c r="Z75" s="404"/>
      <c r="AA75" s="404"/>
      <c r="AB75" s="404"/>
      <c r="AC75" s="404"/>
      <c r="AD75" s="404"/>
      <c r="AE75" s="404"/>
      <c r="AF75" s="404"/>
      <c r="AG75" s="404"/>
      <c r="AH75" s="404"/>
      <c r="AI75" s="404"/>
      <c r="AJ75" s="404"/>
      <c r="AK75" s="404"/>
      <c r="AL75" s="404"/>
      <c r="AM75" s="404"/>
      <c r="AN75" s="404"/>
      <c r="AO75" s="404"/>
      <c r="AP75" s="404"/>
      <c r="AQ75" s="404"/>
    </row>
    <row r="76" spans="1:45" ht="12.75" customHeight="1">
      <c r="A76" s="407" t="s">
        <v>326</v>
      </c>
      <c r="B76" s="408"/>
      <c r="C76" s="404"/>
      <c r="D76" s="404"/>
      <c r="E76" s="404"/>
      <c r="F76" s="404"/>
      <c r="G76" s="404"/>
      <c r="H76" s="404"/>
      <c r="I76" s="404"/>
      <c r="J76" s="404"/>
      <c r="K76" s="404"/>
      <c r="L76" s="404"/>
      <c r="M76" s="404"/>
      <c r="N76" s="404"/>
      <c r="O76" s="404"/>
      <c r="P76" s="404"/>
      <c r="Q76" s="404"/>
      <c r="R76" s="404"/>
      <c r="S76" s="404"/>
      <c r="T76" s="404"/>
      <c r="U76" s="404"/>
      <c r="V76" s="404"/>
      <c r="W76" s="404"/>
      <c r="X76" s="404"/>
      <c r="Y76" s="404"/>
      <c r="Z76" s="404"/>
      <c r="AA76" s="404"/>
      <c r="AB76" s="404"/>
      <c r="AC76" s="404"/>
      <c r="AD76" s="404"/>
      <c r="AE76" s="404"/>
      <c r="AF76" s="404"/>
      <c r="AG76" s="404"/>
      <c r="AH76" s="404"/>
      <c r="AI76" s="404"/>
      <c r="AJ76" s="404"/>
      <c r="AK76" s="404"/>
      <c r="AL76" s="404"/>
      <c r="AM76" s="404"/>
      <c r="AN76" s="404"/>
      <c r="AO76" s="404"/>
      <c r="AP76" s="404"/>
      <c r="AQ76" s="404"/>
    </row>
    <row r="77" spans="1:45" ht="12.75" customHeight="1">
      <c r="A77" s="409" t="s">
        <v>327</v>
      </c>
      <c r="B77" s="406"/>
      <c r="C77" s="404"/>
      <c r="D77" s="404"/>
      <c r="E77" s="404"/>
      <c r="F77" s="404"/>
      <c r="G77" s="404"/>
      <c r="H77" s="404"/>
      <c r="I77" s="404"/>
      <c r="J77" s="404"/>
      <c r="K77" s="404"/>
      <c r="L77" s="404"/>
      <c r="M77" s="404"/>
      <c r="N77" s="404"/>
      <c r="O77" s="404"/>
      <c r="P77" s="404"/>
      <c r="Q77" s="404"/>
      <c r="R77" s="404"/>
      <c r="S77" s="404"/>
      <c r="T77" s="404"/>
      <c r="U77" s="404"/>
      <c r="V77" s="404"/>
      <c r="W77" s="404"/>
      <c r="X77" s="404"/>
      <c r="Y77" s="404"/>
      <c r="Z77" s="404"/>
      <c r="AA77" s="404"/>
      <c r="AB77" s="404"/>
      <c r="AC77" s="404"/>
      <c r="AD77" s="404"/>
      <c r="AE77" s="404"/>
      <c r="AF77" s="404"/>
      <c r="AG77" s="404"/>
      <c r="AH77" s="404"/>
      <c r="AI77" s="404"/>
      <c r="AJ77" s="404"/>
      <c r="AK77" s="404"/>
      <c r="AL77" s="404"/>
      <c r="AM77" s="404"/>
      <c r="AN77" s="404"/>
      <c r="AO77" s="404"/>
      <c r="AP77" s="404"/>
      <c r="AQ77" s="404"/>
    </row>
    <row r="78" spans="1:45" ht="12.75" customHeight="1">
      <c r="A78" s="410" t="s">
        <v>328</v>
      </c>
      <c r="B78" s="406"/>
      <c r="C78" s="404"/>
      <c r="D78" s="404"/>
      <c r="E78" s="404"/>
      <c r="F78" s="404"/>
      <c r="G78" s="404"/>
      <c r="H78" s="404"/>
      <c r="I78" s="404"/>
      <c r="J78" s="404"/>
      <c r="K78" s="404"/>
      <c r="L78" s="404"/>
      <c r="M78" s="404"/>
      <c r="N78" s="404"/>
      <c r="O78" s="404"/>
      <c r="P78" s="404"/>
      <c r="Q78" s="404"/>
      <c r="R78" s="404"/>
      <c r="S78" s="404"/>
      <c r="T78" s="404"/>
      <c r="U78" s="404"/>
      <c r="V78" s="404"/>
      <c r="W78" s="404"/>
      <c r="X78" s="404"/>
      <c r="Y78" s="404"/>
      <c r="Z78" s="404"/>
      <c r="AA78" s="404"/>
      <c r="AB78" s="404"/>
      <c r="AC78" s="404"/>
      <c r="AD78" s="404"/>
      <c r="AE78" s="404"/>
      <c r="AF78" s="404"/>
      <c r="AG78" s="404"/>
      <c r="AH78" s="404"/>
      <c r="AI78" s="404"/>
      <c r="AJ78" s="404"/>
      <c r="AK78" s="404"/>
      <c r="AL78" s="404"/>
      <c r="AM78" s="404"/>
      <c r="AN78" s="404"/>
      <c r="AO78" s="404"/>
      <c r="AP78" s="404"/>
      <c r="AQ78" s="404"/>
    </row>
    <row r="79" spans="1:45" ht="12.75" customHeight="1">
      <c r="A79" s="411" t="s">
        <v>329</v>
      </c>
      <c r="B79" s="412"/>
      <c r="C79" s="412"/>
      <c r="D79" s="412"/>
      <c r="E79" s="413"/>
      <c r="F79" s="141"/>
      <c r="G79" s="141"/>
      <c r="H79" s="194"/>
      <c r="I79" s="141"/>
      <c r="J79" s="141"/>
      <c r="K79" s="141"/>
      <c r="S79" s="414"/>
      <c r="T79" s="415"/>
      <c r="U79" s="414"/>
      <c r="V79" s="414"/>
      <c r="Z79" s="141"/>
      <c r="AB79" s="416"/>
      <c r="AP79" s="416"/>
    </row>
    <row r="80" spans="1:45" ht="12.75" customHeight="1">
      <c r="A80" s="411" t="s">
        <v>330</v>
      </c>
      <c r="B80" s="412"/>
      <c r="C80" s="412"/>
      <c r="D80" s="412"/>
      <c r="E80" s="413"/>
      <c r="F80" s="141"/>
      <c r="G80" s="141"/>
      <c r="H80" s="194"/>
      <c r="I80" s="141"/>
      <c r="J80" s="141"/>
      <c r="K80" s="141"/>
      <c r="S80" s="414"/>
      <c r="T80" s="415"/>
      <c r="U80" s="414"/>
      <c r="V80" s="414"/>
      <c r="Z80" s="141"/>
      <c r="AB80" s="416"/>
      <c r="AP80" s="416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5" customWidth="1"/>
    <col min="2" max="15" width="13.7109375" style="561" customWidth="1"/>
    <col min="16" max="241" width="9.140625" style="561"/>
    <col min="242" max="242" width="18" style="561" customWidth="1"/>
    <col min="243" max="256" width="13.7109375" style="561" customWidth="1"/>
    <col min="257" max="497" width="9.140625" style="561"/>
    <col min="498" max="498" width="18" style="561" customWidth="1"/>
    <col min="499" max="512" width="13.7109375" style="561" customWidth="1"/>
    <col min="513" max="753" width="9.140625" style="561"/>
    <col min="754" max="754" width="18" style="561" customWidth="1"/>
    <col min="755" max="768" width="13.7109375" style="561" customWidth="1"/>
    <col min="769" max="1009" width="9.140625" style="561"/>
    <col min="1010" max="1010" width="18" style="561" customWidth="1"/>
    <col min="1011" max="1024" width="13.7109375" style="561" customWidth="1"/>
    <col min="1025" max="1265" width="9.140625" style="561"/>
    <col min="1266" max="1266" width="18" style="561" customWidth="1"/>
    <col min="1267" max="1280" width="13.7109375" style="561" customWidth="1"/>
    <col min="1281" max="1521" width="9.140625" style="561"/>
    <col min="1522" max="1522" width="18" style="561" customWidth="1"/>
    <col min="1523" max="1536" width="13.7109375" style="561" customWidth="1"/>
    <col min="1537" max="1777" width="9.140625" style="561"/>
    <col min="1778" max="1778" width="18" style="561" customWidth="1"/>
    <col min="1779" max="1792" width="13.7109375" style="561" customWidth="1"/>
    <col min="1793" max="2033" width="9.140625" style="561"/>
    <col min="2034" max="2034" width="18" style="561" customWidth="1"/>
    <col min="2035" max="2048" width="13.7109375" style="561" customWidth="1"/>
    <col min="2049" max="2289" width="9.140625" style="561"/>
    <col min="2290" max="2290" width="18" style="561" customWidth="1"/>
    <col min="2291" max="2304" width="13.7109375" style="561" customWidth="1"/>
    <col min="2305" max="2545" width="9.140625" style="561"/>
    <col min="2546" max="2546" width="18" style="561" customWidth="1"/>
    <col min="2547" max="2560" width="13.7109375" style="561" customWidth="1"/>
    <col min="2561" max="2801" width="9.140625" style="561"/>
    <col min="2802" max="2802" width="18" style="561" customWidth="1"/>
    <col min="2803" max="2816" width="13.7109375" style="561" customWidth="1"/>
    <col min="2817" max="3057" width="9.140625" style="561"/>
    <col min="3058" max="3058" width="18" style="561" customWidth="1"/>
    <col min="3059" max="3072" width="13.7109375" style="561" customWidth="1"/>
    <col min="3073" max="3313" width="9.140625" style="561"/>
    <col min="3314" max="3314" width="18" style="561" customWidth="1"/>
    <col min="3315" max="3328" width="13.7109375" style="561" customWidth="1"/>
    <col min="3329" max="3569" width="9.140625" style="561"/>
    <col min="3570" max="3570" width="18" style="561" customWidth="1"/>
    <col min="3571" max="3584" width="13.7109375" style="561" customWidth="1"/>
    <col min="3585" max="3825" width="9.140625" style="561"/>
    <col min="3826" max="3826" width="18" style="561" customWidth="1"/>
    <col min="3827" max="3840" width="13.7109375" style="561" customWidth="1"/>
    <col min="3841" max="4081" width="9.140625" style="561"/>
    <col min="4082" max="4082" width="18" style="561" customWidth="1"/>
    <col min="4083" max="4096" width="13.7109375" style="561" customWidth="1"/>
    <col min="4097" max="4337" width="9.140625" style="561"/>
    <col min="4338" max="4338" width="18" style="561" customWidth="1"/>
    <col min="4339" max="4352" width="13.7109375" style="561" customWidth="1"/>
    <col min="4353" max="4593" width="9.140625" style="561"/>
    <col min="4594" max="4594" width="18" style="561" customWidth="1"/>
    <col min="4595" max="4608" width="13.7109375" style="561" customWidth="1"/>
    <col min="4609" max="4849" width="9.140625" style="561"/>
    <col min="4850" max="4850" width="18" style="561" customWidth="1"/>
    <col min="4851" max="4864" width="13.7109375" style="561" customWidth="1"/>
    <col min="4865" max="5105" width="9.140625" style="561"/>
    <col min="5106" max="5106" width="18" style="561" customWidth="1"/>
    <col min="5107" max="5120" width="13.7109375" style="561" customWidth="1"/>
    <col min="5121" max="5361" width="9.140625" style="561"/>
    <col min="5362" max="5362" width="18" style="561" customWidth="1"/>
    <col min="5363" max="5376" width="13.7109375" style="561" customWidth="1"/>
    <col min="5377" max="5617" width="9.140625" style="561"/>
    <col min="5618" max="5618" width="18" style="561" customWidth="1"/>
    <col min="5619" max="5632" width="13.7109375" style="561" customWidth="1"/>
    <col min="5633" max="5873" width="9.140625" style="561"/>
    <col min="5874" max="5874" width="18" style="561" customWidth="1"/>
    <col min="5875" max="5888" width="13.7109375" style="561" customWidth="1"/>
    <col min="5889" max="6129" width="9.140625" style="561"/>
    <col min="6130" max="6130" width="18" style="561" customWidth="1"/>
    <col min="6131" max="6144" width="13.7109375" style="561" customWidth="1"/>
    <col min="6145" max="6385" width="9.140625" style="561"/>
    <col min="6386" max="6386" width="18" style="561" customWidth="1"/>
    <col min="6387" max="6400" width="13.7109375" style="561" customWidth="1"/>
    <col min="6401" max="6641" width="9.140625" style="561"/>
    <col min="6642" max="6642" width="18" style="561" customWidth="1"/>
    <col min="6643" max="6656" width="13.7109375" style="561" customWidth="1"/>
    <col min="6657" max="6897" width="9.140625" style="561"/>
    <col min="6898" max="6898" width="18" style="561" customWidth="1"/>
    <col min="6899" max="6912" width="13.7109375" style="561" customWidth="1"/>
    <col min="6913" max="7153" width="9.140625" style="561"/>
    <col min="7154" max="7154" width="18" style="561" customWidth="1"/>
    <col min="7155" max="7168" width="13.7109375" style="561" customWidth="1"/>
    <col min="7169" max="7409" width="9.140625" style="561"/>
    <col min="7410" max="7410" width="18" style="561" customWidth="1"/>
    <col min="7411" max="7424" width="13.7109375" style="561" customWidth="1"/>
    <col min="7425" max="7665" width="9.140625" style="561"/>
    <col min="7666" max="7666" width="18" style="561" customWidth="1"/>
    <col min="7667" max="7680" width="13.7109375" style="561" customWidth="1"/>
    <col min="7681" max="7921" width="9.140625" style="561"/>
    <col min="7922" max="7922" width="18" style="561" customWidth="1"/>
    <col min="7923" max="7936" width="13.7109375" style="561" customWidth="1"/>
    <col min="7937" max="8177" width="9.140625" style="561"/>
    <col min="8178" max="8178" width="18" style="561" customWidth="1"/>
    <col min="8179" max="8192" width="13.7109375" style="561" customWidth="1"/>
    <col min="8193" max="8433" width="9.140625" style="561"/>
    <col min="8434" max="8434" width="18" style="561" customWidth="1"/>
    <col min="8435" max="8448" width="13.7109375" style="561" customWidth="1"/>
    <col min="8449" max="8689" width="9.140625" style="561"/>
    <col min="8690" max="8690" width="18" style="561" customWidth="1"/>
    <col min="8691" max="8704" width="13.7109375" style="561" customWidth="1"/>
    <col min="8705" max="8945" width="9.140625" style="561"/>
    <col min="8946" max="8946" width="18" style="561" customWidth="1"/>
    <col min="8947" max="8960" width="13.7109375" style="561" customWidth="1"/>
    <col min="8961" max="9201" width="9.140625" style="561"/>
    <col min="9202" max="9202" width="18" style="561" customWidth="1"/>
    <col min="9203" max="9216" width="13.7109375" style="561" customWidth="1"/>
    <col min="9217" max="9457" width="9.140625" style="561"/>
    <col min="9458" max="9458" width="18" style="561" customWidth="1"/>
    <col min="9459" max="9472" width="13.7109375" style="561" customWidth="1"/>
    <col min="9473" max="9713" width="9.140625" style="561"/>
    <col min="9714" max="9714" width="18" style="561" customWidth="1"/>
    <col min="9715" max="9728" width="13.7109375" style="561" customWidth="1"/>
    <col min="9729" max="9969" width="9.140625" style="561"/>
    <col min="9970" max="9970" width="18" style="561" customWidth="1"/>
    <col min="9971" max="9984" width="13.7109375" style="561" customWidth="1"/>
    <col min="9985" max="10225" width="9.140625" style="561"/>
    <col min="10226" max="10226" width="18" style="561" customWidth="1"/>
    <col min="10227" max="10240" width="13.7109375" style="561" customWidth="1"/>
    <col min="10241" max="10481" width="9.140625" style="561"/>
    <col min="10482" max="10482" width="18" style="561" customWidth="1"/>
    <col min="10483" max="10496" width="13.7109375" style="561" customWidth="1"/>
    <col min="10497" max="10737" width="9.140625" style="561"/>
    <col min="10738" max="10738" width="18" style="561" customWidth="1"/>
    <col min="10739" max="10752" width="13.7109375" style="561" customWidth="1"/>
    <col min="10753" max="10993" width="9.140625" style="561"/>
    <col min="10994" max="10994" width="18" style="561" customWidth="1"/>
    <col min="10995" max="11008" width="13.7109375" style="561" customWidth="1"/>
    <col min="11009" max="11249" width="9.140625" style="561"/>
    <col min="11250" max="11250" width="18" style="561" customWidth="1"/>
    <col min="11251" max="11264" width="13.7109375" style="561" customWidth="1"/>
    <col min="11265" max="11505" width="9.140625" style="561"/>
    <col min="11506" max="11506" width="18" style="561" customWidth="1"/>
    <col min="11507" max="11520" width="13.7109375" style="561" customWidth="1"/>
    <col min="11521" max="11761" width="9.140625" style="561"/>
    <col min="11762" max="11762" width="18" style="561" customWidth="1"/>
    <col min="11763" max="11776" width="13.7109375" style="561" customWidth="1"/>
    <col min="11777" max="12017" width="9.140625" style="561"/>
    <col min="12018" max="12018" width="18" style="561" customWidth="1"/>
    <col min="12019" max="12032" width="13.7109375" style="561" customWidth="1"/>
    <col min="12033" max="12273" width="9.140625" style="561"/>
    <col min="12274" max="12274" width="18" style="561" customWidth="1"/>
    <col min="12275" max="12288" width="13.7109375" style="561" customWidth="1"/>
    <col min="12289" max="12529" width="9.140625" style="561"/>
    <col min="12530" max="12530" width="18" style="561" customWidth="1"/>
    <col min="12531" max="12544" width="13.7109375" style="561" customWidth="1"/>
    <col min="12545" max="12785" width="9.140625" style="561"/>
    <col min="12786" max="12786" width="18" style="561" customWidth="1"/>
    <col min="12787" max="12800" width="13.7109375" style="561" customWidth="1"/>
    <col min="12801" max="13041" width="9.140625" style="561"/>
    <col min="13042" max="13042" width="18" style="561" customWidth="1"/>
    <col min="13043" max="13056" width="13.7109375" style="561" customWidth="1"/>
    <col min="13057" max="13297" width="9.140625" style="561"/>
    <col min="13298" max="13298" width="18" style="561" customWidth="1"/>
    <col min="13299" max="13312" width="13.7109375" style="561" customWidth="1"/>
    <col min="13313" max="13553" width="9.140625" style="561"/>
    <col min="13554" max="13554" width="18" style="561" customWidth="1"/>
    <col min="13555" max="13568" width="13.7109375" style="561" customWidth="1"/>
    <col min="13569" max="13809" width="9.140625" style="561"/>
    <col min="13810" max="13810" width="18" style="561" customWidth="1"/>
    <col min="13811" max="13824" width="13.7109375" style="561" customWidth="1"/>
    <col min="13825" max="14065" width="9.140625" style="561"/>
    <col min="14066" max="14066" width="18" style="561" customWidth="1"/>
    <col min="14067" max="14080" width="13.7109375" style="561" customWidth="1"/>
    <col min="14081" max="14321" width="9.140625" style="561"/>
    <col min="14322" max="14322" width="18" style="561" customWidth="1"/>
    <col min="14323" max="14336" width="13.7109375" style="561" customWidth="1"/>
    <col min="14337" max="14577" width="9.140625" style="561"/>
    <col min="14578" max="14578" width="18" style="561" customWidth="1"/>
    <col min="14579" max="14592" width="13.7109375" style="561" customWidth="1"/>
    <col min="14593" max="14833" width="9.140625" style="561"/>
    <col min="14834" max="14834" width="18" style="561" customWidth="1"/>
    <col min="14835" max="14848" width="13.7109375" style="561" customWidth="1"/>
    <col min="14849" max="15089" width="9.140625" style="561"/>
    <col min="15090" max="15090" width="18" style="561" customWidth="1"/>
    <col min="15091" max="15104" width="13.7109375" style="561" customWidth="1"/>
    <col min="15105" max="15345" width="9.140625" style="561"/>
    <col min="15346" max="15346" width="18" style="561" customWidth="1"/>
    <col min="15347" max="15360" width="13.7109375" style="561" customWidth="1"/>
    <col min="15361" max="15601" width="9.140625" style="561"/>
    <col min="15602" max="15602" width="18" style="561" customWidth="1"/>
    <col min="15603" max="15616" width="13.7109375" style="561" customWidth="1"/>
    <col min="15617" max="15857" width="9.140625" style="561"/>
    <col min="15858" max="15858" width="18" style="561" customWidth="1"/>
    <col min="15859" max="15872" width="13.7109375" style="561" customWidth="1"/>
    <col min="15873" max="16113" width="9.140625" style="561"/>
    <col min="16114" max="16114" width="18" style="561" customWidth="1"/>
    <col min="16115" max="16128" width="13.7109375" style="561" customWidth="1"/>
    <col min="16129" max="16369" width="9.140625" style="561"/>
    <col min="16370" max="16384" width="9.140625" style="561" customWidth="1"/>
  </cols>
  <sheetData>
    <row r="1" spans="1:15" ht="15" customHeight="1">
      <c r="A1" s="729" t="s">
        <v>462</v>
      </c>
      <c r="B1" s="729"/>
      <c r="C1" s="729"/>
      <c r="D1" s="729"/>
      <c r="E1" s="729"/>
      <c r="F1" s="729"/>
      <c r="G1" s="729"/>
      <c r="H1" s="729"/>
      <c r="I1" s="729"/>
      <c r="J1" s="729"/>
      <c r="K1" s="729"/>
      <c r="L1" s="730"/>
      <c r="M1" s="730"/>
      <c r="N1" s="730"/>
      <c r="O1" s="730"/>
    </row>
    <row r="2" spans="1:15" ht="15" customHeight="1">
      <c r="A2" s="562" t="s">
        <v>463</v>
      </c>
      <c r="B2" s="563" t="s">
        <v>464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4"/>
      <c r="O2" s="565" t="s">
        <v>465</v>
      </c>
    </row>
    <row r="3" spans="1:15" ht="33.75" customHeight="1">
      <c r="A3" s="566" t="s">
        <v>466</v>
      </c>
      <c r="B3" s="567" t="s">
        <v>460</v>
      </c>
      <c r="C3" s="567" t="s">
        <v>459</v>
      </c>
      <c r="D3" s="567" t="s">
        <v>467</v>
      </c>
      <c r="E3" s="567" t="s">
        <v>461</v>
      </c>
      <c r="F3" s="567" t="s">
        <v>468</v>
      </c>
      <c r="G3" s="567" t="s">
        <v>469</v>
      </c>
      <c r="H3" s="567" t="s">
        <v>470</v>
      </c>
      <c r="I3" s="567" t="s">
        <v>471</v>
      </c>
      <c r="J3" s="567" t="s">
        <v>472</v>
      </c>
      <c r="K3" s="567" t="s">
        <v>473</v>
      </c>
      <c r="L3" s="567" t="s">
        <v>474</v>
      </c>
      <c r="M3" s="567" t="s">
        <v>475</v>
      </c>
      <c r="N3" s="567" t="s">
        <v>65</v>
      </c>
      <c r="O3" s="567" t="s">
        <v>476</v>
      </c>
    </row>
    <row r="4" spans="1:15" ht="15" customHeight="1">
      <c r="A4" s="568" t="s">
        <v>338</v>
      </c>
      <c r="B4" s="569">
        <v>435</v>
      </c>
      <c r="C4" s="569">
        <v>327</v>
      </c>
      <c r="D4" s="569">
        <v>363</v>
      </c>
      <c r="E4" s="569">
        <v>2588</v>
      </c>
      <c r="F4" s="569">
        <v>870</v>
      </c>
      <c r="G4" s="569">
        <v>706</v>
      </c>
      <c r="H4" s="569">
        <v>3069</v>
      </c>
      <c r="I4" s="569">
        <v>239</v>
      </c>
      <c r="J4" s="569">
        <v>221</v>
      </c>
      <c r="K4" s="569">
        <v>1340</v>
      </c>
      <c r="L4" s="569">
        <v>962</v>
      </c>
      <c r="M4" s="569">
        <v>680</v>
      </c>
      <c r="N4" s="569">
        <v>853</v>
      </c>
      <c r="O4" s="570">
        <v>591</v>
      </c>
    </row>
    <row r="5" spans="1:15" ht="15" customHeight="1">
      <c r="A5" s="568" t="s">
        <v>477</v>
      </c>
      <c r="B5" s="569">
        <v>362</v>
      </c>
      <c r="C5" s="569">
        <v>1166</v>
      </c>
      <c r="D5" s="569">
        <v>334</v>
      </c>
      <c r="E5" s="569">
        <v>4180</v>
      </c>
      <c r="F5" s="569">
        <v>1352</v>
      </c>
      <c r="G5" s="569">
        <v>572</v>
      </c>
      <c r="H5" s="569">
        <v>2697</v>
      </c>
      <c r="I5" s="569">
        <v>664</v>
      </c>
      <c r="J5" s="569">
        <v>370</v>
      </c>
      <c r="K5" s="569">
        <v>1302</v>
      </c>
      <c r="L5" s="569">
        <v>1963</v>
      </c>
      <c r="M5" s="569">
        <v>1330</v>
      </c>
      <c r="N5" s="569">
        <v>915</v>
      </c>
      <c r="O5" s="570">
        <v>903</v>
      </c>
    </row>
    <row r="6" spans="1:15" ht="15" customHeight="1">
      <c r="A6" s="568" t="s">
        <v>478</v>
      </c>
      <c r="B6" s="569">
        <v>265</v>
      </c>
      <c r="C6" s="569">
        <v>514</v>
      </c>
      <c r="D6" s="569">
        <v>346</v>
      </c>
      <c r="E6" s="569">
        <v>5219</v>
      </c>
      <c r="F6" s="569">
        <v>1398</v>
      </c>
      <c r="G6" s="569">
        <v>1189</v>
      </c>
      <c r="H6" s="569">
        <v>3828</v>
      </c>
      <c r="I6" s="569">
        <v>368</v>
      </c>
      <c r="J6" s="569">
        <v>424</v>
      </c>
      <c r="K6" s="569">
        <v>1782</v>
      </c>
      <c r="L6" s="569">
        <v>2478</v>
      </c>
      <c r="M6" s="569">
        <v>1011</v>
      </c>
      <c r="N6" s="569">
        <v>1420</v>
      </c>
      <c r="O6" s="570">
        <v>675</v>
      </c>
    </row>
    <row r="7" spans="1:15" ht="15" customHeight="1">
      <c r="A7" s="568" t="s">
        <v>354</v>
      </c>
      <c r="B7" s="569">
        <v>224</v>
      </c>
      <c r="C7" s="569">
        <v>366</v>
      </c>
      <c r="D7" s="569">
        <v>371</v>
      </c>
      <c r="E7" s="569">
        <v>4223</v>
      </c>
      <c r="F7" s="569">
        <v>986</v>
      </c>
      <c r="G7" s="569">
        <v>617</v>
      </c>
      <c r="H7" s="569">
        <v>7106</v>
      </c>
      <c r="I7" s="569">
        <v>616</v>
      </c>
      <c r="J7" s="569">
        <v>287</v>
      </c>
      <c r="K7" s="569">
        <v>2342</v>
      </c>
      <c r="L7" s="569">
        <v>1406</v>
      </c>
      <c r="M7" s="569">
        <v>1271</v>
      </c>
      <c r="N7" s="569">
        <v>463</v>
      </c>
      <c r="O7" s="570">
        <v>615</v>
      </c>
    </row>
    <row r="8" spans="1:15" ht="15" customHeight="1">
      <c r="A8" s="568" t="s">
        <v>356</v>
      </c>
      <c r="B8" s="569">
        <v>284</v>
      </c>
      <c r="C8" s="569">
        <v>275</v>
      </c>
      <c r="D8" s="569">
        <v>278</v>
      </c>
      <c r="E8" s="569">
        <v>2636</v>
      </c>
      <c r="F8" s="569">
        <v>1156</v>
      </c>
      <c r="G8" s="569">
        <v>666</v>
      </c>
      <c r="H8" s="569">
        <v>1486</v>
      </c>
      <c r="I8" s="569">
        <v>303</v>
      </c>
      <c r="J8" s="569">
        <v>233</v>
      </c>
      <c r="K8" s="569">
        <v>1352</v>
      </c>
      <c r="L8" s="569">
        <v>976</v>
      </c>
      <c r="M8" s="569">
        <v>479</v>
      </c>
      <c r="N8" s="569">
        <v>236</v>
      </c>
      <c r="O8" s="570">
        <v>500</v>
      </c>
    </row>
    <row r="9" spans="1:15" ht="15" customHeight="1">
      <c r="A9" s="568" t="s">
        <v>358</v>
      </c>
      <c r="B9" s="569">
        <v>324</v>
      </c>
      <c r="C9" s="569">
        <v>255</v>
      </c>
      <c r="D9" s="569">
        <v>267</v>
      </c>
      <c r="E9" s="569">
        <v>5795</v>
      </c>
      <c r="F9" s="569">
        <v>884</v>
      </c>
      <c r="G9" s="569">
        <v>567</v>
      </c>
      <c r="H9" s="569">
        <v>4316</v>
      </c>
      <c r="I9" s="569">
        <v>660</v>
      </c>
      <c r="J9" s="569">
        <v>252</v>
      </c>
      <c r="K9" s="569">
        <v>1516</v>
      </c>
      <c r="L9" s="569">
        <v>2261</v>
      </c>
      <c r="M9" s="569">
        <v>1735</v>
      </c>
      <c r="N9" s="569">
        <v>1645</v>
      </c>
      <c r="O9" s="570">
        <v>588</v>
      </c>
    </row>
    <row r="10" spans="1:15" ht="15" customHeight="1">
      <c r="A10" s="568" t="s">
        <v>364</v>
      </c>
      <c r="B10" s="569">
        <v>353</v>
      </c>
      <c r="C10" s="569">
        <v>251</v>
      </c>
      <c r="D10" s="569">
        <v>268</v>
      </c>
      <c r="E10" s="569">
        <v>1167</v>
      </c>
      <c r="F10" s="569">
        <v>1151</v>
      </c>
      <c r="G10" s="569">
        <v>648</v>
      </c>
      <c r="H10" s="569">
        <v>5865</v>
      </c>
      <c r="I10" s="569">
        <v>424</v>
      </c>
      <c r="J10" s="569">
        <v>403</v>
      </c>
      <c r="K10" s="569">
        <v>2019</v>
      </c>
      <c r="L10" s="569">
        <v>906</v>
      </c>
      <c r="M10" s="569">
        <v>707</v>
      </c>
      <c r="N10" s="569">
        <v>196</v>
      </c>
      <c r="O10" s="570">
        <v>627</v>
      </c>
    </row>
    <row r="11" spans="1:15" ht="15" customHeight="1">
      <c r="A11" s="568" t="s">
        <v>366</v>
      </c>
      <c r="B11" s="569">
        <v>305</v>
      </c>
      <c r="C11" s="569">
        <v>555</v>
      </c>
      <c r="D11" s="569">
        <v>319</v>
      </c>
      <c r="E11" s="569">
        <v>4695</v>
      </c>
      <c r="F11" s="569">
        <v>1204</v>
      </c>
      <c r="G11" s="569">
        <v>591</v>
      </c>
      <c r="H11" s="569">
        <v>4248</v>
      </c>
      <c r="I11" s="569">
        <v>342</v>
      </c>
      <c r="J11" s="569">
        <v>200</v>
      </c>
      <c r="K11" s="569">
        <v>1450</v>
      </c>
      <c r="L11" s="569">
        <v>1513</v>
      </c>
      <c r="M11" s="569">
        <v>1790</v>
      </c>
      <c r="N11" s="569">
        <v>775</v>
      </c>
      <c r="O11" s="570">
        <v>666</v>
      </c>
    </row>
    <row r="12" spans="1:15" ht="15" customHeight="1">
      <c r="A12" s="568" t="s">
        <v>370</v>
      </c>
      <c r="B12" s="569">
        <v>235</v>
      </c>
      <c r="C12" s="569">
        <v>383</v>
      </c>
      <c r="D12" s="569">
        <v>297</v>
      </c>
      <c r="E12" s="569">
        <v>4062</v>
      </c>
      <c r="F12" s="569">
        <v>901</v>
      </c>
      <c r="G12" s="569">
        <v>522</v>
      </c>
      <c r="H12" s="569">
        <v>1786</v>
      </c>
      <c r="I12" s="569">
        <v>539</v>
      </c>
      <c r="J12" s="569">
        <v>277</v>
      </c>
      <c r="K12" s="569">
        <v>1525</v>
      </c>
      <c r="L12" s="569">
        <v>1636</v>
      </c>
      <c r="M12" s="569">
        <v>1001</v>
      </c>
      <c r="N12" s="569">
        <v>270</v>
      </c>
      <c r="O12" s="570">
        <v>537</v>
      </c>
    </row>
    <row r="13" spans="1:15" ht="15" customHeight="1">
      <c r="A13" s="568" t="s">
        <v>374</v>
      </c>
      <c r="B13" s="569">
        <v>301</v>
      </c>
      <c r="C13" s="569">
        <v>438</v>
      </c>
      <c r="D13" s="569">
        <v>222</v>
      </c>
      <c r="E13" s="569">
        <v>1949</v>
      </c>
      <c r="F13" s="569">
        <v>960</v>
      </c>
      <c r="G13" s="569">
        <v>663</v>
      </c>
      <c r="H13" s="569">
        <v>1632</v>
      </c>
      <c r="I13" s="569">
        <v>707</v>
      </c>
      <c r="J13" s="569">
        <v>312</v>
      </c>
      <c r="K13" s="569">
        <v>1585</v>
      </c>
      <c r="L13" s="569">
        <v>2469</v>
      </c>
      <c r="M13" s="569">
        <v>372</v>
      </c>
      <c r="N13" s="569">
        <v>139</v>
      </c>
      <c r="O13" s="570">
        <v>580</v>
      </c>
    </row>
    <row r="14" spans="1:15" ht="15" customHeight="1">
      <c r="A14" s="568" t="s">
        <v>384</v>
      </c>
      <c r="B14" s="569">
        <v>298</v>
      </c>
      <c r="C14" s="569">
        <v>533</v>
      </c>
      <c r="D14" s="569">
        <v>243</v>
      </c>
      <c r="E14" s="569">
        <v>2221</v>
      </c>
      <c r="F14" s="569">
        <v>1434</v>
      </c>
      <c r="G14" s="569">
        <v>621</v>
      </c>
      <c r="H14" s="569">
        <v>3215</v>
      </c>
      <c r="I14" s="569">
        <v>1025</v>
      </c>
      <c r="J14" s="569">
        <v>256</v>
      </c>
      <c r="K14" s="569">
        <v>1154</v>
      </c>
      <c r="L14" s="569">
        <v>1960</v>
      </c>
      <c r="M14" s="569">
        <v>1053</v>
      </c>
      <c r="N14" s="569">
        <v>637</v>
      </c>
      <c r="O14" s="570">
        <v>595</v>
      </c>
    </row>
    <row r="15" spans="1:15" ht="15" customHeight="1">
      <c r="A15" s="568" t="s">
        <v>386</v>
      </c>
      <c r="B15" s="569">
        <v>294</v>
      </c>
      <c r="C15" s="569">
        <v>516</v>
      </c>
      <c r="D15" s="569">
        <v>269</v>
      </c>
      <c r="E15" s="569">
        <v>2763</v>
      </c>
      <c r="F15" s="569">
        <v>807</v>
      </c>
      <c r="G15" s="569">
        <v>651</v>
      </c>
      <c r="H15" s="569">
        <v>2074</v>
      </c>
      <c r="I15" s="569">
        <v>456</v>
      </c>
      <c r="J15" s="569">
        <v>360</v>
      </c>
      <c r="K15" s="569">
        <v>1289</v>
      </c>
      <c r="L15" s="569">
        <v>1459</v>
      </c>
      <c r="M15" s="569">
        <v>689</v>
      </c>
      <c r="N15" s="569">
        <v>715</v>
      </c>
      <c r="O15" s="570">
        <v>526</v>
      </c>
    </row>
    <row r="16" spans="1:15" ht="15" customHeight="1">
      <c r="A16" s="568" t="s">
        <v>388</v>
      </c>
      <c r="B16" s="569">
        <v>218</v>
      </c>
      <c r="C16" s="569">
        <v>299</v>
      </c>
      <c r="D16" s="569">
        <v>286</v>
      </c>
      <c r="E16" s="569">
        <v>3896</v>
      </c>
      <c r="F16" s="569">
        <v>646</v>
      </c>
      <c r="G16" s="569">
        <v>424</v>
      </c>
      <c r="H16" s="569">
        <v>2139</v>
      </c>
      <c r="I16" s="569">
        <v>518</v>
      </c>
      <c r="J16" s="569">
        <v>306</v>
      </c>
      <c r="K16" s="569">
        <v>1731</v>
      </c>
      <c r="L16" s="569">
        <v>1701</v>
      </c>
      <c r="M16" s="569">
        <v>778</v>
      </c>
      <c r="N16" s="569">
        <v>280</v>
      </c>
      <c r="O16" s="570">
        <v>495</v>
      </c>
    </row>
    <row r="17" spans="1:15" ht="15" customHeight="1">
      <c r="A17" s="568" t="s">
        <v>342</v>
      </c>
      <c r="B17" s="569">
        <v>221</v>
      </c>
      <c r="C17" s="569">
        <v>482</v>
      </c>
      <c r="D17" s="569">
        <v>293</v>
      </c>
      <c r="E17" s="569">
        <v>2231</v>
      </c>
      <c r="F17" s="569">
        <v>960</v>
      </c>
      <c r="G17" s="569">
        <v>431</v>
      </c>
      <c r="H17" s="569">
        <v>2336</v>
      </c>
      <c r="I17" s="569">
        <v>200</v>
      </c>
      <c r="J17" s="569">
        <v>257</v>
      </c>
      <c r="K17" s="569">
        <v>620</v>
      </c>
      <c r="L17" s="569">
        <v>986</v>
      </c>
      <c r="M17" s="569">
        <v>503</v>
      </c>
      <c r="N17" s="569">
        <v>492</v>
      </c>
      <c r="O17" s="570">
        <v>576</v>
      </c>
    </row>
    <row r="18" spans="1:15" ht="15" customHeight="1">
      <c r="A18" s="568" t="s">
        <v>479</v>
      </c>
      <c r="B18" s="569">
        <v>375</v>
      </c>
      <c r="C18" s="569">
        <v>703</v>
      </c>
      <c r="D18" s="569">
        <v>214</v>
      </c>
      <c r="E18" s="569">
        <v>401</v>
      </c>
      <c r="F18" s="569">
        <v>1262</v>
      </c>
      <c r="G18" s="569">
        <v>414</v>
      </c>
      <c r="H18" s="569">
        <v>2699</v>
      </c>
      <c r="I18" s="569">
        <v>172</v>
      </c>
      <c r="J18" s="569">
        <v>132</v>
      </c>
      <c r="K18" s="571" t="s">
        <v>480</v>
      </c>
      <c r="L18" s="569">
        <v>736</v>
      </c>
      <c r="M18" s="569">
        <v>852</v>
      </c>
      <c r="N18" s="569">
        <v>533</v>
      </c>
      <c r="O18" s="570">
        <v>557</v>
      </c>
    </row>
    <row r="19" spans="1:15" ht="15" customHeight="1">
      <c r="A19" s="568" t="s">
        <v>481</v>
      </c>
      <c r="B19" s="569">
        <v>289</v>
      </c>
      <c r="C19" s="569">
        <v>600</v>
      </c>
      <c r="D19" s="569">
        <v>275</v>
      </c>
      <c r="E19" s="569">
        <v>3339</v>
      </c>
      <c r="F19" s="569">
        <v>968</v>
      </c>
      <c r="G19" s="569">
        <v>475</v>
      </c>
      <c r="H19" s="569">
        <v>3136</v>
      </c>
      <c r="I19" s="569">
        <v>497</v>
      </c>
      <c r="J19" s="569">
        <v>339</v>
      </c>
      <c r="K19" s="569">
        <v>1307</v>
      </c>
      <c r="L19" s="569">
        <v>1501</v>
      </c>
      <c r="M19" s="569">
        <v>829</v>
      </c>
      <c r="N19" s="569">
        <v>711</v>
      </c>
      <c r="O19" s="570">
        <v>581</v>
      </c>
    </row>
    <row r="20" spans="1:15" ht="15" customHeight="1">
      <c r="A20" s="568" t="s">
        <v>352</v>
      </c>
      <c r="B20" s="569">
        <v>265</v>
      </c>
      <c r="C20" s="569">
        <v>281</v>
      </c>
      <c r="D20" s="569">
        <v>276</v>
      </c>
      <c r="E20" s="569">
        <v>2649</v>
      </c>
      <c r="F20" s="569">
        <v>680</v>
      </c>
      <c r="G20" s="569">
        <v>304</v>
      </c>
      <c r="H20" s="569">
        <v>3571</v>
      </c>
      <c r="I20" s="569">
        <v>389</v>
      </c>
      <c r="J20" s="569">
        <v>269</v>
      </c>
      <c r="K20" s="569">
        <v>748</v>
      </c>
      <c r="L20" s="569">
        <v>1023</v>
      </c>
      <c r="M20" s="569">
        <v>467</v>
      </c>
      <c r="N20" s="569">
        <v>328</v>
      </c>
      <c r="O20" s="570">
        <v>493</v>
      </c>
    </row>
    <row r="21" spans="1:15" ht="15" customHeight="1">
      <c r="A21" s="568" t="s">
        <v>482</v>
      </c>
      <c r="B21" s="569">
        <v>253</v>
      </c>
      <c r="C21" s="569">
        <v>500</v>
      </c>
      <c r="D21" s="569">
        <v>268</v>
      </c>
      <c r="E21" s="569">
        <v>7630</v>
      </c>
      <c r="F21" s="569">
        <v>945</v>
      </c>
      <c r="G21" s="569">
        <v>395</v>
      </c>
      <c r="H21" s="569">
        <v>1454</v>
      </c>
      <c r="I21" s="569">
        <v>496</v>
      </c>
      <c r="J21" s="569">
        <v>467</v>
      </c>
      <c r="K21" s="569">
        <v>1521</v>
      </c>
      <c r="L21" s="569">
        <v>854</v>
      </c>
      <c r="M21" s="569">
        <v>677</v>
      </c>
      <c r="N21" s="569">
        <v>3383</v>
      </c>
      <c r="O21" s="570">
        <v>552</v>
      </c>
    </row>
    <row r="22" spans="1:15" ht="15" customHeight="1">
      <c r="A22" s="568" t="s">
        <v>483</v>
      </c>
      <c r="B22" s="569">
        <v>287</v>
      </c>
      <c r="C22" s="569">
        <v>445</v>
      </c>
      <c r="D22" s="569">
        <v>288</v>
      </c>
      <c r="E22" s="569">
        <v>4688</v>
      </c>
      <c r="F22" s="569">
        <v>1153</v>
      </c>
      <c r="G22" s="569">
        <v>464</v>
      </c>
      <c r="H22" s="569">
        <v>3277</v>
      </c>
      <c r="I22" s="569">
        <v>926</v>
      </c>
      <c r="J22" s="569">
        <v>411</v>
      </c>
      <c r="K22" s="569">
        <v>1835</v>
      </c>
      <c r="L22" s="569">
        <v>2488</v>
      </c>
      <c r="M22" s="569">
        <v>1012</v>
      </c>
      <c r="N22" s="569">
        <v>950</v>
      </c>
      <c r="O22" s="570">
        <v>674</v>
      </c>
    </row>
    <row r="23" spans="1:15" ht="15" customHeight="1">
      <c r="A23" s="568" t="s">
        <v>380</v>
      </c>
      <c r="B23" s="569">
        <v>293</v>
      </c>
      <c r="C23" s="569">
        <v>338</v>
      </c>
      <c r="D23" s="569">
        <v>250</v>
      </c>
      <c r="E23" s="569">
        <v>2406</v>
      </c>
      <c r="F23" s="569">
        <v>1622</v>
      </c>
      <c r="G23" s="569">
        <v>432</v>
      </c>
      <c r="H23" s="569">
        <v>3736</v>
      </c>
      <c r="I23" s="569">
        <v>369</v>
      </c>
      <c r="J23" s="569">
        <v>321</v>
      </c>
      <c r="K23" s="569">
        <v>1345</v>
      </c>
      <c r="L23" s="569">
        <v>1270</v>
      </c>
      <c r="M23" s="569">
        <v>576</v>
      </c>
      <c r="N23" s="569">
        <v>188</v>
      </c>
      <c r="O23" s="570">
        <v>621</v>
      </c>
    </row>
    <row r="24" spans="1:15" ht="15" customHeight="1">
      <c r="A24" s="568" t="s">
        <v>484</v>
      </c>
      <c r="B24" s="569">
        <v>268</v>
      </c>
      <c r="C24" s="569">
        <v>440</v>
      </c>
      <c r="D24" s="569">
        <v>349</v>
      </c>
      <c r="E24" s="569">
        <v>3785</v>
      </c>
      <c r="F24" s="569">
        <v>756</v>
      </c>
      <c r="G24" s="569">
        <v>690</v>
      </c>
      <c r="H24" s="569">
        <v>2075</v>
      </c>
      <c r="I24" s="569">
        <v>127</v>
      </c>
      <c r="J24" s="569">
        <v>659</v>
      </c>
      <c r="K24" s="569">
        <v>443</v>
      </c>
      <c r="L24" s="569">
        <v>624</v>
      </c>
      <c r="M24" s="569">
        <v>342</v>
      </c>
      <c r="N24" s="569">
        <v>929</v>
      </c>
      <c r="O24" s="570">
        <v>505</v>
      </c>
    </row>
    <row r="25" spans="1:15" ht="15" customHeight="1">
      <c r="A25" s="568" t="s">
        <v>485</v>
      </c>
      <c r="B25" s="569">
        <v>618</v>
      </c>
      <c r="C25" s="569">
        <v>318</v>
      </c>
      <c r="D25" s="569">
        <v>280</v>
      </c>
      <c r="E25" s="569">
        <v>3395</v>
      </c>
      <c r="F25" s="569">
        <v>1302</v>
      </c>
      <c r="G25" s="569">
        <v>608</v>
      </c>
      <c r="H25" s="569">
        <v>3879</v>
      </c>
      <c r="I25" s="569">
        <v>1053</v>
      </c>
      <c r="J25" s="569">
        <v>154</v>
      </c>
      <c r="K25" s="569">
        <v>1180</v>
      </c>
      <c r="L25" s="569">
        <v>1212</v>
      </c>
      <c r="M25" s="569">
        <v>764</v>
      </c>
      <c r="N25" s="569">
        <v>1114</v>
      </c>
      <c r="O25" s="570">
        <v>813</v>
      </c>
    </row>
    <row r="26" spans="1:15" ht="15" customHeight="1">
      <c r="A26" s="568" t="s">
        <v>486</v>
      </c>
      <c r="B26" s="569">
        <v>285</v>
      </c>
      <c r="C26" s="569">
        <v>327</v>
      </c>
      <c r="D26" s="569">
        <v>203</v>
      </c>
      <c r="E26" s="569">
        <v>4050</v>
      </c>
      <c r="F26" s="569">
        <v>586</v>
      </c>
      <c r="G26" s="569">
        <v>298</v>
      </c>
      <c r="H26" s="569">
        <v>3480</v>
      </c>
      <c r="I26" s="569">
        <v>300</v>
      </c>
      <c r="J26" s="569">
        <v>656</v>
      </c>
      <c r="K26" s="569">
        <v>1490</v>
      </c>
      <c r="L26" s="569">
        <v>2972</v>
      </c>
      <c r="M26" s="569">
        <v>447</v>
      </c>
      <c r="N26" s="569">
        <v>582</v>
      </c>
      <c r="O26" s="570">
        <v>523</v>
      </c>
    </row>
    <row r="27" spans="1:15" ht="15" customHeight="1">
      <c r="A27" s="568" t="s">
        <v>487</v>
      </c>
      <c r="B27" s="569">
        <v>287</v>
      </c>
      <c r="C27" s="569">
        <v>435</v>
      </c>
      <c r="D27" s="569">
        <v>266</v>
      </c>
      <c r="E27" s="569">
        <v>3584</v>
      </c>
      <c r="F27" s="569">
        <v>1097</v>
      </c>
      <c r="G27" s="569">
        <v>489</v>
      </c>
      <c r="H27" s="569">
        <v>1822</v>
      </c>
      <c r="I27" s="569">
        <v>421</v>
      </c>
      <c r="J27" s="569">
        <v>240</v>
      </c>
      <c r="K27" s="569">
        <v>1937</v>
      </c>
      <c r="L27" s="569">
        <v>1292</v>
      </c>
      <c r="M27" s="569">
        <v>960</v>
      </c>
      <c r="N27" s="569">
        <v>449</v>
      </c>
      <c r="O27" s="570">
        <v>596</v>
      </c>
    </row>
    <row r="28" spans="1:15" ht="15" customHeight="1">
      <c r="A28" s="568" t="s">
        <v>360</v>
      </c>
      <c r="B28" s="569">
        <v>233</v>
      </c>
      <c r="C28" s="569">
        <v>855</v>
      </c>
      <c r="D28" s="569">
        <v>276</v>
      </c>
      <c r="E28" s="569">
        <v>1280</v>
      </c>
      <c r="F28" s="569">
        <v>585</v>
      </c>
      <c r="G28" s="569">
        <v>632</v>
      </c>
      <c r="H28" s="569">
        <v>878</v>
      </c>
      <c r="I28" s="571" t="s">
        <v>480</v>
      </c>
      <c r="J28" s="569">
        <v>396</v>
      </c>
      <c r="K28" s="569">
        <v>881</v>
      </c>
      <c r="L28" s="569">
        <v>1298</v>
      </c>
      <c r="M28" s="571" t="s">
        <v>480</v>
      </c>
      <c r="N28" s="569">
        <v>55</v>
      </c>
      <c r="O28" s="570">
        <v>477</v>
      </c>
    </row>
    <row r="29" spans="1:15" ht="15" customHeight="1">
      <c r="A29" s="568" t="s">
        <v>368</v>
      </c>
      <c r="B29" s="569">
        <v>261</v>
      </c>
      <c r="C29" s="569">
        <v>261</v>
      </c>
      <c r="D29" s="569">
        <v>282</v>
      </c>
      <c r="E29" s="569">
        <v>3530</v>
      </c>
      <c r="F29" s="569">
        <v>910</v>
      </c>
      <c r="G29" s="569">
        <v>621</v>
      </c>
      <c r="H29" s="569">
        <v>1916</v>
      </c>
      <c r="I29" s="569">
        <v>993</v>
      </c>
      <c r="J29" s="569">
        <v>256</v>
      </c>
      <c r="K29" s="569">
        <v>1380</v>
      </c>
      <c r="L29" s="569">
        <v>536</v>
      </c>
      <c r="M29" s="569">
        <v>1007</v>
      </c>
      <c r="N29" s="569">
        <v>515</v>
      </c>
      <c r="O29" s="570">
        <v>478</v>
      </c>
    </row>
    <row r="30" spans="1:15" ht="15" customHeight="1">
      <c r="A30" s="568" t="s">
        <v>376</v>
      </c>
      <c r="B30" s="569">
        <v>278</v>
      </c>
      <c r="C30" s="569">
        <v>431</v>
      </c>
      <c r="D30" s="569">
        <v>259</v>
      </c>
      <c r="E30" s="569">
        <v>1944</v>
      </c>
      <c r="F30" s="569">
        <v>810</v>
      </c>
      <c r="G30" s="569">
        <v>523</v>
      </c>
      <c r="H30" s="569">
        <v>3887</v>
      </c>
      <c r="I30" s="569">
        <v>789</v>
      </c>
      <c r="J30" s="569">
        <v>493</v>
      </c>
      <c r="K30" s="569">
        <v>1379</v>
      </c>
      <c r="L30" s="569">
        <v>437</v>
      </c>
      <c r="M30" s="569">
        <v>634</v>
      </c>
      <c r="N30" s="569">
        <v>952</v>
      </c>
      <c r="O30" s="570">
        <v>482</v>
      </c>
    </row>
    <row r="31" spans="1:15" ht="15" customHeight="1">
      <c r="A31" s="568" t="s">
        <v>378</v>
      </c>
      <c r="B31" s="569">
        <v>317</v>
      </c>
      <c r="C31" s="569">
        <v>398</v>
      </c>
      <c r="D31" s="569">
        <v>290</v>
      </c>
      <c r="E31" s="569">
        <v>1222</v>
      </c>
      <c r="F31" s="569">
        <v>946</v>
      </c>
      <c r="G31" s="569">
        <v>441</v>
      </c>
      <c r="H31" s="569">
        <v>2991</v>
      </c>
      <c r="I31" s="569">
        <v>1037</v>
      </c>
      <c r="J31" s="569">
        <v>268</v>
      </c>
      <c r="K31" s="569">
        <v>2137</v>
      </c>
      <c r="L31" s="569">
        <v>1510</v>
      </c>
      <c r="M31" s="569">
        <v>665</v>
      </c>
      <c r="N31" s="569">
        <v>883</v>
      </c>
      <c r="O31" s="570">
        <v>546</v>
      </c>
    </row>
    <row r="32" spans="1:15" ht="15" customHeight="1">
      <c r="A32" s="568" t="s">
        <v>340</v>
      </c>
      <c r="B32" s="569">
        <v>227</v>
      </c>
      <c r="C32" s="569">
        <v>362</v>
      </c>
      <c r="D32" s="569">
        <v>244</v>
      </c>
      <c r="E32" s="569">
        <v>2321</v>
      </c>
      <c r="F32" s="569">
        <v>619</v>
      </c>
      <c r="G32" s="569">
        <v>406</v>
      </c>
      <c r="H32" s="569">
        <v>1709</v>
      </c>
      <c r="I32" s="569">
        <v>383</v>
      </c>
      <c r="J32" s="569">
        <v>348</v>
      </c>
      <c r="K32" s="569">
        <v>3052</v>
      </c>
      <c r="L32" s="569">
        <v>998</v>
      </c>
      <c r="M32" s="569">
        <v>621</v>
      </c>
      <c r="N32" s="569">
        <v>369</v>
      </c>
      <c r="O32" s="570">
        <v>409</v>
      </c>
    </row>
    <row r="33" spans="1:15" ht="15" customHeight="1">
      <c r="A33" s="568" t="s">
        <v>346</v>
      </c>
      <c r="B33" s="569">
        <v>249</v>
      </c>
      <c r="C33" s="569">
        <v>378</v>
      </c>
      <c r="D33" s="569">
        <v>318</v>
      </c>
      <c r="E33" s="569">
        <v>2270</v>
      </c>
      <c r="F33" s="569">
        <v>1187</v>
      </c>
      <c r="G33" s="569">
        <v>487</v>
      </c>
      <c r="H33" s="569">
        <v>2726</v>
      </c>
      <c r="I33" s="569">
        <v>499</v>
      </c>
      <c r="J33" s="569">
        <v>412</v>
      </c>
      <c r="K33" s="569">
        <v>968</v>
      </c>
      <c r="L33" s="569">
        <v>1031</v>
      </c>
      <c r="M33" s="569">
        <v>776</v>
      </c>
      <c r="N33" s="569">
        <v>546</v>
      </c>
      <c r="O33" s="570">
        <v>546</v>
      </c>
    </row>
    <row r="34" spans="1:15" ht="15" customHeight="1">
      <c r="A34" s="568" t="s">
        <v>372</v>
      </c>
      <c r="B34" s="569">
        <v>308</v>
      </c>
      <c r="C34" s="569">
        <v>165</v>
      </c>
      <c r="D34" s="569">
        <v>365</v>
      </c>
      <c r="E34" s="569">
        <v>4972</v>
      </c>
      <c r="F34" s="569">
        <v>1226</v>
      </c>
      <c r="G34" s="569">
        <v>671</v>
      </c>
      <c r="H34" s="569">
        <v>1652</v>
      </c>
      <c r="I34" s="569">
        <v>135</v>
      </c>
      <c r="J34" s="569">
        <v>523</v>
      </c>
      <c r="K34" s="569">
        <v>1196</v>
      </c>
      <c r="L34" s="569">
        <v>1852</v>
      </c>
      <c r="M34" s="569">
        <v>946</v>
      </c>
      <c r="N34" s="569">
        <v>880</v>
      </c>
      <c r="O34" s="570">
        <v>614</v>
      </c>
    </row>
    <row r="35" spans="1:15" ht="15" customHeight="1">
      <c r="A35" s="572"/>
      <c r="B35" s="569"/>
      <c r="C35" s="569"/>
      <c r="D35" s="569"/>
      <c r="E35" s="569"/>
      <c r="F35" s="569"/>
      <c r="G35" s="569"/>
      <c r="H35" s="569"/>
      <c r="I35" s="569"/>
      <c r="J35" s="569"/>
      <c r="K35" s="569"/>
      <c r="L35" s="569"/>
      <c r="M35" s="569"/>
      <c r="N35" s="569"/>
      <c r="O35" s="570"/>
    </row>
    <row r="36" spans="1:15" ht="15" customHeight="1">
      <c r="A36" s="573" t="s">
        <v>84</v>
      </c>
      <c r="B36" s="574">
        <v>302</v>
      </c>
      <c r="C36" s="574">
        <v>728</v>
      </c>
      <c r="D36" s="574">
        <v>297</v>
      </c>
      <c r="E36" s="574">
        <v>3365</v>
      </c>
      <c r="F36" s="574">
        <v>1142</v>
      </c>
      <c r="G36" s="574">
        <v>575</v>
      </c>
      <c r="H36" s="574">
        <v>2859</v>
      </c>
      <c r="I36" s="574">
        <v>547</v>
      </c>
      <c r="J36" s="574">
        <v>331</v>
      </c>
      <c r="K36" s="574">
        <v>1417</v>
      </c>
      <c r="L36" s="574">
        <v>1565</v>
      </c>
      <c r="M36" s="574">
        <v>969</v>
      </c>
      <c r="N36" s="574">
        <v>744</v>
      </c>
      <c r="O36" s="574">
        <v>670</v>
      </c>
    </row>
    <row r="37" spans="1:15" ht="15" customHeight="1">
      <c r="A37" s="731" t="s">
        <v>488</v>
      </c>
      <c r="B37" s="731"/>
      <c r="C37" s="731"/>
      <c r="D37" s="731"/>
      <c r="E37" s="731"/>
      <c r="F37" s="731"/>
      <c r="G37" s="731"/>
      <c r="H37" s="731"/>
      <c r="I37" s="731"/>
      <c r="J37" s="731"/>
      <c r="K37" s="731"/>
      <c r="L37" s="731"/>
      <c r="M37" s="731"/>
      <c r="N37" s="731"/>
      <c r="O37" s="731"/>
    </row>
    <row r="40" spans="1:15" ht="15" customHeight="1">
      <c r="A40" s="732" t="s">
        <v>500</v>
      </c>
      <c r="B40" s="732"/>
      <c r="C40" s="732"/>
      <c r="D40" s="732"/>
      <c r="E40" s="732"/>
      <c r="F40" s="732"/>
      <c r="G40" s="733"/>
      <c r="H40" s="575"/>
      <c r="I40" s="575"/>
      <c r="J40" s="575"/>
      <c r="K40" s="575"/>
      <c r="L40" s="575"/>
      <c r="M40" s="575"/>
      <c r="N40" s="575"/>
      <c r="O40" s="575"/>
    </row>
    <row r="41" spans="1:15" ht="15" customHeight="1">
      <c r="A41" s="734" t="s">
        <v>501</v>
      </c>
      <c r="B41" s="734"/>
      <c r="C41" s="734"/>
      <c r="D41" s="734"/>
      <c r="E41" s="734"/>
      <c r="F41" s="734"/>
      <c r="G41" s="615" t="s">
        <v>391</v>
      </c>
    </row>
    <row r="42" spans="1:15" ht="15" customHeight="1">
      <c r="A42" s="735" t="s">
        <v>502</v>
      </c>
      <c r="B42" s="737" t="s">
        <v>503</v>
      </c>
      <c r="C42" s="737"/>
      <c r="D42" s="737"/>
      <c r="E42" s="737"/>
      <c r="F42" s="737"/>
      <c r="G42" s="738" t="s">
        <v>510</v>
      </c>
    </row>
    <row r="43" spans="1:15" ht="15" customHeight="1">
      <c r="A43" s="736"/>
      <c r="B43" s="616" t="s">
        <v>504</v>
      </c>
      <c r="C43" s="616" t="s">
        <v>505</v>
      </c>
      <c r="D43" s="616" t="s">
        <v>1</v>
      </c>
      <c r="E43" s="616" t="s">
        <v>2</v>
      </c>
      <c r="F43" s="616" t="s">
        <v>65</v>
      </c>
      <c r="G43" s="739"/>
    </row>
    <row r="44" spans="1:15" ht="15" customHeight="1">
      <c r="A44" s="617" t="s">
        <v>460</v>
      </c>
      <c r="B44" s="618">
        <v>17</v>
      </c>
      <c r="C44" s="618">
        <v>4</v>
      </c>
      <c r="D44" s="618">
        <v>78</v>
      </c>
      <c r="E44" s="618">
        <v>1</v>
      </c>
      <c r="F44" s="618">
        <v>1</v>
      </c>
      <c r="G44" s="619">
        <v>20274</v>
      </c>
    </row>
    <row r="45" spans="1:15" ht="15" customHeight="1">
      <c r="A45" s="617" t="s">
        <v>459</v>
      </c>
      <c r="B45" s="618">
        <v>31</v>
      </c>
      <c r="C45" s="618">
        <v>7</v>
      </c>
      <c r="D45" s="618">
        <v>60</v>
      </c>
      <c r="E45" s="618">
        <v>1</v>
      </c>
      <c r="F45" s="618">
        <v>1</v>
      </c>
      <c r="G45" s="619">
        <v>12006</v>
      </c>
    </row>
    <row r="46" spans="1:15" ht="15" customHeight="1">
      <c r="A46" s="617" t="s">
        <v>506</v>
      </c>
      <c r="B46" s="618">
        <v>28</v>
      </c>
      <c r="C46" s="618">
        <v>24</v>
      </c>
      <c r="D46" s="618">
        <v>41</v>
      </c>
      <c r="E46" s="618">
        <v>4</v>
      </c>
      <c r="F46" s="618">
        <v>2</v>
      </c>
      <c r="G46" s="619">
        <v>4977</v>
      </c>
    </row>
    <row r="47" spans="1:15" ht="15" customHeight="1">
      <c r="A47" s="617" t="s">
        <v>461</v>
      </c>
      <c r="B47" s="618">
        <v>46</v>
      </c>
      <c r="C47" s="618">
        <v>30</v>
      </c>
      <c r="D47" s="618">
        <v>12</v>
      </c>
      <c r="E47" s="618">
        <v>12</v>
      </c>
      <c r="F47" s="618">
        <v>1</v>
      </c>
      <c r="G47" s="619">
        <v>766</v>
      </c>
    </row>
    <row r="48" spans="1:15" ht="15" customHeight="1">
      <c r="A48" s="617" t="s">
        <v>468</v>
      </c>
      <c r="B48" s="618">
        <v>32</v>
      </c>
      <c r="C48" s="618">
        <v>11</v>
      </c>
      <c r="D48" s="618">
        <v>55</v>
      </c>
      <c r="E48" s="618">
        <v>2</v>
      </c>
      <c r="F48" s="618">
        <v>0</v>
      </c>
      <c r="G48" s="619">
        <v>7369</v>
      </c>
    </row>
    <row r="49" spans="1:7" ht="15" customHeight="1">
      <c r="A49" s="617" t="s">
        <v>507</v>
      </c>
      <c r="B49" s="618">
        <v>27</v>
      </c>
      <c r="C49" s="618">
        <v>14</v>
      </c>
      <c r="D49" s="618">
        <v>55</v>
      </c>
      <c r="E49" s="618">
        <v>3</v>
      </c>
      <c r="F49" s="618">
        <v>1</v>
      </c>
      <c r="G49" s="619">
        <v>2184</v>
      </c>
    </row>
    <row r="50" spans="1:7" ht="15" customHeight="1">
      <c r="A50" s="617" t="s">
        <v>470</v>
      </c>
      <c r="B50" s="618">
        <v>30</v>
      </c>
      <c r="C50" s="618">
        <v>27</v>
      </c>
      <c r="D50" s="618">
        <v>36</v>
      </c>
      <c r="E50" s="618">
        <v>3</v>
      </c>
      <c r="F50" s="618">
        <v>3</v>
      </c>
      <c r="G50" s="619">
        <v>1138</v>
      </c>
    </row>
    <row r="51" spans="1:7" ht="15" customHeight="1">
      <c r="A51" s="617" t="s">
        <v>471</v>
      </c>
      <c r="B51" s="618">
        <v>31</v>
      </c>
      <c r="C51" s="618">
        <v>12</v>
      </c>
      <c r="D51" s="618">
        <v>55</v>
      </c>
      <c r="E51" s="618">
        <v>2</v>
      </c>
      <c r="F51" s="618">
        <v>1</v>
      </c>
      <c r="G51" s="619">
        <v>921</v>
      </c>
    </row>
    <row r="52" spans="1:7" ht="15" customHeight="1">
      <c r="A52" s="617" t="s">
        <v>508</v>
      </c>
      <c r="B52" s="618">
        <v>37</v>
      </c>
      <c r="C52" s="618">
        <v>26</v>
      </c>
      <c r="D52" s="618">
        <v>31</v>
      </c>
      <c r="E52" s="618">
        <v>4</v>
      </c>
      <c r="F52" s="618">
        <v>2</v>
      </c>
      <c r="G52" s="619">
        <v>880</v>
      </c>
    </row>
    <row r="53" spans="1:7" ht="15" customHeight="1">
      <c r="A53" s="617" t="s">
        <v>473</v>
      </c>
      <c r="B53" s="618">
        <v>40</v>
      </c>
      <c r="C53" s="618">
        <v>30</v>
      </c>
      <c r="D53" s="618">
        <v>15</v>
      </c>
      <c r="E53" s="618">
        <v>12</v>
      </c>
      <c r="F53" s="618">
        <v>3</v>
      </c>
      <c r="G53" s="619">
        <v>431</v>
      </c>
    </row>
    <row r="54" spans="1:7" ht="15" customHeight="1">
      <c r="A54" s="617" t="s">
        <v>474</v>
      </c>
      <c r="B54" s="618">
        <v>42</v>
      </c>
      <c r="C54" s="618">
        <v>26</v>
      </c>
      <c r="D54" s="618">
        <v>23</v>
      </c>
      <c r="E54" s="618">
        <v>6</v>
      </c>
      <c r="F54" s="618">
        <v>3</v>
      </c>
      <c r="G54" s="619">
        <v>779</v>
      </c>
    </row>
    <row r="55" spans="1:7" ht="15" customHeight="1">
      <c r="A55" s="617" t="s">
        <v>475</v>
      </c>
      <c r="B55" s="618">
        <v>41</v>
      </c>
      <c r="C55" s="618">
        <v>10</v>
      </c>
      <c r="D55" s="618">
        <v>43</v>
      </c>
      <c r="E55" s="618">
        <v>5</v>
      </c>
      <c r="F55" s="618">
        <v>1</v>
      </c>
      <c r="G55" s="619">
        <v>473</v>
      </c>
    </row>
    <row r="56" spans="1:7" ht="15" customHeight="1">
      <c r="A56" s="617" t="s">
        <v>65</v>
      </c>
      <c r="B56" s="618">
        <v>31</v>
      </c>
      <c r="C56" s="618">
        <v>11</v>
      </c>
      <c r="D56" s="618">
        <v>52</v>
      </c>
      <c r="E56" s="618">
        <v>4</v>
      </c>
      <c r="F56" s="618">
        <v>2</v>
      </c>
      <c r="G56" s="619">
        <v>909</v>
      </c>
    </row>
    <row r="57" spans="1:7" ht="15" customHeight="1">
      <c r="A57" s="620"/>
      <c r="B57" s="621"/>
      <c r="C57" s="621"/>
      <c r="D57" s="621"/>
      <c r="E57" s="621"/>
      <c r="F57" s="621"/>
      <c r="G57" s="621"/>
    </row>
    <row r="58" spans="1:7" ht="15" customHeight="1">
      <c r="A58" s="622" t="s">
        <v>150</v>
      </c>
      <c r="B58" s="623">
        <v>26</v>
      </c>
      <c r="C58" s="623">
        <v>10</v>
      </c>
      <c r="D58" s="623">
        <v>61</v>
      </c>
      <c r="E58" s="623">
        <v>2</v>
      </c>
      <c r="F58" s="623">
        <v>1</v>
      </c>
      <c r="G58" s="623">
        <v>53107</v>
      </c>
    </row>
    <row r="64" spans="1:7" ht="15" customHeight="1">
      <c r="A64" s="726"/>
      <c r="B64" s="724" t="s">
        <v>512</v>
      </c>
      <c r="C64" s="724" t="s">
        <v>82</v>
      </c>
      <c r="D64" s="728" t="s">
        <v>511</v>
      </c>
      <c r="E64" s="728"/>
      <c r="F64" s="724" t="s">
        <v>33</v>
      </c>
      <c r="G64" s="724" t="s">
        <v>509</v>
      </c>
    </row>
    <row r="65" spans="1:7" ht="15" customHeight="1">
      <c r="A65" s="727"/>
      <c r="B65" s="725"/>
      <c r="C65" s="725"/>
      <c r="D65" s="626" t="s">
        <v>33</v>
      </c>
      <c r="E65" s="512" t="s">
        <v>509</v>
      </c>
      <c r="F65" s="725"/>
      <c r="G65" s="725"/>
    </row>
    <row r="66" spans="1:7" ht="15" customHeight="1">
      <c r="A66" s="119" t="s">
        <v>460</v>
      </c>
      <c r="B66" s="627">
        <f t="shared" ref="B66:B78" si="0">G44*SUMIFS($B$36:$O$36,$B$3:$O$3,$A44)/10^6</f>
        <v>6.1227479999999996</v>
      </c>
      <c r="C66" s="89">
        <f>B66/'CSO data'!$B$80</f>
        <v>0.18794160267037238</v>
      </c>
      <c r="D66" s="635">
        <v>0</v>
      </c>
      <c r="E66" s="635">
        <v>1</v>
      </c>
      <c r="F66" s="625">
        <f>C66*D66</f>
        <v>0</v>
      </c>
      <c r="G66" s="625">
        <f>C66*E66</f>
        <v>0.18794160267037238</v>
      </c>
    </row>
    <row r="67" spans="1:7" ht="15" customHeight="1">
      <c r="A67" s="26" t="s">
        <v>459</v>
      </c>
      <c r="B67" s="627">
        <f t="shared" si="0"/>
        <v>8.7403680000000001</v>
      </c>
      <c r="C67" s="89">
        <f>B67/'CSO data'!$B$80</f>
        <v>0.26829109573819426</v>
      </c>
      <c r="D67" s="635">
        <v>0.4</v>
      </c>
      <c r="E67" s="635">
        <v>0.6</v>
      </c>
      <c r="F67" s="625">
        <f t="shared" ref="F67" si="1">C67*D67</f>
        <v>0.10731643829527771</v>
      </c>
      <c r="G67" s="625">
        <f t="shared" ref="G67" si="2">C67*E67</f>
        <v>0.16097465744291656</v>
      </c>
    </row>
    <row r="68" spans="1:7" ht="15" customHeight="1">
      <c r="A68" s="26" t="s">
        <v>506</v>
      </c>
      <c r="B68" s="627">
        <f t="shared" si="0"/>
        <v>0</v>
      </c>
      <c r="C68" s="89">
        <f>B68/'CSO data'!$B$80</f>
        <v>0</v>
      </c>
      <c r="D68" s="635">
        <v>0</v>
      </c>
      <c r="E68" s="635">
        <v>1</v>
      </c>
      <c r="F68" s="625">
        <f t="shared" ref="F68:F78" si="3">C68*D68</f>
        <v>0</v>
      </c>
      <c r="G68" s="625">
        <f t="shared" ref="G68:G78" si="4">C68*E68</f>
        <v>0</v>
      </c>
    </row>
    <row r="69" spans="1:7" ht="15" customHeight="1">
      <c r="A69" s="26" t="s">
        <v>461</v>
      </c>
      <c r="B69" s="627">
        <f t="shared" si="0"/>
        <v>2.5775899999999998</v>
      </c>
      <c r="C69" s="89">
        <f>B69/'CSO data'!$B$80</f>
        <v>7.9120747028478905E-2</v>
      </c>
      <c r="D69" s="635">
        <v>0</v>
      </c>
      <c r="E69" s="635">
        <v>1</v>
      </c>
      <c r="F69" s="625">
        <f t="shared" si="3"/>
        <v>0</v>
      </c>
      <c r="G69" s="625">
        <f t="shared" si="4"/>
        <v>7.9120747028478905E-2</v>
      </c>
    </row>
    <row r="70" spans="1:7" ht="15" customHeight="1">
      <c r="A70" s="26" t="s">
        <v>468</v>
      </c>
      <c r="B70" s="627">
        <f t="shared" si="0"/>
        <v>8.4153979999999997</v>
      </c>
      <c r="C70" s="89">
        <f>B70/'CSO data'!$B$80</f>
        <v>0.25831593709704309</v>
      </c>
      <c r="D70" s="635">
        <v>0</v>
      </c>
      <c r="E70" s="635">
        <v>1</v>
      </c>
      <c r="F70" s="625">
        <f t="shared" si="3"/>
        <v>0</v>
      </c>
      <c r="G70" s="625">
        <f t="shared" si="4"/>
        <v>0.25831593709704309</v>
      </c>
    </row>
    <row r="71" spans="1:7" ht="15" customHeight="1">
      <c r="A71" s="26" t="s">
        <v>507</v>
      </c>
      <c r="B71" s="627">
        <f t="shared" si="0"/>
        <v>0</v>
      </c>
      <c r="C71" s="89">
        <f>B71/'CSO data'!$B$80</f>
        <v>0</v>
      </c>
      <c r="D71" s="635">
        <v>1</v>
      </c>
      <c r="E71" s="635">
        <v>0</v>
      </c>
      <c r="F71" s="625">
        <f t="shared" si="3"/>
        <v>0</v>
      </c>
      <c r="G71" s="625">
        <f t="shared" si="4"/>
        <v>0</v>
      </c>
    </row>
    <row r="72" spans="1:7" ht="15" customHeight="1">
      <c r="A72" s="26" t="s">
        <v>470</v>
      </c>
      <c r="B72" s="627">
        <f t="shared" si="0"/>
        <v>3.2535419999999999</v>
      </c>
      <c r="C72" s="89">
        <f>B72/'CSO data'!$B$80</f>
        <v>9.986951901913467E-2</v>
      </c>
      <c r="D72" s="635">
        <v>0</v>
      </c>
      <c r="E72" s="635">
        <v>1</v>
      </c>
      <c r="F72" s="625">
        <f t="shared" si="3"/>
        <v>0</v>
      </c>
      <c r="G72" s="625">
        <f t="shared" si="4"/>
        <v>9.986951901913467E-2</v>
      </c>
    </row>
    <row r="73" spans="1:7" ht="15" customHeight="1">
      <c r="A73" s="26" t="s">
        <v>471</v>
      </c>
      <c r="B73" s="627">
        <f t="shared" si="0"/>
        <v>0.50378699999999998</v>
      </c>
      <c r="C73" s="89">
        <f>B73/'CSO data'!$B$80</f>
        <v>1.5464058978827628E-2</v>
      </c>
      <c r="D73" s="635">
        <v>0.6</v>
      </c>
      <c r="E73" s="635">
        <v>0.4</v>
      </c>
      <c r="F73" s="625">
        <f t="shared" si="3"/>
        <v>9.2784353872965766E-3</v>
      </c>
      <c r="G73" s="625">
        <f t="shared" si="4"/>
        <v>6.185623591531051E-3</v>
      </c>
    </row>
    <row r="74" spans="1:7" ht="15" customHeight="1">
      <c r="A74" s="26" t="s">
        <v>508</v>
      </c>
      <c r="B74" s="627">
        <f t="shared" si="0"/>
        <v>0</v>
      </c>
      <c r="C74" s="89">
        <f>B74/'CSO data'!$B$80</f>
        <v>0</v>
      </c>
      <c r="D74" s="635">
        <v>1</v>
      </c>
      <c r="E74" s="635">
        <v>0</v>
      </c>
      <c r="F74" s="625">
        <f t="shared" si="3"/>
        <v>0</v>
      </c>
      <c r="G74" s="625">
        <f t="shared" si="4"/>
        <v>0</v>
      </c>
    </row>
    <row r="75" spans="1:7" ht="15" customHeight="1">
      <c r="A75" s="26" t="s">
        <v>473</v>
      </c>
      <c r="B75" s="627">
        <f t="shared" si="0"/>
        <v>0.61072700000000002</v>
      </c>
      <c r="C75" s="89">
        <f>B75/'CSO data'!$B$80</f>
        <v>1.8746649572066093E-2</v>
      </c>
      <c r="D75" s="635">
        <v>0.4</v>
      </c>
      <c r="E75" s="635">
        <v>0.6</v>
      </c>
      <c r="F75" s="625">
        <f t="shared" si="3"/>
        <v>7.4986598288264376E-3</v>
      </c>
      <c r="G75" s="625">
        <f t="shared" si="4"/>
        <v>1.1247989743239655E-2</v>
      </c>
    </row>
    <row r="76" spans="1:7" ht="15" customHeight="1">
      <c r="A76" s="26" t="s">
        <v>474</v>
      </c>
      <c r="B76" s="627">
        <f t="shared" si="0"/>
        <v>1.2191350000000001</v>
      </c>
      <c r="C76" s="89">
        <f>B76/'CSO data'!$B$80</f>
        <v>3.7422115979874472E-2</v>
      </c>
      <c r="D76" s="635">
        <v>0.6</v>
      </c>
      <c r="E76" s="635">
        <v>0.4</v>
      </c>
      <c r="F76" s="625">
        <f t="shared" si="3"/>
        <v>2.2453269587924683E-2</v>
      </c>
      <c r="G76" s="625">
        <f t="shared" si="4"/>
        <v>1.496884639194979E-2</v>
      </c>
    </row>
    <row r="77" spans="1:7" ht="15" customHeight="1">
      <c r="A77" s="26" t="s">
        <v>475</v>
      </c>
      <c r="B77" s="627">
        <f t="shared" si="0"/>
        <v>0.45833699999999999</v>
      </c>
      <c r="C77" s="89">
        <f>B77/'CSO data'!$B$80</f>
        <v>1.406894262888665E-2</v>
      </c>
      <c r="D77" s="635">
        <v>0</v>
      </c>
      <c r="E77" s="635">
        <v>1</v>
      </c>
      <c r="F77" s="625">
        <f t="shared" si="3"/>
        <v>0</v>
      </c>
      <c r="G77" s="625">
        <f t="shared" si="4"/>
        <v>1.406894262888665E-2</v>
      </c>
    </row>
    <row r="78" spans="1:7" ht="15" customHeight="1">
      <c r="A78" s="26" t="s">
        <v>65</v>
      </c>
      <c r="B78" s="627">
        <f t="shared" si="0"/>
        <v>0.67629600000000001</v>
      </c>
      <c r="C78" s="89">
        <f>B78/'CSO data'!$B$80</f>
        <v>2.0759331287121759E-2</v>
      </c>
      <c r="D78" s="635">
        <v>0</v>
      </c>
      <c r="E78" s="635">
        <v>1</v>
      </c>
      <c r="F78" s="625">
        <f t="shared" si="3"/>
        <v>0</v>
      </c>
      <c r="G78" s="625">
        <f t="shared" si="4"/>
        <v>2.0759331287121759E-2</v>
      </c>
    </row>
    <row r="79" spans="1:7" ht="15" customHeight="1">
      <c r="A79" s="633"/>
      <c r="B79" s="628"/>
      <c r="C79" s="629"/>
      <c r="D79" s="629"/>
      <c r="E79" s="629"/>
      <c r="F79" s="629"/>
      <c r="G79" s="629"/>
    </row>
    <row r="80" spans="1:7" ht="15" customHeight="1">
      <c r="A80" s="648" t="s">
        <v>150</v>
      </c>
      <c r="B80" s="630">
        <f>SUM(B66:B78)</f>
        <v>32.577928</v>
      </c>
      <c r="C80" s="634">
        <f>SUM(C66:C78)</f>
        <v>0.99999999999999978</v>
      </c>
      <c r="D80" s="631"/>
      <c r="E80" s="631"/>
      <c r="F80" s="632">
        <f>SUM(F66:F78)</f>
        <v>0.14654680309932541</v>
      </c>
      <c r="G80" s="632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9"/>
    <col min="2" max="2" width="38.85546875" style="539" bestFit="1" customWidth="1"/>
    <col min="3" max="3" width="9.42578125" style="539" bestFit="1" customWidth="1"/>
    <col min="4" max="4" width="12.85546875" style="539" bestFit="1" customWidth="1"/>
    <col min="5" max="5" width="13.28515625" style="539" bestFit="1" customWidth="1"/>
    <col min="6" max="6" width="9.140625" style="539"/>
    <col min="7" max="7" width="32.28515625" style="539" customWidth="1"/>
    <col min="8" max="8" width="10.28515625" style="539" bestFit="1" customWidth="1"/>
    <col min="9" max="9" width="10.7109375" style="539" bestFit="1" customWidth="1"/>
    <col min="10" max="16384" width="9.140625" style="539"/>
  </cols>
  <sheetData>
    <row r="1" spans="1:9">
      <c r="A1" s="539" t="s">
        <v>157</v>
      </c>
      <c r="B1" s="539" t="s">
        <v>453</v>
      </c>
    </row>
    <row r="2" spans="1:9" ht="15">
      <c r="A2" s="539" t="s">
        <v>454</v>
      </c>
      <c r="B2" s="540" t="s">
        <v>426</v>
      </c>
    </row>
    <row r="5" spans="1:9" ht="15">
      <c r="B5" s="541" t="s">
        <v>427</v>
      </c>
      <c r="G5" s="541" t="s">
        <v>427</v>
      </c>
    </row>
    <row r="6" spans="1:9" ht="15">
      <c r="B6" s="542"/>
      <c r="C6" s="542" t="s">
        <v>428</v>
      </c>
      <c r="D6" s="542" t="s">
        <v>429</v>
      </c>
      <c r="E6" s="543" t="s">
        <v>430</v>
      </c>
      <c r="G6" s="542" t="s">
        <v>431</v>
      </c>
      <c r="H6" s="542" t="s">
        <v>432</v>
      </c>
      <c r="I6" s="542" t="s">
        <v>433</v>
      </c>
    </row>
    <row r="7" spans="1:9">
      <c r="B7" s="542" t="s">
        <v>434</v>
      </c>
      <c r="C7" s="542">
        <v>225</v>
      </c>
      <c r="D7" s="542">
        <v>121</v>
      </c>
      <c r="E7" s="542">
        <v>43</v>
      </c>
      <c r="G7" s="542">
        <f>C7/$C$16</f>
        <v>4.5703839122486288E-2</v>
      </c>
      <c r="H7" s="542">
        <f>D7/$D$16</f>
        <v>3.873239436619718E-2</v>
      </c>
      <c r="I7" s="542">
        <f>E7/$E$16</f>
        <v>2.0149953139643861E-2</v>
      </c>
    </row>
    <row r="8" spans="1:9">
      <c r="B8" s="542" t="s">
        <v>435</v>
      </c>
      <c r="C8" s="542">
        <v>870</v>
      </c>
      <c r="D8" s="542">
        <v>864</v>
      </c>
      <c r="E8" s="544">
        <v>1475</v>
      </c>
      <c r="G8" s="542">
        <f t="shared" ref="G8:G14" si="0">C8/$C$16</f>
        <v>0.17672151127361366</v>
      </c>
      <c r="H8" s="542">
        <f t="shared" ref="H8:H14" si="1">D8/$D$16</f>
        <v>0.27656850192061461</v>
      </c>
      <c r="I8" s="542">
        <f t="shared" ref="I8:I14" si="2">E8/$E$16</f>
        <v>0.69119025304592319</v>
      </c>
    </row>
    <row r="9" spans="1:9" ht="15">
      <c r="B9" s="545" t="s">
        <v>436</v>
      </c>
      <c r="C9" s="542">
        <v>496</v>
      </c>
      <c r="D9" s="542">
        <v>339</v>
      </c>
      <c r="E9" s="542">
        <v>10</v>
      </c>
      <c r="G9" s="542">
        <f t="shared" si="0"/>
        <v>0.10075157424334755</v>
      </c>
      <c r="H9" s="542">
        <f t="shared" si="1"/>
        <v>0.10851472471190782</v>
      </c>
      <c r="I9" s="542">
        <f t="shared" si="2"/>
        <v>4.6860356138706651E-3</v>
      </c>
    </row>
    <row r="10" spans="1:9">
      <c r="B10" s="542" t="s">
        <v>63</v>
      </c>
      <c r="C10" s="542">
        <v>780</v>
      </c>
      <c r="D10" s="542">
        <v>885</v>
      </c>
      <c r="E10" s="542">
        <v>82</v>
      </c>
      <c r="G10" s="542">
        <f t="shared" si="0"/>
        <v>0.15843997562461914</v>
      </c>
      <c r="H10" s="542">
        <f t="shared" si="1"/>
        <v>0.28329065300896289</v>
      </c>
      <c r="I10" s="542">
        <f t="shared" si="2"/>
        <v>3.8425492033739454E-2</v>
      </c>
    </row>
    <row r="11" spans="1:9">
      <c r="B11" s="542" t="s">
        <v>437</v>
      </c>
      <c r="C11" s="542">
        <v>199</v>
      </c>
      <c r="D11" s="542">
        <v>157</v>
      </c>
      <c r="E11" s="542">
        <v>209</v>
      </c>
      <c r="G11" s="542">
        <f t="shared" si="0"/>
        <v>4.0422506601665652E-2</v>
      </c>
      <c r="H11" s="542">
        <f t="shared" si="1"/>
        <v>5.0256081946222789E-2</v>
      </c>
      <c r="I11" s="542">
        <f t="shared" si="2"/>
        <v>9.7938144329896906E-2</v>
      </c>
    </row>
    <row r="12" spans="1:9">
      <c r="B12" s="542" t="s">
        <v>438</v>
      </c>
      <c r="C12" s="544">
        <v>1768</v>
      </c>
      <c r="D12" s="542">
        <v>282</v>
      </c>
      <c r="E12" s="542">
        <v>248</v>
      </c>
      <c r="G12" s="542">
        <f t="shared" si="0"/>
        <v>0.35913061141580338</v>
      </c>
      <c r="H12" s="542">
        <f t="shared" si="1"/>
        <v>9.0268886043533933E-2</v>
      </c>
      <c r="I12" s="542">
        <f t="shared" si="2"/>
        <v>0.1162136832239925</v>
      </c>
    </row>
    <row r="13" spans="1:9">
      <c r="B13" s="542" t="s">
        <v>439</v>
      </c>
      <c r="C13" s="542">
        <v>238</v>
      </c>
      <c r="D13" s="542">
        <v>80</v>
      </c>
      <c r="E13" s="542">
        <v>65</v>
      </c>
      <c r="G13" s="542">
        <f t="shared" si="0"/>
        <v>4.8344505382896606E-2</v>
      </c>
      <c r="H13" s="542">
        <f t="shared" si="1"/>
        <v>2.5608194622279128E-2</v>
      </c>
      <c r="I13" s="542">
        <f t="shared" si="2"/>
        <v>3.0459231490159326E-2</v>
      </c>
    </row>
    <row r="14" spans="1:9" ht="15">
      <c r="B14" s="545" t="s">
        <v>440</v>
      </c>
      <c r="C14" s="542">
        <v>347</v>
      </c>
      <c r="D14" s="542">
        <v>396</v>
      </c>
      <c r="E14" s="542">
        <v>2</v>
      </c>
      <c r="G14" s="542">
        <f t="shared" si="0"/>
        <v>7.0485476335567745E-2</v>
      </c>
      <c r="H14" s="542">
        <f t="shared" si="1"/>
        <v>0.12676056338028169</v>
      </c>
      <c r="I14" s="542">
        <f t="shared" si="2"/>
        <v>9.372071227741331E-4</v>
      </c>
    </row>
    <row r="15" spans="1:9">
      <c r="B15" s="542"/>
      <c r="C15" s="542"/>
      <c r="D15" s="542"/>
      <c r="E15" s="542"/>
    </row>
    <row r="16" spans="1:9">
      <c r="B16" s="542"/>
      <c r="C16" s="542">
        <f>SUM(C7:C14)</f>
        <v>4923</v>
      </c>
      <c r="D16" s="542">
        <f>SUM(D7:D14)</f>
        <v>3124</v>
      </c>
      <c r="E16" s="542">
        <f>SUM(E7:E14)</f>
        <v>2134</v>
      </c>
    </row>
    <row r="17" spans="2:9">
      <c r="B17" s="542"/>
      <c r="C17" s="542">
        <f>C16/SUM(C16:E16)</f>
        <v>0.48354778508987328</v>
      </c>
      <c r="D17" s="542">
        <f>D16/SUM(C16:E16)</f>
        <v>0.30684608584618406</v>
      </c>
      <c r="E17" s="542">
        <f>E16/SUM(C16:E16)</f>
        <v>0.20960612906394263</v>
      </c>
    </row>
    <row r="18" spans="2:9">
      <c r="C18" s="546">
        <f>C16*3.6/1000</f>
        <v>17.722799999999999</v>
      </c>
      <c r="D18" s="546">
        <f>D16*3.6/1000</f>
        <v>11.2464</v>
      </c>
      <c r="E18" s="546">
        <f>E16*3.6/1000</f>
        <v>7.6824000000000003</v>
      </c>
      <c r="F18" s="539" t="s">
        <v>46</v>
      </c>
      <c r="G18" s="547"/>
    </row>
    <row r="19" spans="2:9">
      <c r="C19" s="547">
        <f>C18/0.041868</f>
        <v>423.30180567497848</v>
      </c>
      <c r="D19" s="547">
        <f>D18/0.041868</f>
        <v>268.61564918314701</v>
      </c>
      <c r="E19" s="547">
        <f>E18/0.041868</f>
        <v>183.49097162510748</v>
      </c>
      <c r="F19" s="539" t="s">
        <v>54</v>
      </c>
    </row>
    <row r="20" spans="2:9">
      <c r="E20" s="547">
        <f>SUM(C19:E19)</f>
        <v>875.40842648323292</v>
      </c>
    </row>
    <row r="23" spans="2:9" ht="15">
      <c r="B23" s="548" t="s">
        <v>441</v>
      </c>
      <c r="C23" s="542" t="s">
        <v>442</v>
      </c>
      <c r="D23" s="542" t="s">
        <v>137</v>
      </c>
      <c r="G23" s="548" t="s">
        <v>443</v>
      </c>
      <c r="H23" s="542" t="s">
        <v>442</v>
      </c>
      <c r="I23" s="542" t="s">
        <v>137</v>
      </c>
    </row>
    <row r="24" spans="2:9" ht="15">
      <c r="B24" s="542" t="s">
        <v>444</v>
      </c>
      <c r="C24" s="542">
        <v>609</v>
      </c>
      <c r="D24" s="542">
        <f>C24/$C$34</f>
        <v>0.12370505789152955</v>
      </c>
      <c r="G24" s="542" t="s">
        <v>445</v>
      </c>
      <c r="H24" s="542">
        <v>539</v>
      </c>
      <c r="I24" s="549">
        <f t="shared" ref="I24:I32" si="3">H24/$H$34</f>
        <v>0.30677290836653387</v>
      </c>
    </row>
    <row r="25" spans="2:9" ht="15">
      <c r="B25" s="542" t="s">
        <v>446</v>
      </c>
      <c r="C25" s="542">
        <v>775</v>
      </c>
      <c r="D25" s="542">
        <f t="shared" ref="D25:D33" si="4">C25/$C$34</f>
        <v>0.15742433475523054</v>
      </c>
      <c r="G25" s="542" t="s">
        <v>446</v>
      </c>
      <c r="H25" s="542">
        <v>461</v>
      </c>
      <c r="I25" s="549">
        <f t="shared" si="3"/>
        <v>0.26237905520774046</v>
      </c>
    </row>
    <row r="26" spans="2:9" ht="15">
      <c r="B26" s="542" t="s">
        <v>445</v>
      </c>
      <c r="C26" s="542">
        <v>773</v>
      </c>
      <c r="D26" s="542">
        <f t="shared" si="4"/>
        <v>0.15701807840747511</v>
      </c>
      <c r="G26" s="542" t="s">
        <v>447</v>
      </c>
      <c r="H26" s="542">
        <v>309</v>
      </c>
      <c r="I26" s="549">
        <f t="shared" si="3"/>
        <v>0.17586795674445077</v>
      </c>
    </row>
    <row r="27" spans="2:9" ht="15">
      <c r="B27" s="542" t="s">
        <v>447</v>
      </c>
      <c r="C27" s="542">
        <v>454</v>
      </c>
      <c r="D27" s="542">
        <f t="shared" si="4"/>
        <v>9.2220190940483449E-2</v>
      </c>
      <c r="G27" s="542" t="s">
        <v>444</v>
      </c>
      <c r="H27" s="542">
        <v>216</v>
      </c>
      <c r="I27" s="549">
        <f t="shared" si="3"/>
        <v>0.12293682413204325</v>
      </c>
    </row>
    <row r="28" spans="2:9" ht="15">
      <c r="B28" s="542" t="s">
        <v>448</v>
      </c>
      <c r="C28" s="542">
        <v>883</v>
      </c>
      <c r="D28" s="542">
        <f t="shared" si="4"/>
        <v>0.17936217753402398</v>
      </c>
      <c r="G28" s="542" t="s">
        <v>449</v>
      </c>
      <c r="H28" s="542">
        <v>128</v>
      </c>
      <c r="I28" s="549">
        <f t="shared" si="3"/>
        <v>7.2851451337507117E-2</v>
      </c>
    </row>
    <row r="29" spans="2:9" ht="15">
      <c r="B29" s="542" t="s">
        <v>45</v>
      </c>
      <c r="C29" s="553">
        <v>402</v>
      </c>
      <c r="D29" s="552">
        <f t="shared" si="4"/>
        <v>8.1657525898842176E-2</v>
      </c>
      <c r="G29" s="545" t="s">
        <v>450</v>
      </c>
      <c r="H29" s="542">
        <v>50</v>
      </c>
      <c r="I29" s="549">
        <f t="shared" si="3"/>
        <v>2.8457598178713718E-2</v>
      </c>
    </row>
    <row r="30" spans="2:9" ht="15">
      <c r="B30" s="542" t="s">
        <v>450</v>
      </c>
      <c r="C30" s="552">
        <v>356</v>
      </c>
      <c r="D30" s="552">
        <f t="shared" si="4"/>
        <v>7.2313629900467191E-2</v>
      </c>
      <c r="G30" s="542" t="s">
        <v>65</v>
      </c>
      <c r="H30" s="542">
        <v>41</v>
      </c>
      <c r="I30" s="549">
        <f t="shared" si="3"/>
        <v>2.3335230506545249E-2</v>
      </c>
    </row>
    <row r="31" spans="2:9" ht="15">
      <c r="B31" s="542" t="s">
        <v>291</v>
      </c>
      <c r="C31" s="542">
        <v>178</v>
      </c>
      <c r="D31" s="542">
        <f t="shared" si="4"/>
        <v>3.6156814950233596E-2</v>
      </c>
      <c r="G31" s="542" t="s">
        <v>448</v>
      </c>
      <c r="H31" s="542">
        <v>10</v>
      </c>
      <c r="I31" s="549">
        <f t="shared" si="3"/>
        <v>5.6915196357427431E-3</v>
      </c>
    </row>
    <row r="32" spans="2:9" ht="15">
      <c r="B32" s="542" t="s">
        <v>65</v>
      </c>
      <c r="C32" s="542">
        <v>147</v>
      </c>
      <c r="D32" s="542">
        <f t="shared" si="4"/>
        <v>2.9859841560024376E-2</v>
      </c>
      <c r="G32" s="545" t="s">
        <v>451</v>
      </c>
      <c r="H32" s="542">
        <v>3</v>
      </c>
      <c r="I32" s="549">
        <f t="shared" si="3"/>
        <v>1.7074558907228231E-3</v>
      </c>
    </row>
    <row r="33" spans="2:9">
      <c r="B33" s="542" t="s">
        <v>449</v>
      </c>
      <c r="C33" s="542">
        <v>346</v>
      </c>
      <c r="D33" s="542">
        <f t="shared" si="4"/>
        <v>7.0282348161690031E-2</v>
      </c>
      <c r="G33" s="542"/>
      <c r="H33" s="542"/>
      <c r="I33" s="542"/>
    </row>
    <row r="34" spans="2:9">
      <c r="B34" s="542" t="s">
        <v>150</v>
      </c>
      <c r="C34" s="544">
        <f>SUM(C24:C33)</f>
        <v>4923</v>
      </c>
      <c r="D34" s="542"/>
      <c r="G34" s="542"/>
      <c r="H34" s="542">
        <f>SUM(H24:H32)</f>
        <v>1757</v>
      </c>
      <c r="I34" s="542"/>
    </row>
    <row r="36" spans="2:9" ht="15">
      <c r="B36" s="539" t="s">
        <v>452</v>
      </c>
      <c r="C36" s="539">
        <f>SUM(C24:C27)</f>
        <v>2611</v>
      </c>
      <c r="D36" s="550">
        <f>C36/SUM($C$36:$C$38)</f>
        <v>0.55026343519494203</v>
      </c>
    </row>
    <row r="37" spans="2:9" ht="15">
      <c r="B37" s="539" t="s">
        <v>65</v>
      </c>
      <c r="C37" s="539">
        <f>C28+C30+C329+C33+C32</f>
        <v>1732</v>
      </c>
      <c r="D37" s="550">
        <f>C37/SUM($C$36:$C$38)</f>
        <v>0.36501580611169654</v>
      </c>
    </row>
    <row r="38" spans="2:9" ht="15">
      <c r="B38" s="539" t="s">
        <v>45</v>
      </c>
      <c r="C38" s="539">
        <f>C29</f>
        <v>402</v>
      </c>
      <c r="D38" s="550">
        <f>C38/SUM($C$36:$C$38)</f>
        <v>8.4720758693361431E-2</v>
      </c>
    </row>
    <row r="40" spans="2:9">
      <c r="C40" s="551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Olex</cp:lastModifiedBy>
  <dcterms:created xsi:type="dcterms:W3CDTF">2014-12-22T10:04:48Z</dcterms:created>
  <dcterms:modified xsi:type="dcterms:W3CDTF">2021-11-09T20:23:58Z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842534363269805</vt:r8>
  </property>
</Properties>
</file>