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114661DE-5187-4240-84BC-6B7DF85D593B}" xr6:coauthVersionLast="45" xr6:coauthVersionMax="45" xr10:uidLastSave="{00000000-0000-0000-0000-000000000000}"/>
  <bookViews>
    <workbookView xWindow="-120" yWindow="-120" windowWidth="29040" windowHeight="15840" firstSheet="8" activeTab="8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7" i="3"/>
  <c r="C4" i="3"/>
  <c r="B15" i="54"/>
  <c r="B14" i="54"/>
  <c r="B13" i="54"/>
  <c r="B12" i="54"/>
  <c r="B11" i="54"/>
  <c r="B10" i="54"/>
  <c r="B9" i="54"/>
  <c r="B8" i="54"/>
  <c r="B7" i="54"/>
  <c r="B6" i="54"/>
  <c r="L7" i="54"/>
  <c r="L8" i="54"/>
  <c r="L9" i="54"/>
  <c r="L10" i="54"/>
  <c r="L11" i="54"/>
  <c r="L12" i="54"/>
  <c r="L13" i="54"/>
  <c r="L14" i="54"/>
  <c r="L15" i="54"/>
  <c r="L6" i="54"/>
  <c r="N7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AB7" i="28"/>
  <c r="M54" i="52"/>
  <c r="P55" i="52"/>
  <c r="M55" i="52"/>
  <c r="M43" i="52"/>
  <c r="M19" i="52"/>
  <c r="M19" i="51"/>
  <c r="M43" i="51"/>
  <c r="M54" i="51"/>
  <c r="M55" i="51"/>
  <c r="P55" i="28"/>
  <c r="M55" i="28"/>
  <c r="M54" i="28"/>
  <c r="M43" i="28"/>
  <c r="M19" i="28"/>
  <c r="N21" i="28"/>
  <c r="N20" i="28"/>
  <c r="N19" i="28"/>
  <c r="N17" i="28"/>
  <c r="N15" i="28"/>
  <c r="N13" i="28"/>
  <c r="N12" i="28"/>
  <c r="N11" i="28"/>
  <c r="N10" i="28"/>
  <c r="N9" i="28"/>
  <c r="N8" i="28"/>
  <c r="N7" i="28"/>
  <c r="N55" i="52"/>
  <c r="N54" i="52"/>
  <c r="N21" i="52"/>
  <c r="N20" i="52"/>
  <c r="N19" i="52"/>
  <c r="N17" i="52"/>
  <c r="N15" i="52"/>
  <c r="N13" i="52"/>
  <c r="N12" i="52"/>
  <c r="N11" i="52"/>
  <c r="N10" i="52"/>
  <c r="N9" i="52"/>
  <c r="N8" i="52"/>
  <c r="N7" i="52"/>
  <c r="N45" i="52"/>
  <c r="AD45" i="52" s="1"/>
  <c r="N44" i="52"/>
  <c r="AD44" i="52" s="1"/>
  <c r="N43" i="52"/>
  <c r="AD43" i="52" s="1"/>
  <c r="N41" i="52"/>
  <c r="AD41" i="52" s="1"/>
  <c r="N39" i="52"/>
  <c r="AD39" i="52" s="1"/>
  <c r="N37" i="52"/>
  <c r="AD37" i="52" s="1"/>
  <c r="N36" i="52"/>
  <c r="AD36" i="52" s="1"/>
  <c r="N35" i="52"/>
  <c r="AD35" i="52" s="1"/>
  <c r="N34" i="52"/>
  <c r="AD34" i="52" s="1"/>
  <c r="N33" i="52"/>
  <c r="AD33" i="52" s="1"/>
  <c r="N32" i="52"/>
  <c r="AD32" i="52" s="1"/>
  <c r="N31" i="52"/>
  <c r="AD31" i="52" s="1"/>
  <c r="N55" i="51"/>
  <c r="N54" i="51"/>
  <c r="N21" i="51"/>
  <c r="N20" i="51"/>
  <c r="N19" i="51"/>
  <c r="N17" i="51"/>
  <c r="N15" i="51"/>
  <c r="N13" i="51"/>
  <c r="N12" i="51"/>
  <c r="N11" i="51"/>
  <c r="N10" i="51"/>
  <c r="N9" i="51"/>
  <c r="N8" i="51"/>
  <c r="N7" i="51"/>
  <c r="N45" i="51"/>
  <c r="N44" i="51"/>
  <c r="N43" i="51"/>
  <c r="N41" i="51"/>
  <c r="N39" i="51"/>
  <c r="N37" i="51"/>
  <c r="N36" i="51"/>
  <c r="N35" i="51"/>
  <c r="N34" i="51"/>
  <c r="N33" i="51"/>
  <c r="N32" i="51"/>
  <c r="N31" i="51"/>
  <c r="N55" i="28"/>
  <c r="N54" i="28"/>
  <c r="N45" i="28"/>
  <c r="N44" i="28"/>
  <c r="N43" i="28"/>
  <c r="N41" i="28"/>
  <c r="N39" i="28"/>
  <c r="N37" i="28"/>
  <c r="N36" i="28"/>
  <c r="N35" i="28"/>
  <c r="N34" i="28"/>
  <c r="N33" i="28"/>
  <c r="N32" i="28"/>
  <c r="N31" i="28"/>
  <c r="AB55" i="28"/>
  <c r="AB54" i="28"/>
  <c r="AB55" i="51"/>
  <c r="AB54" i="51"/>
  <c r="AB55" i="52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21" i="28"/>
  <c r="AB20" i="28"/>
  <c r="AB19" i="28"/>
  <c r="AB17" i="28"/>
  <c r="AB15" i="28"/>
  <c r="AB13" i="28"/>
  <c r="AB12" i="28"/>
  <c r="AB11" i="28"/>
  <c r="AB10" i="28"/>
  <c r="AB9" i="28"/>
  <c r="AB8" i="28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P10" i="48"/>
  <c r="U5" i="48"/>
  <c r="U6" i="48"/>
  <c r="U7" i="48"/>
  <c r="U8" i="48"/>
  <c r="U9" i="48"/>
  <c r="U10" i="48"/>
  <c r="U11" i="48"/>
  <c r="V6" i="48"/>
  <c r="V7" i="48"/>
  <c r="V8" i="48"/>
  <c r="V9" i="48"/>
  <c r="V10" i="48"/>
  <c r="V11" i="48"/>
  <c r="V5" i="48"/>
  <c r="O21" i="9"/>
  <c r="F38" i="9"/>
  <c r="F37" i="9"/>
  <c r="F36" i="9"/>
  <c r="F35" i="9"/>
  <c r="F34" i="9"/>
  <c r="F33" i="9"/>
  <c r="F32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O23" i="9"/>
  <c r="O22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E35" i="9"/>
  <c r="E36" i="9"/>
  <c r="E37" i="9"/>
  <c r="E33" i="9"/>
  <c r="E32" i="9"/>
  <c r="T11" i="48"/>
  <c r="T10" i="48"/>
  <c r="T9" i="48"/>
  <c r="T8" i="48"/>
  <c r="T7" i="48"/>
  <c r="T6" i="48"/>
  <c r="T5" i="48"/>
  <c r="B6" i="48"/>
  <c r="B8" i="48"/>
  <c r="B7" i="48"/>
  <c r="M8" i="46"/>
  <c r="M7" i="46"/>
  <c r="M6" i="46"/>
  <c r="B6" i="46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U14" i="46" l="1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K46" i="22" l="1"/>
  <c r="H5" i="22" l="1"/>
  <c r="O13" i="48" l="1"/>
  <c r="P6" i="48" l="1"/>
  <c r="O6" i="48" s="1"/>
  <c r="P8" i="48" l="1"/>
  <c r="O8" i="48" s="1"/>
  <c r="P7" i="48"/>
  <c r="O7" i="48" s="1"/>
  <c r="M7" i="48"/>
  <c r="M8" i="48" l="1"/>
  <c r="L41" i="52" l="1"/>
  <c r="L31" i="52"/>
  <c r="L11" i="52"/>
  <c r="L45" i="51"/>
  <c r="L44" i="51"/>
  <c r="L33" i="51"/>
  <c r="L15" i="51"/>
  <c r="L13" i="51"/>
  <c r="L20" i="28"/>
  <c r="L9" i="28"/>
  <c r="L43" i="28"/>
  <c r="L37" i="28"/>
  <c r="L35" i="28"/>
  <c r="L55" i="28"/>
  <c r="L54" i="28"/>
  <c r="C26" i="48"/>
  <c r="C21" i="48"/>
  <c r="B13" i="48"/>
  <c r="B11" i="48"/>
  <c r="B28" i="46"/>
  <c r="B29" i="46"/>
  <c r="B11" i="46"/>
  <c r="D7" i="53"/>
  <c r="C7" i="53"/>
  <c r="V6" i="53"/>
  <c r="F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K3" i="53" a="1"/>
  <c r="K3" i="53" s="1"/>
  <c r="I3" i="53" a="1"/>
  <c r="I3" i="53" s="1"/>
  <c r="H3" i="53" a="1"/>
  <c r="H3" i="53" s="1"/>
  <c r="F3" i="53" a="1"/>
  <c r="F3" i="53" s="1"/>
  <c r="D3" i="53" a="1"/>
  <c r="D3" i="53" s="1"/>
  <c r="C3" i="53" a="1"/>
  <c r="C3" i="53" s="1"/>
  <c r="L45" i="52" s="1"/>
  <c r="AB3" i="53" l="1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/>
  <c r="P22" i="45"/>
  <c r="Q22" i="45"/>
  <c r="R22" i="45"/>
  <c r="S22" i="45"/>
  <c r="Z22" i="45" s="1"/>
  <c r="T22" i="45"/>
  <c r="U22" i="45"/>
  <c r="V22" i="45"/>
  <c r="W22" i="45"/>
  <c r="X22" i="45"/>
  <c r="Y22" i="45"/>
  <c r="AL23" i="45"/>
  <c r="AO23" i="45"/>
  <c r="AZ23" i="45" s="1"/>
  <c r="P23" i="45"/>
  <c r="Q23" i="45"/>
  <c r="Z23" i="45" s="1"/>
  <c r="R23" i="45"/>
  <c r="S23" i="45"/>
  <c r="T23" i="45"/>
  <c r="U23" i="45"/>
  <c r="V23" i="45"/>
  <c r="W23" i="45"/>
  <c r="X23" i="45"/>
  <c r="Y23" i="45"/>
  <c r="AL24" i="45"/>
  <c r="AO24" i="45"/>
  <c r="P24" i="45"/>
  <c r="Q24" i="45"/>
  <c r="Z24" i="45" s="1"/>
  <c r="R24" i="45"/>
  <c r="S24" i="45"/>
  <c r="T24" i="45"/>
  <c r="U24" i="45"/>
  <c r="V24" i="45"/>
  <c r="W24" i="45"/>
  <c r="X24" i="45"/>
  <c r="Y24" i="45"/>
  <c r="AL25" i="45"/>
  <c r="AO25" i="45"/>
  <c r="P25" i="45"/>
  <c r="Q25" i="45"/>
  <c r="Z25" i="45" s="1"/>
  <c r="R25" i="45"/>
  <c r="S25" i="45"/>
  <c r="T25" i="45"/>
  <c r="U25" i="45"/>
  <c r="V25" i="45"/>
  <c r="W25" i="45"/>
  <c r="X25" i="45"/>
  <c r="Y25" i="45"/>
  <c r="AL26" i="45"/>
  <c r="AO26" i="45"/>
  <c r="P26" i="45"/>
  <c r="Q26" i="45"/>
  <c r="R26" i="45"/>
  <c r="S26" i="45"/>
  <c r="Z26" i="45" s="1"/>
  <c r="T26" i="45"/>
  <c r="U26" i="45"/>
  <c r="V26" i="45"/>
  <c r="W26" i="45"/>
  <c r="X26" i="45"/>
  <c r="Y26" i="45"/>
  <c r="AL27" i="45"/>
  <c r="AO27" i="45"/>
  <c r="P27" i="45"/>
  <c r="Z27" i="45" s="1"/>
  <c r="Q27" i="45"/>
  <c r="R27" i="45"/>
  <c r="S27" i="45"/>
  <c r="T27" i="45"/>
  <c r="U27" i="45"/>
  <c r="V27" i="45"/>
  <c r="W27" i="45"/>
  <c r="X27" i="45"/>
  <c r="Y27" i="45"/>
  <c r="AL28" i="45"/>
  <c r="AO28" i="45"/>
  <c r="P28" i="45"/>
  <c r="Q28" i="45"/>
  <c r="Z28" i="45" s="1"/>
  <c r="R28" i="45"/>
  <c r="S28" i="45"/>
  <c r="T28" i="45"/>
  <c r="U28" i="45"/>
  <c r="V28" i="45"/>
  <c r="W28" i="45"/>
  <c r="X28" i="45"/>
  <c r="Y28" i="45"/>
  <c r="AL29" i="45"/>
  <c r="AO29" i="45"/>
  <c r="P29" i="45"/>
  <c r="Z29" i="45" s="1"/>
  <c r="Q29" i="45"/>
  <c r="R29" i="45"/>
  <c r="S29" i="45"/>
  <c r="T29" i="45"/>
  <c r="U29" i="45"/>
  <c r="V29" i="45"/>
  <c r="W29" i="45"/>
  <c r="X29" i="45"/>
  <c r="Y29" i="45"/>
  <c r="AL30" i="45"/>
  <c r="AO30" i="45"/>
  <c r="P30" i="45"/>
  <c r="Q30" i="45"/>
  <c r="R30" i="45"/>
  <c r="S30" i="45"/>
  <c r="Z30" i="45" s="1"/>
  <c r="T30" i="45"/>
  <c r="U30" i="45"/>
  <c r="V30" i="45"/>
  <c r="W30" i="45"/>
  <c r="X30" i="45"/>
  <c r="Y30" i="45"/>
  <c r="P31" i="45"/>
  <c r="Q31" i="45"/>
  <c r="Z31" i="45" s="1"/>
  <c r="R31" i="45"/>
  <c r="S31" i="45"/>
  <c r="T31" i="45"/>
  <c r="U31" i="45"/>
  <c r="V31" i="45"/>
  <c r="W31" i="45"/>
  <c r="X31" i="45"/>
  <c r="Y31" i="45"/>
  <c r="AP22" i="45"/>
  <c r="BA22" i="45" s="1"/>
  <c r="AP23" i="45"/>
  <c r="BA23" i="45" s="1"/>
  <c r="AP24" i="45"/>
  <c r="AP25" i="45"/>
  <c r="AP26" i="45"/>
  <c r="BA26" i="45" s="1"/>
  <c r="AP27" i="45"/>
  <c r="AP28" i="45"/>
  <c r="BA28" i="45" s="1"/>
  <c r="AP29" i="45"/>
  <c r="AP30" i="45"/>
  <c r="BA30" i="45" s="1"/>
  <c r="AQ22" i="45"/>
  <c r="AQ23" i="45"/>
  <c r="BB23" i="45" s="1"/>
  <c r="AQ24" i="45"/>
  <c r="AQ25" i="45"/>
  <c r="BB25" i="45" s="1"/>
  <c r="AQ26" i="45"/>
  <c r="AQ27" i="45"/>
  <c r="BB27" i="45" s="1"/>
  <c r="AQ28" i="45"/>
  <c r="BB28" i="45" s="1"/>
  <c r="AQ29" i="45"/>
  <c r="BB29" i="45" s="1"/>
  <c r="AQ30" i="45"/>
  <c r="AR22" i="45"/>
  <c r="AR23" i="45"/>
  <c r="AR24" i="45"/>
  <c r="BC24" i="45" s="1"/>
  <c r="AR25" i="45"/>
  <c r="BC25" i="45" s="1"/>
  <c r="AR26" i="45"/>
  <c r="BC26" i="45" s="1"/>
  <c r="AR27" i="45"/>
  <c r="AR28" i="45"/>
  <c r="BC28" i="45" s="1"/>
  <c r="AR29" i="45"/>
  <c r="AR30" i="45"/>
  <c r="AS22" i="45"/>
  <c r="AS23" i="45"/>
  <c r="BD23" i="45" s="1"/>
  <c r="AS24" i="45"/>
  <c r="AS25" i="45"/>
  <c r="BD25" i="45" s="1"/>
  <c r="AS26" i="45"/>
  <c r="BD26" i="45" s="1"/>
  <c r="AS27" i="45"/>
  <c r="BD27" i="45" s="1"/>
  <c r="AS28" i="45"/>
  <c r="AS29" i="45"/>
  <c r="AS30" i="45"/>
  <c r="AT22" i="45"/>
  <c r="BE22" i="45" s="1"/>
  <c r="AT23" i="45"/>
  <c r="BE23" i="45" s="1"/>
  <c r="AT24" i="45"/>
  <c r="BE24" i="45" s="1"/>
  <c r="AT25" i="45"/>
  <c r="AT26" i="45"/>
  <c r="BE26" i="45" s="1"/>
  <c r="AT27" i="45"/>
  <c r="AT28" i="45"/>
  <c r="AT29" i="45"/>
  <c r="AT30" i="45"/>
  <c r="BE30" i="45" s="1"/>
  <c r="AU22" i="45"/>
  <c r="AU23" i="45"/>
  <c r="BF23" i="45" s="1"/>
  <c r="AU24" i="45"/>
  <c r="BF24" i="45" s="1"/>
  <c r="AU25" i="45"/>
  <c r="BF25" i="45" s="1"/>
  <c r="AU26" i="45"/>
  <c r="AU27" i="45"/>
  <c r="AU28" i="45"/>
  <c r="AU29" i="45"/>
  <c r="BF29" i="45" s="1"/>
  <c r="AU30" i="45"/>
  <c r="AV22" i="45"/>
  <c r="BG22" i="45" s="1"/>
  <c r="AV23" i="45"/>
  <c r="AV24" i="45"/>
  <c r="BG24" i="45" s="1"/>
  <c r="AV25" i="45"/>
  <c r="BG25" i="45" s="1"/>
  <c r="AV26" i="45"/>
  <c r="AV27" i="45"/>
  <c r="AV28" i="45"/>
  <c r="BG28" i="45" s="1"/>
  <c r="AV29" i="45"/>
  <c r="AV30" i="45"/>
  <c r="BG30" i="45" s="1"/>
  <c r="AW22" i="45"/>
  <c r="BH22" i="45" s="1"/>
  <c r="AW23" i="45"/>
  <c r="BH23" i="45" s="1"/>
  <c r="AW24" i="45"/>
  <c r="AW25" i="45"/>
  <c r="BH25" i="45" s="1"/>
  <c r="AW26" i="45"/>
  <c r="AW27" i="45"/>
  <c r="BH27" i="45" s="1"/>
  <c r="AW28" i="45"/>
  <c r="AW29" i="45"/>
  <c r="BH29" i="45" s="1"/>
  <c r="AW30" i="45"/>
  <c r="BH30" i="45" s="1"/>
  <c r="AL34" i="45"/>
  <c r="AO34" i="45"/>
  <c r="P34" i="45"/>
  <c r="Z34" i="45" s="1"/>
  <c r="Q34" i="45"/>
  <c r="R34" i="45"/>
  <c r="S34" i="45"/>
  <c r="T34" i="45"/>
  <c r="U34" i="45"/>
  <c r="V34" i="45"/>
  <c r="W34" i="45"/>
  <c r="X34" i="45"/>
  <c r="Y34" i="45"/>
  <c r="AL35" i="45"/>
  <c r="AO35" i="45"/>
  <c r="P35" i="45"/>
  <c r="Q35" i="45"/>
  <c r="Z35" i="45" s="1"/>
  <c r="R35" i="45"/>
  <c r="S35" i="45"/>
  <c r="T35" i="45"/>
  <c r="U35" i="45"/>
  <c r="V35" i="45"/>
  <c r="W35" i="45"/>
  <c r="X35" i="45"/>
  <c r="Y35" i="45"/>
  <c r="AL36" i="45"/>
  <c r="AO36" i="45"/>
  <c r="P36" i="45"/>
  <c r="Z36" i="45" s="1"/>
  <c r="Q36" i="45"/>
  <c r="R36" i="45"/>
  <c r="S36" i="45"/>
  <c r="T36" i="45"/>
  <c r="U36" i="45"/>
  <c r="V36" i="45"/>
  <c r="W36" i="45"/>
  <c r="X36" i="45"/>
  <c r="Y36" i="45"/>
  <c r="AL37" i="45"/>
  <c r="AO37" i="45"/>
  <c r="AZ38" i="45" s="1"/>
  <c r="P37" i="45"/>
  <c r="Q37" i="45"/>
  <c r="R37" i="45"/>
  <c r="S37" i="45"/>
  <c r="Z37" i="45" s="1"/>
  <c r="T37" i="45"/>
  <c r="U37" i="45"/>
  <c r="V37" i="45"/>
  <c r="W37" i="45"/>
  <c r="X37" i="45"/>
  <c r="Y37" i="45"/>
  <c r="AL38" i="45"/>
  <c r="AO38" i="45"/>
  <c r="P38" i="45"/>
  <c r="Z38" i="45" s="1"/>
  <c r="Q38" i="45"/>
  <c r="R38" i="45"/>
  <c r="S38" i="45"/>
  <c r="T38" i="45"/>
  <c r="U38" i="45"/>
  <c r="V38" i="45"/>
  <c r="W38" i="45"/>
  <c r="X38" i="45"/>
  <c r="Y38" i="45"/>
  <c r="AL39" i="45"/>
  <c r="AO39" i="45"/>
  <c r="P39" i="45"/>
  <c r="Q39" i="45"/>
  <c r="Z39" i="45" s="1"/>
  <c r="R39" i="45"/>
  <c r="S39" i="45"/>
  <c r="T39" i="45"/>
  <c r="U39" i="45"/>
  <c r="V39" i="45"/>
  <c r="W39" i="45"/>
  <c r="X39" i="45"/>
  <c r="Y39" i="45"/>
  <c r="AL40" i="45"/>
  <c r="AO40" i="45" s="1"/>
  <c r="AZ41" i="45" s="1"/>
  <c r="P40" i="45"/>
  <c r="Z40" i="45" s="1"/>
  <c r="Q40" i="45"/>
  <c r="R40" i="45"/>
  <c r="S40" i="45"/>
  <c r="T40" i="45"/>
  <c r="U40" i="45"/>
  <c r="V40" i="45"/>
  <c r="W40" i="45"/>
  <c r="X40" i="45"/>
  <c r="Y40" i="45"/>
  <c r="AL41" i="45"/>
  <c r="AO41" i="45"/>
  <c r="AZ42" i="45" s="1"/>
  <c r="P41" i="45"/>
  <c r="Q41" i="45"/>
  <c r="R41" i="45"/>
  <c r="S41" i="45"/>
  <c r="Z41" i="45" s="1"/>
  <c r="T41" i="45"/>
  <c r="U41" i="45"/>
  <c r="V41" i="45"/>
  <c r="W41" i="45"/>
  <c r="X41" i="45"/>
  <c r="Y41" i="45"/>
  <c r="AL42" i="45"/>
  <c r="AO42" i="45"/>
  <c r="AZ43" i="45" s="1"/>
  <c r="P42" i="45"/>
  <c r="Z42" i="45" s="1"/>
  <c r="Q42" i="45"/>
  <c r="R42" i="45"/>
  <c r="S42" i="45"/>
  <c r="T42" i="45"/>
  <c r="U42" i="45"/>
  <c r="V42" i="45"/>
  <c r="W42" i="45"/>
  <c r="X42" i="45"/>
  <c r="Y42" i="45"/>
  <c r="P43" i="45"/>
  <c r="Z43" i="45" s="1"/>
  <c r="Q43" i="45"/>
  <c r="R43" i="45"/>
  <c r="S43" i="45"/>
  <c r="T43" i="45"/>
  <c r="U43" i="45"/>
  <c r="V43" i="45"/>
  <c r="W43" i="45"/>
  <c r="X43" i="45"/>
  <c r="Y43" i="45"/>
  <c r="AP34" i="45"/>
  <c r="AP35" i="45"/>
  <c r="BA36" i="45" s="1"/>
  <c r="AP36" i="45"/>
  <c r="BA37" i="45" s="1"/>
  <c r="AP37" i="45"/>
  <c r="BA38" i="45" s="1"/>
  <c r="AP38" i="45"/>
  <c r="AP39" i="45"/>
  <c r="AP40" i="45"/>
  <c r="BA41" i="45" s="1"/>
  <c r="AP41" i="45"/>
  <c r="BA42" i="45" s="1"/>
  <c r="AP42" i="45"/>
  <c r="AQ34" i="45"/>
  <c r="BB35" i="45" s="1"/>
  <c r="AQ35" i="45"/>
  <c r="AQ36" i="45"/>
  <c r="BB37" i="45" s="1"/>
  <c r="AQ37" i="45"/>
  <c r="BB38" i="45" s="1"/>
  <c r="AQ38" i="45"/>
  <c r="BB39" i="45" s="1"/>
  <c r="AQ39" i="45"/>
  <c r="AQ40" i="45"/>
  <c r="BB41" i="45" s="1"/>
  <c r="AQ41" i="45"/>
  <c r="AQ42" i="45"/>
  <c r="BB43" i="45" s="1"/>
  <c r="AR34" i="45"/>
  <c r="BC35" i="45" s="1"/>
  <c r="AR35" i="45"/>
  <c r="BC36" i="45" s="1"/>
  <c r="AR36" i="45"/>
  <c r="AR37" i="45"/>
  <c r="BC38" i="45" s="1"/>
  <c r="AR38" i="45"/>
  <c r="BC39" i="45" s="1"/>
  <c r="AR39" i="45"/>
  <c r="BC40" i="45" s="1"/>
  <c r="AR40" i="45"/>
  <c r="AR41" i="45"/>
  <c r="BC42" i="45" s="1"/>
  <c r="AR42" i="45"/>
  <c r="BC43" i="45" s="1"/>
  <c r="AS34" i="45"/>
  <c r="BD35" i="45" s="1"/>
  <c r="AS35" i="45"/>
  <c r="AS36" i="45"/>
  <c r="BD37" i="45" s="1"/>
  <c r="AS37" i="45"/>
  <c r="AS38" i="45"/>
  <c r="BD39" i="45" s="1"/>
  <c r="AS39" i="45"/>
  <c r="AS40" i="45"/>
  <c r="BD41" i="45" s="1"/>
  <c r="AS41" i="45"/>
  <c r="AS42" i="45"/>
  <c r="BD43" i="45" s="1"/>
  <c r="AT34" i="45"/>
  <c r="AT35" i="45"/>
  <c r="AT36" i="45"/>
  <c r="BE37" i="45" s="1"/>
  <c r="AT37" i="45"/>
  <c r="BE38" i="45" s="1"/>
  <c r="AT38" i="45"/>
  <c r="AT39" i="45"/>
  <c r="BE40" i="45" s="1"/>
  <c r="AT40" i="45"/>
  <c r="BE41" i="45" s="1"/>
  <c r="AT41" i="45"/>
  <c r="BE42" i="45" s="1"/>
  <c r="AT42" i="45"/>
  <c r="AU34" i="45"/>
  <c r="BF35" i="45" s="1"/>
  <c r="AU35" i="45"/>
  <c r="AU36" i="45"/>
  <c r="BF37" i="45" s="1"/>
  <c r="AU37" i="45"/>
  <c r="BF38" i="45" s="1"/>
  <c r="AU38" i="45"/>
  <c r="BF39" i="45" s="1"/>
  <c r="AU39" i="45"/>
  <c r="AU40" i="45"/>
  <c r="BF41" i="45" s="1"/>
  <c r="AU41" i="45"/>
  <c r="AU42" i="45"/>
  <c r="BF43" i="45" s="1"/>
  <c r="AV34" i="45"/>
  <c r="BG35" i="45" s="1"/>
  <c r="AV35" i="45"/>
  <c r="BG36" i="45" s="1"/>
  <c r="AV36" i="45"/>
  <c r="AV37" i="45"/>
  <c r="BG38" i="45" s="1"/>
  <c r="AV38" i="45"/>
  <c r="BG39" i="45" s="1"/>
  <c r="AV39" i="45"/>
  <c r="BG40" i="45" s="1"/>
  <c r="AV40" i="45"/>
  <c r="AV41" i="45"/>
  <c r="AV42" i="45"/>
  <c r="BG43" i="45" s="1"/>
  <c r="AW34" i="45"/>
  <c r="BH35" i="45" s="1"/>
  <c r="AW35" i="45"/>
  <c r="AW36" i="45"/>
  <c r="BH37" i="45" s="1"/>
  <c r="AW37" i="45"/>
  <c r="AW38" i="45"/>
  <c r="BH39" i="45" s="1"/>
  <c r="AW39" i="45"/>
  <c r="AW40" i="45"/>
  <c r="BH41" i="45" s="1"/>
  <c r="AW41" i="45"/>
  <c r="AW42" i="45"/>
  <c r="BH43" i="45" s="1"/>
  <c r="AL46" i="45"/>
  <c r="AO46" i="45"/>
  <c r="P46" i="45"/>
  <c r="Q46" i="45"/>
  <c r="Z46" i="45" s="1"/>
  <c r="R46" i="45"/>
  <c r="S46" i="45"/>
  <c r="T46" i="45"/>
  <c r="U46" i="45"/>
  <c r="V46" i="45"/>
  <c r="W46" i="45"/>
  <c r="X46" i="45"/>
  <c r="Y46" i="45"/>
  <c r="AL47" i="45"/>
  <c r="AO47" i="45"/>
  <c r="P47" i="45"/>
  <c r="Z47" i="45" s="1"/>
  <c r="Q47" i="45"/>
  <c r="R47" i="45"/>
  <c r="S47" i="45"/>
  <c r="T47" i="45"/>
  <c r="U47" i="45"/>
  <c r="V47" i="45"/>
  <c r="W47" i="45"/>
  <c r="X47" i="45"/>
  <c r="Y47" i="45"/>
  <c r="AL48" i="45"/>
  <c r="AO48" i="45"/>
  <c r="AZ50" i="45" s="1"/>
  <c r="P48" i="45"/>
  <c r="Q48" i="45"/>
  <c r="R48" i="45"/>
  <c r="S48" i="45"/>
  <c r="Z48" i="45" s="1"/>
  <c r="T48" i="45"/>
  <c r="U48" i="45"/>
  <c r="V48" i="45"/>
  <c r="W48" i="45"/>
  <c r="X48" i="45"/>
  <c r="Y48" i="45"/>
  <c r="AL49" i="45"/>
  <c r="AO49" i="45"/>
  <c r="P49" i="45"/>
  <c r="Z49" i="45" s="1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Z50" i="45" s="1"/>
  <c r="R50" i="45"/>
  <c r="S50" i="45"/>
  <c r="T50" i="45"/>
  <c r="U50" i="45"/>
  <c r="V50" i="45"/>
  <c r="W50" i="45"/>
  <c r="X50" i="45"/>
  <c r="Y50" i="45"/>
  <c r="AL51" i="45"/>
  <c r="AO51" i="45" s="1"/>
  <c r="P51" i="45"/>
  <c r="Z51" i="45" s="1"/>
  <c r="Q51" i="45"/>
  <c r="R51" i="45"/>
  <c r="S51" i="45"/>
  <c r="T51" i="45"/>
  <c r="U51" i="45"/>
  <c r="V51" i="45"/>
  <c r="W51" i="45"/>
  <c r="X51" i="45"/>
  <c r="Y51" i="45"/>
  <c r="AL52" i="45"/>
  <c r="AO52" i="45"/>
  <c r="P52" i="45"/>
  <c r="Q52" i="45"/>
  <c r="R52" i="45"/>
  <c r="S52" i="45"/>
  <c r="Z52" i="45" s="1"/>
  <c r="T52" i="45"/>
  <c r="U52" i="45"/>
  <c r="V52" i="45"/>
  <c r="W52" i="45"/>
  <c r="X52" i="45"/>
  <c r="Y52" i="45"/>
  <c r="AL53" i="45"/>
  <c r="AO53" i="45"/>
  <c r="P53" i="45"/>
  <c r="Z53" i="45" s="1"/>
  <c r="Q53" i="45"/>
  <c r="R53" i="45"/>
  <c r="S53" i="45"/>
  <c r="T53" i="45"/>
  <c r="U53" i="45"/>
  <c r="V53" i="45"/>
  <c r="W53" i="45"/>
  <c r="X53" i="45"/>
  <c r="Y53" i="45"/>
  <c r="AL54" i="45"/>
  <c r="AS54" i="45" s="1"/>
  <c r="BD56" i="45" s="1"/>
  <c r="AO54" i="45"/>
  <c r="P54" i="45"/>
  <c r="Q54" i="45"/>
  <c r="Z54" i="45" s="1"/>
  <c r="AZ56" i="45" s="1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Z55" i="45" s="1"/>
  <c r="X55" i="45"/>
  <c r="Y55" i="45"/>
  <c r="AP46" i="45"/>
  <c r="AP47" i="45"/>
  <c r="AP48" i="45"/>
  <c r="BA50" i="45" s="1"/>
  <c r="AP49" i="45"/>
  <c r="BA51" i="45" s="1"/>
  <c r="AP50" i="45"/>
  <c r="BA52" i="45" s="1"/>
  <c r="AP51" i="45"/>
  <c r="AP52" i="45"/>
  <c r="BA54" i="45" s="1"/>
  <c r="AP53" i="45"/>
  <c r="BA55" i="45" s="1"/>
  <c r="AP54" i="45"/>
  <c r="AQ46" i="45"/>
  <c r="AQ47" i="45"/>
  <c r="BB49" i="45" s="1"/>
  <c r="AQ48" i="45"/>
  <c r="AQ49" i="45"/>
  <c r="BB51" i="45" s="1"/>
  <c r="AQ50" i="45"/>
  <c r="AQ51" i="45"/>
  <c r="BB53" i="45" s="1"/>
  <c r="AQ52" i="45"/>
  <c r="AQ53" i="45"/>
  <c r="BB55" i="45" s="1"/>
  <c r="AR46" i="45"/>
  <c r="AR47" i="45"/>
  <c r="BC49" i="45" s="1"/>
  <c r="AR48" i="45"/>
  <c r="BC50" i="45" s="1"/>
  <c r="AR49" i="45"/>
  <c r="AR50" i="45"/>
  <c r="AR51" i="45"/>
  <c r="BC53" i="45" s="1"/>
  <c r="AR52" i="45"/>
  <c r="BC54" i="45" s="1"/>
  <c r="AR53" i="45"/>
  <c r="AR54" i="45"/>
  <c r="AS46" i="45"/>
  <c r="AS47" i="45"/>
  <c r="BD49" i="45" s="1"/>
  <c r="AS48" i="45"/>
  <c r="BD50" i="45" s="1"/>
  <c r="AS49" i="45"/>
  <c r="BD51" i="45" s="1"/>
  <c r="AS50" i="45"/>
  <c r="AS51" i="45"/>
  <c r="BD53" i="45" s="1"/>
  <c r="AS52" i="45"/>
  <c r="BD54" i="45" s="1"/>
  <c r="AS53" i="45"/>
  <c r="BD55" i="45" s="1"/>
  <c r="AT46" i="45"/>
  <c r="BE48" i="45" s="1"/>
  <c r="AT47" i="45"/>
  <c r="AT48" i="45"/>
  <c r="BE50" i="45" s="1"/>
  <c r="AT49" i="45"/>
  <c r="BE51" i="45" s="1"/>
  <c r="AT50" i="45"/>
  <c r="BE52" i="45" s="1"/>
  <c r="AT51" i="45"/>
  <c r="AT52" i="45"/>
  <c r="BE54" i="45" s="1"/>
  <c r="AT53" i="45"/>
  <c r="BE55" i="45" s="1"/>
  <c r="AT54" i="45"/>
  <c r="BE56" i="45" s="1"/>
  <c r="AU46" i="45"/>
  <c r="AU47" i="45"/>
  <c r="BF49" i="45" s="1"/>
  <c r="AU48" i="45"/>
  <c r="AU49" i="45"/>
  <c r="BF51" i="45" s="1"/>
  <c r="AU50" i="45"/>
  <c r="AU51" i="45"/>
  <c r="BF53" i="45" s="1"/>
  <c r="AU52" i="45"/>
  <c r="AU53" i="45"/>
  <c r="BF55" i="45" s="1"/>
  <c r="AV46" i="45"/>
  <c r="AV47" i="45"/>
  <c r="BG49" i="45" s="1"/>
  <c r="AV48" i="45"/>
  <c r="BG50" i="45" s="1"/>
  <c r="AV49" i="45"/>
  <c r="AV50" i="45"/>
  <c r="AV51" i="45"/>
  <c r="BG53" i="45" s="1"/>
  <c r="AV52" i="45"/>
  <c r="BG54" i="45" s="1"/>
  <c r="AV53" i="45"/>
  <c r="AV54" i="45"/>
  <c r="AW46" i="45"/>
  <c r="AW47" i="45"/>
  <c r="BH49" i="45" s="1"/>
  <c r="AW48" i="45"/>
  <c r="BH50" i="45" s="1"/>
  <c r="AW49" i="45"/>
  <c r="BH51" i="45" s="1"/>
  <c r="AW50" i="45"/>
  <c r="AW51" i="45"/>
  <c r="BH53" i="45" s="1"/>
  <c r="AW52" i="45"/>
  <c r="BH54" i="45" s="1"/>
  <c r="AW53" i="45"/>
  <c r="BH55" i="45" s="1"/>
  <c r="G27" i="48"/>
  <c r="D54" i="28"/>
  <c r="D55" i="28"/>
  <c r="D56" i="28"/>
  <c r="D57" i="28"/>
  <c r="D58" i="28"/>
  <c r="D59" i="28"/>
  <c r="D60" i="28"/>
  <c r="D61" i="28"/>
  <c r="D62" i="28"/>
  <c r="E34" i="28"/>
  <c r="Q34" i="28" s="1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Q34" i="51" s="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Q32" i="52" s="1"/>
  <c r="E35" i="52"/>
  <c r="E31" i="52"/>
  <c r="E32" i="52"/>
  <c r="E33" i="52"/>
  <c r="E36" i="52"/>
  <c r="E37" i="52"/>
  <c r="E38" i="52"/>
  <c r="E39" i="52"/>
  <c r="E40" i="52"/>
  <c r="E41" i="52"/>
  <c r="E42" i="52"/>
  <c r="Q35" i="52" s="1"/>
  <c r="E43" i="52"/>
  <c r="E44" i="52"/>
  <c r="E45" i="52"/>
  <c r="E46" i="52"/>
  <c r="E47" i="52"/>
  <c r="E48" i="52"/>
  <c r="E49" i="52"/>
  <c r="Q34" i="52"/>
  <c r="R26" i="22"/>
  <c r="G22" i="48" s="1"/>
  <c r="B26" i="43"/>
  <c r="E24" i="9"/>
  <c r="B16" i="43"/>
  <c r="E14" i="9" s="1"/>
  <c r="O15" i="28" s="1"/>
  <c r="M15" i="28" s="1"/>
  <c r="B10" i="43"/>
  <c r="E8" i="9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Q31" i="28"/>
  <c r="D31" i="28"/>
  <c r="I31" i="28"/>
  <c r="D38" i="28"/>
  <c r="I38" i="28"/>
  <c r="D40" i="28"/>
  <c r="I40" i="28"/>
  <c r="Q41" i="28"/>
  <c r="D41" i="28"/>
  <c r="I41" i="28"/>
  <c r="D42" i="28"/>
  <c r="I42" i="28"/>
  <c r="D34" i="28"/>
  <c r="I34" i="28"/>
  <c r="D35" i="28"/>
  <c r="I35" i="28"/>
  <c r="Q37" i="28"/>
  <c r="D37" i="28"/>
  <c r="I37" i="28"/>
  <c r="Q39" i="28"/>
  <c r="D39" i="28"/>
  <c r="I39" i="28"/>
  <c r="Q44" i="28"/>
  <c r="D44" i="28"/>
  <c r="I44" i="28"/>
  <c r="D45" i="28"/>
  <c r="I45" i="28"/>
  <c r="D46" i="28"/>
  <c r="I46" i="28"/>
  <c r="D47" i="28"/>
  <c r="I47" i="28"/>
  <c r="Q33" i="28"/>
  <c r="D33" i="28"/>
  <c r="I33" i="28"/>
  <c r="Q32" i="28"/>
  <c r="D32" i="28"/>
  <c r="I32" i="28"/>
  <c r="Q35" i="28"/>
  <c r="D49" i="28"/>
  <c r="I49" i="28"/>
  <c r="Q36" i="28"/>
  <c r="Q45" i="28"/>
  <c r="D36" i="28"/>
  <c r="D43" i="28"/>
  <c r="E24" i="28"/>
  <c r="D48" i="28" s="1"/>
  <c r="E7" i="28"/>
  <c r="E8" i="28"/>
  <c r="E9" i="28"/>
  <c r="E10" i="28"/>
  <c r="E11" i="28"/>
  <c r="E12" i="28"/>
  <c r="E13" i="28"/>
  <c r="Q17" i="28" s="1"/>
  <c r="E14" i="28"/>
  <c r="E15" i="28"/>
  <c r="E16" i="28"/>
  <c r="E17" i="28"/>
  <c r="E18" i="28"/>
  <c r="E19" i="28"/>
  <c r="E20" i="28"/>
  <c r="E21" i="28"/>
  <c r="E22" i="28"/>
  <c r="E23" i="28"/>
  <c r="I48" i="28"/>
  <c r="Q43" i="28"/>
  <c r="I43" i="28"/>
  <c r="Q31" i="51"/>
  <c r="D31" i="51"/>
  <c r="I31" i="51"/>
  <c r="D38" i="51"/>
  <c r="I38" i="51"/>
  <c r="D40" i="51"/>
  <c r="I40" i="51"/>
  <c r="Q41" i="51"/>
  <c r="D41" i="51"/>
  <c r="I41" i="51"/>
  <c r="D42" i="51"/>
  <c r="I42" i="51"/>
  <c r="D34" i="51"/>
  <c r="I34" i="51"/>
  <c r="D35" i="51"/>
  <c r="I35" i="51"/>
  <c r="Q37" i="51"/>
  <c r="D37" i="51"/>
  <c r="I37" i="51"/>
  <c r="Q39" i="51"/>
  <c r="D39" i="51"/>
  <c r="I39" i="51"/>
  <c r="Q44" i="51"/>
  <c r="D44" i="51"/>
  <c r="I44" i="51"/>
  <c r="D45" i="51"/>
  <c r="I45" i="51"/>
  <c r="D46" i="51"/>
  <c r="I46" i="51"/>
  <c r="D47" i="51"/>
  <c r="I47" i="51"/>
  <c r="Q33" i="51"/>
  <c r="D33" i="51"/>
  <c r="I33" i="51"/>
  <c r="Q32" i="51"/>
  <c r="D32" i="51"/>
  <c r="I32" i="51"/>
  <c r="Q35" i="51"/>
  <c r="D49" i="51"/>
  <c r="I49" i="51"/>
  <c r="Q36" i="51"/>
  <c r="Q45" i="51"/>
  <c r="D36" i="51"/>
  <c r="D43" i="51"/>
  <c r="E24" i="51"/>
  <c r="D48" i="51" s="1"/>
  <c r="E7" i="51"/>
  <c r="E8" i="51"/>
  <c r="E9" i="51"/>
  <c r="Q7" i="51" s="1"/>
  <c r="E10" i="51"/>
  <c r="E11" i="51"/>
  <c r="E12" i="51"/>
  <c r="E13" i="51"/>
  <c r="E14" i="51"/>
  <c r="E15" i="51"/>
  <c r="E16" i="51"/>
  <c r="E17" i="51"/>
  <c r="Q17" i="51" s="1"/>
  <c r="E18" i="51"/>
  <c r="E19" i="51"/>
  <c r="E20" i="51"/>
  <c r="E21" i="51"/>
  <c r="E22" i="51"/>
  <c r="Q20" i="51" s="1"/>
  <c r="E23" i="51"/>
  <c r="I48" i="51"/>
  <c r="Q43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Q44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Q36" i="52"/>
  <c r="D36" i="52"/>
  <c r="D43" i="52"/>
  <c r="E24" i="52"/>
  <c r="D48" i="52" s="1"/>
  <c r="E7" i="52"/>
  <c r="Q17" i="52" s="1"/>
  <c r="E8" i="52"/>
  <c r="E9" i="52"/>
  <c r="E10" i="52"/>
  <c r="E11" i="52"/>
  <c r="E12" i="52"/>
  <c r="E13" i="52"/>
  <c r="E14" i="52"/>
  <c r="Q13" i="52" s="1"/>
  <c r="E15" i="52"/>
  <c r="Q15" i="52" s="1"/>
  <c r="E16" i="52"/>
  <c r="E17" i="52"/>
  <c r="E18" i="52"/>
  <c r="E19" i="52"/>
  <c r="E20" i="52"/>
  <c r="E21" i="52"/>
  <c r="E22" i="52"/>
  <c r="Q20" i="52" s="1"/>
  <c r="E23" i="52"/>
  <c r="I48" i="52"/>
  <c r="I43" i="52"/>
  <c r="E25" i="28"/>
  <c r="Q7" i="28" s="1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Q13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D24" i="28" s="1" a="1"/>
  <c r="D24" i="28" s="1"/>
  <c r="I8" i="28"/>
  <c r="D25" i="28"/>
  <c r="I25" i="28"/>
  <c r="D12" i="28"/>
  <c r="I12" i="28"/>
  <c r="D19" i="28"/>
  <c r="I24" i="28"/>
  <c r="Q19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Y9" i="51" s="1"/>
  <c r="X9" i="51" s="1"/>
  <c r="I9" i="51"/>
  <c r="D8" i="51"/>
  <c r="I8" i="51"/>
  <c r="Q11" i="51"/>
  <c r="D25" i="51"/>
  <c r="D24" i="51" s="1" a="1"/>
  <c r="D24" i="51" s="1"/>
  <c r="I25" i="51"/>
  <c r="D12" i="51"/>
  <c r="I12" i="51"/>
  <c r="Q21" i="51"/>
  <c r="D19" i="51"/>
  <c r="I24" i="51"/>
  <c r="Q19" i="51"/>
  <c r="I19" i="51"/>
  <c r="E25" i="52"/>
  <c r="Q7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Q10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H23" i="22" s="1"/>
  <c r="I9" i="52"/>
  <c r="D8" i="52"/>
  <c r="Y8" i="52" s="1"/>
  <c r="I8" i="52"/>
  <c r="D25" i="52"/>
  <c r="D24" i="52" s="1" a="1"/>
  <c r="D24" i="52" s="1"/>
  <c r="G24" i="52" s="1"/>
  <c r="T21" i="52" s="1"/>
  <c r="T45" i="52" s="1"/>
  <c r="I25" i="52"/>
  <c r="D12" i="52"/>
  <c r="I12" i="52"/>
  <c r="D19" i="52"/>
  <c r="I24" i="52"/>
  <c r="Q19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D45" i="22" s="1"/>
  <c r="C44" i="22"/>
  <c r="C49" i="22" s="1"/>
  <c r="C46" i="22"/>
  <c r="D46" i="22" s="1"/>
  <c r="C47" i="22"/>
  <c r="C48" i="22"/>
  <c r="C9" i="22"/>
  <c r="Z9" i="22" s="1"/>
  <c r="H56" i="24"/>
  <c r="C10" i="22"/>
  <c r="Z10" i="22" s="1"/>
  <c r="C19" i="22"/>
  <c r="Z19" i="22"/>
  <c r="C11" i="22"/>
  <c r="Z11" i="22" s="1"/>
  <c r="C12" i="22"/>
  <c r="Z12" i="22"/>
  <c r="C13" i="22"/>
  <c r="Z13" i="22" s="1"/>
  <c r="C14" i="22"/>
  <c r="Z14" i="22"/>
  <c r="C15" i="22"/>
  <c r="Z15" i="22" s="1"/>
  <c r="C16" i="22"/>
  <c r="Z16" i="22"/>
  <c r="C17" i="22"/>
  <c r="Z17" i="22" s="1"/>
  <c r="C18" i="22"/>
  <c r="Z18" i="22"/>
  <c r="C20" i="22"/>
  <c r="Z20" i="22" s="1"/>
  <c r="C21" i="22"/>
  <c r="Z21" i="22"/>
  <c r="C22" i="22"/>
  <c r="Z22" i="22" s="1"/>
  <c r="C23" i="22"/>
  <c r="Z23" i="22"/>
  <c r="C24" i="22"/>
  <c r="Z24" i="22" s="1"/>
  <c r="C25" i="22"/>
  <c r="Z25" i="22"/>
  <c r="C26" i="22"/>
  <c r="Z26" i="22" s="1"/>
  <c r="C27" i="22"/>
  <c r="Z27" i="22"/>
  <c r="AD54" i="52"/>
  <c r="AC55" i="52"/>
  <c r="Q9" i="52"/>
  <c r="G8" i="52"/>
  <c r="C23" i="43"/>
  <c r="F21" i="9" s="1"/>
  <c r="V30" i="46" s="1"/>
  <c r="C8" i="43"/>
  <c r="F6" i="9"/>
  <c r="N6" i="54" s="1"/>
  <c r="B27" i="22"/>
  <c r="C27" i="43"/>
  <c r="F25" i="9" s="1"/>
  <c r="B19" i="22"/>
  <c r="C18" i="43"/>
  <c r="F16" i="9"/>
  <c r="N11" i="54" s="1"/>
  <c r="F23" i="9"/>
  <c r="V32" i="46" s="1"/>
  <c r="B10" i="22"/>
  <c r="C9" i="43" s="1"/>
  <c r="F7" i="9" s="1"/>
  <c r="B17" i="22"/>
  <c r="C16" i="43"/>
  <c r="F14" i="9" s="1"/>
  <c r="B13" i="22"/>
  <c r="C12" i="43" s="1"/>
  <c r="F10" i="9" s="1"/>
  <c r="B26" i="22"/>
  <c r="C26" i="43"/>
  <c r="F24" i="9"/>
  <c r="N14" i="54" s="1"/>
  <c r="B11" i="22"/>
  <c r="C10" i="43"/>
  <c r="F8" i="9" s="1"/>
  <c r="C22" i="43"/>
  <c r="F20" i="9"/>
  <c r="N12" i="54" s="1"/>
  <c r="P37" i="52"/>
  <c r="B9" i="43"/>
  <c r="E7" i="9" s="1"/>
  <c r="B12" i="43"/>
  <c r="E10" i="9" s="1"/>
  <c r="O36" i="52"/>
  <c r="B22" i="43"/>
  <c r="E20" i="9"/>
  <c r="O33" i="52" s="1"/>
  <c r="M33" i="52" s="1"/>
  <c r="B23" i="43"/>
  <c r="E21" i="9"/>
  <c r="O8" i="51" s="1"/>
  <c r="M8" i="51" s="1"/>
  <c r="B8" i="43"/>
  <c r="E6" i="9"/>
  <c r="O31" i="52" s="1"/>
  <c r="M31" i="52" s="1"/>
  <c r="B27" i="43"/>
  <c r="E25" i="9"/>
  <c r="O45" i="51" s="1"/>
  <c r="B18" i="43"/>
  <c r="E16" i="9" s="1"/>
  <c r="E23" i="9"/>
  <c r="O12" i="52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C48" i="52" s="1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T17" i="52" s="1"/>
  <c r="T41" i="52" s="1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C24" i="52" s="1" a="1"/>
  <c r="C24" i="52" s="1"/>
  <c r="J7" i="52"/>
  <c r="H7" i="52"/>
  <c r="G7" i="52"/>
  <c r="T7" i="52" s="1"/>
  <c r="T31" i="52" s="1"/>
  <c r="F7" i="52"/>
  <c r="C7" i="52"/>
  <c r="O55" i="52"/>
  <c r="T54" i="52"/>
  <c r="O54" i="52"/>
  <c r="T11" i="52"/>
  <c r="T35" i="52" s="1"/>
  <c r="T12" i="52"/>
  <c r="T36" i="52"/>
  <c r="T15" i="52"/>
  <c r="T39" i="52" s="1"/>
  <c r="T19" i="52"/>
  <c r="T43" i="52" s="1"/>
  <c r="T20" i="52"/>
  <c r="T44" i="52" s="1"/>
  <c r="O35" i="52"/>
  <c r="AA30" i="52"/>
  <c r="O11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 s="1"/>
  <c r="AD31" i="51"/>
  <c r="AD20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AC43" i="51"/>
  <c r="O36" i="51"/>
  <c r="O31" i="51"/>
  <c r="G7" i="51"/>
  <c r="T7" i="51" s="1"/>
  <c r="T31" i="51" s="1"/>
  <c r="G14" i="51"/>
  <c r="G16" i="51"/>
  <c r="Q9" i="51"/>
  <c r="G8" i="51"/>
  <c r="T8" i="51"/>
  <c r="T32" i="51" s="1"/>
  <c r="O12" i="51"/>
  <c r="O7" i="28"/>
  <c r="M7" i="28" s="1"/>
  <c r="O7" i="51"/>
  <c r="M7" i="51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T20" i="51" s="1"/>
  <c r="T44" i="51" s="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T17" i="51" s="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 s="1"/>
  <c r="T55" i="51"/>
  <c r="O55" i="51"/>
  <c r="T54" i="51"/>
  <c r="O54" i="51"/>
  <c r="T35" i="51"/>
  <c r="T12" i="51"/>
  <c r="T36" i="51" s="1"/>
  <c r="T13" i="51"/>
  <c r="T37" i="51" s="1"/>
  <c r="T41" i="51"/>
  <c r="T19" i="51"/>
  <c r="T43" i="51" s="1"/>
  <c r="O35" i="51"/>
  <c r="AA30" i="51"/>
  <c r="Q30" i="51"/>
  <c r="O11" i="51"/>
  <c r="AA6" i="51"/>
  <c r="O36" i="28"/>
  <c r="AD45" i="28"/>
  <c r="G25" i="28"/>
  <c r="T11" i="28" s="1"/>
  <c r="T35" i="28" s="1"/>
  <c r="Q30" i="28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O20" i="28"/>
  <c r="M20" i="28" s="1"/>
  <c r="O11" i="28"/>
  <c r="J25" i="28"/>
  <c r="H25" i="28"/>
  <c r="F25" i="28"/>
  <c r="J12" i="28"/>
  <c r="H12" i="28"/>
  <c r="G12" i="28"/>
  <c r="F12" i="28"/>
  <c r="O31" i="28"/>
  <c r="G7" i="28"/>
  <c r="T7" i="28" s="1"/>
  <c r="T31" i="28" s="1"/>
  <c r="G14" i="28"/>
  <c r="G16" i="28"/>
  <c r="C28" i="22"/>
  <c r="G21" i="28"/>
  <c r="G22" i="28"/>
  <c r="T20" i="28" s="1"/>
  <c r="T44" i="28" s="1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O55" i="28"/>
  <c r="G19" i="28"/>
  <c r="T19" i="28" s="1"/>
  <c r="T43" i="28" s="1"/>
  <c r="G17" i="28"/>
  <c r="T17" i="28" s="1"/>
  <c r="T41" i="28" s="1"/>
  <c r="G18" i="28"/>
  <c r="G13" i="28"/>
  <c r="T13" i="28"/>
  <c r="T37" i="28" s="1"/>
  <c r="G15" i="28"/>
  <c r="T15" i="28"/>
  <c r="T39" i="28" s="1"/>
  <c r="T12" i="28"/>
  <c r="T36" i="28" s="1"/>
  <c r="T33" i="28"/>
  <c r="G10" i="28"/>
  <c r="T10" i="28" s="1"/>
  <c r="T34" i="28" s="1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43" i="28"/>
  <c r="O3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9" i="28"/>
  <c r="M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M52" i="45" s="1"/>
  <c r="F52" i="45"/>
  <c r="E52" i="45"/>
  <c r="D52" i="45"/>
  <c r="L51" i="45"/>
  <c r="K51" i="45"/>
  <c r="J51" i="45"/>
  <c r="I51" i="45"/>
  <c r="H51" i="45"/>
  <c r="M51" i="45" s="1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J55" i="45" s="1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M48" i="45" s="1"/>
  <c r="D48" i="45"/>
  <c r="L47" i="45"/>
  <c r="L55" i="45" s="1"/>
  <c r="K47" i="45"/>
  <c r="J47" i="45"/>
  <c r="I47" i="45"/>
  <c r="H47" i="45"/>
  <c r="G47" i="45"/>
  <c r="F47" i="45"/>
  <c r="E47" i="45"/>
  <c r="D47" i="45"/>
  <c r="M47" i="45" s="1"/>
  <c r="L46" i="45"/>
  <c r="K46" i="45"/>
  <c r="J46" i="45"/>
  <c r="I46" i="45"/>
  <c r="I55" i="45" s="1"/>
  <c r="H46" i="45"/>
  <c r="G46" i="45"/>
  <c r="F46" i="45"/>
  <c r="E46" i="45"/>
  <c r="M46" i="45" s="1"/>
  <c r="D46" i="45"/>
  <c r="L42" i="45"/>
  <c r="K42" i="45"/>
  <c r="J42" i="45"/>
  <c r="I42" i="45"/>
  <c r="H42" i="45"/>
  <c r="G42" i="45"/>
  <c r="F42" i="45"/>
  <c r="M42" i="45" s="1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D43" i="45" s="1"/>
  <c r="L37" i="45"/>
  <c r="K37" i="45"/>
  <c r="K43" i="45" s="1"/>
  <c r="J37" i="45"/>
  <c r="I37" i="45"/>
  <c r="H37" i="45"/>
  <c r="G37" i="45"/>
  <c r="F37" i="45"/>
  <c r="E37" i="45"/>
  <c r="M37" i="45" s="1"/>
  <c r="D37" i="45"/>
  <c r="L36" i="45"/>
  <c r="K36" i="45"/>
  <c r="J36" i="45"/>
  <c r="I36" i="45"/>
  <c r="H36" i="45"/>
  <c r="G36" i="45"/>
  <c r="F36" i="45"/>
  <c r="E36" i="45"/>
  <c r="D36" i="45"/>
  <c r="M36" i="45" s="1"/>
  <c r="L35" i="45"/>
  <c r="K35" i="45"/>
  <c r="J35" i="45"/>
  <c r="I35" i="45"/>
  <c r="H35" i="45"/>
  <c r="G35" i="45"/>
  <c r="G43" i="45" s="1"/>
  <c r="F35" i="45"/>
  <c r="E35" i="45"/>
  <c r="M35" i="45" s="1"/>
  <c r="D35" i="45"/>
  <c r="L34" i="45"/>
  <c r="K34" i="45"/>
  <c r="J34" i="45"/>
  <c r="I34" i="45"/>
  <c r="H34" i="45"/>
  <c r="H43" i="45" s="1"/>
  <c r="G34" i="45"/>
  <c r="F34" i="45"/>
  <c r="F43" i="45" s="1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M27" i="45" s="1"/>
  <c r="L26" i="45"/>
  <c r="K26" i="45"/>
  <c r="J26" i="45"/>
  <c r="I26" i="45"/>
  <c r="H26" i="45"/>
  <c r="G26" i="45"/>
  <c r="F26" i="45"/>
  <c r="E26" i="45"/>
  <c r="M26" i="45" s="1"/>
  <c r="D26" i="45"/>
  <c r="L25" i="45"/>
  <c r="K25" i="45"/>
  <c r="J25" i="45"/>
  <c r="I25" i="45"/>
  <c r="H25" i="45"/>
  <c r="G25" i="45"/>
  <c r="F25" i="45"/>
  <c r="E25" i="45"/>
  <c r="D25" i="45"/>
  <c r="M25" i="45" s="1"/>
  <c r="L24" i="45"/>
  <c r="L31" i="45" s="1"/>
  <c r="K24" i="45"/>
  <c r="J24" i="45"/>
  <c r="I24" i="45"/>
  <c r="H24" i="45"/>
  <c r="G24" i="45"/>
  <c r="F24" i="45"/>
  <c r="E24" i="45"/>
  <c r="D24" i="45"/>
  <c r="M24" i="45" s="1"/>
  <c r="L23" i="45"/>
  <c r="K23" i="45"/>
  <c r="J23" i="45"/>
  <c r="I23" i="45"/>
  <c r="H23" i="45"/>
  <c r="H31" i="45" s="1"/>
  <c r="G23" i="45"/>
  <c r="F23" i="45"/>
  <c r="E23" i="45"/>
  <c r="M23" i="45" s="1"/>
  <c r="D23" i="45"/>
  <c r="L22" i="45"/>
  <c r="K22" i="45"/>
  <c r="J22" i="45"/>
  <c r="J31" i="45" s="1"/>
  <c r="I22" i="45"/>
  <c r="I31" i="45" s="1"/>
  <c r="H22" i="45"/>
  <c r="F22" i="45"/>
  <c r="F31" i="45" s="1"/>
  <c r="E22" i="45"/>
  <c r="E31" i="45" s="1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 s="1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S9" i="45" s="1"/>
  <c r="P10" i="45"/>
  <c r="S10" i="45" s="1"/>
  <c r="P11" i="45"/>
  <c r="P12" i="45"/>
  <c r="P13" i="45"/>
  <c r="P14" i="45"/>
  <c r="S14" i="45" s="1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F16" i="45" s="1"/>
  <c r="C16" i="45"/>
  <c r="R8" i="45"/>
  <c r="R9" i="45"/>
  <c r="R16" i="45" s="1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E9" i="9"/>
  <c r="E17" i="9"/>
  <c r="F20" i="6" s="1"/>
  <c r="F27" i="6"/>
  <c r="E12" i="9"/>
  <c r="F15" i="6" s="1"/>
  <c r="E13" i="9"/>
  <c r="F16" i="6" s="1"/>
  <c r="E18" i="9"/>
  <c r="F21" i="6" s="1"/>
  <c r="E11" i="9"/>
  <c r="E15" i="9"/>
  <c r="F18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Z56" i="45" s="1"/>
  <c r="V44" i="45"/>
  <c r="Q32" i="45"/>
  <c r="Y32" i="45"/>
  <c r="W44" i="45"/>
  <c r="U56" i="45"/>
  <c r="P32" i="45"/>
  <c r="V56" i="45"/>
  <c r="P44" i="45"/>
  <c r="Z44" i="45" s="1"/>
  <c r="X44" i="45"/>
  <c r="T56" i="45"/>
  <c r="R32" i="45"/>
  <c r="S32" i="45"/>
  <c r="U44" i="45"/>
  <c r="Q56" i="45"/>
  <c r="Y56" i="45"/>
  <c r="W32" i="45"/>
  <c r="X32" i="45"/>
  <c r="AL31" i="45"/>
  <c r="AL55" i="45"/>
  <c r="M53" i="45"/>
  <c r="M50" i="45"/>
  <c r="AL43" i="45"/>
  <c r="M54" i="45"/>
  <c r="S12" i="45"/>
  <c r="M41" i="45"/>
  <c r="M40" i="45"/>
  <c r="M38" i="45"/>
  <c r="G55" i="45"/>
  <c r="H55" i="45"/>
  <c r="K55" i="45"/>
  <c r="D55" i="45"/>
  <c r="M49" i="45"/>
  <c r="F55" i="45"/>
  <c r="E55" i="45"/>
  <c r="I43" i="45"/>
  <c r="J43" i="45"/>
  <c r="E43" i="45"/>
  <c r="L43" i="45"/>
  <c r="M34" i="45"/>
  <c r="K31" i="45"/>
  <c r="M28" i="45"/>
  <c r="M30" i="45"/>
  <c r="M29" i="45"/>
  <c r="C31" i="45"/>
  <c r="G31" i="45"/>
  <c r="S15" i="45"/>
  <c r="Q16" i="45"/>
  <c r="S7" i="45"/>
  <c r="S11" i="45"/>
  <c r="S8" i="45"/>
  <c r="BQ23" i="45"/>
  <c r="BW23" i="45" s="1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P47" i="45"/>
  <c r="BV26" i="45"/>
  <c r="BO29" i="45"/>
  <c r="BN50" i="45"/>
  <c r="BR46" i="45"/>
  <c r="BV53" i="45"/>
  <c r="BP51" i="45"/>
  <c r="BT39" i="45"/>
  <c r="BT50" i="45"/>
  <c r="BR42" i="45"/>
  <c r="BW42" i="45" s="1"/>
  <c r="BN49" i="45"/>
  <c r="BQ40" i="45"/>
  <c r="BW40" i="45" s="1"/>
  <c r="BT25" i="45"/>
  <c r="BS51" i="45"/>
  <c r="BM35" i="45"/>
  <c r="BU39" i="45"/>
  <c r="BR53" i="45"/>
  <c r="BV49" i="45"/>
  <c r="BO27" i="45"/>
  <c r="BS34" i="45"/>
  <c r="BQ39" i="45"/>
  <c r="BU42" i="45"/>
  <c r="BQ41" i="45"/>
  <c r="BW41" i="45" s="1"/>
  <c r="BR23" i="45"/>
  <c r="BV25" i="45"/>
  <c r="BT41" i="45"/>
  <c r="BN34" i="45"/>
  <c r="BN28" i="45"/>
  <c r="BU26" i="45"/>
  <c r="BM30" i="45"/>
  <c r="BN25" i="45"/>
  <c r="BO49" i="45"/>
  <c r="BM37" i="45"/>
  <c r="BU27" i="45"/>
  <c r="BT26" i="45"/>
  <c r="BR50" i="45"/>
  <c r="BN42" i="45"/>
  <c r="BM24" i="45"/>
  <c r="BQ53" i="45"/>
  <c r="BW53" i="45" s="1"/>
  <c r="BO41" i="45"/>
  <c r="BO36" i="45"/>
  <c r="BP23" i="45"/>
  <c r="BQ25" i="45"/>
  <c r="BW25" i="45" s="1"/>
  <c r="BV50" i="45"/>
  <c r="BM29" i="45"/>
  <c r="BS42" i="45"/>
  <c r="BU24" i="45"/>
  <c r="BO50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W30" i="45" s="1"/>
  <c r="BQ29" i="45"/>
  <c r="BW29" i="45" s="1"/>
  <c r="BQ35" i="45"/>
  <c r="BV34" i="45"/>
  <c r="BN39" i="45"/>
  <c r="BP30" i="45"/>
  <c r="BU40" i="45"/>
  <c r="BM38" i="45"/>
  <c r="BM42" i="45"/>
  <c r="BO26" i="45"/>
  <c r="BT34" i="45"/>
  <c r="BN29" i="45"/>
  <c r="BS27" i="45"/>
  <c r="BM26" i="45"/>
  <c r="BQ49" i="45"/>
  <c r="BS35" i="45"/>
  <c r="BU28" i="45"/>
  <c r="BO47" i="45"/>
  <c r="BP46" i="45"/>
  <c r="BR37" i="45"/>
  <c r="BS29" i="45"/>
  <c r="BV51" i="45"/>
  <c r="BN51" i="45"/>
  <c r="BP36" i="45"/>
  <c r="BR27" i="45"/>
  <c r="BU53" i="45"/>
  <c r="BM50" i="45"/>
  <c r="BO37" i="45"/>
  <c r="BQ27" i="45"/>
  <c r="BW27" i="45" s="1"/>
  <c r="BQ38" i="45"/>
  <c r="BT51" i="45"/>
  <c r="BV35" i="45"/>
  <c r="BV42" i="45"/>
  <c r="BN40" i="45"/>
  <c r="BP28" i="45"/>
  <c r="BS49" i="45"/>
  <c r="BU41" i="45"/>
  <c r="BM39" i="45"/>
  <c r="BO30" i="45"/>
  <c r="BT42" i="45"/>
  <c r="BV30" i="45"/>
  <c r="BV36" i="45"/>
  <c r="BM25" i="45"/>
  <c r="BQ47" i="45"/>
  <c r="BW47" i="45" s="1"/>
  <c r="BS39" i="45"/>
  <c r="BO51" i="45"/>
  <c r="BP50" i="45"/>
  <c r="BR39" i="45"/>
  <c r="BW39" i="45" s="1"/>
  <c r="BR38" i="45"/>
  <c r="BW38" i="45" s="1"/>
  <c r="BT27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R40" i="45"/>
  <c r="BT24" i="45"/>
  <c r="BW24" i="45" s="1"/>
  <c r="BT23" i="45"/>
  <c r="BS24" i="45"/>
  <c r="BP37" i="45"/>
  <c r="BR26" i="45"/>
  <c r="BU50" i="45"/>
  <c r="BM49" i="45"/>
  <c r="BQ24" i="45"/>
  <c r="BQ42" i="45"/>
  <c r="BT49" i="45"/>
  <c r="BW49" i="45" s="1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S36" i="45"/>
  <c r="BU23" i="45"/>
  <c r="BO46" i="45"/>
  <c r="BP49" i="45"/>
  <c r="BR41" i="45"/>
  <c r="BT28" i="45"/>
  <c r="BW28" i="45" s="1"/>
  <c r="BS26" i="45"/>
  <c r="BS28" i="45"/>
  <c r="BN46" i="45"/>
  <c r="BP40" i="45"/>
  <c r="BU47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R34" i="45"/>
  <c r="BT29" i="45"/>
  <c r="BS30" i="45"/>
  <c r="BP38" i="45"/>
  <c r="BR29" i="45"/>
  <c r="BM51" i="45"/>
  <c r="BO39" i="45"/>
  <c r="BQ26" i="45"/>
  <c r="BW26" i="45" s="1"/>
  <c r="BQ36" i="45"/>
  <c r="BT46" i="45"/>
  <c r="BN38" i="45"/>
  <c r="BP26" i="45"/>
  <c r="BP27" i="45"/>
  <c r="BO25" i="45"/>
  <c r="BV29" i="45"/>
  <c r="BV22" i="45"/>
  <c r="BN30" i="45"/>
  <c r="BS41" i="45"/>
  <c r="BU25" i="45"/>
  <c r="BT30" i="45"/>
  <c r="BS25" i="45"/>
  <c r="BV46" i="45"/>
  <c r="BP41" i="45"/>
  <c r="BR24" i="45"/>
  <c r="BO40" i="45"/>
  <c r="BQ22" i="45"/>
  <c r="BW22" i="45" s="1"/>
  <c r="BV41" i="45"/>
  <c r="BP22" i="45"/>
  <c r="BM41" i="45"/>
  <c r="BV28" i="45"/>
  <c r="Z32" i="45"/>
  <c r="BW37" i="45"/>
  <c r="BW35" i="45"/>
  <c r="BW36" i="45"/>
  <c r="BW51" i="45"/>
  <c r="BW34" i="45"/>
  <c r="BW50" i="45"/>
  <c r="BW46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F23" i="6"/>
  <c r="B25" i="22"/>
  <c r="B22" i="22"/>
  <c r="B21" i="22"/>
  <c r="C20" i="43" s="1"/>
  <c r="B20" i="22"/>
  <c r="C19" i="43" s="1"/>
  <c r="F17" i="9" s="1"/>
  <c r="B18" i="22"/>
  <c r="B16" i="22"/>
  <c r="C15" i="43" s="1"/>
  <c r="F13" i="9" s="1"/>
  <c r="B15" i="22"/>
  <c r="C14" i="43" s="1"/>
  <c r="F12" i="9" s="1"/>
  <c r="D15" i="6" s="1"/>
  <c r="B14" i="22"/>
  <c r="B12" i="22"/>
  <c r="D23" i="6"/>
  <c r="V29" i="46"/>
  <c r="D6" i="6"/>
  <c r="V3" i="46"/>
  <c r="F18" i="9"/>
  <c r="V21" i="46"/>
  <c r="C21" i="43"/>
  <c r="F19" i="9" s="1"/>
  <c r="C24" i="43"/>
  <c r="F22" i="9"/>
  <c r="D25" i="6" s="1"/>
  <c r="C17" i="43"/>
  <c r="F15" i="9" s="1"/>
  <c r="V22" i="46" s="1"/>
  <c r="C13" i="43"/>
  <c r="F11" i="9"/>
  <c r="D14" i="6" s="1"/>
  <c r="C11" i="43"/>
  <c r="F9" i="9"/>
  <c r="A16" i="43"/>
  <c r="A14" i="9"/>
  <c r="A10" i="54" s="1"/>
  <c r="A17" i="43"/>
  <c r="C15" i="9"/>
  <c r="A18" i="43"/>
  <c r="A16" i="9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V18" i="46"/>
  <c r="V17" i="46"/>
  <c r="V24" i="46"/>
  <c r="D28" i="6"/>
  <c r="V38" i="46"/>
  <c r="D11" i="6"/>
  <c r="V15" i="46"/>
  <c r="V14" i="46"/>
  <c r="D9" i="6"/>
  <c r="V11" i="46"/>
  <c r="D7" i="6"/>
  <c r="V5" i="46"/>
  <c r="V4" i="46"/>
  <c r="D27" i="6"/>
  <c r="V37" i="46"/>
  <c r="D10" i="6"/>
  <c r="V13" i="46"/>
  <c r="V12" i="46"/>
  <c r="D8" i="6"/>
  <c r="V6" i="46"/>
  <c r="D17" i="6"/>
  <c r="D13" i="6"/>
  <c r="F9" i="6"/>
  <c r="F14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/>
  <c r="E36" i="27" a="1"/>
  <c r="E36" i="27" s="1"/>
  <c r="E35" i="27" a="1"/>
  <c r="E35" i="27"/>
  <c r="E34" i="27" a="1"/>
  <c r="E34" i="27" s="1"/>
  <c r="E33" i="27" a="1"/>
  <c r="E33" i="27"/>
  <c r="D30" i="27" a="1"/>
  <c r="D30" i="27" s="1"/>
  <c r="D29" i="27" a="1"/>
  <c r="D29" i="27"/>
  <c r="E37" i="27" a="1"/>
  <c r="E37" i="27" s="1"/>
  <c r="E32" i="27" a="1"/>
  <c r="E32" i="27"/>
  <c r="D37" i="27" a="1"/>
  <c r="D37" i="27" s="1"/>
  <c r="D32" i="27" a="1"/>
  <c r="D32" i="27"/>
  <c r="C36" i="27" a="1"/>
  <c r="C36" i="27" s="1"/>
  <c r="F36" i="27" s="1"/>
  <c r="C35" i="27" a="1"/>
  <c r="C35" i="27"/>
  <c r="C34" i="27" a="1"/>
  <c r="C34" i="27" s="1"/>
  <c r="C37" i="27" a="1"/>
  <c r="C37" i="27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O72" i="27" s="1"/>
  <c r="L73" i="27"/>
  <c r="N73" i="27" s="1"/>
  <c r="O73" i="27" s="1"/>
  <c r="L74" i="27"/>
  <c r="L75" i="27"/>
  <c r="L76" i="27"/>
  <c r="L77" i="27"/>
  <c r="L78" i="27"/>
  <c r="L79" i="27"/>
  <c r="L80" i="27"/>
  <c r="N80" i="27" s="1"/>
  <c r="O80" i="27" s="1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O97" i="27" s="1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F23" i="27" s="1"/>
  <c r="X154" i="27"/>
  <c r="E30" i="27" a="1"/>
  <c r="E30" i="27"/>
  <c r="E31" i="27" a="1"/>
  <c r="E31" i="27"/>
  <c r="D31" i="27" a="1"/>
  <c r="D31" i="27"/>
  <c r="D38" i="27" s="1"/>
  <c r="C31" i="27" a="1"/>
  <c r="C31" i="27" s="1"/>
  <c r="C32" i="27" a="1"/>
  <c r="C32" i="27"/>
  <c r="F32" i="27"/>
  <c r="F30" i="27"/>
  <c r="E29" i="27" a="1"/>
  <c r="E29" i="27"/>
  <c r="F29" i="27" s="1"/>
  <c r="C29" i="27" a="1"/>
  <c r="C29" i="27"/>
  <c r="AG95" i="27"/>
  <c r="AF95" i="27"/>
  <c r="AI95" i="27" s="1"/>
  <c r="AD95" i="27" a="1"/>
  <c r="AD95" i="27" s="1"/>
  <c r="M61" i="27" s="1"/>
  <c r="AE95" i="27" a="1"/>
  <c r="AE95" i="27" s="1"/>
  <c r="M60" i="27" s="1"/>
  <c r="AC95" i="27"/>
  <c r="M62" i="27" s="1"/>
  <c r="N62" i="27" s="1"/>
  <c r="O62" i="27" s="1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G100" i="27"/>
  <c r="AG101" i="27"/>
  <c r="AE101" i="27" s="1" a="1"/>
  <c r="AE101" i="27" s="1"/>
  <c r="M102" i="27" s="1"/>
  <c r="AG102" i="27"/>
  <c r="AF102" i="27" s="1"/>
  <c r="AI102" i="27" s="1"/>
  <c r="AG103" i="27"/>
  <c r="AG104" i="27"/>
  <c r="AC104" i="27" s="1"/>
  <c r="M131" i="27" s="1"/>
  <c r="AG105" i="27"/>
  <c r="AC105" i="27" s="1"/>
  <c r="AG106" i="27"/>
  <c r="AC106" i="27" s="1"/>
  <c r="M137" i="27" s="1"/>
  <c r="N137" i="27" s="1"/>
  <c r="AG107" i="27"/>
  <c r="AG109" i="27"/>
  <c r="AG110" i="27"/>
  <c r="AG111" i="27"/>
  <c r="AC111" i="27" s="1"/>
  <c r="M125" i="27" s="1"/>
  <c r="AG112" i="27"/>
  <c r="AG114" i="27"/>
  <c r="AD114" i="27" s="1" a="1"/>
  <c r="AG115" i="27"/>
  <c r="AD115" i="27" s="1" a="1"/>
  <c r="AG116" i="27"/>
  <c r="AD116" i="27" s="1" a="1"/>
  <c r="AG117" i="27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AM61" i="24" s="1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D30" i="24" s="1"/>
  <c r="AA56" i="24"/>
  <c r="L56" i="24"/>
  <c r="AM56" i="24" s="1"/>
  <c r="C56" i="24"/>
  <c r="AA55" i="24"/>
  <c r="L55" i="24"/>
  <c r="H55" i="24"/>
  <c r="C55" i="24"/>
  <c r="AA54" i="24"/>
  <c r="L54" i="24"/>
  <c r="H54" i="24"/>
  <c r="AM54" i="24" s="1"/>
  <c r="C54" i="24"/>
  <c r="AA53" i="24"/>
  <c r="L53" i="24"/>
  <c r="H53" i="24"/>
  <c r="C53" i="24"/>
  <c r="AA52" i="24"/>
  <c r="L52" i="24"/>
  <c r="H52" i="24"/>
  <c r="AM52" i="24" s="1"/>
  <c r="C52" i="24"/>
  <c r="AA51" i="24"/>
  <c r="L51" i="24"/>
  <c r="H51" i="24"/>
  <c r="AM51" i="24" s="1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H45" i="24" s="1"/>
  <c r="H30" i="24" s="1"/>
  <c r="C46" i="24"/>
  <c r="AL45" i="24"/>
  <c r="AK45" i="24"/>
  <c r="AK30" i="24"/>
  <c r="AJ45" i="24"/>
  <c r="AI45" i="24"/>
  <c r="AH45" i="24"/>
  <c r="AG45" i="24"/>
  <c r="AF45" i="24"/>
  <c r="AF30" i="24" s="1"/>
  <c r="AE45" i="24"/>
  <c r="AD45" i="24"/>
  <c r="AC45" i="24"/>
  <c r="AB45" i="24"/>
  <c r="Z45" i="24"/>
  <c r="Z30" i="24" s="1"/>
  <c r="Y45" i="24"/>
  <c r="Y30" i="24" s="1"/>
  <c r="X45" i="24"/>
  <c r="X30" i="24" s="1"/>
  <c r="W45" i="24"/>
  <c r="W31" i="24"/>
  <c r="W30" i="24"/>
  <c r="V45" i="24"/>
  <c r="U45" i="24"/>
  <c r="T45" i="24"/>
  <c r="T30" i="24"/>
  <c r="S45" i="24"/>
  <c r="S30" i="24" s="1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G30" i="24" s="1"/>
  <c r="F45" i="24"/>
  <c r="E45" i="24"/>
  <c r="E30" i="24" s="1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M38" i="24" s="1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AM33" i="24" s="1"/>
  <c r="L33" i="24"/>
  <c r="H33" i="24"/>
  <c r="C33" i="24"/>
  <c r="AA32" i="24"/>
  <c r="L32" i="24"/>
  <c r="H32" i="24"/>
  <c r="H31" i="24" s="1"/>
  <c r="C32" i="24"/>
  <c r="C31" i="24" s="1"/>
  <c r="AL31" i="24"/>
  <c r="AL30" i="24" s="1"/>
  <c r="AJ31" i="24"/>
  <c r="AI31" i="24"/>
  <c r="AH31" i="24"/>
  <c r="AH30" i="24" s="1"/>
  <c r="AG31" i="24"/>
  <c r="AF31" i="24"/>
  <c r="AD31" i="24"/>
  <c r="AD30" i="24" s="1"/>
  <c r="AC31" i="24"/>
  <c r="AB31" i="24"/>
  <c r="AB30" i="24" s="1"/>
  <c r="Y31" i="24"/>
  <c r="X31" i="24"/>
  <c r="V31" i="24"/>
  <c r="Q31" i="24"/>
  <c r="N31" i="24"/>
  <c r="M31" i="24"/>
  <c r="K31" i="24"/>
  <c r="J31" i="24"/>
  <c r="J30" i="24" s="1"/>
  <c r="J62" i="24" s="1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F8" i="24" s="1"/>
  <c r="AE28" i="24"/>
  <c r="AD28" i="24"/>
  <c r="AC28" i="24"/>
  <c r="AB28" i="24"/>
  <c r="Z28" i="24"/>
  <c r="U28" i="24"/>
  <c r="T28" i="24"/>
  <c r="S28" i="24"/>
  <c r="S8" i="24" s="1"/>
  <c r="R28" i="24"/>
  <c r="Q28" i="24"/>
  <c r="P28" i="24"/>
  <c r="O28" i="24"/>
  <c r="O8" i="24" s="1"/>
  <c r="N28" i="24"/>
  <c r="M28" i="24"/>
  <c r="K28" i="24"/>
  <c r="J28" i="24"/>
  <c r="I28" i="24"/>
  <c r="G28" i="24"/>
  <c r="F28" i="24"/>
  <c r="F8" i="24" s="1"/>
  <c r="E28" i="24"/>
  <c r="D28" i="24"/>
  <c r="AA26" i="24"/>
  <c r="L26" i="24"/>
  <c r="H26" i="24"/>
  <c r="C26" i="24"/>
  <c r="AA25" i="24"/>
  <c r="L25" i="24"/>
  <c r="E25" i="24"/>
  <c r="C25" i="24" s="1"/>
  <c r="AM25" i="24" s="1"/>
  <c r="AM24" i="24"/>
  <c r="AC23" i="24"/>
  <c r="AA23" i="24" s="1"/>
  <c r="AK23" i="24" s="1"/>
  <c r="AK22" i="24" s="1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H22" i="24" s="1"/>
  <c r="G22" i="24"/>
  <c r="F22" i="24"/>
  <c r="D22" i="24"/>
  <c r="AA21" i="24"/>
  <c r="L21" i="24"/>
  <c r="H21" i="24"/>
  <c r="AM21" i="24" s="1"/>
  <c r="AA20" i="24"/>
  <c r="L20" i="24"/>
  <c r="H20" i="24"/>
  <c r="AM19" i="24"/>
  <c r="AA18" i="24"/>
  <c r="AM18" i="24"/>
  <c r="AA17" i="24"/>
  <c r="L17" i="24"/>
  <c r="L15" i="24" s="1"/>
  <c r="H17" i="24"/>
  <c r="C17" i="24"/>
  <c r="AM17" i="24" s="1"/>
  <c r="AA16" i="24"/>
  <c r="L16" i="24"/>
  <c r="H16" i="24"/>
  <c r="C16" i="24"/>
  <c r="AM16" i="24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Y27" i="24" s="1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K27" i="24" s="1"/>
  <c r="J15" i="24"/>
  <c r="I15" i="24"/>
  <c r="G15" i="24"/>
  <c r="G27" i="24" s="1"/>
  <c r="G62" i="24" s="1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AA9" i="24" s="1"/>
  <c r="L11" i="24"/>
  <c r="H11" i="24"/>
  <c r="C11" i="24"/>
  <c r="C9" i="24" s="1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O27" i="24" s="1"/>
  <c r="N9" i="24"/>
  <c r="M9" i="24"/>
  <c r="K9" i="24"/>
  <c r="J9" i="24"/>
  <c r="I9" i="24"/>
  <c r="I27" i="24" s="1"/>
  <c r="I62" i="24" s="1"/>
  <c r="G9" i="24"/>
  <c r="F9" i="24"/>
  <c r="E9" i="24"/>
  <c r="D9" i="24"/>
  <c r="AL7" i="24"/>
  <c r="AK7" i="24"/>
  <c r="AJ7" i="24"/>
  <c r="AJ8" i="24" s="1"/>
  <c r="AI7" i="24"/>
  <c r="AH7" i="24"/>
  <c r="AG7" i="24"/>
  <c r="AF7" i="24"/>
  <c r="AE7" i="24"/>
  <c r="AD7" i="24"/>
  <c r="AC7" i="24"/>
  <c r="AC8" i="24" s="1"/>
  <c r="AB7" i="24"/>
  <c r="Z7" i="24"/>
  <c r="Y7" i="24"/>
  <c r="X7" i="24"/>
  <c r="W7" i="24"/>
  <c r="V7" i="24"/>
  <c r="V8" i="24" s="1"/>
  <c r="U7" i="24"/>
  <c r="U8" i="24" s="1"/>
  <c r="T7" i="24"/>
  <c r="T27" i="24" s="1"/>
  <c r="T62" i="24" s="1"/>
  <c r="S7" i="24"/>
  <c r="R7" i="24"/>
  <c r="R8" i="24" s="1"/>
  <c r="Q7" i="24"/>
  <c r="P7" i="24"/>
  <c r="O7" i="24"/>
  <c r="N7" i="24"/>
  <c r="M7" i="24"/>
  <c r="M8" i="24"/>
  <c r="K7" i="24"/>
  <c r="J7" i="24"/>
  <c r="J27" i="24" s="1"/>
  <c r="I7" i="24"/>
  <c r="G7" i="24"/>
  <c r="G8" i="24" s="1"/>
  <c r="F7" i="24"/>
  <c r="E7" i="24"/>
  <c r="D7" i="24"/>
  <c r="AA6" i="24"/>
  <c r="L6" i="24"/>
  <c r="H6" i="24"/>
  <c r="C6" i="24"/>
  <c r="AA5" i="24"/>
  <c r="L5" i="24"/>
  <c r="H5" i="24"/>
  <c r="AM5" i="24" s="1"/>
  <c r="C5" i="24"/>
  <c r="AA4" i="24"/>
  <c r="AM4" i="24" s="1"/>
  <c r="L4" i="24"/>
  <c r="H4" i="24"/>
  <c r="C4" i="24"/>
  <c r="AA3" i="24"/>
  <c r="H3" i="24"/>
  <c r="C3" i="24"/>
  <c r="AM3" i="24" s="1"/>
  <c r="AA2" i="24"/>
  <c r="L2" i="24"/>
  <c r="L7" i="24" s="1"/>
  <c r="H2" i="24"/>
  <c r="C2" i="24"/>
  <c r="C7" i="24" s="1"/>
  <c r="P8" i="24"/>
  <c r="AG8" i="24"/>
  <c r="Q8" i="24"/>
  <c r="AM40" i="24"/>
  <c r="U30" i="24"/>
  <c r="AK8" i="24"/>
  <c r="AJ30" i="24"/>
  <c r="AM2" i="24"/>
  <c r="I8" i="24"/>
  <c r="A9" i="43"/>
  <c r="A7" i="9"/>
  <c r="AM35" i="24"/>
  <c r="AE30" i="24"/>
  <c r="AM13" i="24"/>
  <c r="AF27" i="24"/>
  <c r="AC30" i="24"/>
  <c r="AM44" i="24"/>
  <c r="F12" i="6"/>
  <c r="V30" i="24"/>
  <c r="H57" i="24"/>
  <c r="F8" i="6"/>
  <c r="L31" i="24"/>
  <c r="AF62" i="24"/>
  <c r="P30" i="24"/>
  <c r="F27" i="24"/>
  <c r="K8" i="24"/>
  <c r="J8" i="24"/>
  <c r="S27" i="24"/>
  <c r="AM49" i="24"/>
  <c r="AM53" i="24"/>
  <c r="AM10" i="24"/>
  <c r="L45" i="24"/>
  <c r="A21" i="9"/>
  <c r="AA31" i="24"/>
  <c r="AM55" i="24"/>
  <c r="AC114" i="27"/>
  <c r="M95" i="27" s="1"/>
  <c r="AE114" i="27" a="1"/>
  <c r="AE114" i="27" s="1"/>
  <c r="M93" i="27" s="1"/>
  <c r="AD114" i="27"/>
  <c r="M94" i="27" s="1"/>
  <c r="AF104" i="27"/>
  <c r="AI104" i="27"/>
  <c r="AE104" i="27" a="1"/>
  <c r="AE104" i="27" s="1"/>
  <c r="M129" i="27" s="1"/>
  <c r="N129" i="27" s="1"/>
  <c r="AF115" i="27"/>
  <c r="AI115" i="27" s="1"/>
  <c r="N107" i="27" s="1"/>
  <c r="AC115" i="27"/>
  <c r="M107" i="27" s="1"/>
  <c r="AE115" i="27" a="1"/>
  <c r="AE115" i="27"/>
  <c r="M105" i="27" s="1"/>
  <c r="AD115" i="27"/>
  <c r="M106" i="27"/>
  <c r="AF103" i="27"/>
  <c r="AI103" i="27" s="1"/>
  <c r="AE103" i="27" a="1"/>
  <c r="AE103" i="27"/>
  <c r="M114" i="27"/>
  <c r="AD103" i="27" a="1"/>
  <c r="AD103" i="27"/>
  <c r="M115" i="27"/>
  <c r="N115" i="27" s="1"/>
  <c r="AC103" i="27"/>
  <c r="M116" i="27" s="1"/>
  <c r="N116" i="27" s="1"/>
  <c r="O116" i="27" s="1"/>
  <c r="AE113" i="27" a="1"/>
  <c r="AE113" i="27" s="1"/>
  <c r="M78" i="27" s="1"/>
  <c r="N78" i="27" s="1"/>
  <c r="O78" i="27" s="1"/>
  <c r="AD113" i="27" a="1"/>
  <c r="AD113" i="27"/>
  <c r="M79" i="27" s="1"/>
  <c r="N79" i="27" s="1"/>
  <c r="O79" i="27" s="1"/>
  <c r="AF113" i="27"/>
  <c r="AI113" i="27" s="1"/>
  <c r="AC113" i="27"/>
  <c r="M80" i="27" s="1"/>
  <c r="AD120" i="27" a="1"/>
  <c r="AD120" i="27"/>
  <c r="M112" i="27" s="1"/>
  <c r="AE111" i="27" a="1"/>
  <c r="AE111" i="27" s="1"/>
  <c r="M123" i="27" s="1"/>
  <c r="AC102" i="27"/>
  <c r="M110" i="27" s="1"/>
  <c r="AE108" i="27" a="1"/>
  <c r="AE108" i="27" s="1"/>
  <c r="M69" i="27" s="1"/>
  <c r="AF108" i="27"/>
  <c r="AI108" i="27" s="1"/>
  <c r="N69" i="27" s="1"/>
  <c r="O69" i="27" s="1"/>
  <c r="AD105" i="27" a="1"/>
  <c r="AD105" i="27" s="1"/>
  <c r="M133" i="27" s="1"/>
  <c r="AF105" i="27"/>
  <c r="AI105" i="27"/>
  <c r="M134" i="27"/>
  <c r="N134" i="27" s="1"/>
  <c r="O134" i="27" s="1"/>
  <c r="AE105" i="27" a="1"/>
  <c r="AE105" i="27" s="1"/>
  <c r="M132" i="27" s="1"/>
  <c r="AF112" i="27"/>
  <c r="AI112" i="27"/>
  <c r="AD112" i="27" a="1"/>
  <c r="AD112" i="27" s="1"/>
  <c r="M127" i="27" s="1"/>
  <c r="AC112" i="27"/>
  <c r="M128" i="27"/>
  <c r="AE112" i="27" a="1"/>
  <c r="AE112" i="27"/>
  <c r="M126" i="27"/>
  <c r="AF119" i="27"/>
  <c r="AI119" i="27" s="1"/>
  <c r="N72" i="27" s="1"/>
  <c r="AE119" i="27" a="1"/>
  <c r="AE119" i="27" s="1"/>
  <c r="M72" i="27" s="1"/>
  <c r="M74" i="27"/>
  <c r="AD119" i="27" a="1"/>
  <c r="AD119" i="27" s="1"/>
  <c r="M73" i="27" s="1"/>
  <c r="AF110" i="27"/>
  <c r="AI110" i="27"/>
  <c r="N98" i="27" s="1"/>
  <c r="O98" i="27" s="1"/>
  <c r="AE110" i="27" a="1"/>
  <c r="AE110" i="27" s="1"/>
  <c r="M96" i="27" s="1"/>
  <c r="N96" i="27" s="1"/>
  <c r="AD110" i="27" a="1"/>
  <c r="AD110" i="27"/>
  <c r="M97" i="27" s="1"/>
  <c r="AC110" i="27"/>
  <c r="M98" i="27" s="1"/>
  <c r="AF101" i="27"/>
  <c r="AI101" i="27" s="1"/>
  <c r="N102" i="27" s="1"/>
  <c r="O102" i="27" s="1"/>
  <c r="AC101" i="27"/>
  <c r="M104" i="27" s="1"/>
  <c r="AD101" i="27" a="1"/>
  <c r="AD101" i="27"/>
  <c r="M103" i="27" s="1"/>
  <c r="AE97" i="27" a="1"/>
  <c r="AE97" i="27"/>
  <c r="M84" i="27" s="1"/>
  <c r="N84" i="27" s="1"/>
  <c r="AI97" i="27"/>
  <c r="AC97" i="27"/>
  <c r="M86" i="27"/>
  <c r="AD97" i="27" a="1"/>
  <c r="AD97" i="27"/>
  <c r="M85" i="27" s="1"/>
  <c r="N85" i="27" s="1"/>
  <c r="O85" i="27" s="1"/>
  <c r="AC96" i="27"/>
  <c r="M77" i="27" s="1"/>
  <c r="AF117" i="27"/>
  <c r="AI117" i="27" s="1"/>
  <c r="AE117" i="27" a="1"/>
  <c r="AE117" i="27"/>
  <c r="M120" i="27" s="1"/>
  <c r="AC117" i="27"/>
  <c r="M122" i="27"/>
  <c r="N122" i="27" s="1"/>
  <c r="O122" i="27" s="1"/>
  <c r="AD117" i="27" a="1"/>
  <c r="AD117" i="27" s="1"/>
  <c r="M121" i="27" s="1"/>
  <c r="N121" i="27" s="1"/>
  <c r="AD107" i="27" a="1"/>
  <c r="AD107" i="27"/>
  <c r="M67" i="27" s="1"/>
  <c r="AC107" i="27"/>
  <c r="M68" i="27"/>
  <c r="AF107" i="27"/>
  <c r="AI107" i="27" s="1"/>
  <c r="AE107" i="27" a="1"/>
  <c r="AE107" i="27"/>
  <c r="M66" i="27" s="1"/>
  <c r="AC99" i="27"/>
  <c r="M92" i="27" s="1"/>
  <c r="AF99" i="27"/>
  <c r="AI99" i="27"/>
  <c r="AE99" i="27" a="1"/>
  <c r="AE99" i="27" s="1"/>
  <c r="M90" i="27" s="1"/>
  <c r="AD99" i="27" a="1"/>
  <c r="AD99" i="27" s="1"/>
  <c r="M91" i="27" s="1"/>
  <c r="AE116" i="27" a="1"/>
  <c r="AE116" i="27" s="1"/>
  <c r="M117" i="27" s="1"/>
  <c r="AD116" i="27"/>
  <c r="M118" i="27"/>
  <c r="AC116" i="27"/>
  <c r="M119" i="27" s="1"/>
  <c r="AD106" i="27" a="1"/>
  <c r="AD106" i="27" s="1"/>
  <c r="M136" i="27" s="1"/>
  <c r="N136" i="27" s="1"/>
  <c r="AF106" i="27"/>
  <c r="AI106" i="27" s="1"/>
  <c r="AE106" i="27" a="1"/>
  <c r="AE106" i="27"/>
  <c r="M135" i="27" s="1"/>
  <c r="AD98" i="27" a="1"/>
  <c r="AD98" i="27" s="1"/>
  <c r="M88" i="27" s="1"/>
  <c r="AC98" i="27"/>
  <c r="M89" i="27" s="1"/>
  <c r="Z90" i="27"/>
  <c r="AB90" i="27"/>
  <c r="AF90" i="27" s="1"/>
  <c r="C22" i="24"/>
  <c r="H7" i="24"/>
  <c r="H8" i="24" s="1"/>
  <c r="D8" i="24"/>
  <c r="AM47" i="24"/>
  <c r="O62" i="24"/>
  <c r="W27" i="24"/>
  <c r="W29" i="24" s="1"/>
  <c r="P27" i="24"/>
  <c r="P62" i="24"/>
  <c r="R27" i="24"/>
  <c r="R62" i="24" s="1"/>
  <c r="AH27" i="24"/>
  <c r="AH62" i="24" s="1"/>
  <c r="C45" i="24"/>
  <c r="AA15" i="24"/>
  <c r="F10" i="6"/>
  <c r="N104" i="27"/>
  <c r="N114" i="27"/>
  <c r="O114" i="27" s="1"/>
  <c r="N91" i="27"/>
  <c r="O91" i="27" s="1"/>
  <c r="N131" i="27"/>
  <c r="O131" i="27"/>
  <c r="N133" i="27"/>
  <c r="O133" i="27" s="1"/>
  <c r="N86" i="27"/>
  <c r="O86" i="27" s="1"/>
  <c r="N97" i="27"/>
  <c r="N127" i="27"/>
  <c r="O127" i="27"/>
  <c r="C22" i="9"/>
  <c r="W28" i="24"/>
  <c r="W8" i="24" s="1"/>
  <c r="W62" i="24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M37" i="28" l="1"/>
  <c r="AC37" i="28" s="1"/>
  <c r="M36" i="28"/>
  <c r="M35" i="28"/>
  <c r="AC35" i="28" s="1"/>
  <c r="M31" i="51"/>
  <c r="AC31" i="51" s="1"/>
  <c r="M12" i="51"/>
  <c r="AC12" i="51" s="1"/>
  <c r="M11" i="51"/>
  <c r="M36" i="51"/>
  <c r="AC36" i="51" s="1"/>
  <c r="M35" i="51"/>
  <c r="M12" i="52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V33" i="46"/>
  <c r="F28" i="6"/>
  <c r="V35" i="46"/>
  <c r="O45" i="28"/>
  <c r="M45" i="28" s="1"/>
  <c r="D26" i="6"/>
  <c r="O21" i="28"/>
  <c r="AD44" i="51"/>
  <c r="V34" i="46"/>
  <c r="V36" i="46"/>
  <c r="AD41" i="28"/>
  <c r="E22" i="48"/>
  <c r="AD35" i="51"/>
  <c r="P44" i="52"/>
  <c r="AC10" i="52"/>
  <c r="P12" i="51"/>
  <c r="P13" i="52"/>
  <c r="P11" i="51"/>
  <c r="P15" i="52"/>
  <c r="AC8" i="51"/>
  <c r="P10" i="51"/>
  <c r="AC12" i="52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AD19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AD9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O137" i="27"/>
  <c r="O121" i="27"/>
  <c r="AM58" i="24"/>
  <c r="N110" i="27"/>
  <c r="O110" i="27" s="1"/>
  <c r="C30" i="24"/>
  <c r="AM31" i="24"/>
  <c r="AM7" i="24"/>
  <c r="N68" i="27"/>
  <c r="N66" i="27"/>
  <c r="O66" i="27" s="1"/>
  <c r="N67" i="27"/>
  <c r="O67" i="27" s="1"/>
  <c r="Y29" i="24"/>
  <c r="Y28" i="24" s="1"/>
  <c r="Y8" i="24" s="1"/>
  <c r="E27" i="24"/>
  <c r="E62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O105" i="27"/>
  <c r="AC22" i="24"/>
  <c r="AC27" i="24" s="1"/>
  <c r="AC62" i="24" s="1"/>
  <c r="A13" i="54"/>
  <c r="C21" i="9"/>
  <c r="N27" i="24"/>
  <c r="N8" i="24"/>
  <c r="O96" i="27"/>
  <c r="O129" i="27"/>
  <c r="N132" i="27"/>
  <c r="AG30" i="24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G62" i="24"/>
  <c r="AM37" i="24"/>
  <c r="AM39" i="24"/>
  <c r="AM43" i="24"/>
  <c r="N30" i="24"/>
  <c r="N60" i="27"/>
  <c r="N61" i="27"/>
  <c r="O61" i="27" s="1"/>
  <c r="O103" i="27"/>
  <c r="AD8" i="24"/>
  <c r="AD27" i="24"/>
  <c r="AD62" i="24" s="1"/>
  <c r="AF96" i="27"/>
  <c r="AI96" i="27" s="1"/>
  <c r="O128" i="27"/>
  <c r="O104" i="27"/>
  <c r="N105" i="27"/>
  <c r="AA22" i="24"/>
  <c r="N135" i="27"/>
  <c r="O135" i="27" s="1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M138" i="27" s="1"/>
  <c r="N138" i="27" s="1"/>
  <c r="AK27" i="24"/>
  <c r="AK62" i="24" s="1"/>
  <c r="U27" i="24"/>
  <c r="U62" i="24" s="1"/>
  <c r="AE8" i="24"/>
  <c r="AE27" i="24"/>
  <c r="AE62" i="24" s="1"/>
  <c r="L22" i="24"/>
  <c r="Q30" i="24"/>
  <c r="AI30" i="24"/>
  <c r="O136" i="27"/>
  <c r="AF109" i="27"/>
  <c r="AI109" i="27" s="1"/>
  <c r="N103" i="27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132" i="27"/>
  <c r="O68" i="27"/>
  <c r="N92" i="27"/>
  <c r="O92" i="27" s="1"/>
  <c r="N126" i="27"/>
  <c r="O126" i="27" s="1"/>
  <c r="N128" i="27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AM6" i="24"/>
  <c r="X27" i="24"/>
  <c r="C57" i="24"/>
  <c r="C38" i="27"/>
  <c r="F38" i="27" s="1"/>
  <c r="A11" i="54"/>
  <c r="C16" i="9"/>
  <c r="AA45" i="24"/>
  <c r="AA30" i="24" s="1"/>
  <c r="AF116" i="27"/>
  <c r="AI116" i="27" s="1"/>
  <c r="L9" i="24"/>
  <c r="L27" i="24" s="1"/>
  <c r="F30" i="24"/>
  <c r="F62" i="24" s="1"/>
  <c r="V26" i="46"/>
  <c r="D20" i="6"/>
  <c r="F34" i="27"/>
  <c r="M55" i="45"/>
  <c r="M43" i="45"/>
  <c r="A6" i="54"/>
  <c r="C6" i="9"/>
  <c r="D27" i="24"/>
  <c r="D62" i="24" s="1"/>
  <c r="M27" i="24"/>
  <c r="M30" i="24"/>
  <c r="Q6" i="51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X8" i="52"/>
  <c r="D31" i="45"/>
  <c r="M31" i="45" s="1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G24" i="51"/>
  <c r="T21" i="51" s="1"/>
  <c r="T45" i="51" s="1"/>
  <c r="C8" i="9"/>
  <c r="A8" i="54"/>
  <c r="M22" i="45"/>
  <c r="M39" i="45"/>
  <c r="N13" i="6"/>
  <c r="N13" i="54"/>
  <c r="AD32" i="28"/>
  <c r="AD8" i="52"/>
  <c r="D47" i="22"/>
  <c r="D48" i="22"/>
  <c r="E19" i="9"/>
  <c r="F22" i="6" s="1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AD13" i="52"/>
  <c r="N9" i="54"/>
  <c r="G24" i="28"/>
  <c r="T21" i="28" s="1"/>
  <c r="T45" i="28" s="1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Q39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D44" i="2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A27" i="45"/>
  <c r="BD28" i="45"/>
  <c r="BH28" i="45"/>
  <c r="AZ28" i="45"/>
  <c r="BD24" i="45"/>
  <c r="BH24" i="45"/>
  <c r="BH32" i="45" s="1"/>
  <c r="BH33" i="45" s="1"/>
  <c r="I37" i="27" s="1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BB24" i="45"/>
  <c r="AZ30" i="45"/>
  <c r="AZ26" i="45"/>
  <c r="AZ22" i="45"/>
  <c r="AD34" i="28"/>
  <c r="AD31" i="28"/>
  <c r="AD36" i="51"/>
  <c r="AD15" i="52"/>
  <c r="P54" i="52"/>
  <c r="Q12" i="52"/>
  <c r="Q12" i="51"/>
  <c r="Q8" i="51"/>
  <c r="Q37" i="52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BG45" i="45" s="1"/>
  <c r="BG46" i="45" s="1"/>
  <c r="J36" i="27" s="1"/>
  <c r="U35" i="27" s="1"/>
  <c r="AZ37" i="45"/>
  <c r="BA35" i="45"/>
  <c r="BE35" i="45"/>
  <c r="BG26" i="45"/>
  <c r="BF27" i="45"/>
  <c r="BE28" i="45"/>
  <c r="BD29" i="45"/>
  <c r="BC30" i="45"/>
  <c r="BC22" i="45"/>
  <c r="BA24" i="45"/>
  <c r="AD37" i="28"/>
  <c r="AD43" i="28"/>
  <c r="AD13" i="51"/>
  <c r="AD32" i="51"/>
  <c r="AD12" i="52"/>
  <c r="AD20" i="52"/>
  <c r="AD7" i="52"/>
  <c r="Q15" i="51"/>
  <c r="Q12" i="28"/>
  <c r="Q8" i="28"/>
  <c r="BG52" i="45"/>
  <c r="BF52" i="45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D45" i="45" s="1"/>
  <c r="BD46" i="45" s="1"/>
  <c r="J33" i="27" s="1"/>
  <c r="U32" i="27" s="1"/>
  <c r="BH38" i="45"/>
  <c r="BH45" i="45" s="1"/>
  <c r="BH46" i="45" s="1"/>
  <c r="J37" i="27" s="1"/>
  <c r="U36" i="27" s="1"/>
  <c r="AZ35" i="45"/>
  <c r="BE27" i="45"/>
  <c r="BC29" i="45"/>
  <c r="BA25" i="45"/>
  <c r="BE25" i="45"/>
  <c r="BE32" i="45" s="1"/>
  <c r="BE33" i="45" s="1"/>
  <c r="I34" i="27" s="1"/>
  <c r="AZ25" i="45"/>
  <c r="BC23" i="45"/>
  <c r="BG23" i="45"/>
  <c r="BG32" i="45" s="1"/>
  <c r="BG33" i="45" s="1"/>
  <c r="I36" i="27" s="1"/>
  <c r="AD33" i="51"/>
  <c r="O7" i="52"/>
  <c r="E6" i="54"/>
  <c r="C6" i="54"/>
  <c r="M6" i="54" s="1"/>
  <c r="Q41" i="52"/>
  <c r="Q31" i="52"/>
  <c r="BD52" i="45"/>
  <c r="BH52" i="45"/>
  <c r="AZ52" i="45"/>
  <c r="BD48" i="45"/>
  <c r="BD58" i="45" s="1"/>
  <c r="BD59" i="45" s="1"/>
  <c r="K33" i="27" s="1"/>
  <c r="V32" i="27" s="1"/>
  <c r="BH48" i="45"/>
  <c r="AZ48" i="45"/>
  <c r="BD42" i="45"/>
  <c r="BH42" i="45"/>
  <c r="BA32" i="45"/>
  <c r="BA33" i="45" s="1"/>
  <c r="I30" i="27" s="1"/>
  <c r="BA29" i="45"/>
  <c r="BE29" i="45"/>
  <c r="AZ29" i="45"/>
  <c r="BC27" i="45"/>
  <c r="BG27" i="45"/>
  <c r="AD39" i="28"/>
  <c r="AD55" i="28"/>
  <c r="AD35" i="28"/>
  <c r="AD34" i="51"/>
  <c r="Q10" i="51"/>
  <c r="Q15" i="28"/>
  <c r="T29" i="27"/>
  <c r="Q43" i="52"/>
  <c r="E7" i="48"/>
  <c r="C10" i="54"/>
  <c r="M10" i="54" s="1"/>
  <c r="E10" i="54"/>
  <c r="BC52" i="45"/>
  <c r="BB52" i="45"/>
  <c r="BA57" i="45"/>
  <c r="BE57" i="45"/>
  <c r="BE58" i="45" s="1"/>
  <c r="BE59" i="45" s="1"/>
  <c r="K34" i="27" s="1"/>
  <c r="V33" i="27" s="1"/>
  <c r="AZ57" i="45"/>
  <c r="BD57" i="45"/>
  <c r="BH57" i="45"/>
  <c r="BC57" i="45"/>
  <c r="BG57" i="45"/>
  <c r="BB57" i="45"/>
  <c r="BF57" i="45"/>
  <c r="BC45" i="45"/>
  <c r="BC46" i="45" s="1"/>
  <c r="J32" i="27" s="1"/>
  <c r="U31" i="27" s="1"/>
  <c r="BB40" i="45"/>
  <c r="BF40" i="45"/>
  <c r="AZ40" i="45"/>
  <c r="BB36" i="45"/>
  <c r="BB45" i="45" s="1"/>
  <c r="BB46" i="45" s="1"/>
  <c r="J31" i="27" s="1"/>
  <c r="U30" i="27" s="1"/>
  <c r="BF36" i="45"/>
  <c r="BF45" i="45" s="1"/>
  <c r="BF46" i="45" s="1"/>
  <c r="J35" i="27" s="1"/>
  <c r="U34" i="27" s="1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AZ27" i="45"/>
  <c r="BB26" i="45"/>
  <c r="BF26" i="45"/>
  <c r="BB22" i="45"/>
  <c r="BB32" i="45" s="1"/>
  <c r="BB33" i="45" s="1"/>
  <c r="I31" i="27" s="1"/>
  <c r="T30" i="27" s="1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X9" i="52"/>
  <c r="F32" i="46"/>
  <c r="G28" i="48" s="1"/>
  <c r="F41" i="46"/>
  <c r="H92" i="46"/>
  <c r="I92" i="46"/>
  <c r="R29" i="22"/>
  <c r="Z37" i="22" s="1"/>
  <c r="AC35" i="52"/>
  <c r="AC11" i="51"/>
  <c r="AC9" i="51"/>
  <c r="AC36" i="28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AC35" i="51"/>
  <c r="AD17" i="28"/>
  <c r="O21" i="52"/>
  <c r="M20" i="51" l="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L37" i="27"/>
  <c r="T36" i="27"/>
  <c r="T35" i="27"/>
  <c r="C62" i="24"/>
  <c r="T33" i="27"/>
  <c r="BH56" i="45"/>
  <c r="BR54" i="45"/>
  <c r="BP54" i="45"/>
  <c r="BV54" i="45"/>
  <c r="BN54" i="45"/>
  <c r="BO54" i="45"/>
  <c r="BT54" i="45"/>
  <c r="BQ54" i="45"/>
  <c r="BW54" i="45" s="1"/>
  <c r="BM54" i="45"/>
  <c r="BS54" i="45"/>
  <c r="BU54" i="45"/>
  <c r="AZ58" i="45"/>
  <c r="AZ45" i="45"/>
  <c r="BC32" i="45"/>
  <c r="BC33" i="45" s="1"/>
  <c r="I32" i="27" s="1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K52" i="27" s="1" a="1"/>
  <c r="K52" i="27" s="1"/>
  <c r="AA8" i="24"/>
  <c r="AA27" i="24"/>
  <c r="AA62" i="24" s="1"/>
  <c r="N62" i="24"/>
  <c r="Y62" i="24"/>
  <c r="L57" i="24"/>
  <c r="L30" i="24" s="1"/>
  <c r="BD32" i="45"/>
  <c r="BD33" i="45" s="1"/>
  <c r="I33" i="27" s="1"/>
  <c r="BB56" i="45"/>
  <c r="BS48" i="45"/>
  <c r="BO48" i="45"/>
  <c r="BU48" i="45"/>
  <c r="BP48" i="45"/>
  <c r="BR48" i="45"/>
  <c r="BQ48" i="45"/>
  <c r="BT48" i="45"/>
  <c r="BV48" i="45"/>
  <c r="BM48" i="45"/>
  <c r="BN48" i="45"/>
  <c r="BH58" i="45"/>
  <c r="BH59" i="45" s="1"/>
  <c r="K37" i="27" s="1"/>
  <c r="V36" i="27" s="1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L31" i="27"/>
  <c r="Q30" i="52"/>
  <c r="BA45" i="45"/>
  <c r="BA46" i="45" s="1"/>
  <c r="J30" i="27" s="1"/>
  <c r="U29" i="27" s="1"/>
  <c r="BF58" i="45"/>
  <c r="BF59" i="45" s="1"/>
  <c r="K35" i="27" s="1"/>
  <c r="V34" i="27" s="1"/>
  <c r="Q6" i="52"/>
  <c r="Q6" i="28"/>
  <c r="N89" i="27"/>
  <c r="O89" i="27" s="1"/>
  <c r="N87" i="27"/>
  <c r="O87" i="27" s="1"/>
  <c r="N88" i="27"/>
  <c r="O88" i="27" s="1"/>
  <c r="N75" i="27"/>
  <c r="O75" i="27" s="1"/>
  <c r="J45" i="27" s="1" a="1"/>
  <c r="J45" i="27" s="1"/>
  <c r="N76" i="27"/>
  <c r="O76" i="27" s="1"/>
  <c r="N77" i="27"/>
  <c r="O77" i="27" s="1"/>
  <c r="K46" i="27" s="1" a="1"/>
  <c r="K46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K50" i="27" l="1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L52" i="27" s="1"/>
  <c r="K49" i="27" a="1"/>
  <c r="K49" i="27" s="1"/>
  <c r="BW48" i="45"/>
  <c r="AM57" i="24"/>
  <c r="I45" i="27" a="1"/>
  <c r="I45" i="27" s="1"/>
  <c r="L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51" i="27" l="1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9" i="52" l="1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R41" i="52"/>
  <c r="R45" i="52"/>
  <c r="S45" i="52" s="1"/>
  <c r="Y45" i="52" s="1"/>
  <c r="R33" i="52"/>
  <c r="S33" i="52" s="1"/>
  <c r="Y33" i="52" s="1"/>
  <c r="R39" i="52"/>
  <c r="S39" i="52" s="1"/>
  <c r="Y39" i="52" s="1"/>
  <c r="R11" i="52"/>
  <c r="S11" i="52" s="1"/>
  <c r="Y11" i="52" s="1"/>
  <c r="L38" i="27"/>
  <c r="R33" i="28"/>
  <c r="S33" i="28" s="1"/>
  <c r="Y33" i="28" s="1"/>
  <c r="R45" i="28"/>
  <c r="S45" i="28" s="1"/>
  <c r="Y45" i="28" s="1"/>
  <c r="R43" i="28"/>
  <c r="R37" i="28"/>
  <c r="S37" i="28" s="1"/>
  <c r="Y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S19" i="28" s="1"/>
  <c r="Y19" i="28" s="1"/>
  <c r="R20" i="28"/>
  <c r="R17" i="28"/>
  <c r="S17" i="28" s="1"/>
  <c r="Y17" i="28" s="1"/>
  <c r="R31" i="28"/>
  <c r="R41" i="28"/>
  <c r="R35" i="28"/>
  <c r="R13" i="28"/>
  <c r="S13" i="28" s="1"/>
  <c r="Y13" i="28" s="1"/>
  <c r="T37" i="27"/>
  <c r="R12" i="28"/>
  <c r="S12" i="28" s="1"/>
  <c r="Y12" i="28" s="1"/>
  <c r="X12" i="28" s="1"/>
  <c r="U12" i="28" s="1"/>
  <c r="R10" i="28"/>
  <c r="R15" i="28"/>
  <c r="S15" i="28" s="1"/>
  <c r="Y15" i="28" s="1"/>
  <c r="R11" i="28"/>
  <c r="R8" i="28"/>
  <c r="S8" i="28" s="1"/>
  <c r="Y8" i="28" s="1"/>
  <c r="R21" i="28"/>
  <c r="S21" i="28" s="1"/>
  <c r="Y21" i="28" s="1"/>
  <c r="R9" i="28"/>
  <c r="S9" i="28" s="1"/>
  <c r="Y9" i="28" s="1"/>
  <c r="R33" i="51"/>
  <c r="S33" i="51" s="1"/>
  <c r="Y33" i="51" s="1"/>
  <c r="R35" i="51"/>
  <c r="R55" i="51"/>
  <c r="S55" i="51" s="1"/>
  <c r="R31" i="51"/>
  <c r="R32" i="51"/>
  <c r="S32" i="51" s="1"/>
  <c r="Y32" i="51" s="1"/>
  <c r="R43" i="51"/>
  <c r="R54" i="51"/>
  <c r="S54" i="51" s="1"/>
  <c r="R44" i="51"/>
  <c r="S44" i="51" s="1"/>
  <c r="Y44" i="51" s="1"/>
  <c r="R9" i="51"/>
  <c r="R45" i="51"/>
  <c r="S45" i="51" s="1"/>
  <c r="Y45" i="51" s="1"/>
  <c r="R37" i="51"/>
  <c r="S37" i="51" s="1"/>
  <c r="Y37" i="51" s="1"/>
  <c r="R17" i="51"/>
  <c r="S17" i="51" s="1"/>
  <c r="Y17" i="51" s="1"/>
  <c r="R19" i="51"/>
  <c r="S19" i="51" s="1"/>
  <c r="Y19" i="51" s="1"/>
  <c r="R7" i="51"/>
  <c r="R11" i="51"/>
  <c r="S11" i="51" s="1"/>
  <c r="Y11" i="51" s="1"/>
  <c r="R36" i="51"/>
  <c r="U37" i="27"/>
  <c r="R39" i="51"/>
  <c r="R20" i="51"/>
  <c r="S20" i="51" s="1"/>
  <c r="Y20" i="51" s="1"/>
  <c r="R21" i="51"/>
  <c r="S21" i="51" s="1"/>
  <c r="Y21" i="51" s="1"/>
  <c r="R34" i="51"/>
  <c r="S34" i="51" s="1"/>
  <c r="R41" i="51"/>
  <c r="R12" i="51"/>
  <c r="S12" i="51" s="1"/>
  <c r="Y12" i="51" s="1"/>
  <c r="X12" i="51" s="1"/>
  <c r="U12" i="51" s="1"/>
  <c r="G11" i="46"/>
  <c r="R13" i="51"/>
  <c r="S13" i="51" s="1"/>
  <c r="Y13" i="51" s="1"/>
  <c r="R15" i="51"/>
  <c r="S15" i="51" s="1"/>
  <c r="Y15" i="51" s="1"/>
  <c r="R10" i="51"/>
  <c r="S10" i="51" s="1"/>
  <c r="Y10" i="51" s="1"/>
  <c r="R8" i="51"/>
  <c r="S8" i="51" s="1"/>
  <c r="Y8" i="51" s="1"/>
  <c r="G6" i="46"/>
  <c r="J11" i="46" l="1"/>
  <c r="J15" i="46"/>
  <c r="J14" i="46"/>
  <c r="J13" i="46"/>
  <c r="J20" i="46"/>
  <c r="J19" i="46"/>
  <c r="J18" i="46"/>
  <c r="J16" i="46"/>
  <c r="J8" i="46"/>
  <c r="J9" i="46"/>
  <c r="J10" i="46"/>
  <c r="J6" i="46"/>
  <c r="G28" i="22"/>
  <c r="X19" i="51"/>
  <c r="U19" i="51" s="1"/>
  <c r="Y43" i="51"/>
  <c r="S43" i="51"/>
  <c r="G27" i="22"/>
  <c r="G22" i="22" s="1"/>
  <c r="X21" i="51"/>
  <c r="U21" i="51" s="1"/>
  <c r="X17" i="51"/>
  <c r="U17" i="51" s="1"/>
  <c r="G10" i="22"/>
  <c r="J24" i="22"/>
  <c r="X32" i="51"/>
  <c r="U32" i="51" s="1"/>
  <c r="Y34" i="28"/>
  <c r="Y54" i="28"/>
  <c r="Y55" i="28"/>
  <c r="X32" i="28"/>
  <c r="U32" i="28" s="1"/>
  <c r="I24" i="22"/>
  <c r="K17" i="22"/>
  <c r="X39" i="52"/>
  <c r="U39" i="52" s="1"/>
  <c r="S13" i="52"/>
  <c r="Y13" i="52" s="1"/>
  <c r="S19" i="52"/>
  <c r="Y19" i="52" s="1"/>
  <c r="F23" i="22"/>
  <c r="X9" i="28"/>
  <c r="U9" i="28" s="1"/>
  <c r="Y36" i="28"/>
  <c r="X36" i="28" s="1"/>
  <c r="U36" i="28" s="1"/>
  <c r="S36" i="28"/>
  <c r="S31" i="51"/>
  <c r="Y31" i="51" s="1"/>
  <c r="R49" i="51"/>
  <c r="F27" i="22"/>
  <c r="X21" i="28"/>
  <c r="U21" i="28" s="1"/>
  <c r="F13" i="22"/>
  <c r="X13" i="28"/>
  <c r="U13" i="28" s="1"/>
  <c r="R25" i="28"/>
  <c r="S7" i="28"/>
  <c r="Y7" i="28" s="1"/>
  <c r="I13" i="22"/>
  <c r="X37" i="28"/>
  <c r="U37" i="28" s="1"/>
  <c r="X33" i="52"/>
  <c r="U33" i="52" s="1"/>
  <c r="K23" i="22"/>
  <c r="S12" i="52"/>
  <c r="Y12" i="52" s="1"/>
  <c r="X12" i="52" s="1"/>
  <c r="U12" i="52" s="1"/>
  <c r="S20" i="52"/>
  <c r="Y20" i="52" s="1"/>
  <c r="S7" i="52"/>
  <c r="Y7" i="52" s="1"/>
  <c r="Y34" i="52"/>
  <c r="Y54" i="52"/>
  <c r="Y55" i="52"/>
  <c r="X15" i="51"/>
  <c r="U15" i="51" s="1"/>
  <c r="G17" i="22"/>
  <c r="F24" i="22"/>
  <c r="X8" i="28"/>
  <c r="U8" i="28" s="1"/>
  <c r="Y35" i="28"/>
  <c r="S35" i="28"/>
  <c r="S43" i="28"/>
  <c r="Y43" i="28" s="1"/>
  <c r="K27" i="22"/>
  <c r="K18" i="22" s="1"/>
  <c r="X45" i="52"/>
  <c r="U45" i="52" s="1"/>
  <c r="R49" i="52"/>
  <c r="S31" i="52"/>
  <c r="Y31" i="52" s="1"/>
  <c r="S15" i="52"/>
  <c r="Y15" i="52" s="1"/>
  <c r="S10" i="52"/>
  <c r="Y10" i="52" s="1"/>
  <c r="Y54" i="51"/>
  <c r="Y55" i="51"/>
  <c r="Y34" i="51"/>
  <c r="X11" i="52"/>
  <c r="U11" i="52" s="1"/>
  <c r="H26" i="22"/>
  <c r="X10" i="51"/>
  <c r="U10" i="51" s="1"/>
  <c r="G11" i="22"/>
  <c r="Y39" i="51"/>
  <c r="S39" i="51"/>
  <c r="G13" i="22"/>
  <c r="X13" i="51"/>
  <c r="U13" i="51" s="1"/>
  <c r="J27" i="22"/>
  <c r="J18" i="22" s="1"/>
  <c r="X45" i="51"/>
  <c r="U45" i="51" s="1"/>
  <c r="S35" i="51"/>
  <c r="Y35" i="51" s="1"/>
  <c r="S11" i="28"/>
  <c r="Y11" i="28" s="1"/>
  <c r="S41" i="28"/>
  <c r="Y41" i="28" s="1"/>
  <c r="S39" i="28"/>
  <c r="Y39" i="28" s="1"/>
  <c r="X45" i="28"/>
  <c r="U45" i="28" s="1"/>
  <c r="I27" i="22"/>
  <c r="I18" i="22" s="1"/>
  <c r="Y41" i="52"/>
  <c r="S21" i="52"/>
  <c r="Y21" i="52" s="1"/>
  <c r="X32" i="52"/>
  <c r="U32" i="52" s="1"/>
  <c r="K24" i="22"/>
  <c r="S35" i="52"/>
  <c r="Y35" i="52" s="1"/>
  <c r="G24" i="22"/>
  <c r="X8" i="51"/>
  <c r="U8" i="51" s="1"/>
  <c r="X19" i="28"/>
  <c r="U19" i="28" s="1"/>
  <c r="F28" i="22"/>
  <c r="G19" i="22"/>
  <c r="X20" i="51"/>
  <c r="U20" i="51" s="1"/>
  <c r="J13" i="22"/>
  <c r="X37" i="51"/>
  <c r="U37" i="51" s="1"/>
  <c r="S36" i="51"/>
  <c r="Y36" i="51" s="1"/>
  <c r="X36" i="51" s="1"/>
  <c r="U36" i="51" s="1"/>
  <c r="U9" i="51"/>
  <c r="S9" i="51"/>
  <c r="J23" i="22"/>
  <c r="X33" i="51"/>
  <c r="U33" i="51" s="1"/>
  <c r="S31" i="28"/>
  <c r="Y31" i="28" s="1"/>
  <c r="R49" i="28"/>
  <c r="I23" i="22"/>
  <c r="X33" i="28"/>
  <c r="U33" i="28" s="1"/>
  <c r="S8" i="52"/>
  <c r="U8" i="52"/>
  <c r="S36" i="52"/>
  <c r="Y36" i="52" s="1"/>
  <c r="X36" i="52" s="1"/>
  <c r="U36" i="52" s="1"/>
  <c r="S41" i="52"/>
  <c r="G26" i="22"/>
  <c r="X11" i="51"/>
  <c r="U11" i="51" s="1"/>
  <c r="F17" i="22"/>
  <c r="X15" i="28"/>
  <c r="U15" i="28" s="1"/>
  <c r="X44" i="51"/>
  <c r="U44" i="51" s="1"/>
  <c r="J19" i="22"/>
  <c r="F10" i="22"/>
  <c r="X17" i="28"/>
  <c r="U17" i="28" s="1"/>
  <c r="G6" i="48"/>
  <c r="J6" i="48" s="1"/>
  <c r="G5" i="48"/>
  <c r="G9" i="48"/>
  <c r="G10" i="48"/>
  <c r="G11" i="48"/>
  <c r="O10" i="48"/>
  <c r="J10" i="48" s="1"/>
  <c r="G12" i="48"/>
  <c r="P9" i="48"/>
  <c r="O9" i="48" s="1"/>
  <c r="J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X43" i="52"/>
  <c r="U43" i="52" s="1"/>
  <c r="Y37" i="52"/>
  <c r="S37" i="52"/>
  <c r="S41" i="51"/>
  <c r="Y41" i="51" s="1"/>
  <c r="R25" i="51"/>
  <c r="S7" i="51"/>
  <c r="Y7" i="51" s="1"/>
  <c r="S10" i="28"/>
  <c r="Y10" i="28" s="1"/>
  <c r="S20" i="28"/>
  <c r="Y20" i="28" s="1"/>
  <c r="S44" i="28"/>
  <c r="Y44" i="28" s="1"/>
  <c r="S17" i="52"/>
  <c r="Y17" i="52" s="1"/>
  <c r="Y44" i="52"/>
  <c r="S44" i="52"/>
  <c r="R25" i="52"/>
  <c r="U9" i="52"/>
  <c r="S9" i="52"/>
  <c r="Z29" i="22"/>
  <c r="Y18" i="22" l="1"/>
  <c r="I17" i="22"/>
  <c r="X39" i="28"/>
  <c r="U39" i="28" s="1"/>
  <c r="J10" i="22"/>
  <c r="X41" i="51"/>
  <c r="U41" i="51" s="1"/>
  <c r="I10" i="22"/>
  <c r="X41" i="28"/>
  <c r="U41" i="28" s="1"/>
  <c r="Y49" i="28"/>
  <c r="I9" i="22"/>
  <c r="X31" i="28"/>
  <c r="X43" i="28"/>
  <c r="U43" i="28" s="1"/>
  <c r="I28" i="22"/>
  <c r="X35" i="52"/>
  <c r="U35" i="52" s="1"/>
  <c r="K26" i="22"/>
  <c r="X44" i="28"/>
  <c r="U44" i="28" s="1"/>
  <c r="I19" i="22"/>
  <c r="X35" i="51"/>
  <c r="U35" i="51" s="1"/>
  <c r="J26" i="22"/>
  <c r="G24" i="48"/>
  <c r="H24" i="48" s="1"/>
  <c r="I24" i="48" s="1"/>
  <c r="J24" i="48" s="1"/>
  <c r="K24" i="48" s="1"/>
  <c r="L24" i="48" s="1"/>
  <c r="U29" i="22"/>
  <c r="X55" i="28"/>
  <c r="O26" i="22"/>
  <c r="O29" i="22" s="1"/>
  <c r="F11" i="22"/>
  <c r="X10" i="28"/>
  <c r="U10" i="28" s="1"/>
  <c r="K19" i="22"/>
  <c r="X44" i="52"/>
  <c r="U44" i="52" s="1"/>
  <c r="G23" i="48"/>
  <c r="H23" i="48" s="1"/>
  <c r="I23" i="48" s="1"/>
  <c r="J23" i="48" s="1"/>
  <c r="K23" i="48" s="1"/>
  <c r="L23" i="48" s="1"/>
  <c r="T29" i="22"/>
  <c r="J11" i="22"/>
  <c r="X34" i="51"/>
  <c r="U34" i="51" s="1"/>
  <c r="F22" i="22"/>
  <c r="H28" i="22"/>
  <c r="X19" i="52"/>
  <c r="U19" i="52" s="1"/>
  <c r="X54" i="28"/>
  <c r="L26" i="22"/>
  <c r="L29" i="22" s="1"/>
  <c r="P26" i="22"/>
  <c r="P29" i="22" s="1"/>
  <c r="X55" i="51"/>
  <c r="U55" i="51" s="1"/>
  <c r="Q26" i="22"/>
  <c r="Q29" i="22" s="1"/>
  <c r="X55" i="52"/>
  <c r="X13" i="52"/>
  <c r="U13" i="52" s="1"/>
  <c r="H13" i="22"/>
  <c r="I11" i="22"/>
  <c r="X34" i="28"/>
  <c r="U34" i="28" s="1"/>
  <c r="H10" i="22"/>
  <c r="X17" i="52"/>
  <c r="U17" i="52" s="1"/>
  <c r="G21" i="48"/>
  <c r="H21" i="48" s="1"/>
  <c r="I21" i="48" s="1"/>
  <c r="J21" i="48" s="1"/>
  <c r="K21" i="48" s="1"/>
  <c r="L21" i="48" s="1"/>
  <c r="S29" i="22"/>
  <c r="J11" i="48"/>
  <c r="M26" i="22"/>
  <c r="M29" i="22" s="1"/>
  <c r="X54" i="51"/>
  <c r="U54" i="51" s="1"/>
  <c r="N26" i="22"/>
  <c r="N29" i="22" s="1"/>
  <c r="X54" i="52"/>
  <c r="J9" i="22"/>
  <c r="X31" i="51"/>
  <c r="Y49" i="51"/>
  <c r="F19" i="22"/>
  <c r="X20" i="28"/>
  <c r="U20" i="28" s="1"/>
  <c r="X37" i="52"/>
  <c r="U37" i="52" s="1"/>
  <c r="K13" i="22"/>
  <c r="X21" i="52"/>
  <c r="U21" i="52" s="1"/>
  <c r="H27" i="22"/>
  <c r="H22" i="22" s="1"/>
  <c r="F26" i="22"/>
  <c r="X11" i="28"/>
  <c r="U11" i="28" s="1"/>
  <c r="X39" i="51"/>
  <c r="U39" i="51" s="1"/>
  <c r="J17" i="22"/>
  <c r="H11" i="22"/>
  <c r="X10" i="52"/>
  <c r="U10" i="52" s="1"/>
  <c r="K11" i="22"/>
  <c r="X34" i="52"/>
  <c r="U34" i="52" s="1"/>
  <c r="F9" i="22"/>
  <c r="X7" i="28"/>
  <c r="Y25" i="28"/>
  <c r="X43" i="51"/>
  <c r="U43" i="51" s="1"/>
  <c r="J28" i="22"/>
  <c r="K10" i="22"/>
  <c r="X41" i="52"/>
  <c r="U41" i="52" s="1"/>
  <c r="X15" i="52"/>
  <c r="U15" i="52" s="1"/>
  <c r="H17" i="22"/>
  <c r="X35" i="28"/>
  <c r="U35" i="28" s="1"/>
  <c r="I26" i="22"/>
  <c r="X7" i="52"/>
  <c r="H9" i="22"/>
  <c r="Y25" i="52"/>
  <c r="X31" i="52"/>
  <c r="K9" i="22"/>
  <c r="Y49" i="52"/>
  <c r="H19" i="22"/>
  <c r="X20" i="52"/>
  <c r="U20" i="52" s="1"/>
  <c r="G9" i="22"/>
  <c r="G29" i="22" s="1"/>
  <c r="Y25" i="51"/>
  <c r="X7" i="51"/>
  <c r="G25" i="48"/>
  <c r="H25" i="48" s="1"/>
  <c r="I25" i="48" s="1"/>
  <c r="J25" i="48" s="1"/>
  <c r="K25" i="48" s="1"/>
  <c r="L25" i="48" s="1"/>
  <c r="V29" i="22"/>
  <c r="Y24" i="22"/>
  <c r="Y23" i="22"/>
  <c r="Y13" i="22" l="1"/>
  <c r="Y28" i="22"/>
  <c r="Y9" i="22" s="1"/>
  <c r="AA9" i="22" s="1"/>
  <c r="Y17" i="22"/>
  <c r="AA17" i="22" s="1"/>
  <c r="Y22" i="22"/>
  <c r="Y27" i="22"/>
  <c r="F29" i="22"/>
  <c r="AA16" i="22"/>
  <c r="AA15" i="22"/>
  <c r="AA14" i="22"/>
  <c r="AA13" i="22"/>
  <c r="O30" i="22"/>
  <c r="Z35" i="22" s="1"/>
  <c r="U7" i="28"/>
  <c r="X25" i="28"/>
  <c r="J29" i="22"/>
  <c r="U55" i="28"/>
  <c r="H29" i="22"/>
  <c r="F30" i="22" s="1"/>
  <c r="I29" i="22"/>
  <c r="L30" i="22"/>
  <c r="Z36" i="22" s="1"/>
  <c r="U31" i="51"/>
  <c r="X49" i="51"/>
  <c r="W26" i="22"/>
  <c r="U54" i="28"/>
  <c r="U55" i="52"/>
  <c r="K29" i="22"/>
  <c r="X49" i="52"/>
  <c r="U31" i="52"/>
  <c r="X49" i="28"/>
  <c r="U31" i="28"/>
  <c r="X25" i="51"/>
  <c r="U7" i="51"/>
  <c r="U54" i="52"/>
  <c r="P12" i="48"/>
  <c r="O12" i="48" s="1"/>
  <c r="J12" i="48" s="1"/>
  <c r="Y10" i="22"/>
  <c r="AA10" i="22" s="1"/>
  <c r="X25" i="52"/>
  <c r="U7" i="52"/>
  <c r="Y11" i="22"/>
  <c r="AA11" i="22" s="1"/>
  <c r="AA27" i="22" l="1"/>
  <c r="AA22" i="22"/>
  <c r="AA18" i="22"/>
  <c r="Y19" i="22"/>
  <c r="AA19" i="22" s="1"/>
  <c r="F44" i="22"/>
  <c r="Z33" i="22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Y29" i="22" l="1"/>
  <c r="AA29" i="22" s="1"/>
  <c r="Z34" i="22"/>
  <c r="I46" i="22"/>
  <c r="T30" i="22"/>
  <c r="P30" i="22"/>
  <c r="J30" i="22"/>
  <c r="G30" i="22"/>
  <c r="M30" i="22" l="1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<sst xmlns="http://schemas.openxmlformats.org/spreadsheetml/2006/main" count="68705" uniqueCount="957">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</sst>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0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0" fillId="36" borderId="0" xfId="0" applyNumberFormat="1" applyFont="1" applyFill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3" fillId="19" borderId="106" xfId="0" applyNumberFormat="1" applyFont="1" applyFill="1" applyBorder="1" applyAlignment="1">
      <alignment horizontal="center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62" t="s">
        <v>683</v>
      </c>
      <c r="B17" s="1062"/>
      <c r="C17" s="1062"/>
      <c r="D17" s="1062"/>
      <c r="E17" s="1062"/>
      <c r="F17" s="1062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63" t="s">
        <v>684</v>
      </c>
      <c r="C20" s="1063"/>
      <c r="D20" s="1063"/>
      <c r="E20" s="1063"/>
      <c r="F20" s="1063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64" t="s">
        <v>1</v>
      </c>
      <c r="C21" s="1064"/>
      <c r="D21" s="1064"/>
      <c r="E21" s="1064"/>
      <c r="F21" s="1064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64" t="s">
        <v>686</v>
      </c>
      <c r="C22" s="1064"/>
      <c r="D22" s="1064"/>
      <c r="E22" s="1064"/>
      <c r="F22" s="1064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65"/>
      <c r="B25" s="1065"/>
      <c r="C25" s="1065"/>
      <c r="D25" s="1065"/>
      <c r="E25" s="1065"/>
      <c r="F25" s="1065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61"/>
      <c r="B26" s="1061"/>
      <c r="C26" s="1061"/>
      <c r="D26" s="1061"/>
      <c r="E26" s="1061"/>
      <c r="F26" s="1061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68" t="str" cm="1">
        <f t="array" ref="C3">INDEX(C5:C7,$A$4)</f>
        <v>IE</v>
      </c>
      <c r="D3" s="968" t="str" cm="1">
        <f t="array" ref="D3">INDEX(D5:D7,$A$4)</f>
        <v>National</v>
      </c>
      <c r="E3" s="968" t="str" cm="1">
        <f t="array" ref="E3">INDEX(E5:E7,$A$4)</f>
        <v>IE-CW</v>
      </c>
      <c r="F3" s="968" t="str" cm="1">
        <f t="array" ref="F3">INDEX(F5:F7,$A$4)</f>
        <v>IE-D</v>
      </c>
      <c r="G3" s="968" t="str" cm="1">
        <f t="array" ref="G3">INDEX(G5:G7,$A$4)</f>
        <v>IE-KE</v>
      </c>
      <c r="H3" s="968" t="str" cm="1">
        <f t="array" ref="H3">INDEX(H5:H7,$A$4)</f>
        <v>IE-KK</v>
      </c>
      <c r="I3" s="968" t="str" cm="1">
        <f t="array" ref="I3">INDEX(I5:I7,$A$4)</f>
        <v>IE-LS</v>
      </c>
      <c r="J3" s="968" t="str" cm="1">
        <f t="array" ref="J3">INDEX(J5:J7,$A$4)</f>
        <v>IE-LD</v>
      </c>
      <c r="K3" s="968" t="str" cm="1">
        <f t="array" ref="K3">INDEX(K5:K7,$A$4)</f>
        <v>IE-LH</v>
      </c>
      <c r="L3" s="968" t="str" cm="1">
        <f t="array" ref="L3">INDEX(L5:L7,$A$4)</f>
        <v>IE-MH</v>
      </c>
      <c r="M3" s="968" t="str" cm="1">
        <f t="array" ref="M3">INDEX(M5:M7,$A$4)</f>
        <v>IE-OY</v>
      </c>
      <c r="N3" s="968" t="str" cm="1">
        <f t="array" ref="N3">INDEX(N5:N7,$A$4)</f>
        <v>IE-WH</v>
      </c>
      <c r="O3" s="968" t="str" cm="1">
        <f t="array" ref="O3">INDEX(O5:O7,$A$4)</f>
        <v>IE-WX</v>
      </c>
      <c r="P3" s="968" t="str" cm="1">
        <f t="array" ref="P3">INDEX(P5:P7,$A$4)</f>
        <v>IE-WW</v>
      </c>
      <c r="Q3" s="968" t="str" cm="1">
        <f t="array" ref="Q3">INDEX(Q5:Q7,$A$4)</f>
        <v>IE-CE</v>
      </c>
      <c r="R3" s="968" t="str" cm="1">
        <f t="array" ref="R3">INDEX(R5:R7,$A$4)</f>
        <v>IE-CO</v>
      </c>
      <c r="S3" s="968" t="str" cm="1">
        <f t="array" ref="S3">INDEX(S5:S7,$A$4)</f>
        <v>IE-KY</v>
      </c>
      <c r="T3" s="968" t="str" cm="1">
        <f t="array" ref="T3">INDEX(T5:T7,$A$4)</f>
        <v>IE-LK</v>
      </c>
      <c r="U3" s="968" t="str" cm="1">
        <f t="array" ref="U3">INDEX(U5:U7,$A$4)</f>
        <v>IE-TA</v>
      </c>
      <c r="V3" s="968" t="str" cm="1">
        <f t="array" ref="V3">INDEX(V5:V7,$A$4)</f>
        <v>IE-WD</v>
      </c>
      <c r="W3" s="968" t="str" cm="1">
        <f t="array" ref="W3">INDEX(W5:W7,$A$4)</f>
        <v>IE-G</v>
      </c>
      <c r="X3" s="968" t="str" cm="1">
        <f t="array" ref="X3">INDEX(X5:X7,$A$4)</f>
        <v>IE-LM</v>
      </c>
      <c r="Y3" s="968" t="str" cm="1">
        <f t="array" ref="Y3">INDEX(Y5:Y7,$A$4)</f>
        <v>IE-MO</v>
      </c>
      <c r="Z3" s="968" t="str" cm="1">
        <f t="array" ref="Z3">INDEX(Z5:Z7,$A$4)</f>
        <v>IE-RN</v>
      </c>
      <c r="AA3" s="968" t="str" cm="1">
        <f t="array" ref="AA3">INDEX(AA5:AA7,$A$4)</f>
        <v>IE-SO</v>
      </c>
      <c r="AB3" s="968" t="str" cm="1">
        <f t="array" ref="AB3">INDEX(AB5:AB7,$A$4)</f>
        <v>IE-CN</v>
      </c>
      <c r="AC3" s="968" t="str" cm="1">
        <f t="array" ref="AC3">INDEX(AC5:AC7,$A$4)</f>
        <v>IE-DL</v>
      </c>
      <c r="AD3" s="968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9" t="s">
        <v>215</v>
      </c>
      <c r="D5" s="969" t="s">
        <v>875</v>
      </c>
      <c r="E5" s="968" t="str">
        <f>A11</f>
        <v>IE-CW</v>
      </c>
      <c r="F5" s="968" t="str">
        <f>A16</f>
        <v>IE-D</v>
      </c>
      <c r="G5" s="968" t="str">
        <f>A19</f>
        <v>IE-KE</v>
      </c>
      <c r="H5" s="968" t="str">
        <f>A20</f>
        <v>IE-KK</v>
      </c>
      <c r="I5" s="968" t="str">
        <f>A21</f>
        <v>IE-LS</v>
      </c>
      <c r="J5" s="968" t="str">
        <f>A24</f>
        <v>IE-LD</v>
      </c>
      <c r="K5" s="968" t="str">
        <f>A25</f>
        <v>IE-LH</v>
      </c>
      <c r="L5" s="968" t="str">
        <f>A27</f>
        <v>IE-MH</v>
      </c>
      <c r="M5" s="968" t="str">
        <f>A29</f>
        <v>IE-OY</v>
      </c>
      <c r="N5" s="968" t="str">
        <f>A34</f>
        <v>IE-WH</v>
      </c>
      <c r="O5" s="968" t="str">
        <f>A35</f>
        <v>IE-WX</v>
      </c>
      <c r="P5" s="968" t="str">
        <f>A36</f>
        <v>IE-WW</v>
      </c>
      <c r="Q5" s="968" t="str">
        <f>A13</f>
        <v>IE-CE</v>
      </c>
      <c r="R5" s="968" t="str">
        <f>A14</f>
        <v>IE-CO</v>
      </c>
      <c r="S5" s="968" t="str">
        <f>A18</f>
        <v>IE-KY</v>
      </c>
      <c r="T5" s="968" t="str">
        <f>A23</f>
        <v>IE-LK</v>
      </c>
      <c r="U5" s="968" t="str">
        <f>A32</f>
        <v>IE-TA</v>
      </c>
      <c r="V5" s="968" t="str">
        <f>A33</f>
        <v>IE-WD</v>
      </c>
      <c r="W5" s="968" t="str">
        <f>A17</f>
        <v>IE-G</v>
      </c>
      <c r="X5" s="968" t="str">
        <f>A22</f>
        <v>IE-LM</v>
      </c>
      <c r="Y5" s="968" t="str">
        <f>A26</f>
        <v>IE-MO</v>
      </c>
      <c r="Z5" s="968" t="str">
        <f>A30</f>
        <v>IE-RN</v>
      </c>
      <c r="AA5" s="968" t="str">
        <f>A31</f>
        <v>IE-SO</v>
      </c>
      <c r="AB5" s="968" t="str">
        <f>A12</f>
        <v>IE-CN</v>
      </c>
      <c r="AC5" s="968" t="str">
        <f>A15</f>
        <v>IE-DL</v>
      </c>
      <c r="AD5" s="968" t="str">
        <f>A28</f>
        <v>IE-MN</v>
      </c>
    </row>
    <row r="6" spans="1:30" ht="15">
      <c r="A6" s="650" t="s">
        <v>876</v>
      </c>
      <c r="C6" s="968" t="str">
        <f>C5</f>
        <v>IE</v>
      </c>
      <c r="D6" s="968" t="str">
        <f>"*"&amp;D5</f>
        <v>*National</v>
      </c>
      <c r="E6" s="968" t="str">
        <f>"*"&amp;E5</f>
        <v>*IE-CW</v>
      </c>
      <c r="F6" s="968" t="str">
        <f t="shared" ref="F6:AD6" si="0">"*"&amp;F5</f>
        <v>*IE-D</v>
      </c>
      <c r="G6" s="968" t="str">
        <f t="shared" si="0"/>
        <v>*IE-KE</v>
      </c>
      <c r="H6" s="968" t="str">
        <f t="shared" si="0"/>
        <v>*IE-KK</v>
      </c>
      <c r="I6" s="968" t="str">
        <f t="shared" si="0"/>
        <v>*IE-LS</v>
      </c>
      <c r="J6" s="968" t="str">
        <f t="shared" si="0"/>
        <v>*IE-LD</v>
      </c>
      <c r="K6" s="968" t="str">
        <f t="shared" si="0"/>
        <v>*IE-LH</v>
      </c>
      <c r="L6" s="968" t="str">
        <f t="shared" si="0"/>
        <v>*IE-MH</v>
      </c>
      <c r="M6" s="968" t="str">
        <f t="shared" si="0"/>
        <v>*IE-OY</v>
      </c>
      <c r="N6" s="968" t="str">
        <f t="shared" si="0"/>
        <v>*IE-WH</v>
      </c>
      <c r="O6" s="968" t="str">
        <f t="shared" si="0"/>
        <v>*IE-WX</v>
      </c>
      <c r="P6" s="968" t="str">
        <f t="shared" si="0"/>
        <v>*IE-WW</v>
      </c>
      <c r="Q6" s="968" t="str">
        <f t="shared" si="0"/>
        <v>*IE-CE</v>
      </c>
      <c r="R6" s="968" t="str">
        <f t="shared" si="0"/>
        <v>*IE-CO</v>
      </c>
      <c r="S6" s="968" t="str">
        <f t="shared" si="0"/>
        <v>*IE-KY</v>
      </c>
      <c r="T6" s="968" t="str">
        <f t="shared" si="0"/>
        <v>*IE-LK</v>
      </c>
      <c r="U6" s="968" t="str">
        <f t="shared" si="0"/>
        <v>*IE-TA</v>
      </c>
      <c r="V6" s="968" t="str">
        <f t="shared" si="0"/>
        <v>*IE-WD</v>
      </c>
      <c r="W6" s="968" t="str">
        <f t="shared" si="0"/>
        <v>*IE-G</v>
      </c>
      <c r="X6" s="968" t="str">
        <f t="shared" si="0"/>
        <v>*IE-LM</v>
      </c>
      <c r="Y6" s="968" t="str">
        <f t="shared" si="0"/>
        <v>*IE-MO</v>
      </c>
      <c r="Z6" s="968" t="str">
        <f t="shared" si="0"/>
        <v>*IE-RN</v>
      </c>
      <c r="AA6" s="968" t="str">
        <f t="shared" si="0"/>
        <v>*IE-SO</v>
      </c>
      <c r="AB6" s="968" t="str">
        <f t="shared" si="0"/>
        <v>*IE-CN</v>
      </c>
      <c r="AC6" s="968" t="str">
        <f t="shared" si="0"/>
        <v>*IE-DL</v>
      </c>
      <c r="AD6" s="968" t="str">
        <f t="shared" si="0"/>
        <v>*IE-MN</v>
      </c>
    </row>
    <row r="7" spans="1:30" ht="15">
      <c r="A7" s="650" t="s">
        <v>877</v>
      </c>
      <c r="C7" s="968" t="str">
        <f>"*"&amp;C5</f>
        <v>*IE</v>
      </c>
      <c r="D7" s="968" t="str">
        <f>D5</f>
        <v>National</v>
      </c>
      <c r="E7" s="968" t="str">
        <f t="shared" ref="E7:AD7" si="1">E5</f>
        <v>IE-CW</v>
      </c>
      <c r="F7" s="968" t="str">
        <f t="shared" si="1"/>
        <v>IE-D</v>
      </c>
      <c r="G7" s="968" t="str">
        <f t="shared" si="1"/>
        <v>IE-KE</v>
      </c>
      <c r="H7" s="968" t="str">
        <f t="shared" si="1"/>
        <v>IE-KK</v>
      </c>
      <c r="I7" s="968" t="str">
        <f t="shared" si="1"/>
        <v>IE-LS</v>
      </c>
      <c r="J7" s="968" t="str">
        <f t="shared" si="1"/>
        <v>IE-LD</v>
      </c>
      <c r="K7" s="968" t="str">
        <f t="shared" si="1"/>
        <v>IE-LH</v>
      </c>
      <c r="L7" s="968" t="str">
        <f t="shared" si="1"/>
        <v>IE-MH</v>
      </c>
      <c r="M7" s="968" t="str">
        <f t="shared" si="1"/>
        <v>IE-OY</v>
      </c>
      <c r="N7" s="968" t="str">
        <f t="shared" si="1"/>
        <v>IE-WH</v>
      </c>
      <c r="O7" s="968" t="str">
        <f t="shared" si="1"/>
        <v>IE-WX</v>
      </c>
      <c r="P7" s="968" t="str">
        <f t="shared" si="1"/>
        <v>IE-WW</v>
      </c>
      <c r="Q7" s="968" t="str">
        <f t="shared" si="1"/>
        <v>IE-CE</v>
      </c>
      <c r="R7" s="968" t="str">
        <f t="shared" si="1"/>
        <v>IE-CO</v>
      </c>
      <c r="S7" s="968" t="str">
        <f t="shared" si="1"/>
        <v>IE-KY</v>
      </c>
      <c r="T7" s="968" t="str">
        <f t="shared" si="1"/>
        <v>IE-LK</v>
      </c>
      <c r="U7" s="968" t="str">
        <f t="shared" si="1"/>
        <v>IE-TA</v>
      </c>
      <c r="V7" s="968" t="str">
        <f t="shared" si="1"/>
        <v>IE-WD</v>
      </c>
      <c r="W7" s="968" t="str">
        <f t="shared" si="1"/>
        <v>IE-G</v>
      </c>
      <c r="X7" s="968" t="str">
        <f t="shared" si="1"/>
        <v>IE-LM</v>
      </c>
      <c r="Y7" s="968" t="str">
        <f t="shared" si="1"/>
        <v>IE-MO</v>
      </c>
      <c r="Z7" s="968" t="str">
        <f t="shared" si="1"/>
        <v>IE-RN</v>
      </c>
      <c r="AA7" s="968" t="str">
        <f t="shared" si="1"/>
        <v>IE-SO</v>
      </c>
      <c r="AB7" s="968" t="str">
        <f t="shared" si="1"/>
        <v>IE-CN</v>
      </c>
      <c r="AC7" s="968" t="str">
        <f t="shared" si="1"/>
        <v>IE-DL</v>
      </c>
      <c r="AD7" s="968" t="str">
        <f t="shared" si="1"/>
        <v>IE-MN</v>
      </c>
    </row>
    <row r="10" spans="1:30" ht="15.75" thickBot="1">
      <c r="A10" s="970" t="s">
        <v>842</v>
      </c>
      <c r="B10" s="970" t="s">
        <v>878</v>
      </c>
    </row>
    <row r="11" spans="1:30">
      <c r="A11" s="971" t="s">
        <v>879</v>
      </c>
      <c r="B11" s="971" t="s">
        <v>326</v>
      </c>
    </row>
    <row r="12" spans="1:30">
      <c r="A12" s="972" t="s">
        <v>880</v>
      </c>
      <c r="B12" s="972" t="s">
        <v>342</v>
      </c>
    </row>
    <row r="13" spans="1:30">
      <c r="A13" s="972" t="s">
        <v>881</v>
      </c>
      <c r="B13" s="972" t="s">
        <v>360</v>
      </c>
    </row>
    <row r="14" spans="1:30">
      <c r="A14" s="972" t="s">
        <v>882</v>
      </c>
      <c r="B14" s="972" t="s">
        <v>364</v>
      </c>
    </row>
    <row r="15" spans="1:30">
      <c r="A15" s="972" t="s">
        <v>883</v>
      </c>
      <c r="B15" s="972" t="s">
        <v>368</v>
      </c>
    </row>
    <row r="16" spans="1:30">
      <c r="A16" s="972" t="s">
        <v>884</v>
      </c>
      <c r="B16" s="972" t="s">
        <v>372</v>
      </c>
    </row>
    <row r="17" spans="1:2">
      <c r="A17" s="972" t="s">
        <v>885</v>
      </c>
      <c r="B17" s="972" t="s">
        <v>374</v>
      </c>
    </row>
    <row r="18" spans="1:2">
      <c r="A18" s="972" t="s">
        <v>886</v>
      </c>
      <c r="B18" s="972" t="s">
        <v>375</v>
      </c>
    </row>
    <row r="19" spans="1:2">
      <c r="A19" s="972" t="s">
        <v>887</v>
      </c>
      <c r="B19" s="972" t="s">
        <v>361</v>
      </c>
    </row>
    <row r="20" spans="1:2">
      <c r="A20" s="972" t="s">
        <v>888</v>
      </c>
      <c r="B20" s="972" t="s">
        <v>362</v>
      </c>
    </row>
    <row r="21" spans="1:2">
      <c r="A21" s="972" t="s">
        <v>889</v>
      </c>
      <c r="B21" s="972" t="s">
        <v>363</v>
      </c>
    </row>
    <row r="22" spans="1:2">
      <c r="A22" s="972" t="s">
        <v>890</v>
      </c>
      <c r="B22" s="972" t="s">
        <v>379</v>
      </c>
    </row>
    <row r="23" spans="1:2">
      <c r="A23" s="972" t="s">
        <v>891</v>
      </c>
      <c r="B23" s="972" t="s">
        <v>376</v>
      </c>
    </row>
    <row r="24" spans="1:2">
      <c r="A24" s="972" t="s">
        <v>892</v>
      </c>
      <c r="B24" s="972" t="s">
        <v>365</v>
      </c>
    </row>
    <row r="25" spans="1:2">
      <c r="A25" s="972" t="s">
        <v>893</v>
      </c>
      <c r="B25" s="972" t="s">
        <v>366</v>
      </c>
    </row>
    <row r="26" spans="1:2">
      <c r="A26" s="972" t="s">
        <v>894</v>
      </c>
      <c r="B26" s="972" t="s">
        <v>380</v>
      </c>
    </row>
    <row r="27" spans="1:2">
      <c r="A27" s="972" t="s">
        <v>895</v>
      </c>
      <c r="B27" s="972" t="s">
        <v>367</v>
      </c>
    </row>
    <row r="28" spans="1:2">
      <c r="A28" s="972" t="s">
        <v>896</v>
      </c>
      <c r="B28" s="972" t="s">
        <v>383</v>
      </c>
    </row>
    <row r="29" spans="1:2">
      <c r="A29" s="972" t="s">
        <v>897</v>
      </c>
      <c r="B29" s="972" t="s">
        <v>369</v>
      </c>
    </row>
    <row r="30" spans="1:2">
      <c r="A30" s="972" t="s">
        <v>898</v>
      </c>
      <c r="B30" s="972" t="s">
        <v>381</v>
      </c>
    </row>
    <row r="31" spans="1:2">
      <c r="A31" s="972" t="s">
        <v>899</v>
      </c>
      <c r="B31" s="972" t="s">
        <v>382</v>
      </c>
    </row>
    <row r="32" spans="1:2">
      <c r="A32" s="972" t="s">
        <v>900</v>
      </c>
      <c r="B32" s="972" t="s">
        <v>377</v>
      </c>
    </row>
    <row r="33" spans="1:2">
      <c r="A33" s="972" t="s">
        <v>901</v>
      </c>
      <c r="B33" s="972" t="s">
        <v>378</v>
      </c>
    </row>
    <row r="34" spans="1:2">
      <c r="A34" s="972" t="s">
        <v>902</v>
      </c>
      <c r="B34" s="972" t="s">
        <v>370</v>
      </c>
    </row>
    <row r="35" spans="1:2">
      <c r="A35" s="972" t="s">
        <v>903</v>
      </c>
      <c r="B35" s="972" t="s">
        <v>371</v>
      </c>
    </row>
    <row r="36" spans="1:2">
      <c r="A36" s="972" t="s">
        <v>904</v>
      </c>
      <c r="B36" s="972" t="s">
        <v>373</v>
      </c>
    </row>
    <row r="37" spans="1:2" ht="15">
      <c r="A37" s="973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</sheetViews>
  <sheetFormatPr defaultRowHeight="12.75"/>
  <sheetData>
    <row r="24" spans="30:30" ht="23.25">
      <c r="AD24" s="104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66" t="s">
        <v>32</v>
      </c>
      <c r="B1" s="1067"/>
      <c r="C1" s="1067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68" t="s">
        <v>34</v>
      </c>
      <c r="B7" s="1069"/>
      <c r="C7" s="1070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68" t="s">
        <v>35</v>
      </c>
      <c r="B28" s="1069"/>
      <c r="C28" s="1070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68" t="s">
        <v>48</v>
      </c>
      <c r="B35" s="1069"/>
      <c r="C35" s="1070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68" t="s">
        <v>56</v>
      </c>
      <c r="B39" s="1069"/>
      <c r="C39" s="1070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68" t="s">
        <v>75</v>
      </c>
      <c r="B49" s="1069"/>
      <c r="C49" s="1070"/>
    </row>
    <row r="50" spans="1:3">
      <c r="A50" s="675"/>
      <c r="B50" s="654" t="s">
        <v>942</v>
      </c>
      <c r="C50" s="653" t="s">
        <v>241</v>
      </c>
    </row>
    <row r="51" spans="1:3">
      <c r="A51" s="1000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1000" t="s">
        <v>279</v>
      </c>
      <c r="B61" s="654" t="s">
        <v>952</v>
      </c>
      <c r="C61" s="653" t="s">
        <v>955</v>
      </c>
    </row>
    <row r="62" spans="1:3">
      <c r="A62" s="1068" t="s">
        <v>77</v>
      </c>
      <c r="B62" s="1069"/>
      <c r="C62" s="1070"/>
    </row>
    <row r="63" spans="1:3">
      <c r="A63" s="1068" t="s">
        <v>78</v>
      </c>
      <c r="B63" s="1069"/>
      <c r="C63" s="1070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68" t="s">
        <v>85</v>
      </c>
      <c r="B70" s="1069"/>
      <c r="C70" s="1070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68" t="s">
        <v>558</v>
      </c>
      <c r="B76" s="1069"/>
      <c r="C76" s="1070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68" t="s">
        <v>939</v>
      </c>
      <c r="B84" s="1069"/>
      <c r="C84" s="1070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71" t="s">
        <v>861</v>
      </c>
      <c r="G1" s="1072"/>
      <c r="H1" s="1041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82" t="s">
        <v>844</v>
      </c>
      <c r="G2" s="1083"/>
      <c r="H2" s="1042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84" t="s">
        <v>565</v>
      </c>
      <c r="G3" s="1085"/>
      <c r="H3" s="999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86" t="s">
        <v>230</v>
      </c>
      <c r="G4" s="1087"/>
      <c r="H4" s="1043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8" t="s">
        <v>574</v>
      </c>
      <c r="G5" s="1089"/>
      <c r="H5" s="1040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62"/>
      <c r="F7" s="957" t="s">
        <v>241</v>
      </c>
      <c r="G7" s="958"/>
      <c r="H7" s="959"/>
      <c r="I7" s="1077" t="s">
        <v>242</v>
      </c>
      <c r="J7" s="1075"/>
      <c r="K7" s="1076"/>
      <c r="L7" s="1077" t="s">
        <v>243</v>
      </c>
      <c r="M7" s="1075"/>
      <c r="N7" s="1076"/>
      <c r="O7" s="1077" t="s">
        <v>244</v>
      </c>
      <c r="P7" s="1075"/>
      <c r="Q7" s="1075"/>
      <c r="R7" s="1073" t="s">
        <v>245</v>
      </c>
      <c r="S7" s="1075" t="s">
        <v>860</v>
      </c>
      <c r="T7" s="1075"/>
      <c r="U7" s="1075"/>
      <c r="V7" s="1075"/>
      <c r="W7" s="1075"/>
      <c r="X7" s="1076"/>
      <c r="Y7" s="1080" t="s">
        <v>936</v>
      </c>
      <c r="Z7" s="1080" t="s">
        <v>576</v>
      </c>
      <c r="AA7" s="1078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1002"/>
      <c r="F8" s="1017" t="s">
        <v>51</v>
      </c>
      <c r="G8" s="1018" t="s">
        <v>53</v>
      </c>
      <c r="H8" s="1019" t="s">
        <v>55</v>
      </c>
      <c r="I8" s="924" t="s">
        <v>51</v>
      </c>
      <c r="J8" s="956" t="s">
        <v>53</v>
      </c>
      <c r="K8" s="892" t="s">
        <v>55</v>
      </c>
      <c r="L8" s="1016" t="s">
        <v>51</v>
      </c>
      <c r="M8" s="956" t="s">
        <v>53</v>
      </c>
      <c r="N8" s="892" t="s">
        <v>55</v>
      </c>
      <c r="O8" s="924" t="s">
        <v>51</v>
      </c>
      <c r="P8" s="956" t="s">
        <v>53</v>
      </c>
      <c r="Q8" s="892" t="s">
        <v>55</v>
      </c>
      <c r="R8" s="1074"/>
      <c r="S8" s="1012" t="s">
        <v>246</v>
      </c>
      <c r="T8" s="1012" t="s">
        <v>247</v>
      </c>
      <c r="U8" s="1012" t="s">
        <v>248</v>
      </c>
      <c r="V8" s="1012" t="s">
        <v>249</v>
      </c>
      <c r="W8" s="1012" t="s">
        <v>252</v>
      </c>
      <c r="X8" s="1013" t="s">
        <v>250</v>
      </c>
      <c r="Y8" s="1081"/>
      <c r="Z8" s="1081"/>
      <c r="AA8" s="1079" t="s">
        <v>869</v>
      </c>
      <c r="AB8" s="96"/>
      <c r="AC8" s="96"/>
    </row>
    <row r="9" spans="1:31" s="129" customFormat="1" ht="12" customHeight="1">
      <c r="A9" s="925" t="s">
        <v>844</v>
      </c>
      <c r="B9" s="926" t="s">
        <v>658</v>
      </c>
      <c r="C9" s="926">
        <f>(EnergyBalance!D56+EnergyBalance!E56+EnergyBalance!F56+EnergyBalance!G56)*RSD_Balance!B4</f>
        <v>6.4972992069116762</v>
      </c>
      <c r="D9" s="105"/>
      <c r="E9" s="1002" t="s">
        <v>844</v>
      </c>
      <c r="F9" s="1020">
        <f>'SHWLP-Apt'!$Y$7</f>
        <v>6.8652581360082024E-2</v>
      </c>
      <c r="G9" s="1014">
        <f>'SHWLP-Att'!$Y$7</f>
        <v>2.2466874805116088</v>
      </c>
      <c r="H9" s="1021">
        <f>'SHWLP-Det'!$Y$7</f>
        <v>1.8885964299004714</v>
      </c>
      <c r="I9" s="1020">
        <f>'SHWLP-Apt'!$Y$31</f>
        <v>5.3711256359347554E-3</v>
      </c>
      <c r="J9" s="1014">
        <f>'SHWLP-Att'!$Y$31</f>
        <v>0.19811378652592496</v>
      </c>
      <c r="K9" s="1021">
        <f>'SHWLP-Det'!$Y$31</f>
        <v>7.6259796840031591E-2</v>
      </c>
      <c r="L9" s="1027"/>
      <c r="M9" s="1028"/>
      <c r="N9" s="1029"/>
      <c r="O9" s="1027"/>
      <c r="P9" s="1028"/>
      <c r="Q9" s="1029"/>
      <c r="R9" s="1030"/>
      <c r="S9" s="1027"/>
      <c r="T9" s="1028"/>
      <c r="U9" s="1028"/>
      <c r="V9" s="1028"/>
      <c r="W9" s="1028"/>
      <c r="X9" s="1029"/>
      <c r="Y9" s="1007">
        <f>SUM(F9:X9)+Y28*H2</f>
        <v>6.497181591833618</v>
      </c>
      <c r="Z9" s="960">
        <f>C9</f>
        <v>6.4972992069116762</v>
      </c>
      <c r="AA9" s="804">
        <f>ABS(Z9-Y9)/Z9</f>
        <v>1.8102148956457199E-5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1003" t="s">
        <v>565</v>
      </c>
      <c r="F10" s="1022">
        <f>'SHWLP-Apt'!$Y$17</f>
        <v>3.0631285017776832E-3</v>
      </c>
      <c r="G10" s="1015">
        <f>'SHWLP-Att'!$Y$17</f>
        <v>9.2782297566660565E-2</v>
      </c>
      <c r="H10" s="1023">
        <f>'SHWLP-Det'!$Y$17</f>
        <v>0.3383963631128743</v>
      </c>
      <c r="I10" s="1022">
        <f>'SHWLP-Apt'!$Y$41</f>
        <v>3.2726688885008717E-4</v>
      </c>
      <c r="J10" s="1015">
        <f>'SHWLP-Att'!$Y$41</f>
        <v>2.3464516388518254E-2</v>
      </c>
      <c r="K10" s="1023">
        <f>'SHWLP-Det'!$Y$41</f>
        <v>4.8723771700020832E-2</v>
      </c>
      <c r="L10" s="1022"/>
      <c r="M10" s="1015"/>
      <c r="N10" s="1023"/>
      <c r="O10" s="1022"/>
      <c r="P10" s="1015"/>
      <c r="Q10" s="1023"/>
      <c r="R10" s="998"/>
      <c r="S10" s="1032"/>
      <c r="T10" s="1015"/>
      <c r="U10" s="1015"/>
      <c r="V10" s="1015"/>
      <c r="W10" s="1015"/>
      <c r="X10" s="1023"/>
      <c r="Y10" s="1008">
        <f>SUM(F10:X10)+Y28*H3</f>
        <v>8.2286351325520837</v>
      </c>
      <c r="Z10" s="961">
        <f t="shared" ref="Z10:Z27" si="0">C10</f>
        <v>8.22868674342444</v>
      </c>
      <c r="AA10" s="804">
        <f>ABS(Z10-Y10)/Z10</f>
        <v>6.2720667301523404E-6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1002" t="s">
        <v>222</v>
      </c>
      <c r="F11" s="1020">
        <f>'SHWLP-Apt'!$Y$10</f>
        <v>6.0273361017557661E-2</v>
      </c>
      <c r="G11" s="1014">
        <f>'SHWLP-Att'!$Y$10</f>
        <v>0.24378079060317998</v>
      </c>
      <c r="H11" s="1021">
        <f>'SHWLP-Det'!$Y$10</f>
        <v>1.0491243908187073</v>
      </c>
      <c r="I11" s="1020">
        <f>'SHWLP-Apt'!$Y$34</f>
        <v>3.245240066488015E-2</v>
      </c>
      <c r="J11" s="1014">
        <f>'SHWLP-Att'!$Y$34</f>
        <v>0.12593169944378091</v>
      </c>
      <c r="K11" s="1021">
        <f>'SHWLP-Det'!$Y$34</f>
        <v>0.27530564059773821</v>
      </c>
      <c r="L11" s="1020"/>
      <c r="M11" s="1014"/>
      <c r="N11" s="1021"/>
      <c r="O11" s="1020"/>
      <c r="P11" s="1014"/>
      <c r="Q11" s="1021"/>
      <c r="R11" s="1031">
        <f>'[1]1d_Cooking'!L11*0.041868</f>
        <v>3.9492406345735545E-2</v>
      </c>
      <c r="S11" s="1020"/>
      <c r="T11" s="1014"/>
      <c r="U11" s="1014"/>
      <c r="V11" s="1014"/>
      <c r="W11" s="1014"/>
      <c r="X11" s="1021"/>
      <c r="Y11" s="1007">
        <f t="shared" ref="Y11:Y27" si="1">SUM(F11:X11)</f>
        <v>1.8263606894915798</v>
      </c>
      <c r="Z11" s="960">
        <f t="shared" si="0"/>
        <v>1.8263239604601826</v>
      </c>
      <c r="AA11" s="804">
        <f>ABS(Z11-Y11)/Z11</f>
        <v>2.0110907041881588E-5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1004" t="s">
        <v>223</v>
      </c>
      <c r="F12" s="1022"/>
      <c r="G12" s="1015"/>
      <c r="H12" s="1023"/>
      <c r="I12" s="1022"/>
      <c r="J12" s="1015"/>
      <c r="K12" s="1023"/>
      <c r="L12" s="1022"/>
      <c r="M12" s="1015"/>
      <c r="N12" s="1023"/>
      <c r="O12" s="1022"/>
      <c r="P12" s="1015"/>
      <c r="Q12" s="1023"/>
      <c r="R12" s="998"/>
      <c r="S12" s="1032"/>
      <c r="T12" s="1015"/>
      <c r="U12" s="1015"/>
      <c r="V12" s="1015"/>
      <c r="W12" s="1015"/>
      <c r="X12" s="1023"/>
      <c r="Y12" s="1008">
        <f t="shared" si="1"/>
        <v>0</v>
      </c>
      <c r="Z12" s="961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1002" t="s">
        <v>224</v>
      </c>
      <c r="F13" s="1020">
        <f>'SHWLP-Apt'!$Y$13</f>
        <v>0.22904314927329883</v>
      </c>
      <c r="G13" s="1014">
        <f>'SHWLP-Att'!$Y$13</f>
        <v>6.6978412716502147</v>
      </c>
      <c r="H13" s="1021">
        <f>'SHWLP-Det'!$Y$13</f>
        <v>25.388899193879137</v>
      </c>
      <c r="I13" s="1020">
        <f>'SHWLP-Apt'!$Y$37</f>
        <v>6.3331158510582894E-2</v>
      </c>
      <c r="J13" s="1014">
        <f>'SHWLP-Att'!$Y$37</f>
        <v>2.6273560602180663</v>
      </c>
      <c r="K13" s="1021">
        <f>'SHWLP-Det'!$Y$37</f>
        <v>7.5091671142340513</v>
      </c>
      <c r="L13" s="1020"/>
      <c r="M13" s="1014"/>
      <c r="N13" s="1021"/>
      <c r="O13" s="1020"/>
      <c r="P13" s="1014"/>
      <c r="Q13" s="1021"/>
      <c r="R13" s="1031"/>
      <c r="S13" s="1020"/>
      <c r="T13" s="1014"/>
      <c r="U13" s="1014"/>
      <c r="V13" s="1014"/>
      <c r="W13" s="1014"/>
      <c r="X13" s="1021"/>
      <c r="Y13" s="1009">
        <f t="shared" si="1"/>
        <v>42.515637947765356</v>
      </c>
      <c r="Z13" s="995">
        <f t="shared" si="0"/>
        <v>35.670303433474402</v>
      </c>
      <c r="AA13" s="804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1004" t="s">
        <v>225</v>
      </c>
      <c r="F14" s="1022"/>
      <c r="G14" s="1015"/>
      <c r="H14" s="1023"/>
      <c r="I14" s="1022"/>
      <c r="J14" s="1015"/>
      <c r="K14" s="1023"/>
      <c r="L14" s="1022"/>
      <c r="M14" s="1015"/>
      <c r="N14" s="1023"/>
      <c r="O14" s="1022"/>
      <c r="P14" s="1015"/>
      <c r="Q14" s="1023"/>
      <c r="R14" s="998"/>
      <c r="S14" s="1032"/>
      <c r="T14" s="1015"/>
      <c r="U14" s="1015"/>
      <c r="V14" s="1015"/>
      <c r="W14" s="1015"/>
      <c r="X14" s="1023"/>
      <c r="Y14" s="1010">
        <f t="shared" si="1"/>
        <v>0</v>
      </c>
      <c r="Z14" s="996">
        <f t="shared" si="0"/>
        <v>6.6971734118003301</v>
      </c>
      <c r="AA14" s="804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1005" t="s">
        <v>226</v>
      </c>
      <c r="F15" s="1020"/>
      <c r="G15" s="1014"/>
      <c r="H15" s="1021"/>
      <c r="I15" s="1020"/>
      <c r="J15" s="1014"/>
      <c r="K15" s="1021"/>
      <c r="L15" s="1020"/>
      <c r="M15" s="1014"/>
      <c r="N15" s="1021"/>
      <c r="O15" s="1020"/>
      <c r="P15" s="1014"/>
      <c r="Q15" s="1021"/>
      <c r="R15" s="1031"/>
      <c r="S15" s="1020"/>
      <c r="T15" s="1014"/>
      <c r="U15" s="1014"/>
      <c r="V15" s="1014"/>
      <c r="W15" s="1014"/>
      <c r="X15" s="1021"/>
      <c r="Y15" s="1009">
        <f t="shared" si="1"/>
        <v>0</v>
      </c>
      <c r="Z15" s="996">
        <f t="shared" si="0"/>
        <v>0</v>
      </c>
      <c r="AA15" s="804">
        <f>ABS(Z13+Z14+Z16-Y13)/(Z13+Z14+Z16)</f>
        <v>2.8047347200527915E-5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1004" t="s">
        <v>227</v>
      </c>
      <c r="F16" s="1022"/>
      <c r="G16" s="1015"/>
      <c r="H16" s="1023"/>
      <c r="I16" s="1022"/>
      <c r="J16" s="1015"/>
      <c r="K16" s="1023"/>
      <c r="L16" s="1022"/>
      <c r="M16" s="1015"/>
      <c r="N16" s="1023"/>
      <c r="O16" s="1022"/>
      <c r="P16" s="1015"/>
      <c r="Q16" s="1023"/>
      <c r="R16" s="998"/>
      <c r="S16" s="1032"/>
      <c r="T16" s="1015"/>
      <c r="U16" s="1015"/>
      <c r="V16" s="1015"/>
      <c r="W16" s="1015"/>
      <c r="X16" s="1023"/>
      <c r="Y16" s="1010">
        <f t="shared" si="1"/>
        <v>0</v>
      </c>
      <c r="Z16" s="996">
        <f t="shared" si="0"/>
        <v>0.14696868507580046</v>
      </c>
      <c r="AA16" s="804">
        <f>ABS(Z13+Z14+Z16-Y13)/(Z13+Z14+Z16)</f>
        <v>2.8047347200527915E-5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1002" t="s">
        <v>228</v>
      </c>
      <c r="F17" s="1020">
        <f>'SHWLP-Apt'!$Y$15</f>
        <v>1.2330602547738085</v>
      </c>
      <c r="G17" s="1014">
        <f>'SHWLP-Att'!$Y$15</f>
        <v>11.252890681411458</v>
      </c>
      <c r="H17" s="1021">
        <f>'SHWLP-Det'!$Y$15</f>
        <v>5.0887959066492119</v>
      </c>
      <c r="I17" s="1020">
        <f>'SHWLP-Apt'!$Y$39</f>
        <v>0.73179615107928886</v>
      </c>
      <c r="J17" s="1014">
        <f>'SHWLP-Att'!$Y$39</f>
        <v>4.6773542503075554</v>
      </c>
      <c r="K17" s="1021">
        <f>'SHWLP-Det'!$Y$39</f>
        <v>1.6378193809915973</v>
      </c>
      <c r="L17" s="1020"/>
      <c r="M17" s="1014"/>
      <c r="N17" s="1021"/>
      <c r="O17" s="1020"/>
      <c r="P17" s="1014"/>
      <c r="Q17" s="1021"/>
      <c r="R17" s="1031">
        <f>'[1]1d_Cooking'!L8/1000</f>
        <v>0.66992893469234771</v>
      </c>
      <c r="S17" s="1020"/>
      <c r="T17" s="1014"/>
      <c r="U17" s="1014"/>
      <c r="V17" s="1014"/>
      <c r="W17" s="1014"/>
      <c r="X17" s="1021"/>
      <c r="Y17" s="1007">
        <f t="shared" si="1"/>
        <v>25.29164555990527</v>
      </c>
      <c r="Z17" s="960">
        <f t="shared" si="0"/>
        <v>25.292197479166735</v>
      </c>
      <c r="AA17" s="804">
        <f>ABS(Z17-Y17)/Z17</f>
        <v>2.1821720391023151E-5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1006" t="s">
        <v>229</v>
      </c>
      <c r="F18" s="1022"/>
      <c r="G18" s="1015"/>
      <c r="H18" s="1023"/>
      <c r="I18" s="1049">
        <f>$C$18*DwellingStocks!$I$38/DwellingStocks!$L$38-I27</f>
        <v>5.7851133682812958E-2</v>
      </c>
      <c r="J18" s="1050">
        <f>$C$18*DwellingStocks!$J$38/DwellingStocks!$L$38-J27</f>
        <v>0.25049954464904978</v>
      </c>
      <c r="K18" s="1051">
        <f>$C$18*DwellingStocks!$K$38/DwellingStocks!$L$38-K27</f>
        <v>0.23802750628887395</v>
      </c>
      <c r="L18" s="1022"/>
      <c r="M18" s="1015"/>
      <c r="N18" s="1023"/>
      <c r="O18" s="1022"/>
      <c r="P18" s="1015"/>
      <c r="Q18" s="1023"/>
      <c r="R18" s="998"/>
      <c r="S18" s="1032"/>
      <c r="T18" s="1015"/>
      <c r="U18" s="1015"/>
      <c r="V18" s="1015"/>
      <c r="W18" s="1015"/>
      <c r="X18" s="1023"/>
      <c r="Y18" s="1034">
        <f t="shared" si="1"/>
        <v>0.54637818462073673</v>
      </c>
      <c r="Z18" s="1035">
        <f t="shared" si="0"/>
        <v>0.56017671356000831</v>
      </c>
      <c r="AA18" s="804">
        <f>ABS(Z18+Z22+Z27-Y18-Y22-Y27)/(Z18+Z22+Z27)</f>
        <v>0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1002" t="s">
        <v>230</v>
      </c>
      <c r="F19" s="1020">
        <f>'SHWLP-Apt'!$Y$20</f>
        <v>5.3199073498066893E-3</v>
      </c>
      <c r="G19" s="1014">
        <f>'SHWLP-Att'!$Y$20</f>
        <v>7.1372904846234514E-2</v>
      </c>
      <c r="H19" s="1021">
        <f>'SHWLP-Det'!$Y$20</f>
        <v>0.37048252015072658</v>
      </c>
      <c r="I19" s="1020">
        <f>'SHWLP-Apt'!$Y$44</f>
        <v>3.0388039266178836E-3</v>
      </c>
      <c r="J19" s="1014">
        <f>'SHWLP-Att'!$Y$44</f>
        <v>1.1348073323802057E-2</v>
      </c>
      <c r="K19" s="1021">
        <f>'SHWLP-Det'!$Y$44</f>
        <v>6.1280797383180478E-2</v>
      </c>
      <c r="L19" s="1020"/>
      <c r="M19" s="1014"/>
      <c r="N19" s="1021"/>
      <c r="O19" s="1020"/>
      <c r="P19" s="1014"/>
      <c r="Q19" s="1021"/>
      <c r="R19" s="1031"/>
      <c r="S19" s="1020"/>
      <c r="T19" s="1014"/>
      <c r="U19" s="1014"/>
      <c r="V19" s="1014"/>
      <c r="W19" s="1014"/>
      <c r="X19" s="1021"/>
      <c r="Y19" s="1007">
        <f>SUM(F19:X19)+Y28*H4</f>
        <v>1.1663328226798166</v>
      </c>
      <c r="Z19" s="960">
        <f t="shared" si="0"/>
        <v>1.1663445324142983</v>
      </c>
      <c r="AA19" s="804">
        <f>ABS(Z19-Y19)/Z19</f>
        <v>1.0039687378972193E-5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1004" t="s">
        <v>231</v>
      </c>
      <c r="F20" s="1022"/>
      <c r="G20" s="1015"/>
      <c r="H20" s="1023"/>
      <c r="I20" s="1022"/>
      <c r="J20" s="1015"/>
      <c r="K20" s="1023"/>
      <c r="L20" s="1022"/>
      <c r="M20" s="1015"/>
      <c r="N20" s="1023"/>
      <c r="O20" s="1022"/>
      <c r="P20" s="1015"/>
      <c r="Q20" s="1023"/>
      <c r="R20" s="998"/>
      <c r="S20" s="1032"/>
      <c r="T20" s="1015"/>
      <c r="U20" s="1015"/>
      <c r="V20" s="1015"/>
      <c r="W20" s="1015"/>
      <c r="X20" s="1023"/>
      <c r="Y20" s="1008">
        <f t="shared" si="1"/>
        <v>0</v>
      </c>
      <c r="Z20" s="961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1005" t="s">
        <v>232</v>
      </c>
      <c r="F21" s="1020"/>
      <c r="G21" s="1014"/>
      <c r="H21" s="1021"/>
      <c r="I21" s="1020"/>
      <c r="J21" s="1014"/>
      <c r="K21" s="1021"/>
      <c r="L21" s="1020"/>
      <c r="M21" s="1014"/>
      <c r="N21" s="1021"/>
      <c r="O21" s="1020"/>
      <c r="P21" s="1014"/>
      <c r="Q21" s="1021"/>
      <c r="R21" s="1031"/>
      <c r="S21" s="1020"/>
      <c r="T21" s="1014"/>
      <c r="U21" s="1014"/>
      <c r="V21" s="1014"/>
      <c r="W21" s="1014"/>
      <c r="X21" s="1021"/>
      <c r="Y21" s="1007">
        <f t="shared" si="1"/>
        <v>0</v>
      </c>
      <c r="Z21" s="960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1006" t="s">
        <v>233</v>
      </c>
      <c r="F22" s="1049">
        <f>$C$22*DwellingStocks!$I$38/DwellingStocks!$L$38-F27</f>
        <v>0.10096088069080073</v>
      </c>
      <c r="G22" s="1050">
        <f>$C$22*DwellingStocks!$J$38/DwellingStocks!$L$38-G27</f>
        <v>0.46869751397120968</v>
      </c>
      <c r="H22" s="1051">
        <f>$C$22*DwellingStocks!$K$38/DwellingStocks!$L$38-H27</f>
        <v>0.33552517989430808</v>
      </c>
      <c r="I22" s="1022"/>
      <c r="J22" s="1015"/>
      <c r="K22" s="1023"/>
      <c r="L22" s="1022"/>
      <c r="M22" s="1015"/>
      <c r="N22" s="1023"/>
      <c r="O22" s="1022"/>
      <c r="P22" s="1015"/>
      <c r="Q22" s="1023"/>
      <c r="R22" s="998"/>
      <c r="S22" s="1032"/>
      <c r="T22" s="1015"/>
      <c r="U22" s="1015"/>
      <c r="V22" s="1015"/>
      <c r="W22" s="1015"/>
      <c r="X22" s="1023"/>
      <c r="Y22" s="1034">
        <f t="shared" si="1"/>
        <v>0.90518357455631848</v>
      </c>
      <c r="Z22" s="1035">
        <f t="shared" si="0"/>
        <v>1.1367099712825202</v>
      </c>
      <c r="AA22" s="804">
        <f>ABS(Z18+Z22+Z27-Y18-Y22-Y27)/(Z18+Z22+Z27)</f>
        <v>0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1002" t="s">
        <v>234</v>
      </c>
      <c r="F23" s="1020">
        <f>'SHWLP-Apt'!$Y$9</f>
        <v>1.6411258099618979E-8</v>
      </c>
      <c r="G23" s="1014">
        <f>'SHWLP-Att'!$Y$9</f>
        <v>0</v>
      </c>
      <c r="H23" s="1021">
        <f>'SHWLP-Det'!$Y$9</f>
        <v>0</v>
      </c>
      <c r="I23" s="1020">
        <f>'SHWLP-Apt'!$Y$33</f>
        <v>4.395559180299348E-5</v>
      </c>
      <c r="J23" s="1014">
        <f>'SHWLP-Att'!$Y$33</f>
        <v>2.1879412797081848E-5</v>
      </c>
      <c r="K23" s="1021">
        <f>'SHWLP-Det'!$Y$33</f>
        <v>7.4096000727488155E-5</v>
      </c>
      <c r="L23" s="1020"/>
      <c r="M23" s="1014"/>
      <c r="N23" s="1021"/>
      <c r="O23" s="1020"/>
      <c r="P23" s="1014"/>
      <c r="Q23" s="1021"/>
      <c r="R23" s="1031"/>
      <c r="S23" s="1020"/>
      <c r="T23" s="1014"/>
      <c r="U23" s="1014"/>
      <c r="V23" s="1014"/>
      <c r="W23" s="1014"/>
      <c r="X23" s="1021"/>
      <c r="Y23" s="1007">
        <f t="shared" si="1"/>
        <v>1.3994741658566312E-4</v>
      </c>
      <c r="Z23" s="960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1003" t="s">
        <v>236</v>
      </c>
      <c r="F24" s="1022">
        <f>'SHWLP-Apt'!$Y$8</f>
        <v>2.2877293790868852E-5</v>
      </c>
      <c r="G24" s="1015">
        <f>'SHWLP-Att'!$Y$8</f>
        <v>2.872353931024329E-5</v>
      </c>
      <c r="H24" s="1023">
        <f>'SHWLP-Det'!$Y$8</f>
        <v>0</v>
      </c>
      <c r="I24" s="1022">
        <f>'SHWLP-Apt'!$Y$32</f>
        <v>4.8644706191773872E-5</v>
      </c>
      <c r="J24" s="1015">
        <f>'SHWLP-Att'!$Y$32</f>
        <v>7.8153182244299725E-5</v>
      </c>
      <c r="K24" s="1023">
        <f>'SHWLP-Det'!$Y$32</f>
        <v>6.5413263264443806E-5</v>
      </c>
      <c r="L24" s="1022"/>
      <c r="M24" s="1015"/>
      <c r="N24" s="1023"/>
      <c r="O24" s="1022"/>
      <c r="P24" s="1015"/>
      <c r="Q24" s="1023"/>
      <c r="R24" s="998"/>
      <c r="S24" s="1032"/>
      <c r="T24" s="1015"/>
      <c r="U24" s="1015"/>
      <c r="V24" s="1015"/>
      <c r="W24" s="1015"/>
      <c r="X24" s="1023"/>
      <c r="Y24" s="1008">
        <f t="shared" si="1"/>
        <v>2.4381198480162954E-4</v>
      </c>
      <c r="Z24" s="961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1005" t="s">
        <v>238</v>
      </c>
      <c r="F25" s="1020"/>
      <c r="G25" s="1014"/>
      <c r="H25" s="1021"/>
      <c r="I25" s="1020"/>
      <c r="J25" s="1014"/>
      <c r="K25" s="1021"/>
      <c r="L25" s="1020"/>
      <c r="M25" s="1014"/>
      <c r="N25" s="1021"/>
      <c r="O25" s="1020"/>
      <c r="P25" s="1014"/>
      <c r="Q25" s="1021"/>
      <c r="R25" s="1031"/>
      <c r="S25" s="1020"/>
      <c r="T25" s="1014"/>
      <c r="U25" s="1014"/>
      <c r="V25" s="1014"/>
      <c r="W25" s="1014"/>
      <c r="X25" s="1021"/>
      <c r="Y25" s="1007">
        <f t="shared" si="1"/>
        <v>0</v>
      </c>
      <c r="Z25" s="960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1003" t="s">
        <v>735</v>
      </c>
      <c r="F26" s="1022">
        <f>'SHWLP-Apt'!$Y$11+'SHWLP-Apt'!$Y$12</f>
        <v>1.0009168855771073</v>
      </c>
      <c r="G26" s="1015">
        <f>'SHWLP-Att'!$Y$11+'SHWLP-Att'!$Y$12</f>
        <v>0.92300756545734264</v>
      </c>
      <c r="H26" s="1023">
        <f>'SHWLP-Det'!$Y$11+'SHWLP-Det'!$Y$12</f>
        <v>1.1634766135204067</v>
      </c>
      <c r="I26" s="1022">
        <f>'SHWLP-Apt'!$Y$35+'SHWLP-Apt'!$Y$36</f>
        <v>0.94126011989889935</v>
      </c>
      <c r="J26" s="1015">
        <f>'SHWLP-Att'!$Y$35+'SHWLP-Att'!$Y$36</f>
        <v>0.587545296679167</v>
      </c>
      <c r="K26" s="1023">
        <f>'SHWLP-Det'!$Y$35+'SHWLP-Det'!$Y$36</f>
        <v>0.45007039318929443</v>
      </c>
      <c r="L26" s="1022">
        <f>'SHWLP-Apt'!$Y$54</f>
        <v>0.38159950189394726</v>
      </c>
      <c r="M26" s="1015">
        <f>'SHWLP-Att'!$Y$54</f>
        <v>1.9632785059392084</v>
      </c>
      <c r="N26" s="1023">
        <f>'SHWLP-Det'!$Y$54</f>
        <v>2.9610626942711322</v>
      </c>
      <c r="O26" s="1022">
        <f>'SHWLP-Apt'!$Y$55</f>
        <v>7.8631931212140127E-2</v>
      </c>
      <c r="P26" s="1015">
        <f>'SHWLP-Att'!$Y$55</f>
        <v>0.54366439830542579</v>
      </c>
      <c r="Q26" s="1023">
        <f>'SHWLP-Det'!$Y$55</f>
        <v>0.61632678310866229</v>
      </c>
      <c r="R26" s="998">
        <f>'[1]1d_Cooking'!L6*0.0036</f>
        <v>2.051734110329881</v>
      </c>
      <c r="S26" s="1032">
        <f>(T38*0.0000000036)*(DwellingStocks!L38*RSD_Balance!U38)</f>
        <v>1.4117078065859998</v>
      </c>
      <c r="T26" s="1015">
        <f>(T36*0.0000000036)*(DwellingStocks!L38*RSD_Balance!U36)</f>
        <v>1.1023237905322498</v>
      </c>
      <c r="U26" s="1015">
        <f>(T37*0.0000000036)*(DwellingStocks!L38*RSD_Balance!U37)</f>
        <v>1.7147299705763039</v>
      </c>
      <c r="V26" s="1015">
        <f>(T40*0.0000000036)*(DwellingStocks!L38*RSD_Balance!U40)</f>
        <v>1.1862012348845998</v>
      </c>
      <c r="W26" s="1015">
        <f>SUM([1]Table2_Energy_Totals!$I$6+[1]Table2_Energy_Totals!$J$6)/1000-SUM(S26:V26,L26:N26)</f>
        <v>10.352794328441064</v>
      </c>
      <c r="X26" s="1023">
        <v>0</v>
      </c>
      <c r="Y26" s="1008">
        <f t="shared" si="1"/>
        <v>29.430331930402833</v>
      </c>
      <c r="Z26" s="961">
        <f t="shared" si="0"/>
        <v>29.430890206847998</v>
      </c>
      <c r="AA26" s="804">
        <f>ABS(Z26-Y26)/Z26</f>
        <v>1.8969064178539938E-5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1002" t="s">
        <v>239</v>
      </c>
      <c r="F27" s="1020">
        <f>'SHWLP-Apt'!$Y$21</f>
        <v>3.751289270479366E-2</v>
      </c>
      <c r="G27" s="1014">
        <f>'SHWLP-Att'!$Y$21</f>
        <v>4.4456193579378724E-2</v>
      </c>
      <c r="H27" s="1021">
        <f>'SHWLP-Det'!$Y$21</f>
        <v>0.14955731044202938</v>
      </c>
      <c r="I27" s="1020">
        <f>'SHWLP-Apt'!$Y$45</f>
        <v>1.0389477602999384E-2</v>
      </c>
      <c r="J27" s="1014">
        <f>'SHWLP-Att'!$Y$45</f>
        <v>2.3853289854202531E-3</v>
      </c>
      <c r="K27" s="1021">
        <f>'SHWLP-Det'!$Y$45</f>
        <v>1.0237223508519498E-3</v>
      </c>
      <c r="L27" s="1020"/>
      <c r="M27" s="1014"/>
      <c r="N27" s="1021"/>
      <c r="O27" s="1020"/>
      <c r="P27" s="1014"/>
      <c r="Q27" s="1021"/>
      <c r="R27" s="1031"/>
      <c r="S27" s="1020"/>
      <c r="T27" s="1014"/>
      <c r="U27" s="1014"/>
      <c r="V27" s="1014"/>
      <c r="W27" s="1014"/>
      <c r="X27" s="1021"/>
      <c r="Y27" s="1044">
        <f t="shared" si="1"/>
        <v>0.24532492566547337</v>
      </c>
      <c r="Z27" s="1036">
        <f t="shared" si="0"/>
        <v>0</v>
      </c>
      <c r="AA27" s="804">
        <f>ABS(Z18+Z22+Z27-Y18-Y22-Y27)/(Z18+Z22+Z27)</f>
        <v>0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1003" t="s">
        <v>574</v>
      </c>
      <c r="F28" s="1024">
        <f>'SHWLP-Apt'!$Y$19</f>
        <v>8.0306945735614532E-2</v>
      </c>
      <c r="G28" s="1025">
        <f>'SHWLP-Att'!$Y$19</f>
        <v>2.5365387026370665</v>
      </c>
      <c r="H28" s="1026">
        <f>'SHWLP-Det'!$Y$19</f>
        <v>6.7042583807020266</v>
      </c>
      <c r="I28" s="1024">
        <f>'SHWLP-Apt'!$Y$43</f>
        <v>8.8177086195802782E-3</v>
      </c>
      <c r="J28" s="1025">
        <f>'SHWLP-Att'!$Y$43</f>
        <v>0.50665260702135773</v>
      </c>
      <c r="K28" s="1026">
        <f>'SHWLP-Det'!$Y$43</f>
        <v>0.54229365043675026</v>
      </c>
      <c r="L28" s="1024"/>
      <c r="M28" s="1025"/>
      <c r="N28" s="1026"/>
      <c r="O28" s="1024"/>
      <c r="P28" s="1025"/>
      <c r="Q28" s="1026"/>
      <c r="R28" s="1001"/>
      <c r="S28" s="1033"/>
      <c r="T28" s="1025"/>
      <c r="U28" s="1025"/>
      <c r="V28" s="1025"/>
      <c r="W28" s="1025"/>
      <c r="X28" s="1026"/>
      <c r="Y28" s="1011">
        <f>SUM(F28:K28)</f>
        <v>10.378867995152396</v>
      </c>
      <c r="Z28" s="997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63">
        <f>SUM(F9:F28)</f>
        <v>2.8191328806896965</v>
      </c>
      <c r="G29" s="965">
        <f t="shared" ref="G29:X29" si="2">SUM(G9:G28)</f>
        <v>24.578084125773664</v>
      </c>
      <c r="H29" s="965">
        <f t="shared" si="2"/>
        <v>42.4771122890699</v>
      </c>
      <c r="I29" s="965">
        <f t="shared" si="2"/>
        <v>1.8547279468084412</v>
      </c>
      <c r="J29" s="965">
        <f t="shared" si="2"/>
        <v>9.0107511961376847</v>
      </c>
      <c r="K29" s="965">
        <f t="shared" si="2"/>
        <v>10.840111283276382</v>
      </c>
      <c r="L29" s="965">
        <f t="shared" si="2"/>
        <v>0.38159950189394726</v>
      </c>
      <c r="M29" s="965">
        <f t="shared" si="2"/>
        <v>1.9632785059392084</v>
      </c>
      <c r="N29" s="965">
        <f t="shared" si="2"/>
        <v>2.9610626942711322</v>
      </c>
      <c r="O29" s="965">
        <f t="shared" si="2"/>
        <v>7.8631931212140127E-2</v>
      </c>
      <c r="P29" s="965">
        <f t="shared" si="2"/>
        <v>0.54366439830542579</v>
      </c>
      <c r="Q29" s="965">
        <f t="shared" si="2"/>
        <v>0.61632678310866229</v>
      </c>
      <c r="R29" s="965">
        <f t="shared" si="2"/>
        <v>2.7611554513679644</v>
      </c>
      <c r="S29" s="965">
        <f t="shared" si="2"/>
        <v>1.4117078065859998</v>
      </c>
      <c r="T29" s="965">
        <f t="shared" si="2"/>
        <v>1.1023237905322498</v>
      </c>
      <c r="U29" s="965">
        <f t="shared" si="2"/>
        <v>1.7147299705763039</v>
      </c>
      <c r="V29" s="965">
        <f t="shared" si="2"/>
        <v>1.1862012348845998</v>
      </c>
      <c r="W29" s="965">
        <f t="shared" si="2"/>
        <v>10.352794328441064</v>
      </c>
      <c r="X29" s="965">
        <f t="shared" si="2"/>
        <v>0</v>
      </c>
      <c r="Y29" s="1046">
        <f>SUM(Y9:Y27)</f>
        <v>116.65339611887447</v>
      </c>
      <c r="Z29" s="1047">
        <f>SUM(Z9:Z28)</f>
        <v>116.65307434441837</v>
      </c>
      <c r="AA29" s="804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63">
        <f>SUM(F29:H29)</f>
        <v>69.874329295533258</v>
      </c>
      <c r="G30" s="964">
        <f>F30/$Y$29</f>
        <v>0.59899095628839238</v>
      </c>
      <c r="H30" s="746"/>
      <c r="I30" s="965">
        <f>SUM(I29:K29)</f>
        <v>21.705590426222507</v>
      </c>
      <c r="J30" s="964">
        <f>I30/$Y$29</f>
        <v>0.18606908284182008</v>
      </c>
      <c r="K30" s="746"/>
      <c r="L30" s="965">
        <f>SUM(L29:N29)</f>
        <v>5.3059407021042873</v>
      </c>
      <c r="M30" s="964">
        <f>L30/$Y$29</f>
        <v>4.5484665501699766E-2</v>
      </c>
      <c r="N30" s="746"/>
      <c r="O30" s="965">
        <f>SUM(O29:Q29)</f>
        <v>1.2386231126262282</v>
      </c>
      <c r="P30" s="964">
        <f>O30/$Y$29</f>
        <v>1.0617977305727317E-2</v>
      </c>
      <c r="Q30" s="746"/>
      <c r="R30" s="964">
        <f>R29/$Y$29</f>
        <v>2.3669739100902271E-2</v>
      </c>
      <c r="S30" s="965">
        <f>SUM(S29:X29)</f>
        <v>15.767757131020216</v>
      </c>
      <c r="T30" s="964">
        <f>S30/$Y$29</f>
        <v>0.13516757896145812</v>
      </c>
      <c r="U30" s="746"/>
      <c r="V30" s="746"/>
      <c r="W30" s="746"/>
      <c r="X30" s="746"/>
      <c r="Y30" s="966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67">
        <f>C44/$C$49</f>
        <v>0.61094674556213013</v>
      </c>
      <c r="E44" s="129"/>
      <c r="F44" s="1045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67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67">
        <f t="shared" si="3"/>
        <v>2.2559171597633133E-2</v>
      </c>
      <c r="E46" s="129"/>
      <c r="F46" s="129"/>
      <c r="G46" s="129"/>
      <c r="H46" s="129"/>
      <c r="I46" s="1045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67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67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AA7:AA8"/>
    <mergeCell ref="Y7:Y8"/>
    <mergeCell ref="F2:G2"/>
    <mergeCell ref="F3:G3"/>
    <mergeCell ref="F4:G4"/>
    <mergeCell ref="F5:G5"/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90" t="s">
        <v>633</v>
      </c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749"/>
      <c r="O4" s="1090" t="s">
        <v>635</v>
      </c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91" t="s">
        <v>642</v>
      </c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L18" s="1091" t="s">
        <v>643</v>
      </c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  <c r="BX18" s="1091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90" t="s">
        <v>634</v>
      </c>
      <c r="C19" s="1090"/>
      <c r="D19" s="1090"/>
      <c r="E19" s="1090"/>
      <c r="F19" s="1090"/>
      <c r="G19" s="1090"/>
      <c r="H19" s="1090"/>
      <c r="I19" s="1090"/>
      <c r="J19" s="1090"/>
      <c r="K19" s="1090"/>
      <c r="L19" s="1090"/>
      <c r="M19" s="749"/>
      <c r="O19" s="1090" t="s">
        <v>635</v>
      </c>
      <c r="P19" s="1090"/>
      <c r="Q19" s="1090"/>
      <c r="R19" s="1090"/>
      <c r="S19" s="1090"/>
      <c r="T19" s="1090"/>
      <c r="U19" s="1090"/>
      <c r="V19" s="1090"/>
      <c r="W19" s="1090"/>
      <c r="X19" s="1090"/>
      <c r="Y19" s="1090"/>
      <c r="Z19" s="1090"/>
      <c r="AB19" s="1090" t="s">
        <v>636</v>
      </c>
      <c r="AC19" s="1090"/>
      <c r="AD19" s="1090"/>
      <c r="AE19" s="1090"/>
      <c r="AF19" s="1090"/>
      <c r="AG19" s="1090"/>
      <c r="AH19" s="1090"/>
      <c r="AI19" s="1090"/>
      <c r="AJ19" s="1090"/>
      <c r="AK19" s="1090"/>
      <c r="AL19" s="1090"/>
      <c r="AN19" s="1090" t="s">
        <v>637</v>
      </c>
      <c r="AO19" s="1090"/>
      <c r="AP19" s="1090"/>
      <c r="AQ19" s="1090"/>
      <c r="AR19" s="1090"/>
      <c r="AS19" s="1090"/>
      <c r="AT19" s="1090"/>
      <c r="AU19" s="1090"/>
      <c r="AV19" s="1090"/>
      <c r="AW19" s="1090"/>
      <c r="AY19" s="1090" t="s">
        <v>638</v>
      </c>
      <c r="AZ19" s="1090"/>
      <c r="BA19" s="1090"/>
      <c r="BB19" s="1090"/>
      <c r="BC19" s="1090"/>
      <c r="BD19" s="1090"/>
      <c r="BE19" s="1090"/>
      <c r="BF19" s="1090"/>
      <c r="BG19" s="1090"/>
      <c r="BH19" s="1090"/>
      <c r="BI19" s="1090"/>
      <c r="BJ19" s="1090"/>
      <c r="BL19" s="1090" t="s">
        <v>644</v>
      </c>
      <c r="BM19" s="1090"/>
      <c r="BN19" s="1090"/>
      <c r="BO19" s="1090"/>
      <c r="BP19" s="1090"/>
      <c r="BQ19" s="1090"/>
      <c r="BR19" s="1090"/>
      <c r="BS19" s="1090"/>
      <c r="BT19" s="1090"/>
      <c r="BU19" s="1090"/>
      <c r="BV19" s="1090"/>
      <c r="BW19" s="1090"/>
      <c r="BX19" s="1090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tabSelected="1" zoomScaleNormal="100" workbookViewId="0">
      <selection activeCell="K35" sqref="K35"/>
    </sheetView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 t="s">
        <v>271</v>
      </c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 t="s">
        <v>271</v>
      </c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 t="s">
        <v>271</v>
      </c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6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</sheetViews>
  <sheetFormatPr defaultColWidth="8.85546875" defaultRowHeight="15"/>
  <cols>
    <col min="1" max="1" width="3.28515625" style="974" customWidth="1"/>
    <col min="2" max="2" width="12.140625" style="974" customWidth="1"/>
    <col min="3" max="3" width="15.85546875" style="974" bestFit="1" customWidth="1"/>
    <col min="4" max="4" width="12.140625" style="974" bestFit="1" customWidth="1"/>
    <col min="5" max="5" width="11.28515625" style="974" customWidth="1"/>
    <col min="6" max="6" width="7.85546875" style="974" bestFit="1" customWidth="1"/>
    <col min="7" max="7" width="12.85546875" style="974" bestFit="1" customWidth="1"/>
    <col min="8" max="8" width="10.7109375" style="974" bestFit="1" customWidth="1"/>
    <col min="9" max="9" width="13.5703125" style="974" customWidth="1"/>
    <col min="10" max="10" width="3.7109375" style="974" customWidth="1"/>
    <col min="11" max="11" width="7.42578125" style="974" customWidth="1"/>
    <col min="12" max="12" width="11" style="974" customWidth="1"/>
    <col min="13" max="13" width="15.140625" style="974" customWidth="1"/>
    <col min="14" max="14" width="49" style="974" customWidth="1"/>
    <col min="15" max="16" width="8.85546875" style="974"/>
    <col min="17" max="17" width="12.85546875" style="974" customWidth="1"/>
    <col min="18" max="18" width="15.28515625" style="974" customWidth="1"/>
    <col min="19" max="16384" width="8.85546875" style="974"/>
  </cols>
  <sheetData>
    <row r="2" spans="1:19">
      <c r="E2" s="975" t="s">
        <v>280</v>
      </c>
      <c r="F2" s="975"/>
      <c r="H2" s="975"/>
      <c r="K2" s="976" t="s">
        <v>281</v>
      </c>
      <c r="L2" s="976"/>
      <c r="M2" s="977"/>
      <c r="N2" s="977"/>
      <c r="O2" s="977"/>
      <c r="P2" s="977"/>
      <c r="Q2" s="977"/>
      <c r="R2" s="977"/>
      <c r="S2" s="977"/>
    </row>
    <row r="3" spans="1:19">
      <c r="B3" s="982" t="s">
        <v>906</v>
      </c>
      <c r="C3" s="978" t="s">
        <v>282</v>
      </c>
      <c r="D3" s="979" t="s">
        <v>284</v>
      </c>
      <c r="E3" s="978" t="s">
        <v>285</v>
      </c>
      <c r="F3" s="978" t="s">
        <v>286</v>
      </c>
      <c r="G3" s="980" t="s">
        <v>299</v>
      </c>
      <c r="H3" s="980" t="s">
        <v>909</v>
      </c>
      <c r="I3" s="980" t="s">
        <v>910</v>
      </c>
      <c r="K3" s="981" t="s">
        <v>289</v>
      </c>
      <c r="L3" s="982" t="s">
        <v>906</v>
      </c>
      <c r="M3" s="981" t="s">
        <v>282</v>
      </c>
      <c r="N3" s="981" t="s">
        <v>283</v>
      </c>
      <c r="O3" s="981" t="s">
        <v>290</v>
      </c>
      <c r="P3" s="981" t="s">
        <v>291</v>
      </c>
      <c r="Q3" s="981" t="s">
        <v>292</v>
      </c>
      <c r="R3" s="981" t="s">
        <v>293</v>
      </c>
      <c r="S3" s="981" t="s">
        <v>911</v>
      </c>
    </row>
    <row r="4" spans="1:19" ht="46.5" thickBot="1">
      <c r="B4" s="984" t="s">
        <v>907</v>
      </c>
      <c r="C4" s="983" t="s">
        <v>301</v>
      </c>
      <c r="D4" s="983" t="s">
        <v>303</v>
      </c>
      <c r="E4" s="983" t="s">
        <v>304</v>
      </c>
      <c r="F4" s="983" t="s">
        <v>912</v>
      </c>
      <c r="G4" s="983" t="s">
        <v>913</v>
      </c>
      <c r="H4" s="983" t="s">
        <v>914</v>
      </c>
      <c r="I4" s="983" t="s">
        <v>915</v>
      </c>
      <c r="K4" s="984" t="s">
        <v>916</v>
      </c>
      <c r="L4" s="984" t="s">
        <v>917</v>
      </c>
      <c r="M4" s="984" t="s">
        <v>918</v>
      </c>
      <c r="N4" s="984" t="s">
        <v>302</v>
      </c>
      <c r="O4" s="984" t="s">
        <v>919</v>
      </c>
      <c r="P4" s="984" t="s">
        <v>920</v>
      </c>
      <c r="Q4" s="984" t="s">
        <v>921</v>
      </c>
      <c r="R4" s="984" t="s">
        <v>922</v>
      </c>
      <c r="S4" s="984" t="s">
        <v>923</v>
      </c>
    </row>
    <row r="5" spans="1:19" ht="15.75" thickBot="1">
      <c r="B5" s="986" t="s">
        <v>279</v>
      </c>
      <c r="C5" s="983" t="s">
        <v>564</v>
      </c>
      <c r="D5" s="985"/>
      <c r="E5" s="985"/>
      <c r="F5" s="985"/>
      <c r="G5" s="985" t="s">
        <v>924</v>
      </c>
      <c r="H5" s="985" t="s">
        <v>925</v>
      </c>
      <c r="I5" s="985" t="s">
        <v>19</v>
      </c>
      <c r="K5" s="984" t="s">
        <v>279</v>
      </c>
      <c r="L5" s="986"/>
      <c r="M5" s="986"/>
      <c r="N5" s="986"/>
      <c r="O5" s="986"/>
      <c r="P5" s="986"/>
      <c r="Q5" s="986"/>
      <c r="R5" s="986"/>
      <c r="S5" s="986"/>
    </row>
    <row r="6" spans="1:19" s="989" customFormat="1" ht="12.75">
      <c r="A6" s="989" t="str">
        <f>COMM!A6</f>
        <v/>
      </c>
      <c r="B6" s="990" t="str">
        <f>_xlfn.TEXTJOIN(",",TRUE,IF(LEFT(Regions!$C$3,1)&lt;&gt;"*",Regions!$C$3,""),IF(LEFT(Regions!$D$3,1)&lt;&gt;"*",Regions!$D$3,""))</f>
        <v>IE,National</v>
      </c>
      <c r="C6" s="987" t="str">
        <f>_xlfn.TEXTJOIN("-",TRUE,SETUP!$B$4,COMM!E6)</f>
        <v>FT-RSDCOA</v>
      </c>
      <c r="D6" s="988" t="s">
        <v>927</v>
      </c>
      <c r="E6" s="987" t="str">
        <f>COMM!E6</f>
        <v>RSDCOA</v>
      </c>
      <c r="F6" s="989">
        <v>1</v>
      </c>
      <c r="G6" s="989">
        <v>50</v>
      </c>
      <c r="H6" s="989">
        <v>0.01</v>
      </c>
      <c r="K6" s="987" t="s">
        <v>295</v>
      </c>
      <c r="L6" s="990" t="str">
        <f>_xlfn.TEXTJOIN(",",TRUE,IF(LEFT(Regions!$C$3,1)&lt;&gt;"*",Regions!$C$3,""),IF(LEFT(Regions!$D$3,1)&lt;&gt;"*",Regions!$D$3,""))</f>
        <v>IE,National</v>
      </c>
      <c r="M6" s="990" t="str">
        <f t="shared" ref="M6:M15" si="0">C6</f>
        <v>FT-RSDCOA</v>
      </c>
      <c r="N6" s="991" t="str">
        <f>_xlfn.TEXTJOIN(" ",TRUE,SETUP!$B$3,COMM!F6)</f>
        <v>RSD Coal to Residential</v>
      </c>
      <c r="O6" s="990" t="s">
        <v>19</v>
      </c>
      <c r="P6" s="990" t="s">
        <v>908</v>
      </c>
      <c r="Q6" s="990"/>
      <c r="R6" s="990"/>
      <c r="S6" s="990"/>
    </row>
    <row r="7" spans="1:19" s="989" customFormat="1" ht="12.75">
      <c r="A7" s="989" t="str">
        <f>COMM!A7</f>
        <v/>
      </c>
      <c r="B7" s="990" t="str">
        <f>_xlfn.TEXTJOIN(",",TRUE,IF(LEFT(Regions!$C$3,1)&lt;&gt;"*",Regions!$C$3,""),IF(LEFT(Regions!$D$3,1)&lt;&gt;"*",Regions!$D$3,""))</f>
        <v>IE,National</v>
      </c>
      <c r="C7" s="987" t="str">
        <f>_xlfn.TEXTJOIN("-",TRUE,SETUP!$B$4,COMM!E7)</f>
        <v>FT-RSDPEA</v>
      </c>
      <c r="D7" s="988" t="s">
        <v>221</v>
      </c>
      <c r="E7" s="987" t="str">
        <f>COMM!E7</f>
        <v>RSDPEA</v>
      </c>
      <c r="F7" s="989">
        <v>1</v>
      </c>
      <c r="G7" s="989">
        <v>50</v>
      </c>
      <c r="H7" s="989">
        <v>0.01</v>
      </c>
      <c r="K7" s="987"/>
      <c r="L7" s="990" t="str">
        <f>_xlfn.TEXTJOIN(",",TRUE,IF(LEFT(Regions!$C$3,1)&lt;&gt;"*",Regions!$C$3,""),IF(LEFT(Regions!$D$3,1)&lt;&gt;"*",Regions!$D$3,""))</f>
        <v>IE,National</v>
      </c>
      <c r="M7" s="990" t="str">
        <f t="shared" si="0"/>
        <v>FT-RSDPEA</v>
      </c>
      <c r="N7" s="991" t="str">
        <f>_xlfn.TEXTJOIN(" ",TRUE,SETUP!$B$3,COMM!F7)</f>
        <v>RSD Peat to Residential</v>
      </c>
      <c r="O7" s="990" t="s">
        <v>19</v>
      </c>
      <c r="P7" s="990" t="s">
        <v>908</v>
      </c>
    </row>
    <row r="8" spans="1:19" s="989" customFormat="1" ht="12.75">
      <c r="A8" s="989" t="str">
        <f>COMM!A8</f>
        <v/>
      </c>
      <c r="B8" s="990" t="str">
        <f>_xlfn.TEXTJOIN(",",TRUE,IF(LEFT(Regions!$C$3,1)&lt;&gt;"*",Regions!$C$3,""),IF(LEFT(Regions!$D$3,1)&lt;&gt;"*",Regions!$D$3,""))</f>
        <v>IE,National</v>
      </c>
      <c r="C8" s="987" t="str">
        <f>_xlfn.TEXTJOIN("-",TRUE,SETUP!$B$4,COMM!E8)</f>
        <v>FT-RSDOILLPG</v>
      </c>
      <c r="D8" s="988" t="s">
        <v>222</v>
      </c>
      <c r="E8" s="987" t="str">
        <f>COMM!E8</f>
        <v>RSDOILLPG</v>
      </c>
      <c r="F8" s="989">
        <v>1</v>
      </c>
      <c r="G8" s="989">
        <v>50</v>
      </c>
      <c r="H8" s="989">
        <v>0.01</v>
      </c>
      <c r="K8" s="987"/>
      <c r="L8" s="990" t="str">
        <f>_xlfn.TEXTJOIN(",",TRUE,IF(LEFT(Regions!$C$3,1)&lt;&gt;"*",Regions!$C$3,""),IF(LEFT(Regions!$D$3,1)&lt;&gt;"*",Regions!$D$3,""))</f>
        <v>IE,National</v>
      </c>
      <c r="M8" s="990" t="str">
        <f t="shared" si="0"/>
        <v>FT-RSDOILLPG</v>
      </c>
      <c r="N8" s="991" t="str">
        <f>_xlfn.TEXTJOIN(" ",TRUE,SETUP!$B$3,COMM!F8)</f>
        <v>RSD LPG to Residential</v>
      </c>
      <c r="O8" s="990" t="s">
        <v>19</v>
      </c>
      <c r="P8" s="990" t="s">
        <v>908</v>
      </c>
    </row>
    <row r="9" spans="1:19" s="989" customFormat="1" ht="12.75">
      <c r="A9" s="989" t="str">
        <f>COMM!A10</f>
        <v/>
      </c>
      <c r="B9" s="990" t="str">
        <f>_xlfn.TEXTJOIN(",",TRUE,IF(LEFT(Regions!$C$3,1)&lt;&gt;"*",Regions!$C$3,""),IF(LEFT(Regions!$D$3,1)&lt;&gt;"*",Regions!$D$3,""))</f>
        <v>IE,National</v>
      </c>
      <c r="C9" s="987" t="str">
        <f>_xlfn.TEXTJOIN("-",TRUE,SETUP!$B$4,COMM!E10)</f>
        <v>FT-RSDOILKER</v>
      </c>
      <c r="D9" s="988" t="s">
        <v>224</v>
      </c>
      <c r="E9" s="987" t="str">
        <f>COMM!E10</f>
        <v>RSDOILKER</v>
      </c>
      <c r="F9" s="989">
        <v>1</v>
      </c>
      <c r="G9" s="989">
        <v>50</v>
      </c>
      <c r="H9" s="989">
        <v>0.01</v>
      </c>
      <c r="K9" s="987"/>
      <c r="L9" s="990" t="str">
        <f>_xlfn.TEXTJOIN(",",TRUE,IF(LEFT(Regions!$C$3,1)&lt;&gt;"*",Regions!$C$3,""),IF(LEFT(Regions!$D$3,1)&lt;&gt;"*",Regions!$D$3,""))</f>
        <v>IE,National</v>
      </c>
      <c r="M9" s="990" t="str">
        <f t="shared" si="0"/>
        <v>FT-RSDOILKER</v>
      </c>
      <c r="N9" s="991" t="str">
        <f>_xlfn.TEXTJOIN(" ",TRUE,SETUP!$B$3,COMM!F10)</f>
        <v>RSD Kerosene to Residential</v>
      </c>
      <c r="O9" s="990" t="s">
        <v>19</v>
      </c>
      <c r="P9" s="990" t="s">
        <v>908</v>
      </c>
    </row>
    <row r="10" spans="1:19" s="989" customFormat="1" ht="12.75">
      <c r="A10" s="989" t="str">
        <f>COMM!A14</f>
        <v/>
      </c>
      <c r="B10" s="990" t="str">
        <f>_xlfn.TEXTJOIN(",",TRUE,IF(LEFT(Regions!$C$3,1)&lt;&gt;"*",Regions!$C$3,""),IF(LEFT(Regions!$D$3,1)&lt;&gt;"*",Regions!$D$3,""))</f>
        <v>IE,National</v>
      </c>
      <c r="C10" s="987" t="str">
        <f>_xlfn.TEXTJOIN("-",TRUE,SETUP!$B$4,COMM!E14)</f>
        <v>FT-RSDGASNAT</v>
      </c>
      <c r="D10" s="988" t="s">
        <v>228</v>
      </c>
      <c r="E10" s="987" t="str">
        <f>COMM!E14</f>
        <v>RSDGASNAT</v>
      </c>
      <c r="F10" s="989">
        <v>1</v>
      </c>
      <c r="G10" s="989">
        <v>50</v>
      </c>
      <c r="H10" s="989">
        <v>0.01</v>
      </c>
      <c r="K10" s="987"/>
      <c r="L10" s="990" t="str">
        <f>_xlfn.TEXTJOIN(",",TRUE,IF(LEFT(Regions!$C$3,1)&lt;&gt;"*",Regions!$C$3,""),IF(LEFT(Regions!$D$3,1)&lt;&gt;"*",Regions!$D$3,""))</f>
        <v>IE,National</v>
      </c>
      <c r="M10" s="990" t="str">
        <f t="shared" si="0"/>
        <v>FT-RSDGASNAT</v>
      </c>
      <c r="N10" s="991" t="str">
        <f>_xlfn.TEXTJOIN(" ",TRUE,SETUP!$B$3,COMM!F14)</f>
        <v>RSD Natural Gas to Residential</v>
      </c>
      <c r="O10" s="990" t="s">
        <v>19</v>
      </c>
      <c r="P10" s="990" t="s">
        <v>908</v>
      </c>
    </row>
    <row r="11" spans="1:19" s="989" customFormat="1" ht="12.75">
      <c r="A11" s="989" t="str">
        <f>COMM!A16</f>
        <v/>
      </c>
      <c r="B11" s="990" t="str">
        <f>_xlfn.TEXTJOIN(",",TRUE,IF(LEFT(Regions!$C$3,1)&lt;&gt;"*",Regions!$C$3,""),IF(LEFT(Regions!$D$3,1)&lt;&gt;"*",Regions!$D$3,""))</f>
        <v>IE,National</v>
      </c>
      <c r="C11" s="987" t="str">
        <f>_xlfn.TEXTJOIN("-",TRUE,SETUP!$B$4,COMM!E16)</f>
        <v>FT-RSDBIOWOO</v>
      </c>
      <c r="D11" s="988" t="s">
        <v>230</v>
      </c>
      <c r="E11" s="987" t="str">
        <f>COMM!E16</f>
        <v>RSDBIOWOO</v>
      </c>
      <c r="F11" s="989">
        <v>1</v>
      </c>
      <c r="G11" s="989">
        <v>50</v>
      </c>
      <c r="H11" s="989">
        <v>0.01</v>
      </c>
      <c r="L11" s="990" t="str">
        <f>_xlfn.TEXTJOIN(",",TRUE,IF(LEFT(Regions!$C$3,1)&lt;&gt;"*",Regions!$C$3,""),IF(LEFT(Regions!$D$3,1)&lt;&gt;"*",Regions!$D$3,""))</f>
        <v>IE,National</v>
      </c>
      <c r="M11" s="990" t="str">
        <f t="shared" si="0"/>
        <v>FT-RSDBIOWOO</v>
      </c>
      <c r="N11" s="991" t="str">
        <f>_xlfn.TEXTJOIN(" ",TRUE,SETUP!$B$3,COMM!F16)</f>
        <v>RSD Biomass and Renewable Waste to Residential</v>
      </c>
      <c r="O11" s="990" t="s">
        <v>19</v>
      </c>
      <c r="P11" s="990" t="s">
        <v>908</v>
      </c>
    </row>
    <row r="12" spans="1:19">
      <c r="A12" s="989" t="str">
        <f>COMM!A20</f>
        <v/>
      </c>
      <c r="B12" s="990" t="str">
        <f>_xlfn.TEXTJOIN(",",TRUE,IF(LEFT(Regions!$C$3,1)&lt;&gt;"*",Regions!$C$3,""),IF(LEFT(Regions!$D$3,1)&lt;&gt;"*",Regions!$D$3,""))</f>
        <v>IE,National</v>
      </c>
      <c r="C12" s="987" t="str">
        <f>_xlfn.TEXTJOIN("-",TRUE,SETUP!$B$4,COMM!E20)</f>
        <v>FT-RSDBIOETH</v>
      </c>
      <c r="D12" s="988" t="s">
        <v>929</v>
      </c>
      <c r="E12" s="987" t="str">
        <f>COMM!E20</f>
        <v>RSDBIOETH</v>
      </c>
      <c r="F12" s="989">
        <v>1</v>
      </c>
      <c r="G12" s="989">
        <v>50</v>
      </c>
      <c r="H12" s="989">
        <v>0.01</v>
      </c>
      <c r="I12" s="989"/>
      <c r="L12" s="990" t="str">
        <f>_xlfn.TEXTJOIN(",",TRUE,IF(LEFT(Regions!$C$3,1)&lt;&gt;"*",Regions!$C$3,""),IF(LEFT(Regions!$D$3,1)&lt;&gt;"*",Regions!$D$3,""))</f>
        <v>IE,National</v>
      </c>
      <c r="M12" s="990" t="str">
        <f t="shared" si="0"/>
        <v>FT-RSDBIOETH</v>
      </c>
      <c r="N12" s="991" t="str">
        <f>_xlfn.TEXTJOIN(" ",TRUE,SETUP!$B$3,COMM!F20)</f>
        <v>RSD Ethanol to Residential</v>
      </c>
      <c r="O12" s="990" t="s">
        <v>19</v>
      </c>
      <c r="P12" s="990" t="s">
        <v>908</v>
      </c>
    </row>
    <row r="13" spans="1:19">
      <c r="A13" s="989" t="str">
        <f>COMM!A21</f>
        <v/>
      </c>
      <c r="B13" s="990" t="str">
        <f>_xlfn.TEXTJOIN(",",TRUE,IF(LEFT(Regions!$C$3,1)&lt;&gt;"*",Regions!$C$3,""),IF(LEFT(Regions!$D$3,1)&lt;&gt;"*",Regions!$D$3,""))</f>
        <v>IE,National</v>
      </c>
      <c r="C13" s="987" t="str">
        <f>_xlfn.TEXTJOIN("-",TRUE,SETUP!$B$4,COMM!E21)</f>
        <v>FT-RSDBIODST</v>
      </c>
      <c r="D13" s="988" t="s">
        <v>930</v>
      </c>
      <c r="E13" s="987" t="str">
        <f>COMM!E21</f>
        <v>RSDBIODST</v>
      </c>
      <c r="F13" s="989">
        <v>1</v>
      </c>
      <c r="G13" s="989">
        <v>50</v>
      </c>
      <c r="H13" s="989">
        <v>0.01</v>
      </c>
      <c r="I13" s="989"/>
      <c r="L13" s="990" t="str">
        <f>_xlfn.TEXTJOIN(",",TRUE,IF(LEFT(Regions!$C$3,1)&lt;&gt;"*",Regions!$C$3,""),IF(LEFT(Regions!$D$3,1)&lt;&gt;"*",Regions!$D$3,""))</f>
        <v>IE,National</v>
      </c>
      <c r="M13" s="990" t="str">
        <f t="shared" si="0"/>
        <v>FT-RSDBIODST</v>
      </c>
      <c r="N13" s="991" t="str">
        <f>_xlfn.TEXTJOIN(" ",TRUE,SETUP!$B$3,COMM!F21)</f>
        <v>RSD Biodiesel to Residential</v>
      </c>
      <c r="O13" s="990" t="s">
        <v>19</v>
      </c>
      <c r="P13" s="990" t="s">
        <v>908</v>
      </c>
    </row>
    <row r="14" spans="1:19">
      <c r="A14" s="989"/>
      <c r="B14" s="990" t="str">
        <f>_xlfn.TEXTJOIN(",",TRUE,IF(LEFT(Regions!$C$3,1)&lt;&gt;"*",Regions!$C$3,""),IF(LEFT(Regions!$D$3,1)&lt;&gt;"*",Regions!$D$3,""))</f>
        <v>IE,National</v>
      </c>
      <c r="C14" s="987" t="str">
        <f>_xlfn.TEXTJOIN("-",TRUE,SETUP!$B$4,COMM!E24)</f>
        <v>FT-RSDELC</v>
      </c>
      <c r="D14" s="988" t="s">
        <v>928</v>
      </c>
      <c r="E14" s="987" t="str">
        <f>COMM!E24</f>
        <v>RSDELC</v>
      </c>
      <c r="F14" s="989">
        <v>1</v>
      </c>
      <c r="G14" s="989">
        <v>50</v>
      </c>
      <c r="H14" s="989">
        <v>0.01</v>
      </c>
      <c r="I14" s="989"/>
      <c r="L14" s="990" t="str">
        <f>_xlfn.TEXTJOIN(",",TRUE,IF(LEFT(Regions!$C$3,1)&lt;&gt;"*",Regions!$C$3,""),IF(LEFT(Regions!$D$3,1)&lt;&gt;"*",Regions!$D$3,""))</f>
        <v>IE,National</v>
      </c>
      <c r="M14" s="990" t="str">
        <f t="shared" si="0"/>
        <v>FT-RSDELC</v>
      </c>
      <c r="N14" s="991" t="str">
        <f>_xlfn.TEXTJOIN(" ",TRUE,SETUP!$B$3,COMM!F24)</f>
        <v>RSD Electricity to Residential</v>
      </c>
      <c r="O14" s="990" t="s">
        <v>19</v>
      </c>
      <c r="P14" s="990" t="s">
        <v>908</v>
      </c>
    </row>
    <row r="15" spans="1:19">
      <c r="A15" s="989"/>
      <c r="B15" s="990" t="str">
        <f>_xlfn.TEXTJOIN(",",TRUE,IF(LEFT(Regions!$C$3,1)&lt;&gt;"*",Regions!$C$3,""),IF(LEFT(Regions!$D$3,1)&lt;&gt;"*",Regions!$D$3,""))</f>
        <v>IE,National</v>
      </c>
      <c r="C15" s="987" t="str">
        <f>_xlfn.TEXTJOIN("-",TRUE,SETUP!$B$4,COMM!E25)</f>
        <v>FT-RSDHET</v>
      </c>
      <c r="D15" s="988" t="s">
        <v>931</v>
      </c>
      <c r="E15" s="987" t="str">
        <f>COMM!E25</f>
        <v>RSDHET</v>
      </c>
      <c r="F15" s="989">
        <v>1</v>
      </c>
      <c r="G15" s="989">
        <v>50</v>
      </c>
      <c r="H15" s="989">
        <v>0.01</v>
      </c>
      <c r="I15" s="989"/>
      <c r="L15" s="990" t="str">
        <f>_xlfn.TEXTJOIN(",",TRUE,IF(LEFT(Regions!$C$3,1)&lt;&gt;"*",Regions!$C$3,""),IF(LEFT(Regions!$D$3,1)&lt;&gt;"*",Regions!$D$3,""))</f>
        <v>IE,National</v>
      </c>
      <c r="M15" s="990" t="str">
        <f t="shared" si="0"/>
        <v>FT-RSDHET</v>
      </c>
      <c r="N15" s="991" t="str">
        <f>_xlfn.TEXTJOIN(" ",TRUE,SETUP!$B$3,COMM!F25)</f>
        <v>RSD Heat to Residential</v>
      </c>
      <c r="O15" s="990" t="s">
        <v>19</v>
      </c>
      <c r="P15" s="990" t="s">
        <v>908</v>
      </c>
    </row>
    <row r="16" spans="1:19">
      <c r="A16" s="989"/>
      <c r="B16" s="989"/>
      <c r="C16" s="987"/>
    </row>
    <row r="17" spans="1:3">
      <c r="A17" s="989"/>
      <c r="B17" s="989"/>
      <c r="C17" s="987"/>
    </row>
    <row r="18" spans="1:3">
      <c r="A18" s="989"/>
      <c r="B18" s="989"/>
      <c r="C18" s="987"/>
    </row>
    <row r="19" spans="1:3">
      <c r="A19" s="989"/>
      <c r="B19" s="989"/>
      <c r="C19" s="987"/>
    </row>
    <row r="20" spans="1:3">
      <c r="A20" s="989"/>
      <c r="B20" s="989"/>
      <c r="C20" s="987"/>
    </row>
    <row r="21" spans="1:3">
      <c r="A21" s="989"/>
      <c r="B21" s="989"/>
      <c r="C21" s="987"/>
    </row>
    <row r="22" spans="1:3">
      <c r="A22" s="989"/>
      <c r="B22" s="989"/>
      <c r="C22" s="987"/>
    </row>
    <row r="23" spans="1:3">
      <c r="A23" s="989"/>
      <c r="B23" s="989"/>
      <c r="C23" s="987"/>
    </row>
    <row r="24" spans="1:3">
      <c r="A24" s="989"/>
      <c r="B24" s="989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D1" zoomScale="120" zoomScaleNormal="120" workbookViewId="0">
      <selection activeCell="N6" sqref="N6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55">
        <f>'SHWLP-Apt'!$X$25/$G$6</f>
        <v>1.4820480670008396E-2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53" t="str">
        <f>_xlfn.TEXTJOIN(",",TRUE,IF(LEFT(Regions!$C$3,1)&lt;&gt;"*",Regions!$C$3,""),IF(LEFT(Regions!$D$3,1)&lt;&gt;"*",Regions!$D$3,""))</f>
        <v>IE,National</v>
      </c>
      <c r="C7" s="1054"/>
      <c r="D7" s="1053"/>
      <c r="E7" s="935" t="str">
        <f>COMM!O12</f>
        <v>RSDSC_Apt</v>
      </c>
      <c r="F7" s="1053"/>
      <c r="G7" s="1054"/>
      <c r="H7" s="1053"/>
      <c r="I7" s="1053"/>
      <c r="J7" s="1056">
        <v>0</v>
      </c>
      <c r="K7" s="66"/>
      <c r="L7" s="1053" t="s">
        <v>306</v>
      </c>
      <c r="M7" s="1054" t="str">
        <f>_xlfn.TEXTJOIN(",",TRUE,IF(LEFT(Regions!$C$3,1)&lt;&gt;"*",Regions!$C$3,""),IF(LEFT(Regions!$D$3,1)&lt;&gt;"*",Regions!$D$3,""))</f>
        <v>IE,National</v>
      </c>
      <c r="N7" s="1053" t="str">
        <f>_xlfn.TEXTJOIN("",TRUE,LEFT(SETUP!B$3,1),"-",SETUP!B$85,"_",SETUP!B$37)</f>
        <v>R-BLD_Att</v>
      </c>
      <c r="O7" s="1053" t="str">
        <f>_xlfn.TEXTJOIN(" ",TRUE,SETUP!C$3,SETUP!C$85,SETUP!C$37)</f>
        <v>Residential Building Attached</v>
      </c>
      <c r="P7" s="1054" t="s">
        <v>305</v>
      </c>
      <c r="Q7" s="1053" t="s">
        <v>305</v>
      </c>
      <c r="R7" s="1054"/>
      <c r="S7" s="105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55">
        <f>'SHWLP-Apt'!$X$49/$G$6</f>
        <v>8.2251262129918352E-3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53" t="str">
        <f>_xlfn.TEXTJOIN(",",TRUE,IF(LEFT(Regions!$C$3,1)&lt;&gt;"*",Regions!$C$3,""),IF(LEFT(Regions!$D$3,1)&lt;&gt;"*",Regions!$D$3,""))</f>
        <v>IE,National</v>
      </c>
      <c r="C9" s="1054"/>
      <c r="D9" s="1053"/>
      <c r="E9" s="935" t="str">
        <f>COMM!O18</f>
        <v>RSDLT_Apt</v>
      </c>
      <c r="F9" s="1053"/>
      <c r="G9" s="1054"/>
      <c r="H9" s="1053"/>
      <c r="I9" s="1053"/>
      <c r="J9" s="1056">
        <f>'SHWLP-Apt'!$X$54/$G$6</f>
        <v>4.9822250206190887E-3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55">
        <f>'SHWLP-Apt'!$X$55/$G$6</f>
        <v>1.0266309705907878E-3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53" t="str">
        <f>_xlfn.TEXTJOIN(",",TRUE,IF(LEFT(Regions!$C$3,1)&lt;&gt;"*",Regions!$C$3,""),IF(LEFT(Regions!$D$3,1)&lt;&gt;"*",Regions!$D$3,""))</f>
        <v>IE,National</v>
      </c>
      <c r="C11" s="1054" t="str">
        <f>N7</f>
        <v>R-BLD_Att</v>
      </c>
      <c r="D11" s="1053" t="str">
        <f>O7</f>
        <v>Residential Building Attached</v>
      </c>
      <c r="E11" s="935" t="str">
        <f>COMM!O10</f>
        <v>RSDSH_Att</v>
      </c>
      <c r="F11" s="1053" t="str">
        <f>COMM!O7</f>
        <v>RSD_Att</v>
      </c>
      <c r="G11" s="1054">
        <f>IF(DwellingStocks!I30=0,"",DwellingStocks!$J$38/1000)</f>
        <v>766.35172099999977</v>
      </c>
      <c r="H11" s="1053">
        <v>100</v>
      </c>
      <c r="I11" s="1053">
        <v>1</v>
      </c>
      <c r="J11" s="1056">
        <f>'SHWLP-Att'!$X$25/$G$11</f>
        <v>4.1539609916574856E-2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5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53" t="str">
        <f>_xlfn.TEXTJOIN(",",TRUE,IF(LEFT(Regions!$C$3,1)&lt;&gt;"*",Regions!$C$3,""),IF(LEFT(Regions!$D$3,1)&lt;&gt;"*",Regions!$D$3,""))</f>
        <v>IE,National</v>
      </c>
      <c r="C13" s="1054"/>
      <c r="D13" s="1053"/>
      <c r="E13" s="935" t="str">
        <f>COMM!O16</f>
        <v>RSDWH_Att</v>
      </c>
      <c r="F13" s="1053"/>
      <c r="G13" s="1054"/>
      <c r="H13" s="1053"/>
      <c r="I13" s="1053"/>
      <c r="J13" s="1056">
        <f>'SHWLP-Att'!$X$49/$G$11</f>
        <v>1.4064457368099048E-2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55">
        <f>'SHWLP-Apt'!X54/$G$11</f>
        <v>1.3444460955064912E-3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53" t="str">
        <f>_xlfn.TEXTJOIN(",",TRUE,IF(LEFT(Regions!$C$3,1)&lt;&gt;"*",Regions!$C$3,""),IF(LEFT(Regions!$D$3,1)&lt;&gt;"*",Regions!$D$3,""))</f>
        <v>IE,National</v>
      </c>
      <c r="C15" s="1054"/>
      <c r="D15" s="1053"/>
      <c r="E15" s="935" t="str">
        <f>COMM!O22</f>
        <v>RSDPF_Att</v>
      </c>
      <c r="F15" s="1053"/>
      <c r="G15" s="1054"/>
      <c r="H15" s="1053"/>
      <c r="I15" s="1053"/>
      <c r="J15" s="1056">
        <f>'SHWLP-Apt'!X55/$G$11</f>
        <v>2.7703485776427552E-4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55">
        <f>'SHWLP-Det'!$X$25/$G$16</f>
        <v>7.5283956459279863E-2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53" t="str">
        <f>_xlfn.TEXTJOIN(",",TRUE,IF(LEFT(Regions!$C$3,1)&lt;&gt;"*",Regions!$C$3,""),IF(LEFT(Regions!$D$3,1)&lt;&gt;"*",Regions!$D$3,""))</f>
        <v>IE,National</v>
      </c>
      <c r="C17" s="1054"/>
      <c r="D17" s="1053"/>
      <c r="E17" s="935" t="str">
        <f>COMM!O14</f>
        <v>RSDSC_Det</v>
      </c>
      <c r="F17" s="1053"/>
      <c r="G17" s="1054"/>
      <c r="H17" s="1053"/>
      <c r="I17" s="1053"/>
      <c r="J17" s="105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55">
        <f>'SHWLP-Det'!X49/$G$16</f>
        <v>1.7830953440996895E-2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53" t="str">
        <f>_xlfn.TEXTJOIN(",",TRUE,IF(LEFT(Regions!$C$3,1)&lt;&gt;"*",Regions!$C$3,""),IF(LEFT(Regions!$D$3,1)&lt;&gt;"*",Regions!$D$3,""))</f>
        <v>IE,National</v>
      </c>
      <c r="C19" s="1054"/>
      <c r="D19" s="1053"/>
      <c r="E19" s="935" t="str">
        <f>COMM!O20</f>
        <v>RSDLT_Det</v>
      </c>
      <c r="F19" s="1053"/>
      <c r="G19" s="1054"/>
      <c r="H19" s="1053"/>
      <c r="I19" s="1053"/>
      <c r="J19" s="1056">
        <f>'SHWLP-Det'!X54/$G$16</f>
        <v>1.1036083669191172E-2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55">
        <f>'SHWLP-Det'!X55/G16</f>
        <v>2.2970926283112933E-3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92" t="s">
        <v>820</v>
      </c>
      <c r="D25" s="1092"/>
      <c r="E25" s="1092"/>
      <c r="F25" s="1092"/>
      <c r="G25" s="1092"/>
      <c r="H25" s="1092"/>
      <c r="I25" s="1092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5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5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5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5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5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5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5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5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5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zoomScale="110" zoomScaleNormal="110" workbookViewId="0">
      <selection activeCell="O14" sqref="O14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94">
        <f>DwellingStocks!$L$38/1000*RSD_Balance!U38</f>
        <v>1697.5803349999996</v>
      </c>
      <c r="H5" s="904">
        <v>0.8</v>
      </c>
      <c r="I5" s="904"/>
      <c r="J5" s="992">
        <f>O5/G5/L5</f>
        <v>1.0395000000000001E-3</v>
      </c>
      <c r="K5" s="993">
        <v>10</v>
      </c>
      <c r="L5" s="737">
        <v>1</v>
      </c>
      <c r="M5" s="737"/>
      <c r="N5" s="737"/>
      <c r="O5" s="930">
        <f>P5/H5</f>
        <v>1.7646347582324997</v>
      </c>
      <c r="P5" s="105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53" t="str">
        <f>_xlfn.TEXTJOIN(",",TRUE,IF(LEFT(Regions!$C$3,1)&lt;&gt;"*",Regions!$C$3,""),IF(LEFT(Regions!$D$3,1)&lt;&gt;"*",Regions!$D$3,""))</f>
        <v>IE,National</v>
      </c>
      <c r="C6" s="1054" t="str">
        <f>U6</f>
        <v>R-RSDCK_X0</v>
      </c>
      <c r="D6" s="1053" t="str">
        <f>V6</f>
        <v>Residential Cooking Demand Technology</v>
      </c>
      <c r="E6" s="1053" t="str">
        <f>COMM!E24</f>
        <v>RSDELC</v>
      </c>
      <c r="F6" s="1054" t="str">
        <f>COMM!$E$33</f>
        <v>RSDCK</v>
      </c>
      <c r="G6" s="1053">
        <f>DwellingStocks!$L$38/1000</f>
        <v>1697.5803349999996</v>
      </c>
      <c r="H6" s="1054"/>
      <c r="I6" s="1053">
        <v>0.74</v>
      </c>
      <c r="J6" s="1059">
        <f>(SUM(O6:O8))/G6/L6</f>
        <v>2.2478349106259702E-3</v>
      </c>
      <c r="K6" s="1053">
        <v>15</v>
      </c>
      <c r="L6" s="1053">
        <v>1</v>
      </c>
      <c r="M6" s="1054">
        <v>0.76</v>
      </c>
      <c r="N6" s="1053">
        <v>5</v>
      </c>
      <c r="O6" s="1054">
        <f>P6/I6</f>
        <v>2.7726136626079474</v>
      </c>
      <c r="P6" s="1058">
        <f>'[3]1d_Cooking'!L6*0.0036</f>
        <v>2.051734110329881</v>
      </c>
      <c r="R6" s="877"/>
      <c r="S6" s="1053" t="s">
        <v>306</v>
      </c>
      <c r="T6" s="1054" t="str">
        <f>_xlfn.TEXTJOIN(",",TRUE,IF(LEFT(Regions!$C$3,1)&lt;&gt;"*",Regions!$C$3,""),IF(LEFT(Regions!$D$3,1)&lt;&gt;"*",Regions!$D$3,""))</f>
        <v>IE,National</v>
      </c>
      <c r="U6" s="1053" t="str">
        <f>_xlfn.TEXTJOIN("",TRUE,,LEFT(SETUP!B$3,1),"-",COMM!E33,"_",SETUP!$B$64)</f>
        <v>R-RSDCK_X0</v>
      </c>
      <c r="V6" s="1053" t="str">
        <f>_xlfn.TEXTJOIN(" ",TRUE,COMM!F33,"Technology")</f>
        <v>Residential Cooking Demand Technology</v>
      </c>
      <c r="W6" s="1054" t="s">
        <v>19</v>
      </c>
      <c r="X6" s="1053" t="s">
        <v>908</v>
      </c>
      <c r="Y6" s="1054"/>
      <c r="Z6" s="105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94"/>
      <c r="H7" s="904"/>
      <c r="I7" s="904">
        <v>0.68</v>
      </c>
      <c r="J7" s="992"/>
      <c r="K7" s="993"/>
      <c r="L7" s="737"/>
      <c r="M7" s="737">
        <f>(1-M6)*(P7/(P7+P8))</f>
        <v>0.22663956527004486</v>
      </c>
      <c r="N7" s="737">
        <v>5</v>
      </c>
      <c r="O7" s="930">
        <f>P7/I7</f>
        <v>0.98518960984168769</v>
      </c>
      <c r="P7" s="105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53" t="str">
        <f>_xlfn.TEXTJOIN(",",TRUE,IF(LEFT(Regions!$C$3,1)&lt;&gt;"*",Regions!$C$3,""),IF(LEFT(Regions!$D$3,1)&lt;&gt;"*",Regions!$D$3,""))</f>
        <v>IE,National</v>
      </c>
      <c r="C8" s="1054"/>
      <c r="D8" s="1053"/>
      <c r="E8" s="1053" t="str">
        <f>COMM!E8</f>
        <v>RSDOILLPG</v>
      </c>
      <c r="F8" s="1054"/>
      <c r="G8" s="1053"/>
      <c r="H8" s="1054"/>
      <c r="I8" s="1053">
        <v>0.68</v>
      </c>
      <c r="J8" s="1059"/>
      <c r="K8" s="1053"/>
      <c r="L8" s="1053"/>
      <c r="M8" s="1054">
        <f>(1-M6)*(P8/(P7+P8))</f>
        <v>1.3360434729955101E-2</v>
      </c>
      <c r="N8" s="1053">
        <v>5</v>
      </c>
      <c r="O8" s="1054">
        <f>P8/I8</f>
        <v>5.8077068155493447E-2</v>
      </c>
      <c r="P8" s="1058">
        <f>'[3]1d_Cooking'!L11*0.041868</f>
        <v>3.9492406345735545E-2</v>
      </c>
      <c r="R8" s="877"/>
      <c r="S8" s="1053" t="s">
        <v>306</v>
      </c>
      <c r="T8" s="1054" t="str">
        <f>_xlfn.TEXTJOIN(",",TRUE,IF(LEFT(Regions!$C$3,1)&lt;&gt;"*",Regions!$C$3,""),IF(LEFT(Regions!$D$3,1)&lt;&gt;"*",Regions!$D$3,""))</f>
        <v>IE,National</v>
      </c>
      <c r="U8" s="1053" t="str">
        <f>_xlfn.TEXTJOIN("",TRUE,,LEFT(SETUP!B$3,1),"-",COMM!E35,"_",SETUP!$B$64)</f>
        <v>R-RSDCD_X0</v>
      </c>
      <c r="V8" s="1053" t="str">
        <f>_xlfn.TEXTJOIN(" ",TRUE,COMM!F35,"Technology")</f>
        <v>Residential Cloth Drying Demand Technology</v>
      </c>
      <c r="W8" s="1054" t="s">
        <v>19</v>
      </c>
      <c r="X8" s="1053" t="s">
        <v>908</v>
      </c>
      <c r="Y8" s="1054"/>
      <c r="Z8" s="105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94">
        <f>DwellingStocks!$L$38/1000*RSD_Balance!U36</f>
        <v>1655.1408266249996</v>
      </c>
      <c r="H9" s="904">
        <v>0.7</v>
      </c>
      <c r="I9" s="904"/>
      <c r="J9" s="992">
        <f>O9/G9/L9</f>
        <v>9.5142857142857149E-4</v>
      </c>
      <c r="K9" s="993">
        <v>10</v>
      </c>
      <c r="L9" s="737">
        <v>1</v>
      </c>
      <c r="M9" s="737"/>
      <c r="N9" s="737"/>
      <c r="O9" s="930">
        <f>P9/H9</f>
        <v>1.5747482721889283</v>
      </c>
      <c r="P9" s="105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53" t="str">
        <f>_xlfn.TEXTJOIN(",",TRUE,IF(LEFT(Regions!$C$3,1)&lt;&gt;"*",Regions!$C$3,""),IF(LEFT(Regions!$D$3,1)&lt;&gt;"*",Regions!$D$3,""))</f>
        <v>IE,National</v>
      </c>
      <c r="C10" s="1054" t="str">
        <f t="shared" ref="C10:D10" si="0">U8</f>
        <v>R-RSDCD_X0</v>
      </c>
      <c r="D10" s="1053" t="str">
        <f t="shared" si="0"/>
        <v>Residential Cloth Drying Demand Technology</v>
      </c>
      <c r="E10" s="1053" t="str">
        <f>COMM!$E$24</f>
        <v>RSDELC</v>
      </c>
      <c r="F10" s="1054" t="str">
        <f>COMM!E35</f>
        <v>RSDCD</v>
      </c>
      <c r="G10" s="1053">
        <f>DwellingStocks!$L$38/1000*RSD_Balance!U37</f>
        <v>1100.0320570799997</v>
      </c>
      <c r="H10" s="1054">
        <v>0.6</v>
      </c>
      <c r="I10" s="1053"/>
      <c r="J10" s="1059">
        <f t="shared" ref="J10:J13" si="1">O10/G10/L10</f>
        <v>2.5980000000000009E-3</v>
      </c>
      <c r="K10" s="1053">
        <v>10</v>
      </c>
      <c r="L10" s="1053">
        <v>1</v>
      </c>
      <c r="M10" s="1054"/>
      <c r="N10" s="1053"/>
      <c r="O10" s="1054">
        <f>P10/H10</f>
        <v>2.8578832842938402</v>
      </c>
      <c r="P10" s="1058">
        <f>(RSD_Balance!T37*0.0000000036)*(DwellingStocks!$L$38*RSD_Balance!U37)</f>
        <v>1.7147299705763039</v>
      </c>
      <c r="R10" s="877"/>
      <c r="S10" s="1053" t="s">
        <v>306</v>
      </c>
      <c r="T10" s="1054" t="str">
        <f>_xlfn.TEXTJOIN(",",TRUE,IF(LEFT(Regions!$C$3,1)&lt;&gt;"*",Regions!$C$3,""),IF(LEFT(Regions!$D$3,1)&lt;&gt;"*",Regions!$D$3,""))</f>
        <v>IE,National</v>
      </c>
      <c r="U10" s="1053" t="str">
        <f>_xlfn.TEXTJOIN("",TRUE,,LEFT(SETUP!B$3,1),"-",COMM!E37,"_",SETUP!$B$64)</f>
        <v>R-RSDOE_X0</v>
      </c>
      <c r="V10" s="1053" t="str">
        <f>_xlfn.TEXTJOIN(" ",TRUE,COMM!F37,"Technology")</f>
        <v>Residential ELC Appliances Demand Technology</v>
      </c>
      <c r="W10" s="1054" t="s">
        <v>19</v>
      </c>
      <c r="X10" s="1053" t="s">
        <v>908</v>
      </c>
      <c r="Y10" s="1054"/>
      <c r="Z10" s="105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94">
        <f>DwellingStocks!$L$38/1000*RSD_Balance!U40</f>
        <v>1098.3344767449998</v>
      </c>
      <c r="H11" s="904">
        <v>0.7</v>
      </c>
      <c r="I11" s="904"/>
      <c r="J11" s="992">
        <f t="shared" si="1"/>
        <v>1.5428571428571429E-3</v>
      </c>
      <c r="K11" s="993">
        <v>10</v>
      </c>
      <c r="L11" s="737">
        <v>1</v>
      </c>
      <c r="M11" s="737"/>
      <c r="N11" s="737"/>
      <c r="O11" s="930">
        <f>P11/H11</f>
        <v>1.6945731926922856</v>
      </c>
      <c r="P11" s="105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53" t="str">
        <f>_xlfn.TEXTJOIN(",",TRUE,IF(LEFT(Regions!$C$3,1)&lt;&gt;"*",Regions!$C$3,""),IF(LEFT(Regions!$D$3,1)&lt;&gt;"*",Regions!$D$3,""))</f>
        <v>IE,National</v>
      </c>
      <c r="C12" s="1054" t="str">
        <f t="shared" ref="C12:D12" si="3">U10</f>
        <v>R-RSDOE_X0</v>
      </c>
      <c r="D12" s="1053" t="str">
        <f t="shared" si="3"/>
        <v>Residential ELC Appliances Demand Technology</v>
      </c>
      <c r="E12" s="1053" t="str">
        <f>COMM!$E$24</f>
        <v>RSDELC</v>
      </c>
      <c r="F12" s="1054" t="str">
        <f>COMM!E37</f>
        <v>RSDOE</v>
      </c>
      <c r="G12" s="1053">
        <f>DwellingStocks!$L$38/1000*1</f>
        <v>1697.5803349999996</v>
      </c>
      <c r="H12" s="1054">
        <v>0.85</v>
      </c>
      <c r="I12" s="1053"/>
      <c r="J12" s="1059">
        <f t="shared" si="1"/>
        <v>7.1747756393867965E-3</v>
      </c>
      <c r="K12" s="1053">
        <v>10</v>
      </c>
      <c r="L12" s="1053">
        <v>1</v>
      </c>
      <c r="M12" s="1054"/>
      <c r="N12" s="1053"/>
      <c r="O12" s="1054">
        <f>P12/H12</f>
        <v>12.179758033460075</v>
      </c>
      <c r="P12" s="1058">
        <f>SUM([3]Table2_Energy_Totals!$I$6+[3]Table2_Energy_Totals!$J$6)/1000-SUM(RSD_Balance!S26:V26,RSD_Balance!L26:N26)</f>
        <v>10.352794328441064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94">
        <f>DwellingStocks!$L$38/1000*1</f>
        <v>1697.5803349999996</v>
      </c>
      <c r="H13" s="904">
        <v>0.85</v>
      </c>
      <c r="I13" s="904"/>
      <c r="J13" s="992">
        <f t="shared" si="1"/>
        <v>0</v>
      </c>
      <c r="K13" s="993">
        <v>10</v>
      </c>
      <c r="L13" s="737">
        <v>1</v>
      </c>
      <c r="M13" s="737"/>
      <c r="N13" s="737"/>
      <c r="O13" s="930">
        <f>P13/H13</f>
        <v>0</v>
      </c>
      <c r="P13" s="105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92" t="s">
        <v>819</v>
      </c>
      <c r="E17" s="1092"/>
      <c r="F17" s="1092"/>
      <c r="G17" s="1092"/>
      <c r="H17" s="1092"/>
      <c r="I17" s="1092"/>
      <c r="J17" s="1092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10.352794328441064</v>
      </c>
      <c r="H26" s="887">
        <f>G26*(H28/G28)</f>
        <v>12.736475170872819</v>
      </c>
      <c r="I26" s="887">
        <f t="shared" ref="I26:L26" si="10">H26*(I28/H28)</f>
        <v>14.300267744906646</v>
      </c>
      <c r="J26" s="887">
        <f t="shared" si="10"/>
        <v>15.675553851179044</v>
      </c>
      <c r="K26" s="887">
        <f t="shared" si="10"/>
        <v>17.002600353440027</v>
      </c>
      <c r="L26" s="887">
        <f t="shared" si="10"/>
        <v>18.283297805070571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101" t="s">
        <v>850</v>
      </c>
      <c r="R26" s="1101"/>
      <c r="S26" s="1101"/>
      <c r="T26" s="1101" t="s">
        <v>851</v>
      </c>
      <c r="U26" s="1101"/>
      <c r="V26" s="1101"/>
    </row>
    <row r="27" spans="1:22" ht="21.75" thickBot="1">
      <c r="A27" s="67"/>
      <c r="B27" s="67"/>
      <c r="C27" s="67"/>
      <c r="D27" s="67"/>
      <c r="E27" s="67"/>
      <c r="F27" s="67"/>
      <c r="H27" s="1101" t="s">
        <v>649</v>
      </c>
      <c r="I27" s="1101"/>
      <c r="J27" s="1101"/>
      <c r="K27" s="1101"/>
      <c r="L27" s="1101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8" t="s">
        <v>318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100"/>
      <c r="M58" s="1095" t="s">
        <v>319</v>
      </c>
      <c r="N58" s="1096"/>
      <c r="O58" s="1097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02" t="s">
        <v>384</v>
      </c>
      <c r="T92" s="1103"/>
      <c r="U92" s="1103"/>
      <c r="V92" s="1103"/>
      <c r="W92" s="1103"/>
      <c r="X92" s="1103"/>
      <c r="Y92" s="1103"/>
      <c r="Z92" s="1104"/>
      <c r="AB92" s="1093" t="s">
        <v>385</v>
      </c>
      <c r="AC92" s="1093"/>
      <c r="AD92" s="1093"/>
      <c r="AE92" s="1093"/>
      <c r="AF92" s="1094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93"/>
      <c r="AC93" s="1093"/>
      <c r="AD93" s="1093"/>
      <c r="AE93" s="1093"/>
      <c r="AF93" s="1094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D1" zoomScale="90" zoomScaleNormal="90" workbookViewId="0">
      <selection activeCell="M23" sqref="M23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9">
        <f>(E7+E14+E16)/SUM($E$7:$E$25)</f>
        <v>2.1588177690732664E-3</v>
      </c>
      <c r="R7" s="930">
        <f>Q7*DwellingStocks!$I$38/1000</f>
        <v>0.44644110756253896</v>
      </c>
      <c r="S7" s="1039">
        <f>(R7*1000)/(E7+E14+E16)*DwellingStocks!$T$37-0.112</f>
        <v>1.0276707013624293</v>
      </c>
      <c r="T7" s="932">
        <f>(G7+G14+G16)/300</f>
        <v>0.59018803418803423</v>
      </c>
      <c r="U7" s="932">
        <f>X7/R7/W7</f>
        <v>0.26055672958939713</v>
      </c>
      <c r="V7" s="933">
        <v>20</v>
      </c>
      <c r="W7" s="933">
        <v>1</v>
      </c>
      <c r="X7" s="934">
        <f>Y7/T7</f>
        <v>0.11632323494076342</v>
      </c>
      <c r="Y7" s="934">
        <f>IF(((D7+I7+D14+I14+D16+I16)*$B$2)&lt;=0,0,((D7+I7+D14+I14+D16+I16)*S7*$B$2))</f>
        <v>6.8652581360082024E-2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R-SH_Apt_COA_X0</v>
      </c>
      <c r="AD7" s="737" t="str">
        <f t="shared" si="0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36">
        <f>E8/SUM($E$7:$E$25)</f>
        <v>2.2255853289415115E-5</v>
      </c>
      <c r="R8" s="937">
        <f>Q8*DwellingStocks!$I$38/1000</f>
        <v>4.6024856449746274E-3</v>
      </c>
      <c r="S8" s="938">
        <f>(R8*1000)/E8*DwellingStocks!$T$37</f>
        <v>1.139670701362429</v>
      </c>
      <c r="T8" s="947">
        <f>IF((G8/100)&gt;1,0.9)</f>
        <v>0.9</v>
      </c>
      <c r="U8" s="939">
        <f>X8/R8/W8</f>
        <v>5.5229320162991499E-3</v>
      </c>
      <c r="V8" s="940">
        <v>20</v>
      </c>
      <c r="W8" s="940">
        <v>1</v>
      </c>
      <c r="X8" s="941">
        <f>Y8/T8</f>
        <v>2.5419215323187613E-5</v>
      </c>
      <c r="Y8" s="942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R-SH_Apt_BIODST_X0</v>
      </c>
      <c r="AD8" s="81" t="str">
        <f t="shared" si="0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9">
        <f>E9/SUM($E$7:$E$25)</f>
        <v>7.4186177631383719E-6</v>
      </c>
      <c r="R9" s="930">
        <f>Q9*DwellingStocks!$I$38/1000</f>
        <v>1.5341618816582091E-3</v>
      </c>
      <c r="S9" s="931">
        <f>(R9*1000)/E9*DwellingStocks!$T$37</f>
        <v>1.1396707013624292</v>
      </c>
      <c r="T9" s="948">
        <f>IF((G9/100)&gt;1,0.9)</f>
        <v>0.9</v>
      </c>
      <c r="U9" s="932">
        <f t="shared" ref="U9:U21" si="1">X9/R9/W9</f>
        <v>1.1885793435364027E-5</v>
      </c>
      <c r="V9" s="933">
        <v>20</v>
      </c>
      <c r="W9" s="933">
        <v>1</v>
      </c>
      <c r="X9" s="934">
        <f t="shared" ref="X9:X20" si="2">Y9/T9</f>
        <v>1.8234731221798864E-8</v>
      </c>
      <c r="Y9" s="934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R-SH_Apt_BIOETH_X0</v>
      </c>
      <c r="AD9" s="737" t="str">
        <f t="shared" si="0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36">
        <f>(E10+E11)/SUM($E$7:$E$25)</f>
        <v>1.4139885456541736E-2</v>
      </c>
      <c r="R10" s="937">
        <f>(Q10)*DwellingStocks!$I$38/1000</f>
        <v>2.9241125464405466</v>
      </c>
      <c r="S10" s="938">
        <f>(R10*1000)/(E10+E11)*DwellingStocks!$T$37+0.1025</f>
        <v>1.2421707013624292</v>
      </c>
      <c r="T10" s="939">
        <f>(G10+G11)/200</f>
        <v>0.80677902621722841</v>
      </c>
      <c r="U10" s="939">
        <f t="shared" si="1"/>
        <v>2.5549165884843503E-2</v>
      </c>
      <c r="V10" s="940">
        <v>20</v>
      </c>
      <c r="W10" s="940">
        <v>1</v>
      </c>
      <c r="X10" s="941">
        <f t="shared" si="2"/>
        <v>7.4708636514961679E-2</v>
      </c>
      <c r="Y10" s="942">
        <f>IF(((D10+I10+D11+I11)*S10*$B$2)&lt;=0,0,((D10+I10+D11+I11)*S10*$B$2))</f>
        <v>6.0273361017557661E-2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R-SH_Apt_OILLPG_X0</v>
      </c>
      <c r="AD10" s="81" t="str">
        <f t="shared" si="0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9">
        <f>E25/SUM($E$7:$E$25)</f>
        <v>0.28021603014926261</v>
      </c>
      <c r="R11" s="930">
        <f>(Q11)*DwellingStocks!$I$38/1000</f>
        <v>57.948362593993885</v>
      </c>
      <c r="S11" s="931">
        <f>(R11*1000)/(E25)*DwellingStocks!$T$37+0.0095</f>
        <v>1.1491707013624295</v>
      </c>
      <c r="T11" s="932">
        <f>(G25)/100</f>
        <v>1</v>
      </c>
      <c r="U11" s="932">
        <f t="shared" si="1"/>
        <v>1.2732812752490439E-2</v>
      </c>
      <c r="V11" s="933">
        <v>20</v>
      </c>
      <c r="W11" s="933">
        <v>1</v>
      </c>
      <c r="X11" s="934">
        <f t="shared" si="2"/>
        <v>0.73784565022274529</v>
      </c>
      <c r="Y11" s="934">
        <f>IF(((D25+I25)*S11*$B$2)&lt;=0,0,((D25+I25)*S11*$B$2))</f>
        <v>0.73784565022274529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R-SH_Apt_ELC_X0</v>
      </c>
      <c r="AD11" s="737" t="str">
        <f t="shared" si="0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36">
        <f>E12/SUM($E$7:$E$25)</f>
        <v>0.19717944152645478</v>
      </c>
      <c r="R12" s="937">
        <f>Q12*DwellingStocks!$I$38/1000</f>
        <v>40.776488652593542</v>
      </c>
      <c r="S12" s="938">
        <f>(R12*1000)/E12*DwellingStocks!$T$37+0.0095</f>
        <v>1.1491707013624293</v>
      </c>
      <c r="T12" s="939">
        <f>G12/100</f>
        <v>3.0701960784313722</v>
      </c>
      <c r="U12" s="939">
        <f t="shared" si="1"/>
        <v>2.1013453171159005E-3</v>
      </c>
      <c r="V12" s="940">
        <v>20</v>
      </c>
      <c r="W12" s="940">
        <v>1</v>
      </c>
      <c r="X12" s="941">
        <f t="shared" si="2"/>
        <v>8.568548347855709E-2</v>
      </c>
      <c r="Y12" s="942">
        <f>IF(((D12+I12)*S12*$B$2)&lt;=0,0,((D12+I12)*S12*$B$2))</f>
        <v>0.26307123535436211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R-SH_Apt_ELC_X1</v>
      </c>
      <c r="AD12" s="81" t="str">
        <f t="shared" si="0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9">
        <f>E13/SUM($E$7:$E$25)</f>
        <v>2.9103237484791832E-2</v>
      </c>
      <c r="R13" s="930">
        <f>Q13*DwellingStocks!$I$38/1000</f>
        <v>6.0185170617451549</v>
      </c>
      <c r="S13" s="931">
        <f>(R13*1000)/E13*DwellingStocks!$T$37</f>
        <v>1.1396707013624292</v>
      </c>
      <c r="T13" s="932">
        <f>G13/100</f>
        <v>0.81016216216216219</v>
      </c>
      <c r="U13" s="932">
        <f t="shared" si="1"/>
        <v>4.6973817311931489E-2</v>
      </c>
      <c r="V13" s="933">
        <v>20</v>
      </c>
      <c r="W13" s="933">
        <v>1</v>
      </c>
      <c r="X13" s="934">
        <f t="shared" si="2"/>
        <v>0.2827127209471596</v>
      </c>
      <c r="Y13" s="934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R-SH_Apt_OILKER_X0</v>
      </c>
      <c r="AD13" s="737" t="str">
        <f t="shared" si="0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9">
        <f>E15/SUM($E$7:$E$25)</f>
        <v>0.4073933944627437</v>
      </c>
      <c r="R15" s="930">
        <f>Q15*DwellingStocks!$I$38/1000</f>
        <v>84.248499731260551</v>
      </c>
      <c r="S15" s="931">
        <f>(R15*1000)/E15*DwellingStocks!$T$37</f>
        <v>1.1396707013624292</v>
      </c>
      <c r="T15" s="932">
        <f>G15/100</f>
        <v>0.81026881720430111</v>
      </c>
      <c r="U15" s="932">
        <f t="shared" si="1"/>
        <v>1.806312959890221E-2</v>
      </c>
      <c r="V15" s="933">
        <v>20</v>
      </c>
      <c r="W15" s="933">
        <v>1</v>
      </c>
      <c r="X15" s="934">
        <f t="shared" si="2"/>
        <v>1.5217915691588373</v>
      </c>
      <c r="Y15" s="934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9">
        <f>(E17+E18)/SUM($E$7:$E$25)</f>
        <v>1.0386064868393721E-4</v>
      </c>
      <c r="R17" s="930">
        <f>Q17*DwellingStocks!$I$38/1000</f>
        <v>2.1478266343214931E-2</v>
      </c>
      <c r="S17" s="931">
        <f>(R17*1000)/(E17+E18)*DwellingStocks!$T$37</f>
        <v>1.1396707013624292</v>
      </c>
      <c r="T17" s="932">
        <f>(G17+G18)/200</f>
        <v>0.52500000000000002</v>
      </c>
      <c r="U17" s="932">
        <f t="shared" si="1"/>
        <v>0.271648110994754</v>
      </c>
      <c r="V17" s="933">
        <v>20</v>
      </c>
      <c r="W17" s="933">
        <v>1</v>
      </c>
      <c r="X17" s="934">
        <f t="shared" si="2"/>
        <v>5.8345304795765392E-3</v>
      </c>
      <c r="Y17" s="934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35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36">
        <f>E19/SUM($E$7:$E$25)</f>
        <v>3.2493545802546068E-3</v>
      </c>
      <c r="R19" s="937">
        <f>Q19*DwellingStocks!$I$38/1000</f>
        <v>0.67196290416629567</v>
      </c>
      <c r="S19" s="1038">
        <f>(R19*1000)/E19*DwellingStocks!$T$37-0.1377</f>
        <v>1.0019707013624293</v>
      </c>
      <c r="T19" s="939">
        <f>G19/100</f>
        <v>0.58177777777777773</v>
      </c>
      <c r="U19" s="939">
        <f t="shared" si="1"/>
        <v>0.20542376378271648</v>
      </c>
      <c r="V19" s="940">
        <v>20</v>
      </c>
      <c r="W19" s="940">
        <v>1</v>
      </c>
      <c r="X19" s="941">
        <f t="shared" si="2"/>
        <v>0.13803714889620528</v>
      </c>
      <c r="Y19" s="942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9">
        <f>(E20+E21+E22+E23)/SUM($E$7:$E$25)</f>
        <v>1.3872815217068756E-3</v>
      </c>
      <c r="R20" s="930">
        <f>Q20*DwellingStocks!$I$38/1000</f>
        <v>0.28688827187008514</v>
      </c>
      <c r="S20" s="931">
        <f>(R20*1000)/(E20+E21+E22+E23)*DwellingStocks!$T$37-0.1368</f>
        <v>1.0028707013624292</v>
      </c>
      <c r="T20" s="932">
        <f>(G21+G22+G23)/300</f>
        <v>0.6880451127819549</v>
      </c>
      <c r="U20" s="932">
        <f t="shared" si="1"/>
        <v>2.6950967477345926E-2</v>
      </c>
      <c r="V20" s="933">
        <v>20</v>
      </c>
      <c r="W20" s="933">
        <v>1</v>
      </c>
      <c r="X20" s="934">
        <f t="shared" si="2"/>
        <v>7.7319164848026409E-3</v>
      </c>
      <c r="Y20" s="934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35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36">
        <f>E24/SUM($E$7:$E$25)</f>
        <v>6.5039021929434102E-2</v>
      </c>
      <c r="R21" s="937">
        <f>Q21*DwellingStocks!$I$38/1000</f>
        <v>13.449997216497518</v>
      </c>
      <c r="S21" s="938">
        <f>(R21*1000)/E24*DwellingStocks!$T$37</f>
        <v>1.139670701362429</v>
      </c>
      <c r="T21" s="939">
        <f>G24/100</f>
        <v>0.39838442187649958</v>
      </c>
      <c r="U21" s="939">
        <f t="shared" si="1"/>
        <v>7.0009344710218946E-3</v>
      </c>
      <c r="V21" s="940">
        <v>20</v>
      </c>
      <c r="W21" s="940">
        <v>1</v>
      </c>
      <c r="X21" s="941">
        <f>Y21/T21</f>
        <v>9.416254914812601E-2</v>
      </c>
      <c r="Y21" s="942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28"/>
      <c r="N25" s="928"/>
      <c r="O25" s="928"/>
      <c r="P25" s="928"/>
      <c r="Q25" s="928"/>
      <c r="R25" s="923">
        <f>SUM(R6:R23)</f>
        <v>206.79888499999998</v>
      </c>
      <c r="S25" s="928"/>
      <c r="T25" s="928"/>
      <c r="U25" s="928"/>
      <c r="V25" s="928"/>
      <c r="W25" s="928"/>
      <c r="X25" s="917">
        <f>SUM(X6:X23)</f>
        <v>3.0648588777217891</v>
      </c>
      <c r="Y25" s="917">
        <f>SUM(Y6:Y23)</f>
        <v>2.7181719999988956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9">
        <f>(E31+E38+E40)/SUM($E$31:$E$49)</f>
        <v>1.7814815366955382E-3</v>
      </c>
      <c r="R31" s="930">
        <f>Q31*DwellingStocks!$I$38/1000</f>
        <v>0.36840839543672382</v>
      </c>
      <c r="S31" s="1039">
        <f>IFERROR((R31*1000)/(E31+E38+E40),0)-0.112</f>
        <v>1.4294577214925681</v>
      </c>
      <c r="T31" s="932">
        <f>T7</f>
        <v>0.59018803418803423</v>
      </c>
      <c r="U31" s="932">
        <f>IFERROR(X31/R31/W31,0)</f>
        <v>2.4702755076509139E-2</v>
      </c>
      <c r="V31" s="933">
        <v>20</v>
      </c>
      <c r="W31" s="933">
        <v>1</v>
      </c>
      <c r="X31" s="934">
        <f>Y31/T31</f>
        <v>9.1007023606031155E-3</v>
      </c>
      <c r="Y31" s="934">
        <f>IF(((D31+I31+D38+I38+D40+I40)*$B$2)&lt;=0,0,((D31+I31+D38+I38+D40+I40)*S31*$B$2))</f>
        <v>5.3711256359347554E-3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R-WH_Apt_COA_X0</v>
      </c>
      <c r="AD31" s="737" t="str">
        <f t="shared" si="4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35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36">
        <f>E32/SUM($E$31:$E$49)</f>
        <v>2.9815590572310261E-5</v>
      </c>
      <c r="R32" s="937">
        <f>Q32*DwellingStocks!$I$38/1000</f>
        <v>6.1658308859702726E-3</v>
      </c>
      <c r="S32" s="938">
        <f>IFERROR((R32*1000)/E32,0)</f>
        <v>1.5414577214925682</v>
      </c>
      <c r="T32" s="947">
        <f t="shared" ref="T32:T34" si="5">T8</f>
        <v>0.9</v>
      </c>
      <c r="U32" s="939">
        <f>X32/R32/W32</f>
        <v>8.7659999999999995E-3</v>
      </c>
      <c r="V32" s="940">
        <v>20</v>
      </c>
      <c r="W32" s="940">
        <v>1</v>
      </c>
      <c r="X32" s="941">
        <f>Y32/T32</f>
        <v>5.4049673546415409E-5</v>
      </c>
      <c r="Y32" s="942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R-WH_Apt_BIODST_X0</v>
      </c>
      <c r="AD32" s="81" t="str">
        <f t="shared" si="4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9">
        <f>E33/SUM($E$31:$E$49)</f>
        <v>2.2361692929232695E-5</v>
      </c>
      <c r="R33" s="930">
        <f>Q33*DwellingStocks!$I$38/1000</f>
        <v>4.6243731644777042E-3</v>
      </c>
      <c r="S33" s="931">
        <f>IFERROR((R33*1000)/E33,0)</f>
        <v>1.5414577214925682</v>
      </c>
      <c r="T33" s="948">
        <f t="shared" si="5"/>
        <v>0.9</v>
      </c>
      <c r="U33" s="932">
        <f t="shared" ref="U33:U35" si="6">X33/R33/W33</f>
        <v>1.0561333333333336E-2</v>
      </c>
      <c r="V33" s="933">
        <v>20</v>
      </c>
      <c r="W33" s="933">
        <v>1</v>
      </c>
      <c r="X33" s="934">
        <f t="shared" ref="X33:X35" si="7">Y33/T33</f>
        <v>4.8839546447770535E-5</v>
      </c>
      <c r="Y33" s="934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R-WH_Apt_BIOETH_X0</v>
      </c>
      <c r="AD33" s="737" t="str">
        <f t="shared" si="4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35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36">
        <f>(E34+E35)/SUM($E$31:$E$49)</f>
        <v>1.4348752962924313E-2</v>
      </c>
      <c r="R34" s="937">
        <f>(Q34)*DwellingStocks!$I$38/1000</f>
        <v>2.9673061138731938</v>
      </c>
      <c r="S34" s="938">
        <f>IFERROR((R34*1000)/(E34+E35),0)</f>
        <v>1.5414577214925682</v>
      </c>
      <c r="T34" s="939">
        <f t="shared" si="5"/>
        <v>0.80677902621722841</v>
      </c>
      <c r="U34" s="939">
        <f t="shared" si="6"/>
        <v>1.3555947507893434E-2</v>
      </c>
      <c r="V34" s="940">
        <v>20</v>
      </c>
      <c r="W34" s="940">
        <v>1</v>
      </c>
      <c r="X34" s="941">
        <f t="shared" si="7"/>
        <v>4.0224645919516272E-2</v>
      </c>
      <c r="Y34" s="942">
        <f>IF(((D34+I34+D35+I35)*$B$2)&lt;=0,0,((D34+I34+D35+I35)*S34*$B$2))</f>
        <v>3.245240066488015E-2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R-WH_Apt_OILLPG_X0</v>
      </c>
      <c r="AD34" s="81" t="str">
        <f t="shared" si="4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9">
        <f>E49/SUM($E$31:$E$49)</f>
        <v>0.28154862177432577</v>
      </c>
      <c r="R35" s="930">
        <f>Q35*DwellingStocks!$I$38/1000</f>
        <v>58.223941056217285</v>
      </c>
      <c r="S35" s="931">
        <f>IFERROR((R35*1000)/E49,0)+0.0095</f>
        <v>1.5509577214925683</v>
      </c>
      <c r="T35" s="932">
        <f>T11</f>
        <v>1</v>
      </c>
      <c r="U35" s="932">
        <f t="shared" si="6"/>
        <v>8.083102095322604E-3</v>
      </c>
      <c r="V35" s="933">
        <v>20</v>
      </c>
      <c r="W35" s="933">
        <v>1</v>
      </c>
      <c r="X35" s="934">
        <f t="shared" si="7"/>
        <v>0.47063005994944968</v>
      </c>
      <c r="Y35" s="934">
        <f>IF(((D49+I49)*$B$2)&lt;=0,0,((D49+I49)*S35*$B$2))</f>
        <v>0.47063005994944968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R-WH_Apt_ELC_X0</v>
      </c>
      <c r="AD35" s="737" t="str">
        <f t="shared" si="4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35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36">
        <f>E36/SUM($E$31:$E$49)</f>
        <v>0.19799788309306937</v>
      </c>
      <c r="R36" s="937">
        <f>Q36*DwellingStocks!$I$38/1000</f>
        <v>40.945741456007092</v>
      </c>
      <c r="S36" s="938">
        <f>IFERROR((R36*1000)/E36,0)+0.0095</f>
        <v>1.5509577214925683</v>
      </c>
      <c r="T36" s="939">
        <f>T12</f>
        <v>3.0701960784313722</v>
      </c>
      <c r="U36" s="939">
        <f t="shared" ref="U36:U41" si="8">X36/R36/W36</f>
        <v>3.7437325065036589E-3</v>
      </c>
      <c r="V36" s="940">
        <v>20</v>
      </c>
      <c r="W36" s="940">
        <v>1</v>
      </c>
      <c r="X36" s="941">
        <f t="shared" ref="X36:X41" si="9">Y36/T36</f>
        <v>0.15328990329174821</v>
      </c>
      <c r="Y36" s="942">
        <f>IF(((D49+I49)*$B$2)&lt;=0,0,((D49+I49)*S36*$B$2))</f>
        <v>0.47063005994944968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R-WH_Apt_ELC_X1</v>
      </c>
      <c r="AD36" s="81" t="str">
        <f t="shared" si="4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9">
        <f>E37/SUM($E$31:$E$49)</f>
        <v>2.8369534429553214E-2</v>
      </c>
      <c r="R37" s="930">
        <f>Q37*DwellingStocks!$I$38/1000</f>
        <v>5.8667880880007148</v>
      </c>
      <c r="S37" s="1039">
        <f>IFERROR((R37*1000)/E37,0)-0.421</f>
        <v>1.1204577214925684</v>
      </c>
      <c r="T37" s="932">
        <f t="shared" ref="T37:T41" si="10">T13</f>
        <v>0.81016216216216219</v>
      </c>
      <c r="U37" s="932">
        <f t="shared" si="8"/>
        <v>1.3324320638422748E-2</v>
      </c>
      <c r="V37" s="933">
        <v>20</v>
      </c>
      <c r="W37" s="933">
        <v>1</v>
      </c>
      <c r="X37" s="934">
        <f t="shared" si="9"/>
        <v>7.8170965602200659E-2</v>
      </c>
      <c r="Y37" s="934">
        <f t="shared" ref="Y37:Y39" si="11">IF(((D37+I37)*$B$2)&lt;=0,0,((D37+I37)*S37*$B$2))</f>
        <v>6.3331158510582894E-2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R-WH_Apt_OILKER_X0</v>
      </c>
      <c r="AD37" s="737" t="str">
        <f t="shared" si="4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46" t="s">
        <v>279</v>
      </c>
      <c r="M38" s="943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9">
        <f>E39/SUM($E$31:$E$49)</f>
        <v>0.40622996765008423</v>
      </c>
      <c r="R39" s="930">
        <f>Q39*DwellingStocks!$I$38/1000</f>
        <v>84.007904363623481</v>
      </c>
      <c r="S39" s="1039">
        <f>IFERROR((R39*1000)/E39,0)-0.449</f>
        <v>1.0924577214925684</v>
      </c>
      <c r="T39" s="932">
        <f t="shared" si="10"/>
        <v>0.81026881720430111</v>
      </c>
      <c r="U39" s="932">
        <f t="shared" si="8"/>
        <v>1.0750801525913725E-2</v>
      </c>
      <c r="V39" s="933">
        <v>20</v>
      </c>
      <c r="W39" s="933">
        <v>1</v>
      </c>
      <c r="X39" s="934">
        <f t="shared" si="9"/>
        <v>0.90315230642125754</v>
      </c>
      <c r="Y39" s="934">
        <f t="shared" si="11"/>
        <v>0.73179615107928886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46" t="s">
        <v>279</v>
      </c>
      <c r="M40" s="943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9">
        <f>(E41+E42)/SUM($E$31:$E$49)</f>
        <v>9.6900669360008349E-5</v>
      </c>
      <c r="R41" s="930">
        <f>Q41*DwellingStocks!$I$38/1000</f>
        <v>2.0038950379403387E-2</v>
      </c>
      <c r="S41" s="931">
        <f>(R41*1000)/(E42+E41)</f>
        <v>1.5414577214925684</v>
      </c>
      <c r="T41" s="932">
        <f t="shared" si="10"/>
        <v>0.52500000000000002</v>
      </c>
      <c r="U41" s="932">
        <f t="shared" si="8"/>
        <v>3.1107692307692305E-2</v>
      </c>
      <c r="V41" s="933">
        <v>20</v>
      </c>
      <c r="W41" s="933">
        <v>1</v>
      </c>
      <c r="X41" s="934">
        <f t="shared" si="9"/>
        <v>6.2336550257159455E-4</v>
      </c>
      <c r="Y41" s="934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46" t="s">
        <v>279</v>
      </c>
      <c r="M42" s="943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35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36">
        <f>E43/SUM($E$31:$E$49)</f>
        <v>2.9070200808002503E-3</v>
      </c>
      <c r="R43" s="937">
        <f>Q43*DwellingStocks!$I$38/1000</f>
        <v>0.6011685113821017</v>
      </c>
      <c r="S43" s="938">
        <f>(R43*1000)/E43-0.1377</f>
        <v>1.4037577214925685</v>
      </c>
      <c r="T43" s="939">
        <f>T19</f>
        <v>0.58177777777777773</v>
      </c>
      <c r="U43" s="939">
        <f t="shared" ref="U43:U45" si="12">X43/R43/W43</f>
        <v>2.5211715079740838E-2</v>
      </c>
      <c r="V43" s="940">
        <v>20</v>
      </c>
      <c r="W43" s="940">
        <v>1</v>
      </c>
      <c r="X43" s="941">
        <f t="shared" ref="X43" si="13">Y43/T43</f>
        <v>1.5156489223877485E-2</v>
      </c>
      <c r="Y43" s="942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9">
        <f>(E47+E44+E45+E46)/SUM($E$31:$E$49)</f>
        <v>1.319339882824729E-3</v>
      </c>
      <c r="R44" s="930">
        <f>Q44*DwellingStocks!$I$38/1000</f>
        <v>0.27283801670418462</v>
      </c>
      <c r="S44" s="931">
        <f>(R44*1000)/(E47+E44+E45+E46)-0.1368</f>
        <v>1.4046577214925684</v>
      </c>
      <c r="T44" s="932">
        <f t="shared" ref="T44:T45" si="15">T20</f>
        <v>0.6880451127819549</v>
      </c>
      <c r="U44" s="932">
        <f t="shared" si="12"/>
        <v>1.6187540969701854E-2</v>
      </c>
      <c r="V44" s="933">
        <v>20</v>
      </c>
      <c r="W44" s="933">
        <v>1</v>
      </c>
      <c r="X44" s="934">
        <f>Y44/T44</f>
        <v>4.416576573491187E-3</v>
      </c>
      <c r="Y44" s="934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35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36">
        <f>E48/SUM($E$31:$E$49)</f>
        <v>6.534832063686101E-2</v>
      </c>
      <c r="R45" s="937">
        <f>Q45*DwellingStocks!$I$38/1000</f>
        <v>13.513959844325345</v>
      </c>
      <c r="S45" s="938">
        <f>(R45*1000)/E48</f>
        <v>1.5414577214925682</v>
      </c>
      <c r="T45" s="939">
        <f t="shared" si="15"/>
        <v>0.39838442187649958</v>
      </c>
      <c r="U45" s="939">
        <f t="shared" si="12"/>
        <v>1.9297841688663006E-3</v>
      </c>
      <c r="V45" s="940">
        <v>20</v>
      </c>
      <c r="W45" s="940">
        <v>1</v>
      </c>
      <c r="X45" s="941">
        <f>Y45/T45</f>
        <v>2.6079025766273949E-2</v>
      </c>
      <c r="Y45" s="942">
        <f>IF(((D48+I48)*$B$2)&lt;=0,0,((D48+I48)*S45*$B$2))</f>
        <v>1.0389477602999384E-2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946" t="s">
        <v>279</v>
      </c>
      <c r="M46" s="943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46" t="s">
        <v>279</v>
      </c>
      <c r="M47" s="943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46"/>
      <c r="M48" s="943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28"/>
      <c r="N49" s="928"/>
      <c r="O49" s="928"/>
      <c r="P49" s="928"/>
      <c r="Q49" s="928"/>
      <c r="R49" s="923">
        <f>SUM(R29:R47)</f>
        <v>206.79888499999998</v>
      </c>
      <c r="S49" s="928"/>
      <c r="T49" s="928"/>
      <c r="U49" s="928"/>
      <c r="V49" s="928"/>
      <c r="W49" s="928"/>
      <c r="X49" s="917">
        <f>SUM(X29:X47)</f>
        <v>1.7009469298309838</v>
      </c>
      <c r="Y49" s="917">
        <f>SUM(Y29:Y47)</f>
        <v>1.7968768131256281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737" t="str">
        <f>COMM!E24</f>
        <v>RSDELC</v>
      </c>
      <c r="P54" s="904" t="str">
        <f>COMM!$O$18</f>
        <v>RSDLT_Apt</v>
      </c>
      <c r="Q54" s="920">
        <v>1</v>
      </c>
      <c r="R54" s="921">
        <f>DwellingStocks!I38/1000</f>
        <v>206.79888499999998</v>
      </c>
      <c r="S54" s="905">
        <f>(R54*1000)/SUM(G54:G62)</f>
        <v>1.5341505003820559</v>
      </c>
      <c r="T54" s="906">
        <f>D54/C54</f>
        <v>0.37037039770119351</v>
      </c>
      <c r="U54" s="906">
        <f>X54/R54/W54</f>
        <v>4.9822250206190887E-3</v>
      </c>
      <c r="V54" s="907">
        <v>10</v>
      </c>
      <c r="W54" s="907">
        <v>1</v>
      </c>
      <c r="X54" s="908">
        <f>Y54/T54</f>
        <v>1.0303185790831295</v>
      </c>
      <c r="Y54" s="908">
        <f>IF(((D54+D55+D56+D57+D58+D59+D60+D61+D62)*$B$2)&lt;=0,0,((D54+D55+D56+D57+D58+D59+D60+D61+D62)*S34*$B$2))</f>
        <v>0.38159950189394726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R-LT_Apt_X0</v>
      </c>
      <c r="AD54" s="737" t="str">
        <f>N54</f>
        <v>Residential Lighting Apartment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LEFT(SETUP!B3,1)&amp;"-"&amp;RIGHT(COMM!$O$21,6)&amp;"_"&amp;SETUP!$B$64</f>
        <v>R-PF_Apt_X0</v>
      </c>
      <c r="N55" s="909" t="str">
        <f>COMM!$P$21&amp;" "&amp;SETUP!$C$64</f>
        <v>Residential Pumps &amp; Fans Apartment Existing 00</v>
      </c>
      <c r="O55" s="81" t="str">
        <f>COMM!E24</f>
        <v>RSDELC</v>
      </c>
      <c r="P55" s="146" t="str">
        <f>LEFT(SETUP!B3,1)&amp;"-"&amp;RIGHT(COMM!$O$21,6)</f>
        <v>R-PF_Apt</v>
      </c>
      <c r="Q55" s="912">
        <v>1</v>
      </c>
      <c r="R55" s="922">
        <f>DwellingStocks!I38/1000</f>
        <v>206.79888499999998</v>
      </c>
      <c r="S55" s="910">
        <f>(R55*1000)/SUM(G54:G62)</f>
        <v>1.5341505003820559</v>
      </c>
      <c r="T55" s="911">
        <f>D55/C55</f>
        <v>0.37037049989705056</v>
      </c>
      <c r="U55" s="911">
        <f t="shared" ref="U55" si="16">X55/R55/W55</f>
        <v>1.0266309705907878E-3</v>
      </c>
      <c r="V55" s="913">
        <v>10</v>
      </c>
      <c r="W55" s="913">
        <v>1</v>
      </c>
      <c r="X55" s="914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R-PF_Apt_X0</v>
      </c>
      <c r="AD55" s="81" t="str">
        <f>N55</f>
        <v>Residential Pumps &amp; Fans Apartment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I26" zoomScale="90" zoomScaleNormal="90" workbookViewId="0">
      <selection activeCell="M27" sqref="M2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9">
        <f>(E7+E14+E16)/SUM($E$7:$E$25)</f>
        <v>1.6565651697171984E-2</v>
      </c>
      <c r="R7" s="930">
        <f>Q7*DwellingStocks!$J$38/1000</f>
        <v>12.695115687614317</v>
      </c>
      <c r="S7" s="1039">
        <f>(R7*1000)/(E7+E14+E16)*DwellingStocks!$U$37-0.112</f>
        <v>1.1801070314999229</v>
      </c>
      <c r="T7" s="932">
        <f>(G7+G14+G16)/300</f>
        <v>0.55798087905732663</v>
      </c>
      <c r="U7" s="932">
        <f>X7/R7/W7</f>
        <v>0.31716604425826517</v>
      </c>
      <c r="V7" s="933">
        <v>20</v>
      </c>
      <c r="W7" s="933">
        <v>1</v>
      </c>
      <c r="X7" s="934">
        <f>Y7/T7</f>
        <v>4.0264596240416788</v>
      </c>
      <c r="Y7" s="934">
        <f>IF(((D7+I7+D14+I14+D16+I16)*$B$2)&lt;=0,0,((D7+I7+D14+I14+D16+I16)*S7*$B$2))</f>
        <v>2.2466874805116088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36">
        <f>E8/SUM($E$7:$E$25)</f>
        <v>2.4098998686604574E-6</v>
      </c>
      <c r="R8" s="937">
        <f>Q8*DwellingStocks!$J$38/1000</f>
        <v>1.8468309117856149E-3</v>
      </c>
      <c r="S8" s="938">
        <f>(R8*1000)/E8*DwellingStocks!$U$37</f>
        <v>1.292107031499923</v>
      </c>
      <c r="T8" s="939">
        <f>(G8)/100</f>
        <v>1</v>
      </c>
      <c r="U8" s="939">
        <f>X8/R8/W8</f>
        <v>1.5552879869479678E-2</v>
      </c>
      <c r="V8" s="940">
        <v>20</v>
      </c>
      <c r="W8" s="940">
        <v>1</v>
      </c>
      <c r="X8" s="941">
        <f>Y8/T8</f>
        <v>2.872353931024329E-5</v>
      </c>
      <c r="Y8" s="942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9">
        <f>E9/SUM($E$7:$E$25)</f>
        <v>0</v>
      </c>
      <c r="R9" s="930">
        <f>Q9*DwellingStocks!$J$38/1000</f>
        <v>0</v>
      </c>
      <c r="S9" s="931">
        <f>IFERROR((R9*1000)/E9*DwellingStocks!$U$37,0)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36">
        <f>(E10+E11)/SUM($E$7:$E$25)</f>
        <v>1.1165066091503898E-2</v>
      </c>
      <c r="R10" s="937">
        <f>(Q10)*DwellingStocks!$J$38/1000</f>
        <v>8.5563676143027525</v>
      </c>
      <c r="S10" s="938">
        <f>(R10*1000)/(E10+E11)*DwellingStocks!$U$37+0.1025</f>
        <v>1.394607031499923</v>
      </c>
      <c r="T10" s="939">
        <f>(G10+G11)/200</f>
        <v>0.8070757743362833</v>
      </c>
      <c r="U10" s="939">
        <f t="shared" ref="U10:U21" si="1">X10/R10/W10</f>
        <v>3.5301709309963514E-2</v>
      </c>
      <c r="V10" s="940">
        <v>20</v>
      </c>
      <c r="W10" s="940">
        <v>1</v>
      </c>
      <c r="X10" s="941">
        <f t="shared" ref="X10:X20" si="2">Y10/T10</f>
        <v>0.3020544022693018</v>
      </c>
      <c r="Y10" s="942">
        <f>IF(((D10+I10+D11+I11)*S10*$B$2)&lt;=0,0,((D10+I10+D11+I11)*S10*$B$2))</f>
        <v>0.24378079060317998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9">
        <f>E25/SUM($E$7:$E$25)</f>
        <v>3.0714173826077527E-2</v>
      </c>
      <c r="R11" s="930">
        <f>(Q11)*DwellingStocks!$J$38/1000</f>
        <v>23.537859970707661</v>
      </c>
      <c r="S11" s="931">
        <f>(R11*1000)/(E25)*DwellingStocks!$U$37+0.0095</f>
        <v>1.3016070314999231</v>
      </c>
      <c r="T11" s="932">
        <f>(G25)/100</f>
        <v>1</v>
      </c>
      <c r="U11" s="932">
        <f t="shared" si="1"/>
        <v>3.0208883012379312E-2</v>
      </c>
      <c r="V11" s="933">
        <v>20</v>
      </c>
      <c r="W11" s="933">
        <v>1</v>
      </c>
      <c r="X11" s="934">
        <f t="shared" si="2"/>
        <v>0.71105245821687368</v>
      </c>
      <c r="Y11" s="934">
        <f>IF(((D25+I25)*S11*$B$2)&lt;=0,0,((D25+I25)*S11*$B$2))</f>
        <v>0.71105245821687368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36">
        <f>E12/SUM($E$7:$E$25)</f>
        <v>5.3020207010398716E-2</v>
      </c>
      <c r="R12" s="937">
        <f>Q12*DwellingStocks!$J$38/1000</f>
        <v>40.632126890195309</v>
      </c>
      <c r="S12" s="938">
        <f>(R12*1000)/E12*DwellingStocks!$U$37+0.0095</f>
        <v>1.3016070314999231</v>
      </c>
      <c r="T12" s="939">
        <f>G12/100</f>
        <v>3.1157627118644071</v>
      </c>
      <c r="U12" s="939">
        <f t="shared" si="1"/>
        <v>1.6742100865974831E-3</v>
      </c>
      <c r="V12" s="940">
        <v>20</v>
      </c>
      <c r="W12" s="940">
        <v>1</v>
      </c>
      <c r="X12" s="941">
        <f t="shared" si="2"/>
        <v>6.8026716679473812E-2</v>
      </c>
      <c r="Y12" s="942">
        <f>IF(((D12+I12)*S12*$B$2)&lt;=0,0,((D12+I12)*S12*$B$2))</f>
        <v>0.21195510724046901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9">
        <f>E13/SUM($E$7:$E$25)</f>
        <v>0.29959152197226208</v>
      </c>
      <c r="R13" s="930">
        <f>Q13*DwellingStocks!$J$38/1000</f>
        <v>229.5924784604523</v>
      </c>
      <c r="S13" s="931">
        <f>(R13*1000)/E13*DwellingStocks!$U$37</f>
        <v>1.292107031499923</v>
      </c>
      <c r="T13" s="932">
        <f>G13/100</f>
        <v>0.81941558441558437</v>
      </c>
      <c r="U13" s="932">
        <f t="shared" si="1"/>
        <v>3.5601883556879516E-2</v>
      </c>
      <c r="V13" s="933">
        <v>20</v>
      </c>
      <c r="W13" s="933">
        <v>1</v>
      </c>
      <c r="X13" s="934">
        <f t="shared" si="2"/>
        <v>8.1739246836843904</v>
      </c>
      <c r="Y13" s="934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9">
        <f>E15/SUM($E$7:$E$25)</f>
        <v>0.54312877299948192</v>
      </c>
      <c r="R15" s="930">
        <f>Q15*DwellingStocks!$J$38/1000</f>
        <v>416.2276699127712</v>
      </c>
      <c r="S15" s="931">
        <f>(R15*1000)/E15*DwellingStocks!$U$37</f>
        <v>1.292107031499923</v>
      </c>
      <c r="T15" s="932">
        <f>G15/100</f>
        <v>0.81729411764705884</v>
      </c>
      <c r="U15" s="932">
        <f t="shared" si="1"/>
        <v>3.3079183321616135E-2</v>
      </c>
      <c r="V15" s="933">
        <v>20</v>
      </c>
      <c r="W15" s="933">
        <v>1</v>
      </c>
      <c r="X15" s="934">
        <f t="shared" si="2"/>
        <v>13.768471396573686</v>
      </c>
      <c r="Y15" s="934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9">
        <f>(E17+E18)/SUM($E$7:$E$25)</f>
        <v>1.4917280187008229E-3</v>
      </c>
      <c r="R17" s="930">
        <f>Q17*DwellingStocks!$J$38/1000</f>
        <v>1.1431883343952955</v>
      </c>
      <c r="S17" s="931">
        <f>(R17*1000)/(E17+E18)*DwellingStocks!$U$37</f>
        <v>1.2921070314999228</v>
      </c>
      <c r="T17" s="932">
        <f>(G17+G18)/200</f>
        <v>0.5509294871794872</v>
      </c>
      <c r="U17" s="932">
        <f t="shared" si="1"/>
        <v>0.14731647589278563</v>
      </c>
      <c r="V17" s="933">
        <v>20</v>
      </c>
      <c r="W17" s="933">
        <v>1</v>
      </c>
      <c r="X17" s="934">
        <f t="shared" si="2"/>
        <v>0.16841047670485831</v>
      </c>
      <c r="Y17" s="934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35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36">
        <f>E19/SUM($E$7:$E$25)</f>
        <v>4.0705618681543779E-2</v>
      </c>
      <c r="R19" s="937">
        <f>Q19*DwellingStocks!$J$38/1000</f>
        <v>31.194820930970817</v>
      </c>
      <c r="S19" s="938">
        <f>(R19*1000)/E19*DwellingStocks!$U$37-0.1377</f>
        <v>1.1544070314999231</v>
      </c>
      <c r="T19" s="939">
        <f>G19/100</f>
        <v>0.57113772455089817</v>
      </c>
      <c r="U19" s="939">
        <f t="shared" si="1"/>
        <v>0.14236988992822197</v>
      </c>
      <c r="V19" s="940">
        <v>20</v>
      </c>
      <c r="W19" s="940">
        <v>1</v>
      </c>
      <c r="X19" s="941">
        <f t="shared" si="2"/>
        <v>4.4412032222729101</v>
      </c>
      <c r="Y19" s="942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R-SH_Att_SMF_X0</v>
      </c>
      <c r="AD19" s="737" t="str">
        <f t="shared" si="3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9">
        <f>(E20+E21+E22+E23)/SUM($E$7:$E$25)</f>
        <v>1.1639816365630008E-3</v>
      </c>
      <c r="R20" s="930">
        <f>Q20*DwellingStocks!$J$38/1000</f>
        <v>0.89201933039245196</v>
      </c>
      <c r="S20" s="931">
        <f>(R20*1000)/(E20+E21+E22+E23)*DwellingStocks!$U$37-0.1368</f>
        <v>1.155307031499923</v>
      </c>
      <c r="T20" s="932">
        <f>(G21+G22+G23)/300</f>
        <v>0.70400656814449913</v>
      </c>
      <c r="U20" s="932">
        <f t="shared" si="1"/>
        <v>0.11365339045609044</v>
      </c>
      <c r="V20" s="933">
        <v>20</v>
      </c>
      <c r="W20" s="933">
        <v>1</v>
      </c>
      <c r="X20" s="934">
        <f t="shared" si="2"/>
        <v>0.10138102125147368</v>
      </c>
      <c r="Y20" s="934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R-SH_Att_BIOWOO_X0</v>
      </c>
      <c r="AD20" s="81" t="str">
        <f t="shared" si="3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35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36">
        <f>E24/SUM($E$7:$E$25)</f>
        <v>2.4508681664276851E-3</v>
      </c>
      <c r="R21" s="937">
        <f>Q21*DwellingStocks!$J$38/1000</f>
        <v>1.8782270372859704</v>
      </c>
      <c r="S21" s="938">
        <f>(R21*1000)/E24*DwellingStocks!$U$37</f>
        <v>1.292107031499923</v>
      </c>
      <c r="T21" s="939">
        <f>G24/100</f>
        <v>0.60949973059968388</v>
      </c>
      <c r="U21" s="939">
        <f t="shared" si="1"/>
        <v>3.8833869683419862E-2</v>
      </c>
      <c r="V21" s="940">
        <v>20</v>
      </c>
      <c r="W21" s="940">
        <v>1</v>
      </c>
      <c r="X21" s="941">
        <f>Y21/T21</f>
        <v>7.2938824001839153E-2</v>
      </c>
      <c r="Y21" s="942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R-SH_Att_HET_X0</v>
      </c>
      <c r="AD21" s="737" t="str">
        <f t="shared" si="3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28"/>
      <c r="N25" s="928"/>
      <c r="O25" s="928"/>
      <c r="P25" s="928"/>
      <c r="Q25" s="928"/>
      <c r="R25" s="923">
        <f>SUM(R6:R23)</f>
        <v>766.35172099999988</v>
      </c>
      <c r="S25" s="928"/>
      <c r="T25" s="928"/>
      <c r="U25" s="928"/>
      <c r="V25" s="928"/>
      <c r="W25" s="928"/>
      <c r="X25" s="917">
        <f>SUM(X6:X23)</f>
        <v>31.833951549235795</v>
      </c>
      <c r="Y25" s="917">
        <f>SUM(Y6:Y23)</f>
        <v>24.109386611802456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9">
        <f>(E31+E38+E40)/SUM($E$31:$E$49)</f>
        <v>1.5434448447584457E-2</v>
      </c>
      <c r="R31" s="930">
        <f>Q31*DwellingStocks!$J$38/1000</f>
        <v>11.828216130492125</v>
      </c>
      <c r="S31" s="1039">
        <f>IFERROR((R31*1000)/(E31+E38+E40),0)-0.112</f>
        <v>1.7460295523864473</v>
      </c>
      <c r="T31" s="932">
        <f>T7</f>
        <v>0.55798087905732663</v>
      </c>
      <c r="U31" s="932">
        <f>IFERROR(X31/R31/W31,0)</f>
        <v>3.0017611354128521E-2</v>
      </c>
      <c r="V31" s="933">
        <v>20</v>
      </c>
      <c r="W31" s="933">
        <v>1</v>
      </c>
      <c r="X31" s="934">
        <f>Y31/T31</f>
        <v>0.35505479481774654</v>
      </c>
      <c r="Y31" s="934">
        <f>IF(((D31+I31+D38+I38+D40+I40)*$B$2)&lt;=0,0,((D31+I31+D38+I38+D40+I40)*S31*$B$2))</f>
        <v>0.19811378652592496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R-WH_Att_COA_X0</v>
      </c>
      <c r="AD31" s="737" t="str">
        <f t="shared" si="4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35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36">
        <f>E32/SUM($E$31:$E$49)</f>
        <v>7.2735383824620442E-6</v>
      </c>
      <c r="R32" s="937">
        <f>Q32*DwellingStocks!$J$38/1000</f>
        <v>5.574088657159343E-3</v>
      </c>
      <c r="S32" s="938">
        <f>IFERROR((R32*1000)/E32,0)</f>
        <v>1.8580295523864476</v>
      </c>
      <c r="T32" s="939">
        <f t="shared" ref="T32:T34" si="5">T8</f>
        <v>1</v>
      </c>
      <c r="U32" s="939">
        <f>X32/R32/W32</f>
        <v>1.4020800000000002E-2</v>
      </c>
      <c r="V32" s="940">
        <v>20</v>
      </c>
      <c r="W32" s="940">
        <v>1</v>
      </c>
      <c r="X32" s="941">
        <f>Y32/T32</f>
        <v>7.8153182244299725E-5</v>
      </c>
      <c r="Y32" s="942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R-WH_Att_BIODST_X0</v>
      </c>
      <c r="AD32" s="81" t="str">
        <f t="shared" si="4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9">
        <f>E33/SUM($E$31:$E$49)</f>
        <v>2.4245127941540146E-6</v>
      </c>
      <c r="R33" s="930">
        <f>Q33*DwellingStocks!$J$38/1000</f>
        <v>1.8580295523864473E-3</v>
      </c>
      <c r="S33" s="931">
        <f>IFERROR((R33*1000)/E33,0)</f>
        <v>1.8580295523864474</v>
      </c>
      <c r="T33" s="948">
        <v>0.9</v>
      </c>
      <c r="U33" s="932">
        <f>IFERROR(X33/R33/W33,0)</f>
        <v>1.3083999999999998E-2</v>
      </c>
      <c r="V33" s="933">
        <v>20</v>
      </c>
      <c r="W33" s="933">
        <v>1</v>
      </c>
      <c r="X33" s="934">
        <f>IFERROR(Y33/T33,0)</f>
        <v>2.4310458663424274E-5</v>
      </c>
      <c r="Y33" s="934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R-WH_Att_BIOETH_X0</v>
      </c>
      <c r="AD33" s="737" t="str">
        <f t="shared" si="4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35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36">
        <f>(E34+E35)/SUM($E$31:$E$49)</f>
        <v>1.137096500458233E-2</v>
      </c>
      <c r="R34" s="937">
        <f>(Q34)*DwellingStocks!$J$38/1000</f>
        <v>8.7141586006924392</v>
      </c>
      <c r="S34" s="938">
        <f>IFERROR((R34*1000)/(E34+E35),0)</f>
        <v>1.8580295523864476</v>
      </c>
      <c r="T34" s="939">
        <f t="shared" si="5"/>
        <v>0.8070757743362833</v>
      </c>
      <c r="U34" s="939">
        <f t="shared" ref="U34:U41" si="6">X34/R34/W34</f>
        <v>1.7905864460113989E-2</v>
      </c>
      <c r="V34" s="940">
        <v>20</v>
      </c>
      <c r="W34" s="940">
        <v>1</v>
      </c>
      <c r="X34" s="941">
        <f t="shared" ref="X34:X41" si="7">Y34/T34</f>
        <v>0.15603454278793541</v>
      </c>
      <c r="Y34" s="942">
        <f>IF(((D34+I34+D35+I35)*$B$2)&lt;=0,0,((D34+I34+D35+I35)*S34*$B$2))</f>
        <v>0.12593169944378091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R-WH_Att_OILLPG_X0</v>
      </c>
      <c r="AD34" s="81" t="str">
        <f t="shared" si="4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9">
        <f>E49/SUM($E$31:$E$49)</f>
        <v>3.0900415561492919E-2</v>
      </c>
      <c r="R35" s="930">
        <f>Q35*DwellingStocks!$J$38/1000</f>
        <v>23.680586645165274</v>
      </c>
      <c r="S35" s="931">
        <f>IFERROR((R35*1000)/E49,0)+0.0095</f>
        <v>1.8675295523864475</v>
      </c>
      <c r="T35" s="932">
        <f>T11</f>
        <v>1</v>
      </c>
      <c r="U35" s="932">
        <f t="shared" si="6"/>
        <v>1.2405632205887996E-2</v>
      </c>
      <c r="V35" s="933">
        <v>20</v>
      </c>
      <c r="W35" s="933">
        <v>1</v>
      </c>
      <c r="X35" s="934">
        <f t="shared" si="7"/>
        <v>0.2937726483395835</v>
      </c>
      <c r="Y35" s="934">
        <f>IF(((D49+I49)*$B$2)&lt;=0,0,((D49+I49)*S35*$B$2))</f>
        <v>0.2937726483395835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R-WH_Att_ELC_X0</v>
      </c>
      <c r="AD35" s="737" t="str">
        <f t="shared" si="4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35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36">
        <f>E36/SUM($E$31:$E$49)</f>
        <v>5.2599805069171349E-2</v>
      </c>
      <c r="R36" s="937">
        <f>Q36*DwellingStocks!$J$38/1000</f>
        <v>40.30995113902398</v>
      </c>
      <c r="S36" s="938">
        <f>IFERROR((R36*1000)/E36,0)+0.0095</f>
        <v>1.8675295523864475</v>
      </c>
      <c r="T36" s="939">
        <f>T12</f>
        <v>3.1157627118644071</v>
      </c>
      <c r="U36" s="939">
        <f t="shared" si="6"/>
        <v>2.3390241784327667E-3</v>
      </c>
      <c r="V36" s="940">
        <v>20</v>
      </c>
      <c r="W36" s="940">
        <v>1</v>
      </c>
      <c r="X36" s="941">
        <f t="shared" si="7"/>
        <v>9.4285950345620539E-2</v>
      </c>
      <c r="Y36" s="942">
        <f>IF(((D49+I49)*$B$2)&lt;=0,0,((D49+I49)*S36*$B$2))</f>
        <v>0.2937726483395835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R-WH_Att_ELC_X1</v>
      </c>
      <c r="AD36" s="81" t="str">
        <f t="shared" si="4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9">
        <f>E37/SUM($E$31:$E$49)</f>
        <v>0.29961159305037655</v>
      </c>
      <c r="R37" s="930">
        <f>Q37*DwellingStocks!$J$38/1000</f>
        <v>229.60785996570763</v>
      </c>
      <c r="S37" s="1039">
        <f>IFERROR((R37*1000)/E37,0)-0.421</f>
        <v>1.4370295523864476</v>
      </c>
      <c r="T37" s="932">
        <f t="shared" ref="T37:T41" si="8">T13</f>
        <v>0.81941558441558437</v>
      </c>
      <c r="U37" s="932">
        <f t="shared" si="6"/>
        <v>1.3964582695912109E-2</v>
      </c>
      <c r="V37" s="933">
        <v>20</v>
      </c>
      <c r="W37" s="933">
        <v>1</v>
      </c>
      <c r="X37" s="934">
        <f t="shared" si="7"/>
        <v>3.2063779481225314</v>
      </c>
      <c r="Y37" s="934">
        <f t="shared" ref="Y37:Y39" si="9">IF(((D37+I37)*$B$2)&lt;=0,0,((D37+I37)*S37*$B$2))</f>
        <v>2.6273560602180663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R-WH_Att_OILKER_X0</v>
      </c>
      <c r="AD37" s="737" t="str">
        <f t="shared" si="4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9">
        <f>E39/SUM($E$31:$E$49)</f>
        <v>0.54443889500404896</v>
      </c>
      <c r="R39" s="930">
        <f>Q39*DwellingStocks!$J$38/1000</f>
        <v>417.23168416569109</v>
      </c>
      <c r="S39" s="1039">
        <f>IFERROR((R39*1000)/E39,0)-0.449</f>
        <v>1.4090295523864473</v>
      </c>
      <c r="T39" s="932">
        <f t="shared" si="8"/>
        <v>0.81729411764705884</v>
      </c>
      <c r="U39" s="932">
        <f t="shared" si="6"/>
        <v>1.3716541107895117E-2</v>
      </c>
      <c r="V39" s="933">
        <v>20</v>
      </c>
      <c r="W39" s="933">
        <v>1</v>
      </c>
      <c r="X39" s="934">
        <f t="shared" si="7"/>
        <v>5.7229755473750137</v>
      </c>
      <c r="Y39" s="934">
        <f t="shared" si="9"/>
        <v>4.6773542503075554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9">
        <f>(E41+E42)/SUM($E$31:$E$49)</f>
        <v>1.5516881882585694E-3</v>
      </c>
      <c r="R41" s="930">
        <f>Q41*DwellingStocks!$J$38/1000</f>
        <v>1.1891389135273265</v>
      </c>
      <c r="S41" s="931">
        <f>(R41*1000)/(E42+E41)</f>
        <v>1.8580295523864474</v>
      </c>
      <c r="T41" s="932">
        <f t="shared" si="8"/>
        <v>0.5509294871794872</v>
      </c>
      <c r="U41" s="932">
        <f t="shared" si="6"/>
        <v>3.5816488015591362E-2</v>
      </c>
      <c r="V41" s="933">
        <v>20</v>
      </c>
      <c r="W41" s="933">
        <v>1</v>
      </c>
      <c r="X41" s="934">
        <f t="shared" si="7"/>
        <v>4.259077964522482E-2</v>
      </c>
      <c r="Y41" s="934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35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36">
        <f>E43/SUM($E$31:$E$49)</f>
        <v>4.0440873406488963E-2</v>
      </c>
      <c r="R43" s="937">
        <f>Q43*DwellingStocks!$J$38/1000</f>
        <v>30.991932933805941</v>
      </c>
      <c r="S43" s="938">
        <f>(R43*1000)/E43-0.1377</f>
        <v>1.7203295523864472</v>
      </c>
      <c r="T43" s="939">
        <f>T19</f>
        <v>0.57113772455089817</v>
      </c>
      <c r="U43" s="939">
        <f t="shared" ref="U43:U45" si="10">X43/R43/W43</f>
        <v>2.8623370438912096E-2</v>
      </c>
      <c r="V43" s="940">
        <v>20</v>
      </c>
      <c r="W43" s="940">
        <v>1</v>
      </c>
      <c r="X43" s="941">
        <f t="shared" ref="X43" si="11">Y43/T43</f>
        <v>0.88709357698224722</v>
      </c>
      <c r="Y43" s="942">
        <f>IF(((D43+I43)*$B$2)&lt;=0,0,((D43+I43)*S43*$B$2))</f>
        <v>0.50665260702135773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9">
        <f>(E47+E44+E45+E46)/SUM($E$31:$E$49)</f>
        <v>1.1758887051646972E-3</v>
      </c>
      <c r="R44" s="930">
        <f>Q44*DwellingStocks!$J$38/1000</f>
        <v>0.90114433290742701</v>
      </c>
      <c r="S44" s="931">
        <f>(R44*1000)/(E47+E44+E45+E46)-0.1368</f>
        <v>1.7212295523864474</v>
      </c>
      <c r="T44" s="932">
        <f t="shared" ref="T44:T45" si="13">T20</f>
        <v>0.70400656814449913</v>
      </c>
      <c r="U44" s="932">
        <f t="shared" si="10"/>
        <v>1.788755847151639E-2</v>
      </c>
      <c r="V44" s="933">
        <v>20</v>
      </c>
      <c r="W44" s="933">
        <v>1</v>
      </c>
      <c r="X44" s="934">
        <f>Y44/T44</f>
        <v>1.6119271946157233E-2</v>
      </c>
      <c r="Y44" s="934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35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36">
        <f>E48/SUM($E$31:$E$49)</f>
        <v>2.465729511654633E-3</v>
      </c>
      <c r="R45" s="937">
        <f>Q45*DwellingStocks!$J$38/1000</f>
        <v>1.8896160547770171</v>
      </c>
      <c r="S45" s="938">
        <f>(R45*1000)/E48</f>
        <v>1.8580295523864474</v>
      </c>
      <c r="T45" s="939">
        <f t="shared" si="13"/>
        <v>0.60949973059968388</v>
      </c>
      <c r="U45" s="939">
        <f t="shared" si="10"/>
        <v>2.0711006137833035E-3</v>
      </c>
      <c r="V45" s="940">
        <v>20</v>
      </c>
      <c r="W45" s="940">
        <v>1</v>
      </c>
      <c r="X45" s="941">
        <f>Y45/T45</f>
        <v>3.9135849708634646E-3</v>
      </c>
      <c r="Y45" s="942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28"/>
      <c r="N49" s="928"/>
      <c r="O49" s="928"/>
      <c r="P49" s="928"/>
      <c r="Q49" s="928"/>
      <c r="R49" s="923">
        <f>SUM(R29:R47)</f>
        <v>766.35172099999977</v>
      </c>
      <c r="S49" s="928"/>
      <c r="T49" s="928"/>
      <c r="U49" s="928"/>
      <c r="V49" s="928"/>
      <c r="W49" s="928"/>
      <c r="X49" s="917">
        <f>SUM(X29:X47)</f>
        <v>10.778321108973833</v>
      </c>
      <c r="Y49" s="917">
        <f>SUM(Y29:Y47)</f>
        <v>8.7602516514886357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18" t="str">
        <f>COMM!E24</f>
        <v>RSDELC</v>
      </c>
      <c r="P54" s="904" t="str">
        <f>COMM!$O$19</f>
        <v>RSDLT_Att</v>
      </c>
      <c r="Q54" s="920">
        <v>1</v>
      </c>
      <c r="R54" s="921">
        <f>DwellingStocks!J38/1000</f>
        <v>766.35172099999977</v>
      </c>
      <c r="S54" s="905">
        <f>(R54*1000)/SUM(G54:G62)</f>
        <v>1.8468175598494301</v>
      </c>
      <c r="T54" s="906">
        <f>D54/C54</f>
        <v>0.37037026747260959</v>
      </c>
      <c r="U54" s="906">
        <f t="shared" ref="U54:U55" si="14">X54/R54/W54</f>
        <v>6.9169981530450911E-3</v>
      </c>
      <c r="V54" s="907">
        <v>10</v>
      </c>
      <c r="W54" s="907">
        <v>1</v>
      </c>
      <c r="X54" s="908">
        <f>Y54/T54</f>
        <v>5.3008534387399253</v>
      </c>
      <c r="Y54" s="908">
        <f>IF(((D54+D55+D56+D57+D58+D59+D60+D61+D62)*$B$2)&lt;=0,0,((D54+D55+D56+D57+D58+D59+D60+D61+D62)*S34*$B$2))</f>
        <v>1.9632785059392084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R-LT_Att_X0</v>
      </c>
      <c r="AD54" s="737" t="str">
        <f>N54</f>
        <v>Residential Lighting Attached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LEFT(SETUP!B3,1)&amp;"-"&amp;RIGHT(COMM!$O$22,6)&amp;"_"&amp;SETUP!$B$64</f>
        <v>R-PF_Att_X0</v>
      </c>
      <c r="N55" s="909" t="str">
        <f>COMM!$P$22&amp;" "&amp;SETUP!$C$64</f>
        <v>Residential Pumps &amp; Fans Attached Existing 00</v>
      </c>
      <c r="O55" s="81" t="str">
        <f>COMM!E24</f>
        <v>RSDELC</v>
      </c>
      <c r="P55" s="146" t="str">
        <f>COMM!$O$22</f>
        <v>RSDPF_Att</v>
      </c>
      <c r="Q55" s="912">
        <v>1</v>
      </c>
      <c r="R55" s="922">
        <f>DwellingStocks!J38/1000</f>
        <v>766.35172099999977</v>
      </c>
      <c r="S55" s="910">
        <f>(R55*1000)/SUM(G54:G62)</f>
        <v>1.8468175598494301</v>
      </c>
      <c r="T55" s="911">
        <f>D55/C55</f>
        <v>0.37037053565156741</v>
      </c>
      <c r="U55" s="911">
        <f t="shared" si="14"/>
        <v>1.9154301871317243E-3</v>
      </c>
      <c r="V55" s="913">
        <v>10</v>
      </c>
      <c r="W55" s="913">
        <v>1</v>
      </c>
      <c r="X55" s="914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R-PF_Att_X0</v>
      </c>
      <c r="AD55" s="81" t="str">
        <f>N55</f>
        <v>Residential Pumps &amp; Fans Attached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G1" zoomScale="70" zoomScaleNormal="70" workbookViewId="0">
      <selection activeCell="Z11" sqref="Z11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9">
        <f>(E7+E14+E16)/SUM($E$7:$E$25)</f>
        <v>6.0080307972788707E-3</v>
      </c>
      <c r="R7" s="930">
        <f>Q7*DwellingStocks!$K$38/1000</f>
        <v>4.3523961222963861</v>
      </c>
      <c r="S7" s="931">
        <f>(R7*1000)/(E7+E14+E16)*DwellingStocks!$V$37-0.112</f>
        <v>1.8337216031108408</v>
      </c>
      <c r="T7" s="932">
        <f>(G7+G14+G16)/300</f>
        <v>0.61986329460013678</v>
      </c>
      <c r="U7" s="932">
        <f>X7/R7/W7</f>
        <v>0.70002706190548614</v>
      </c>
      <c r="V7" s="933">
        <v>20</v>
      </c>
      <c r="W7" s="933">
        <v>1</v>
      </c>
      <c r="X7" s="934">
        <f>Y7/T7</f>
        <v>3.0467950697399702</v>
      </c>
      <c r="Y7" s="934">
        <f>IF(((D7+I7+D14+I14+D16+I16)*$B$2)&lt;=0,0,((D7+I7+D14+I14+D16+I16)*S7*$B$2))</f>
        <v>1.8885964299004714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36">
        <f>E8/SUM($E$7:$E$25)</f>
        <v>0</v>
      </c>
      <c r="R8" s="937">
        <f>Q8*DwellingStocks!$K$38/1000</f>
        <v>0</v>
      </c>
      <c r="S8" s="938">
        <f>IFERROR((R8*1000)/E8*DwellingStocks!$V$37,0)</f>
        <v>0</v>
      </c>
      <c r="T8" s="947">
        <v>0.9</v>
      </c>
      <c r="U8" s="939">
        <f>IFERROR(X8/R8/W8,0)</f>
        <v>0</v>
      </c>
      <c r="V8" s="940">
        <v>20</v>
      </c>
      <c r="W8" s="940">
        <v>1</v>
      </c>
      <c r="X8" s="941">
        <f>IFERROR(Y8/T8,0)</f>
        <v>0</v>
      </c>
      <c r="Y8" s="942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9">
        <f>E9/SUM($E$7:$E$25)</f>
        <v>0</v>
      </c>
      <c r="R9" s="930">
        <f>Q9*DwellingStocks!$K$38/1000</f>
        <v>0</v>
      </c>
      <c r="S9" s="931">
        <f>IFERROR((R9*1000)/E9*DwellingStocks!$V$37,0)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36">
        <f>(E10+E11)/SUM($E$7:$E$25)</f>
        <v>2.2058324983614461E-2</v>
      </c>
      <c r="R10" s="937">
        <f>(Q10)*DwellingStocks!$K$38/1000</f>
        <v>15.979706390073751</v>
      </c>
      <c r="S10" s="938">
        <f>(R10*1000)/(E10+E11)*DwellingStocks!$V$37+0.1025</f>
        <v>2.0482216031108407</v>
      </c>
      <c r="T10" s="939">
        <f>(G10+G11)/200</f>
        <v>0.82661774762699336</v>
      </c>
      <c r="U10" s="939">
        <f t="shared" ref="U10:U21" si="1">X10/R10/W10</f>
        <v>7.9424312302299169E-2</v>
      </c>
      <c r="V10" s="940">
        <v>20</v>
      </c>
      <c r="W10" s="940">
        <v>1</v>
      </c>
      <c r="X10" s="941">
        <f t="shared" ref="X10:X20" si="2">Y10/T10</f>
        <v>1.2691771908242633</v>
      </c>
      <c r="Y10" s="942">
        <f>IF(((D10+I10+D11+I11)*S10*$B$2)&lt;=0,0,((D10+I10+D11+I11)*S10*$B$2))</f>
        <v>1.0491243908187073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9">
        <f>E25/SUM($E$7:$E$25)</f>
        <v>2.3727013161165898E-2</v>
      </c>
      <c r="R11" s="930">
        <f>(Q11)*DwellingStocks!$K$38/1000</f>
        <v>17.188553714322843</v>
      </c>
      <c r="S11" s="931">
        <f>(R11*1000)/(E25)*DwellingStocks!$V$37+0.0095</f>
        <v>1.9552216031108407</v>
      </c>
      <c r="T11" s="932">
        <f>(G25)/100</f>
        <v>0.99952095808383234</v>
      </c>
      <c r="U11" s="932">
        <f t="shared" si="1"/>
        <v>4.9601167825948943E-2</v>
      </c>
      <c r="V11" s="933">
        <v>20</v>
      </c>
      <c r="W11" s="933">
        <v>1</v>
      </c>
      <c r="X11" s="934">
        <f t="shared" si="2"/>
        <v>0.85257233746946537</v>
      </c>
      <c r="Y11" s="934">
        <f>IF(((D25+I25)*S11*$B$2)&lt;=0,0,((D25+I25)*S11*$B$2))</f>
        <v>0.85216391958325244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36">
        <f>E12/SUM($E$7:$E$25)</f>
        <v>4.3679702272881371E-2</v>
      </c>
      <c r="R12" s="937">
        <f>Q12*DwellingStocks!$K$38/1000</f>
        <v>31.642874880344134</v>
      </c>
      <c r="S12" s="938">
        <f>(R12*1000)/E12*DwellingStocks!$V$37+0.0095</f>
        <v>1.9552216031108407</v>
      </c>
      <c r="T12" s="939">
        <f>G12/100</f>
        <v>3.0897837837837834</v>
      </c>
      <c r="U12" s="939">
        <f t="shared" si="1"/>
        <v>3.1841447774122508E-3</v>
      </c>
      <c r="V12" s="940">
        <v>20</v>
      </c>
      <c r="W12" s="940">
        <v>1</v>
      </c>
      <c r="X12" s="941">
        <f t="shared" si="2"/>
        <v>0.10075549479255708</v>
      </c>
      <c r="Y12" s="942">
        <f>IF(((D12+I12)*S12*$B$2)&lt;=0,0,((D12+I12)*S12*$B$2))</f>
        <v>0.31131269393715427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9">
        <f>E13/SUM($E$7:$E$25)</f>
        <v>0.69522898319258097</v>
      </c>
      <c r="R13" s="930">
        <f>Q13*DwellingStocks!$K$38/1000</f>
        <v>503.64454388714694</v>
      </c>
      <c r="S13" s="931">
        <f>(R13*1000)/E13*DwellingStocks!$V$37</f>
        <v>1.9457216031108406</v>
      </c>
      <c r="T13" s="932">
        <f>G13/100</f>
        <v>0.82280373831775711</v>
      </c>
      <c r="U13" s="932">
        <f t="shared" si="1"/>
        <v>6.1266557932511269E-2</v>
      </c>
      <c r="V13" s="933">
        <v>20</v>
      </c>
      <c r="W13" s="933">
        <v>1</v>
      </c>
      <c r="X13" s="934">
        <f t="shared" si="2"/>
        <v>30.856567625455103</v>
      </c>
      <c r="Y13" s="934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46" t="s">
        <v>279</v>
      </c>
      <c r="M14" s="946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9">
        <f>E15/SUM($E$7:$E$25)</f>
        <v>0.15689058980405157</v>
      </c>
      <c r="R15" s="930">
        <f>Q15*DwellingStocks!$K$38/1000</f>
        <v>113.65620745439924</v>
      </c>
      <c r="S15" s="931">
        <f>(R15*1000)/E15*DwellingStocks!$V$37</f>
        <v>1.9457216031108406</v>
      </c>
      <c r="T15" s="932">
        <f>G15/100</f>
        <v>0.82728758169934635</v>
      </c>
      <c r="U15" s="932">
        <f t="shared" si="1"/>
        <v>5.4120944584218275E-2</v>
      </c>
      <c r="V15" s="933">
        <v>20</v>
      </c>
      <c r="W15" s="933">
        <v>1</v>
      </c>
      <c r="X15" s="934">
        <f t="shared" si="2"/>
        <v>6.1511813052919573</v>
      </c>
      <c r="Y15" s="934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46" t="s">
        <v>279</v>
      </c>
      <c r="M16" s="946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9">
        <f>(E17+E18)/SUM($E$7:$E$25)</f>
        <v>2.90419545122383E-3</v>
      </c>
      <c r="R17" s="930">
        <f>Q17*DwellingStocks!$K$38/1000</f>
        <v>2.1038855236931115</v>
      </c>
      <c r="S17" s="931">
        <f>(R17*1000)/(E17+E18)*DwellingStocks!$V$37</f>
        <v>1.9457216031108406</v>
      </c>
      <c r="T17" s="932">
        <f>(G17+G18)/200</f>
        <v>0.5457894736842106</v>
      </c>
      <c r="U17" s="932">
        <f t="shared" si="1"/>
        <v>0.29469883978286854</v>
      </c>
      <c r="V17" s="933">
        <v>20</v>
      </c>
      <c r="W17" s="933">
        <v>1</v>
      </c>
      <c r="X17" s="934">
        <f t="shared" si="2"/>
        <v>0.62001262286833281</v>
      </c>
      <c r="Y17" s="934">
        <f>IF(((D17+I17)+D18+I18*$B$2)&lt;=0,0,((D17+I17+D18+I18)*S17*$B$2))</f>
        <v>0.3383963631128743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46" t="s">
        <v>279</v>
      </c>
      <c r="M18" s="946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35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36">
        <f>E19/SUM($E$7:$E$25)</f>
        <v>4.3826607101153388E-2</v>
      </c>
      <c r="R19" s="937">
        <f>Q19*DwellingStocks!$K$38/1000</f>
        <v>31.749297105278025</v>
      </c>
      <c r="S19" s="1038">
        <f>(R19*1000)/E19*DwellingStocks!$V$37-0.1377</f>
        <v>1.8080216031108407</v>
      </c>
      <c r="T19" s="939">
        <f>G19/100</f>
        <v>0.61474226804123711</v>
      </c>
      <c r="U19" s="939">
        <f t="shared" si="1"/>
        <v>0.34349747862381369</v>
      </c>
      <c r="V19" s="940">
        <v>20</v>
      </c>
      <c r="W19" s="940">
        <v>1</v>
      </c>
      <c r="X19" s="941">
        <f t="shared" si="2"/>
        <v>10.905803503741348</v>
      </c>
      <c r="Y19" s="942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R-SH_Det_SMF_X0</v>
      </c>
      <c r="AD19" s="737" t="str">
        <f t="shared" si="3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9">
        <f>(E20+E21+E22+E23)/SUM($E$7:$E$25)</f>
        <v>4.9608630470321458E-3</v>
      </c>
      <c r="R20" s="930">
        <f>Q20*DwellingStocks!$K$38/1000</f>
        <v>3.5937966727676112</v>
      </c>
      <c r="S20" s="931">
        <f>(R20*1000)/(E20+E21+E22+E23)*DwellingStocks!$V$37-0.1368</f>
        <v>1.8089216031108406</v>
      </c>
      <c r="T20" s="932">
        <f>(G21+G22+G23)/300</f>
        <v>0.72928609692169366</v>
      </c>
      <c r="U20" s="932">
        <f t="shared" si="1"/>
        <v>0.14135666346471074</v>
      </c>
      <c r="V20" s="933">
        <v>20</v>
      </c>
      <c r="W20" s="933">
        <v>1</v>
      </c>
      <c r="X20" s="934">
        <f t="shared" si="2"/>
        <v>0.50800710683300843</v>
      </c>
      <c r="Y20" s="934">
        <f>IF(((D20+I20+D21+I21+D22+I22+D23+I23)*$B$2)&lt;=0,0,((D20+I20+D21+I21+D22+I22+D23+I23)*S20*$B$2))</f>
        <v>0.37048252015072658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R-SH_Det_BIOWOO_X0</v>
      </c>
      <c r="AD20" s="81" t="str">
        <f t="shared" si="3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35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36">
        <f>E24/SUM($E$7:$E$25)</f>
        <v>7.156901890175457E-4</v>
      </c>
      <c r="R21" s="937">
        <f>Q21*DwellingStocks!$K$38/1000</f>
        <v>0.51846724967793933</v>
      </c>
      <c r="S21" s="938">
        <f>(R21*1000)/E24*DwellingStocks!$V$37</f>
        <v>1.9457216031108402</v>
      </c>
      <c r="T21" s="939">
        <f>G24/100</f>
        <v>0.65865731206453049</v>
      </c>
      <c r="U21" s="939">
        <f t="shared" si="1"/>
        <v>0.4379522891155736</v>
      </c>
      <c r="V21" s="940">
        <v>20</v>
      </c>
      <c r="W21" s="940">
        <v>1</v>
      </c>
      <c r="X21" s="941">
        <f>Y21/T21</f>
        <v>0.22706391882790916</v>
      </c>
      <c r="Y21" s="942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R-SH_Det_HET_X0</v>
      </c>
      <c r="AD21" s="737" t="str">
        <f t="shared" si="3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946" t="s">
        <v>279</v>
      </c>
      <c r="M22" s="946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46" t="s">
        <v>279</v>
      </c>
      <c r="M23" s="946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46"/>
      <c r="M24" s="946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28"/>
      <c r="N25" s="928"/>
      <c r="O25" s="928"/>
      <c r="P25" s="928"/>
      <c r="Q25" s="928"/>
      <c r="R25" s="923">
        <f>SUM(R6:R23)</f>
        <v>724.42972899999995</v>
      </c>
      <c r="S25" s="928"/>
      <c r="T25" s="928"/>
      <c r="U25" s="928"/>
      <c r="V25" s="928"/>
      <c r="W25" s="928"/>
      <c r="X25" s="917">
        <f>SUM(X6:X23)</f>
        <v>54.537936175843903</v>
      </c>
      <c r="Y25" s="917">
        <f>SUM(Y6:Y23)</f>
        <v>42.141587109175582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37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9">
        <f>(E31+E38+E40)/SUM($E$31:$E$49)</f>
        <v>5.7036318322774577E-3</v>
      </c>
      <c r="R31" s="930">
        <f>Q31*DwellingStocks!$K$38/1000</f>
        <v>4.1318804625725312</v>
      </c>
      <c r="S31" s="1039">
        <f>IFERROR((R31*1000)/(E31+E38+E40),0)-0.112</f>
        <v>2.6444245914426494</v>
      </c>
      <c r="T31" s="932">
        <f>T7</f>
        <v>0.61986329460013678</v>
      </c>
      <c r="U31" s="932">
        <f>IFERROR(X31/R31/W31,0)</f>
        <v>2.9775014048293018E-2</v>
      </c>
      <c r="V31" s="933">
        <v>20</v>
      </c>
      <c r="W31" s="933">
        <v>1</v>
      </c>
      <c r="X31" s="934">
        <f>Y31/T31</f>
        <v>0.12302679881896457</v>
      </c>
      <c r="Y31" s="934">
        <f>IF(((D31+I31+D38+I38+D40+I40)*$B$2)&lt;=0,0,((D31+I31+D38+I38+D40+I40)*S31*$B$2))</f>
        <v>7.6259796840031591E-2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R-WH_Det_COA_X0</v>
      </c>
      <c r="AD31" s="737" t="str">
        <f t="shared" si="4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35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36">
        <f>E32/SUM($E$31:$E$49)</f>
        <v>7.6099157201833988E-6</v>
      </c>
      <c r="R32" s="937">
        <f>Q32*DwellingStocks!$K$38/1000</f>
        <v>5.5128491828852991E-3</v>
      </c>
      <c r="S32" s="938">
        <f>IFERROR((R32*1000)/E32,0)</f>
        <v>2.7564245914426495</v>
      </c>
      <c r="T32" s="947">
        <v>0.9</v>
      </c>
      <c r="U32" s="939">
        <f>X32/R32/W32</f>
        <v>1.3184000000000001E-2</v>
      </c>
      <c r="V32" s="940">
        <v>20</v>
      </c>
      <c r="W32" s="940">
        <v>1</v>
      </c>
      <c r="X32" s="941">
        <f>Y32/T32</f>
        <v>7.2681403627159789E-5</v>
      </c>
      <c r="Y32" s="942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R-WH_Det_BIODST_X0</v>
      </c>
      <c r="AD32" s="81" t="str">
        <f t="shared" si="4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9">
        <f>E33/SUM($E$31:$E$49)</f>
        <v>7.6099157201833988E-6</v>
      </c>
      <c r="R33" s="930">
        <f>Q33*DwellingStocks!$K$38/1000</f>
        <v>5.5128491828852991E-3</v>
      </c>
      <c r="S33" s="931">
        <f>IFERROR((R33*1000)/E33,0)</f>
        <v>2.7564245914426495</v>
      </c>
      <c r="T33" s="948">
        <v>0.9</v>
      </c>
      <c r="U33" s="932">
        <f>IFERROR(X33/R33/W33,0)</f>
        <v>1.4933999999999999E-2</v>
      </c>
      <c r="V33" s="933">
        <v>20</v>
      </c>
      <c r="W33" s="933">
        <v>1</v>
      </c>
      <c r="X33" s="934">
        <f>IFERROR(Y33/T33,0)</f>
        <v>8.2328889697209055E-5</v>
      </c>
      <c r="Y33" s="934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R-WH_Det_BIOETH_X0</v>
      </c>
      <c r="AD33" s="737" t="str">
        <f t="shared" si="4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35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36">
        <f>(E34+E35)/SUM($E$31:$E$49)</f>
        <v>2.2201929113635065E-2</v>
      </c>
      <c r="R34" s="937">
        <f>(Q34)*DwellingStocks!$K$38/1000</f>
        <v>16.083737491067858</v>
      </c>
      <c r="S34" s="938">
        <f>IFERROR((R34*1000)/(E34+E35),0)</f>
        <v>2.7564245914426491</v>
      </c>
      <c r="T34" s="939">
        <f t="shared" ref="T34" si="5">T10</f>
        <v>0.82661774762699336</v>
      </c>
      <c r="U34" s="939">
        <f t="shared" ref="U34:U41" si="6">X34/R34/W34</f>
        <v>2.0707296779284987E-2</v>
      </c>
      <c r="V34" s="940">
        <v>20</v>
      </c>
      <c r="W34" s="940">
        <v>1</v>
      </c>
      <c r="X34" s="941">
        <f t="shared" ref="X34:X41" si="7">Y34/T34</f>
        <v>0.33305072554765464</v>
      </c>
      <c r="Y34" s="942">
        <f>IF(((D34+I34+D35+I35)*$B$2)&lt;=0,0,((D34+I34+D35+I35)*S34*$B$2))</f>
        <v>0.27530564059773821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R-WH_Det_OILLPG_X0</v>
      </c>
      <c r="AD34" s="81" t="str">
        <f t="shared" si="4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9">
        <f>E49/SUM($E$31:$E$49)</f>
        <v>2.3967429560717617E-2</v>
      </c>
      <c r="R35" s="930">
        <f>Q35*DwellingStocks!$K$38/1000</f>
        <v>17.362718501497248</v>
      </c>
      <c r="S35" s="931">
        <f>IFERROR((R35*1000)/E49,0)+0.0095</f>
        <v>2.7659245914426496</v>
      </c>
      <c r="T35" s="932">
        <f>T11</f>
        <v>0.99952095808383234</v>
      </c>
      <c r="U35" s="932">
        <f t="shared" si="6"/>
        <v>1.2967039092012106E-2</v>
      </c>
      <c r="V35" s="933">
        <v>20</v>
      </c>
      <c r="W35" s="933">
        <v>1</v>
      </c>
      <c r="X35" s="934">
        <f t="shared" si="7"/>
        <v>0.22514304955251668</v>
      </c>
      <c r="Y35" s="934">
        <f>IF(((D49+I49)*$B$2)&lt;=0,0,((D49+I49)*S35*$B$2))</f>
        <v>0.22503519659464721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R-WH_Det_ELC_X0</v>
      </c>
      <c r="AD35" s="737" t="str">
        <f t="shared" si="4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35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36">
        <f>E36/SUM($E$31:$E$49)</f>
        <v>4.3852139337556835E-2</v>
      </c>
      <c r="R36" s="937">
        <f>Q36*DwellingStocks!$K$38/1000</f>
        <v>31.767793416376534</v>
      </c>
      <c r="S36" s="938">
        <f>IFERROR((R36*1000)/E36,0)+0.0095</f>
        <v>2.7659245914426496</v>
      </c>
      <c r="T36" s="939">
        <f>T12</f>
        <v>3.0897837837837834</v>
      </c>
      <c r="U36" s="939">
        <f t="shared" si="6"/>
        <v>2.292637067244007E-3</v>
      </c>
      <c r="V36" s="940">
        <v>20</v>
      </c>
      <c r="W36" s="940">
        <v>1</v>
      </c>
      <c r="X36" s="941">
        <f>Y36/T36</f>
        <v>7.2832020730934977E-2</v>
      </c>
      <c r="Y36" s="942">
        <f>IF(((D49+I49)*$B$2)&lt;=0,0,((D49+I49)*S36*$B$2))</f>
        <v>0.22503519659464721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R-WH_Det_ELC_X1</v>
      </c>
      <c r="AD36" s="81" t="str">
        <f t="shared" si="4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9">
        <f>E37/SUM($E$31:$E$49)</f>
        <v>0.69691988661225579</v>
      </c>
      <c r="R37" s="930">
        <f>Q37*DwellingStocks!$K$38/1000</f>
        <v>504.86948459322718</v>
      </c>
      <c r="S37" s="1039">
        <f>IFERROR((R37*1000)/E37,0)-0.421</f>
        <v>2.3354245914426497</v>
      </c>
      <c r="T37" s="932">
        <f>T13</f>
        <v>0.82280373831775711</v>
      </c>
      <c r="U37" s="932">
        <f t="shared" si="6"/>
        <v>1.8076585161697811E-2</v>
      </c>
      <c r="V37" s="933">
        <v>20</v>
      </c>
      <c r="W37" s="933">
        <v>1</v>
      </c>
      <c r="X37" s="934">
        <f>Y37/T37</f>
        <v>9.1263162337919521</v>
      </c>
      <c r="Y37" s="934">
        <f t="shared" ref="Y37:Y39" si="8">IF(((D37+I37)*$B$2)&lt;=0,0,((D37+I37)*S37*$B$2))</f>
        <v>7.5091671142340513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R-WH_Det_OILKER_X0</v>
      </c>
      <c r="AD37" s="737" t="str">
        <f t="shared" si="4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9">
        <f>E39/SUM($E$31:$E$49)</f>
        <v>0.1580579495082092</v>
      </c>
      <c r="R39" s="930">
        <f>Q39*DwellingStocks!$K$38/1000</f>
        <v>114.50187752852766</v>
      </c>
      <c r="S39" s="1039">
        <f>IFERROR((R39*1000)/E39,0)-0.449</f>
        <v>2.3074245914426497</v>
      </c>
      <c r="T39" s="932">
        <f t="shared" ref="T39:T41" si="9">T15</f>
        <v>0.82728758169934635</v>
      </c>
      <c r="U39" s="932">
        <f t="shared" si="6"/>
        <v>1.7290075620928293E-2</v>
      </c>
      <c r="V39" s="933">
        <v>20</v>
      </c>
      <c r="W39" s="933">
        <v>1</v>
      </c>
      <c r="X39" s="934">
        <f t="shared" si="7"/>
        <v>1.9797461212065131</v>
      </c>
      <c r="Y39" s="934">
        <f t="shared" si="8"/>
        <v>1.6378193809915973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9">
        <f>(E41+E42)/SUM($E$31:$E$49)</f>
        <v>3.0135266251926258E-3</v>
      </c>
      <c r="R41" s="930">
        <f>Q41*DwellingStocks!$K$38/1000</f>
        <v>2.1830882764225783</v>
      </c>
      <c r="S41" s="931">
        <f>IFERROR((R36*1000)/E36,0)</f>
        <v>2.7564245914426495</v>
      </c>
      <c r="T41" s="932">
        <f t="shared" si="9"/>
        <v>0.5457894736842106</v>
      </c>
      <c r="U41" s="932">
        <f t="shared" si="6"/>
        <v>4.0892573858157262E-2</v>
      </c>
      <c r="V41" s="933">
        <v>20</v>
      </c>
      <c r="W41" s="933">
        <v>1</v>
      </c>
      <c r="X41" s="934">
        <f t="shared" si="7"/>
        <v>8.9272098582487525E-2</v>
      </c>
      <c r="Y41" s="934">
        <f>IF(((D41+I41+D42+I42)*$B$2)&lt;=0,0,((D41+I41+D42+I42)*S41*$B$2))</f>
        <v>4.8723771700020832E-2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35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36">
        <f>E43/SUM($E$31:$E$49)</f>
        <v>4.0694024313680723E-2</v>
      </c>
      <c r="R43" s="937">
        <f>Q43*DwellingStocks!$K$38/1000</f>
        <v>29.479961005479133</v>
      </c>
      <c r="S43" s="938">
        <f>(R43*1000)/E43-0.1377</f>
        <v>2.6187245914426489</v>
      </c>
      <c r="T43" s="939">
        <f>T19</f>
        <v>0.61474226804123711</v>
      </c>
      <c r="U43" s="939">
        <f t="shared" ref="U43:U45" si="10">X43/R43/W43</f>
        <v>2.9923648155101269E-2</v>
      </c>
      <c r="V43" s="940">
        <v>20</v>
      </c>
      <c r="W43" s="940">
        <v>1</v>
      </c>
      <c r="X43" s="941">
        <f t="shared" ref="X43" si="11">Y43/T43</f>
        <v>0.88214798075406298</v>
      </c>
      <c r="Y43" s="942">
        <f>IF(((D43+I43)*$B$2)&lt;=0,0,((D43+I43)*S43*$B$2))</f>
        <v>0.54229365043675026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9">
        <f>(E47+E44+E45+E46)/SUM($E$31:$E$49)</f>
        <v>4.8513212716169169E-3</v>
      </c>
      <c r="R44" s="930">
        <f>Q44*DwellingStocks!$K$38/1000</f>
        <v>3.5144413540893784</v>
      </c>
      <c r="S44" s="931">
        <f>(R44*1000)/(E47+E44+E45+E46)-0.1368</f>
        <v>2.6196245914426495</v>
      </c>
      <c r="T44" s="932">
        <f t="shared" ref="T44:T45" si="13">T20</f>
        <v>0.72928609692169366</v>
      </c>
      <c r="U44" s="932">
        <f t="shared" si="10"/>
        <v>2.3909482309160689E-2</v>
      </c>
      <c r="V44" s="933">
        <v>20</v>
      </c>
      <c r="W44" s="933">
        <v>1</v>
      </c>
      <c r="X44" s="934">
        <f>Y44/T44</f>
        <v>8.4028473382182736E-2</v>
      </c>
      <c r="Y44" s="934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35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36">
        <f>E48/SUM($E$31:$E$49)</f>
        <v>7.2294199341742292E-4</v>
      </c>
      <c r="R45" s="937">
        <f>Q45*DwellingStocks!$K$38/1000</f>
        <v>0.52372067237410336</v>
      </c>
      <c r="S45" s="938">
        <f>(R45*1000)/E48</f>
        <v>2.7564245914426495</v>
      </c>
      <c r="T45" s="939">
        <f t="shared" si="13"/>
        <v>0.65865731206453049</v>
      </c>
      <c r="U45" s="939">
        <f t="shared" si="10"/>
        <v>2.9677201882381521E-3</v>
      </c>
      <c r="V45" s="940">
        <v>20</v>
      </c>
      <c r="W45" s="940">
        <v>1</v>
      </c>
      <c r="X45" s="941">
        <f>Y45/T45</f>
        <v>1.5542564124022857E-3</v>
      </c>
      <c r="Y45" s="942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28"/>
      <c r="N49" s="928"/>
      <c r="O49" s="928"/>
      <c r="P49" s="928"/>
      <c r="Q49" s="928"/>
      <c r="R49" s="923">
        <f>SUM(R29:R47)</f>
        <v>724.42972900000007</v>
      </c>
      <c r="S49" s="928"/>
      <c r="T49" s="928"/>
      <c r="U49" s="928"/>
      <c r="V49" s="928"/>
      <c r="W49" s="928"/>
      <c r="X49" s="917">
        <f>SUM(X29:X47)</f>
        <v>12.917272769072998</v>
      </c>
      <c r="Y49" s="917">
        <f>SUM(Y29:Y47)</f>
        <v>10.602083776987508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18" t="str">
        <f>COMM!E24</f>
        <v>RSDELC</v>
      </c>
      <c r="P54" s="904" t="str">
        <f>COMM!$O$20</f>
        <v>RSDLT_Det</v>
      </c>
      <c r="Q54" s="920">
        <v>1</v>
      </c>
      <c r="R54" s="921">
        <f>DwellingStocks!K38/1000</f>
        <v>724.42972899999995</v>
      </c>
      <c r="S54" s="905">
        <f>(R54*1000)/SUM(G54:G62)</f>
        <v>2.7286413814404251</v>
      </c>
      <c r="T54" s="906">
        <f>D54/C54</f>
        <v>0.37037047102933268</v>
      </c>
      <c r="U54" s="906">
        <f t="shared" ref="U54:U55" si="14">X54/R54/W54</f>
        <v>1.1036083669191172E-2</v>
      </c>
      <c r="V54" s="907">
        <v>10</v>
      </c>
      <c r="W54" s="907">
        <v>1</v>
      </c>
      <c r="X54" s="908">
        <f>Y54/T54</f>
        <v>7.9948671016934858</v>
      </c>
      <c r="Y54" s="908">
        <f>IF(((D54+D55+D56+D57+D58+D59+D60+D61+D62)*$B$2)&lt;=0,0,((D54+D55+D56+D57+D58+D59+D60+D61+D62)*S34*$B$2))</f>
        <v>2.9610626942711322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R-LT_Det_X0</v>
      </c>
      <c r="AD54" s="737" t="str">
        <f>N54</f>
        <v>Residential Lighting Detached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LEFT(SETUP!B3,1)&amp;"-"&amp;RIGHT(COMM!$O$23,6)&amp;"_"&amp;SETUP!$B$64</f>
        <v>R-PF_Det_X0</v>
      </c>
      <c r="N55" s="909" t="str">
        <f>COMM!$P$23&amp;" "&amp;SETUP!$C$64</f>
        <v>Residential Pumps &amp; Fans Detached Existing 00</v>
      </c>
      <c r="O55" s="81" t="str">
        <f>COMM!E24</f>
        <v>RSDELC</v>
      </c>
      <c r="P55" s="146" t="str">
        <f>LEFT(SETUP!B3,1)&amp;"-"&amp;RIGHT(COMM!$O$23,6)</f>
        <v>R-PF_Det</v>
      </c>
      <c r="Q55" s="912">
        <v>1</v>
      </c>
      <c r="R55" s="922">
        <f>DwellingStocks!K38/1000</f>
        <v>724.42972899999995</v>
      </c>
      <c r="S55" s="910">
        <f>(R55*1000)/SUM(G54:G62)</f>
        <v>2.7286413814404251</v>
      </c>
      <c r="T55" s="911">
        <f>D55/C55</f>
        <v>0.370370398008326</v>
      </c>
      <c r="U55" s="911">
        <f t="shared" si="14"/>
        <v>2.2970926283112933E-3</v>
      </c>
      <c r="V55" s="913">
        <v>10</v>
      </c>
      <c r="W55" s="913">
        <v>1</v>
      </c>
      <c r="X55" s="914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R-PF_Det_X0</v>
      </c>
      <c r="AD55" s="81" t="str">
        <f>N55</f>
        <v>Residential Pumps &amp; Fans Detached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0" t="s">
        <v>484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551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553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2020-12-08T18:07:41Z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82271754741668</vt:r8>
  </property>
</Properties>
</file>